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codeName="ThisWorkbook" defaultThemeVersion="166925"/>
  <mc:AlternateContent xmlns:mc="http://schemas.openxmlformats.org/markup-compatibility/2006">
    <mc:Choice Requires="x15">
      <x15ac:absPath xmlns:x15ac="http://schemas.microsoft.com/office/spreadsheetml/2010/11/ac" url="/Users/cahillc/Library/CloudStorage/Box-Box/Planning and Preparation Workbook/5.2.x/"/>
    </mc:Choice>
  </mc:AlternateContent>
  <xr:revisionPtr revIDLastSave="0" documentId="13_ncr:1_{C33F16C7-EA6B-FC4A-A952-070A9455F8AC}" xr6:coauthVersionLast="47" xr6:coauthVersionMax="47" xr10:uidLastSave="{00000000-0000-0000-0000-000000000000}"/>
  <bookViews>
    <workbookView xWindow="41120" yWindow="-3020" windowWidth="38400" windowHeight="21100" activeTab="2" xr2:uid="{98612615-D5B3-EF47-AF34-679F20CCC578}"/>
  </bookViews>
  <sheets>
    <sheet name="Deployment Options" sheetId="33" r:id="rId1"/>
    <sheet name="Unified Installer" sheetId="97" state="hidden" r:id="rId2"/>
    <sheet name="Version History" sheetId="52" r:id="rId3"/>
    <sheet name="Version History Internal" sheetId="101" state="hidden" r:id="rId4"/>
    <sheet name="Prerequisite Checklist" sheetId="35" r:id="rId5"/>
    <sheet name="Management Domain Sizing Inputs" sheetId="54" r:id="rId6"/>
    <sheet name="Network Inputs - Rack" sheetId="89" r:id="rId7"/>
    <sheet name="Network Inputs - VVS" sheetId="29" r:id="rId8"/>
    <sheet name="Name &amp; IP Address Inputs - VM" sheetId="30" r:id="rId9"/>
    <sheet name="Name &amp; IP Address Inputs - Rack" sheetId="88" r:id="rId10"/>
    <sheet name="SDDC Inputs - Common" sheetId="40" r:id="rId11"/>
    <sheet name="SDDC Inputs - Rack" sheetId="90" r:id="rId12"/>
    <sheet name="Active Directory Inputs" sheetId="34" r:id="rId13"/>
    <sheet name="Management Domain Sizing" sheetId="58" r:id="rId14"/>
    <sheet name="Management Domain CertGen File" sheetId="53" r:id="rId15"/>
    <sheet name="Management Domain" sheetId="62" r:id="rId16"/>
    <sheet name="Unified Installer Json" sheetId="98" state="hidden" r:id="rId17"/>
    <sheet name="Aria Lifecycle &amp; VCF Aware WSA" sheetId="64" r:id="rId18"/>
    <sheet name="Unified Installer Reference Tab" sheetId="99" state="hidden" r:id="rId19"/>
    <sheet name="Static Reference Tables" sheetId="56" state="hidden" r:id="rId20"/>
    <sheet name="Value Reference Tables" sheetId="63" state="hidden" r:id="rId21"/>
    <sheet name="Value Reference Tables - MR" sheetId="87" state="hidden" r:id="rId22"/>
    <sheet name="VI Workload Domain CertGen File" sheetId="73" r:id="rId23"/>
    <sheet name="VI Workload Domain Rack Config" sheetId="92" r:id="rId24"/>
    <sheet name="VI Workload Domain" sheetId="65" r:id="rId25"/>
    <sheet name="VI WLD MultiRack API Sample" sheetId="93" r:id="rId26"/>
    <sheet name="VI WLD MultiRack EdgeAPI Sample" sheetId="94" r:id="rId27"/>
    <sheet name="Identity &amp; Access Management" sheetId="66" r:id="rId28"/>
    <sheet name="Developer Ready Infrastructure" sheetId="67" r:id="rId29"/>
    <sheet name="Private AI Ready Infrastructure" sheetId="95" r:id="rId30"/>
    <sheet name="Intelligent Logging &amp; Analytics" sheetId="69" r:id="rId31"/>
    <sheet name="Intelligent Operations Mgmt" sheetId="70" r:id="rId32"/>
    <sheet name="Aria Operations Alert List" sheetId="71" r:id="rId33"/>
    <sheet name="Intelligent Network Visibility" sheetId="83" r:id="rId34"/>
    <sheet name="Private Cloud Automation" sheetId="68" r:id="rId35"/>
    <sheet name="Site Protection &amp; DR" sheetId="75" r:id="rId36"/>
    <sheet name="Health Reporting and Monitoring" sheetId="82" r:id="rId37"/>
    <sheet name="Cloud-Based Ransomware Recovery" sheetId="86" r:id="rId38"/>
    <sheet name="Cross Cloud Mobility" sheetId="85" r:id="rId39"/>
    <sheet name="Config_File_Build" sheetId="74" state="hidden" r:id="rId40"/>
  </sheets>
  <definedNames>
    <definedName name="administrator_vsphere_local_password">'Value Reference Tables'!$I$28</definedName>
    <definedName name="air_chosen">'Deployment Options'!$H$68</definedName>
    <definedName name="air_GPU_network_operator_namespace">'Value Reference Tables'!$R$59</definedName>
    <definedName name="air_GPU_operator_namespace">'Value Reference Tables'!$R$58</definedName>
    <definedName name="air_GPU_VM_class">'Value Reference Tables'!$R$57</definedName>
    <definedName name="air_license">'Value Reference Tables'!$R$56</definedName>
    <definedName name="air_result">'Deployment Options'!$J$68</definedName>
    <definedName name="all_hosts">'Static Reference Tables'!$B$431:$C$558</definedName>
    <definedName name="asn_instance">'Value Reference Tables - MR'!$AE$14</definedName>
    <definedName name="asn_mgmt_az1">'Value Reference Tables - MR'!$AE$15</definedName>
    <definedName name="asn_mgmt_az2">'Value Reference Tables - MR'!$AE$16</definedName>
    <definedName name="asn_start">'Value Reference Tables - MR'!$AE$13</definedName>
    <definedName name="asn_wld_az1">'Value Reference Tables - MR'!$AE$17</definedName>
    <definedName name="asn_wld_az2">'Value Reference Tables - MR'!$AE$18</definedName>
    <definedName name="automation_product_name">'Value Reference Tables'!$R$64</definedName>
    <definedName name="avail_host_type_1">'Static Reference Tables'!$B$364:$B$365</definedName>
    <definedName name="avail_host_type_2">'Static Reference Tables'!$B$367:$B$368</definedName>
    <definedName name="avail_host_type_3">'Static Reference Tables'!$B$370:$B$371</definedName>
    <definedName name="avail_host_type_4">'Static Reference Tables'!$B$373:$B$374</definedName>
    <definedName name="avail_host_type_5">'Static Reference Tables'!$B$376:$B$377</definedName>
    <definedName name="avail_host_type_6">'Static Reference Tables'!$B$379:$B$380</definedName>
    <definedName name="avail_host_type_7">'Static Reference Tables'!$B$382:$B$383</definedName>
    <definedName name="avail_host_type_8">'Static Reference Tables'!$B$385:$B$386</definedName>
    <definedName name="avail_rack_list">'Static Reference Tables'!$C$351:$C$358</definedName>
    <definedName name="avail_rack_list_2">'Static Reference Tables'!$B$351:$B$352</definedName>
    <definedName name="avail_rack_list_3">'Static Reference Tables'!$B$351:$B$353</definedName>
    <definedName name="avail_rack_list_4">'Static Reference Tables'!$B$351:$B$354</definedName>
    <definedName name="avail_rack_list_5">'Static Reference Tables'!$B$351:$B$355</definedName>
    <definedName name="avail_rack_list_6">'Static Reference Tables'!$B$351:$B$356</definedName>
    <definedName name="avail_rack_list_7">'Static Reference Tables'!$B$351:$B$357</definedName>
    <definedName name="avail_rack_list_8">'Static Reference Tables'!$B$351:$B$358</definedName>
    <definedName name="avilb_root_password">'Value Reference Tables'!$I$49</definedName>
    <definedName name="aws_regions">'Static Reference Tables'!$B$317:$B$344</definedName>
    <definedName name="ca_administrator_password">'Value Reference Tables'!$I$48</definedName>
    <definedName name="ca_administrator_username">'Value Reference Tables'!$I$19</definedName>
    <definedName name="ca_algorithm">'Value Reference Tables'!$L$50</definedName>
    <definedName name="ca_country">'Value Reference Tables'!$L$49</definedName>
    <definedName name="ca_email_address">'Value Reference Tables'!$L$52</definedName>
    <definedName name="ca_key_size">'Value Reference Tables'!$L$51</definedName>
    <definedName name="ca_locality">'Value Reference Tables'!$L$53</definedName>
    <definedName name="ca_organization">'Value Reference Tables'!$L$54</definedName>
    <definedName name="ca_organization_unit">'Value Reference Tables'!$L$55</definedName>
    <definedName name="ca_state">'Value Reference Tables'!$L$56</definedName>
    <definedName name="ca_template_name">'Value Reference Tables'!$L$48</definedName>
    <definedName name="calculated_mgmt_host_count">'Management Domain Sizing'!$J$8</definedName>
    <definedName name="cbr_aria_logs_key">'Value Reference Tables'!$R$312</definedName>
    <definedName name="cbr_aria_logs_url">'Value Reference Tables'!$R$311</definedName>
    <definedName name="cbr_chosen">'Deployment Options'!$H$75</definedName>
    <definedName name="cbr_firewall_group">'Value Reference Tables'!$R$293</definedName>
    <definedName name="cbr_firewall_ip_addresses">'Value Reference Tables'!$R$294</definedName>
    <definedName name="cbr_firewall_rule_vcenter">'Value Reference Tables'!$R$292</definedName>
    <definedName name="cbr_recovery_host_count">'Value Reference Tables'!$R$288</definedName>
    <definedName name="cbr_recovery_host_type">'Value Reference Tables'!$R$287</definedName>
    <definedName name="cbr_recovery_management_subnet">'Value Reference Tables'!$R$291</definedName>
    <definedName name="cbr_recovery_region">'Value Reference Tables'!$R$286</definedName>
    <definedName name="cbr_recovery_sddc_name">'Value Reference Tables'!$R$285</definedName>
    <definedName name="cbr_recovery_subnet">'Value Reference Tables'!$R$290</definedName>
    <definedName name="cbr_recovery_vpc">'Value Reference Tables'!$R$289</definedName>
    <definedName name="cbr_result">'Deployment Options'!$J$75</definedName>
    <definedName name="cbr_vcdr_anti_affinity">'Value Reference Tables'!$R$308</definedName>
    <definedName name="cbr_vcdr_cdp1_hostname">'Value Reference Tables'!$R$300</definedName>
    <definedName name="cbr_vcdr_cdp1_ip">'Value Reference Tables'!$R$301</definedName>
    <definedName name="cbr_vcdr_cdp2_hostname">'Value Reference Tables'!$R$302</definedName>
    <definedName name="cbr_vcdr_cdp2_ip">'Value Reference Tables'!$R$303</definedName>
    <definedName name="cbr_vcdr_cloud_file_system">'Value Reference Tables'!$R$297</definedName>
    <definedName name="cbr_vcdr_email_recipient">'Value Reference Tables'!$R$309</definedName>
    <definedName name="cbr_vcdr_email_sender">'Value Reference Tables'!$R$310</definedName>
    <definedName name="cbr_vcdr_label">'Value Reference Tables'!$R$307</definedName>
    <definedName name="cbr_vcdr_orchestrator_fqdn">'Value Reference Tables'!$R$305</definedName>
    <definedName name="cbr_vcdr_ova">'Value Reference Tables'!$R$304</definedName>
    <definedName name="cbr_vcdr_passcode">'Value Reference Tables'!$R$306</definedName>
    <definedName name="cbr_vcdr_site_name">'Value Reference Tables'!$R$298</definedName>
    <definedName name="cbr_vcdr_timezone">'Value Reference Tables'!$R$299</definedName>
    <definedName name="cbr_vcdr_vsphere_role">'Value Reference Tables'!$R$281</definedName>
    <definedName name="cbr_vm_folder">'Value Reference Tables'!$R$284</definedName>
    <definedName name="ccm_aws_admin_password">'Value Reference Tables'!$R$343</definedName>
    <definedName name="ccm_aws_admin_ssouser">'Value Reference Tables'!$R$342</definedName>
    <definedName name="ccm_aws_host_count">'Value Reference Tables'!$R$327</definedName>
    <definedName name="ccm_aws_host_type">'Value Reference Tables'!$R$326</definedName>
    <definedName name="ccm_aws_management_subnet">'Value Reference Tables'!$R$330</definedName>
    <definedName name="ccm_aws_region">'Value Reference Tables'!$R$325</definedName>
    <definedName name="ccm_aws_sddc_name">'Value Reference Tables'!$R$324</definedName>
    <definedName name="ccm_aws_subnet">'Value Reference Tables'!$R$329</definedName>
    <definedName name="ccm_aws_vpc">'Value Reference Tables'!$R$328</definedName>
    <definedName name="ccm_chosen">'Deployment Options'!$H$76</definedName>
    <definedName name="ccm_firewall_group">'Value Reference Tables'!$R$333</definedName>
    <definedName name="ccm_firewall_ip_addresses">'Value Reference Tables'!$R$334</definedName>
    <definedName name="ccm_firewall_rule_hcx">'Value Reference Tables'!$R$332</definedName>
    <definedName name="ccm_firewall_rule_vcenter">'Value Reference Tables'!$R$331</definedName>
    <definedName name="ccm_hcx_admin_password">'Value Reference Tables'!$R$338</definedName>
    <definedName name="ccm_hcx_cdp_hostname">'Value Reference Tables'!$R$337</definedName>
    <definedName name="ccm_hcx_cdp_ip">'Value Reference Tables'!$R$340</definedName>
    <definedName name="ccm_hcx_compute_profile">'Value Reference Tables'!$R$346</definedName>
    <definedName name="ccm_hcx_dc_location">'Value Reference Tables'!$R$336</definedName>
    <definedName name="ccm_hcx_license">'Value Reference Tables'!$R$335</definedName>
    <definedName name="ccm_hcx_mgmt_network_ip_range">'Value Reference Tables'!$R$344</definedName>
    <definedName name="ccm_hcx_nsx_svc_password">'Value Reference Tables'!$R$323</definedName>
    <definedName name="ccm_hcx_nsx_svc_user">'Value Reference Tables'!$R$322</definedName>
    <definedName name="ccm_hcx_remote_url">'Value Reference Tables'!$R$341</definedName>
    <definedName name="ccm_hcx_resource_pool">'Value Reference Tables'!$R$321</definedName>
    <definedName name="ccm_hcx_root_password">'Value Reference Tables'!$R$339</definedName>
    <definedName name="ccm_hcx_service_mesh">'Value Reference Tables'!$R$347</definedName>
    <definedName name="ccm_hcx_vm_folder">'Value Reference Tables'!$R$320</definedName>
    <definedName name="ccm_hcx_vmotion_network_ip_range">'Value Reference Tables'!$R$345</definedName>
    <definedName name="ccm_hcx_vsphere_role">'Value Reference Tables'!$R$316</definedName>
    <definedName name="ccm_hcx_vsphere_svc_password">'Value Reference Tables'!$R$318</definedName>
    <definedName name="ccm_hcx_vsphere_svc_user">'Value Reference Tables'!$R$317</definedName>
    <definedName name="ccm_result">'Deployment Options'!$J$76</definedName>
    <definedName name="ccm_vm_folder">'Value Reference Tables'!$R$319</definedName>
    <definedName name="certificate_authority_fqdn">'Value Reference Tables'!$I$78</definedName>
    <definedName name="certificate_authority_model">'Value Reference Tables'!$L$9</definedName>
    <definedName name="certificate_authority_name">'Value Reference Tables'!$I$79</definedName>
    <definedName name="child_ad_bind_dn">'Value Reference Tables'!$I$113</definedName>
    <definedName name="child_ad_groups_ou">'Value Reference Tables'!$I$103</definedName>
    <definedName name="child_ad_users_ou">'Value Reference Tables'!$I$108</definedName>
    <definedName name="child_dns_zone">'Value Reference Tables'!$I$87</definedName>
    <definedName name="child_svc_nsx_ad_password">'Value Reference Tables'!$I$136</definedName>
    <definedName name="child_svc_nsx_ad_user">'Value Reference Tables'!$I$151</definedName>
    <definedName name="child_svc_vsphere_ad_password">'Value Reference Tables'!$I$135</definedName>
    <definedName name="child_svc_vsphere_ad_user">'Value Reference Tables'!$I$150</definedName>
    <definedName name="child_svc_wsa_ad_password">'Value Reference Tables'!$I$134</definedName>
    <definedName name="child_svc_wsa_ad_user">'Value Reference Tables'!$I$118</definedName>
    <definedName name="cloudbuilder_admin_password">'Value Reference Tables'!$I$25</definedName>
    <definedName name="cloudbuilder_admin_username">'Value Reference Tables'!$I$18</definedName>
    <definedName name="cloudbuilder_fqdn">'Value Reference Tables'!$C$51</definedName>
    <definedName name="cloudbuilder_hostname">'Value Reference Tables'!$C$32</definedName>
    <definedName name="cloudbuilder_ip">'Value Reference Tables'!$C$13</definedName>
    <definedName name="cloudbuilder_root_password">'Value Reference Tables'!$I$26</definedName>
    <definedName name="cloudbuilder_target_datastore">'Value Reference Tables'!$C$8</definedName>
    <definedName name="cloudbuilder_target_fqdn">'Value Reference Tables'!$C$7</definedName>
    <definedName name="cloudbuilder_target_network">'Value Reference Tables'!$C$9</definedName>
    <definedName name="developer_ready_chosen">'Deployment Options'!$H$67</definedName>
    <definedName name="developer_ready_result">'Deployment Options'!$J$67</definedName>
    <definedName name="domain_controller_hostname">'Value Reference Tables'!$I$77</definedName>
    <definedName name="dri_dns_servers">'Value Reference Tables'!$R$51</definedName>
    <definedName name="dri_ec_name">'Value Reference Tables'!$R$33</definedName>
    <definedName name="dri_k8s_server_address">'Value Reference Tables'!$R$49</definedName>
    <definedName name="dri_k8s_size_hint">'Value Reference Tables'!$R$40</definedName>
    <definedName name="dri_load_balancer_ge">'Value Reference Tables'!$R$34</definedName>
    <definedName name="dri_load_balancer_le">'Value Reference Tables'!$R$35</definedName>
    <definedName name="dri_network_address_range_size">'Value Reference Tables'!$R$42</definedName>
    <definedName name="dri_network_mode">'Value Reference Tables'!$R$41</definedName>
    <definedName name="dri_nsxt_vip_fqdn">'Value Reference Tables'!$R$26</definedName>
    <definedName name="dri_ntp_servers">'Value Reference Tables'!$R$52</definedName>
    <definedName name="dri_overlay_transport_zone">'Value Reference Tables'!$R$29</definedName>
    <definedName name="dri_sddc_domain">'Value Reference Tables'!$R$20</definedName>
    <definedName name="dri_tier0_name">'Value Reference Tables'!$R$28</definedName>
    <definedName name="dri_tier1_name">'Value Reference Tables'!$R$27</definedName>
    <definedName name="dri_vcenter_cluster">'Value Reference Tables'!$R$23</definedName>
    <definedName name="dri_vcenter_datacenter">'Value Reference Tables'!$R$22</definedName>
    <definedName name="dri_vcenter_fqdn">'Value Reference Tables'!$R$21</definedName>
    <definedName name="dri_vcenter_vds_name">'Value Reference Tables'!$R$24</definedName>
    <definedName name="dri_vcenter_vsan_datastore">'Value Reference Tables'!$R$25</definedName>
    <definedName name="esx_k8s_license">'Value Reference Tables'!$L$85</definedName>
    <definedName name="esx_std_license">'Value Reference Tables'!$I$10</definedName>
    <definedName name="esxi_root_password">'Value Reference Tables'!$I$27</definedName>
    <definedName name="esxi_thumbprint_validation">'Value Reference Tables'!$L$34</definedName>
    <definedName name="first_domain_mgmt_only_viable">'Value Reference Tables'!$X$99</definedName>
    <definedName name="first_domain_mgmt_vi_viable">'Value Reference Tables'!$X$100</definedName>
    <definedName name="gg_vrni_admin_group">'Value Reference Tables'!$R$270</definedName>
    <definedName name="gg_vrni_admin_group_dn">'Value Reference Tables'!$R$273</definedName>
    <definedName name="gg_vrni_auditor_group">'Value Reference Tables'!$R$272</definedName>
    <definedName name="gg_vrni_auditor_group_dn">'Value Reference Tables'!$R$275</definedName>
    <definedName name="gg_vrni_member_group">'Value Reference Tables'!$R$271</definedName>
    <definedName name="gg_vrni_member_group_dn">'Value Reference Tables'!$R$274</definedName>
    <definedName name="global_env_admin_password">'Value Reference Tables'!$X$18</definedName>
    <definedName name="global_env_admin_password_alias">'Value Reference Tables'!$X$17</definedName>
    <definedName name="global_env_admin_username">'Value Reference Tables'!$X$19</definedName>
    <definedName name="group_gg_kub_admins">'Value Reference Tables'!$I$155</definedName>
    <definedName name="group_gg_kub_readonly">'Value Reference Tables'!$I$156</definedName>
    <definedName name="group_gg_nsx_auditors">'Value Reference Tables'!$I$189</definedName>
    <definedName name="group_gg_nsx_enterprise_admins">'Value Reference Tables'!$I$187</definedName>
    <definedName name="group_gg_nsx_network_admins">'Value Reference Tables'!$I$188</definedName>
    <definedName name="group_gg_sso_admins">'Value Reference Tables'!$I$186</definedName>
    <definedName name="group_gg_vc_admins">'Value Reference Tables'!$I$184</definedName>
    <definedName name="group_gg_vc_read_only">'Value Reference Tables'!$I$185</definedName>
    <definedName name="group_gg_vcf_admins">'Value Reference Tables'!$I$181</definedName>
    <definedName name="group_gg_vcf_operators">'Value Reference Tables'!$I$182</definedName>
    <definedName name="group_gg_vcf_viewers">'Value Reference Tables'!$I$183</definedName>
    <definedName name="group_gg_vra_cloud_assembly_admins">'Value Reference Tables'!$I$170</definedName>
    <definedName name="group_gg_vra_cloud_assembly_users">'Value Reference Tables'!$I$171</definedName>
    <definedName name="group_gg_vra_cloud_assembly_viewers">'Value Reference Tables'!$I$172</definedName>
    <definedName name="group_gg_vra_orchestrator_admins">'Value Reference Tables'!$I$176</definedName>
    <definedName name="group_gg_vra_orchestrator_designers">'Value Reference Tables'!$I$177</definedName>
    <definedName name="group_gg_vra_orchestrator_viewers">'Value Reference Tables'!$I$178</definedName>
    <definedName name="group_gg_vra_org_owners">'Value Reference Tables'!$I$169</definedName>
    <definedName name="group_gg_vra_project_admins_sample">'Value Reference Tables'!$I$179</definedName>
    <definedName name="group_gg_vra_project_users_sample">'Value Reference Tables'!$I$180</definedName>
    <definedName name="group_gg_vra_service_broker_admins">'Value Reference Tables'!$I$173</definedName>
    <definedName name="group_gg_vra_service_broker_users">'Value Reference Tables'!$I$174</definedName>
    <definedName name="group_gg_vra_service_broker_viewers">'Value Reference Tables'!$I$175</definedName>
    <definedName name="group_gg_vrli_admins">'Value Reference Tables'!$I$166</definedName>
    <definedName name="group_gg_vrli_users">'Value Reference Tables'!$I$167</definedName>
    <definedName name="group_gg_vrli_viewers">'Value Reference Tables'!$I$168</definedName>
    <definedName name="group_gg_vrops_admins">'Value Reference Tables'!$I$163</definedName>
    <definedName name="group_gg_vrops_content_admins">'Value Reference Tables'!$I$164</definedName>
    <definedName name="group_gg_vrops_read_only">'Value Reference Tables'!$I$165</definedName>
    <definedName name="group_gg_vrslcm_admins">'Value Reference Tables'!$I$160</definedName>
    <definedName name="group_gg_vrslcm_content_developers">'Value Reference Tables'!$I$162</definedName>
    <definedName name="group_gg_vrslcm_release_managers">'Value Reference Tables'!$I$161</definedName>
    <definedName name="group_parent_gg_wsa_admins">'Value Reference Tables'!$I$157</definedName>
    <definedName name="group_parent_gg_wsa_directory_admins">'Value Reference Tables'!$I$158</definedName>
    <definedName name="group_parent_gg_wsa_read_only">'Value Reference Tables'!$I$159</definedName>
    <definedName name="hrm_chosen">'Deployment Options'!$H$74</definedName>
    <definedName name="hrm_notification_email">'Value Reference Tables'!$R$365</definedName>
    <definedName name="hrm_result">'Deployment Options'!$J$74</definedName>
    <definedName name="hrm_vm_administrator_password">'Value Reference Tables'!$R$355</definedName>
    <definedName name="hrm_vm_folder">'Value Reference Tables'!$R$351</definedName>
    <definedName name="hrm_vm_fqdn">'Value Reference Tables'!$R$354</definedName>
    <definedName name="hrm_vm_hostname">'Value Reference Tables'!$R$352</definedName>
    <definedName name="hrm_vm_ip">'Value Reference Tables'!$R$353</definedName>
    <definedName name="hrm_vm_root_password">'Value Reference Tables'!$R$356</definedName>
    <definedName name="hrm_vrops_role_description">'Value Reference Tables'!$R$358</definedName>
    <definedName name="hrm_vrops_role_name">'Value Reference Tables'!$R$357</definedName>
    <definedName name="hrm_vrops_scope_description">'Value Reference Tables'!$R$360</definedName>
    <definedName name="hrm_vrops_scope_name">'Value Reference Tables'!$R$359</definedName>
    <definedName name="iam_ad_based_dn">'Value Reference Tables'!$R$13</definedName>
    <definedName name="iam_ad_connection_type">'Value Reference Tables'!$R$12</definedName>
    <definedName name="iam_ad_nsx_domain_controller">'Value Reference Tables'!$R$14</definedName>
    <definedName name="iam_chosen">'Deployment Options'!$H$66</definedName>
    <definedName name="iam_nsx_ad_bind_password">'Value Reference Tables'!$R$11</definedName>
    <definedName name="iam_nsx_ad_bind_username">'Value Reference Tables'!$R$10</definedName>
    <definedName name="iam_result">'Deployment Options'!$J$66</definedName>
    <definedName name="iam_vsphere_ad_bind_password">'Value Reference Tables'!$R$9</definedName>
    <definedName name="iam_vsphere_ad_bind_username">'Value Reference Tables'!$R$8</definedName>
    <definedName name="ila_github_token">'Value Reference Tables'!$R$118</definedName>
    <definedName name="input_administrator_vsphere_local_password">'SDDC Inputs - Common'!$D$30</definedName>
    <definedName name="input_air_GPU_network_operator_namespace">'SDDC Inputs - Common'!$D$420</definedName>
    <definedName name="input_air_GPU_operator_namespace">'SDDC Inputs - Common'!$D$419</definedName>
    <definedName name="input_air_GPU_VM_class">'SDDC Inputs - Common'!$D$418</definedName>
    <definedName name="input_air_license">'SDDC Inputs - Common'!$D$417</definedName>
    <definedName name="input_avilb_root_password">'SDDC Inputs - Common'!$D$49</definedName>
    <definedName name="input_ca_administrator_password">'SDDC Inputs - Common'!$D$59</definedName>
    <definedName name="input_ca_administrator_username">'SDDC Inputs - Common'!$D$58</definedName>
    <definedName name="input_ca_algorithm">'SDDC Inputs - Common'!$D$150</definedName>
    <definedName name="input_ca_country">'SDDC Inputs - Common'!$D$149</definedName>
    <definedName name="input_ca_email_address">'SDDC Inputs - Common'!$D$152</definedName>
    <definedName name="input_ca_key_size">'SDDC Inputs - Common'!$D$151</definedName>
    <definedName name="input_ca_locality">'SDDC Inputs - Common'!$D$153</definedName>
    <definedName name="input_ca_organization">'SDDC Inputs - Common'!$D$154</definedName>
    <definedName name="input_ca_organization_unit">'SDDC Inputs - Common'!$D$155</definedName>
    <definedName name="input_ca_state">'SDDC Inputs - Common'!$D$156</definedName>
    <definedName name="input_ca_template_name">'SDDC Inputs - Common'!$D$148</definedName>
    <definedName name="input_cbr_aria_logs_key">'SDDC Inputs - Common'!$D$624</definedName>
    <definedName name="input_cbr_aria_logs_url">'SDDC Inputs - Common'!$D$623</definedName>
    <definedName name="input_cbr_firewall_group">'SDDC Inputs - Common'!$D$611</definedName>
    <definedName name="input_cbr_firewall_ip_addresses">'SDDC Inputs - Common'!$D$612</definedName>
    <definedName name="input_cbr_firewall_rule_vcenter">'SDDC Inputs - Common'!$D$610</definedName>
    <definedName name="input_cbr_recovery_host_count">'SDDC Inputs - Common'!$D$606</definedName>
    <definedName name="input_cbr_recovery_host_type">'SDDC Inputs - Common'!$D$605</definedName>
    <definedName name="input_cbr_recovery_management_subnet">'SDDC Inputs - Common'!$D$609</definedName>
    <definedName name="input_cbr_recovery_region">'SDDC Inputs - Common'!$D$604</definedName>
    <definedName name="input_cbr_recovery_sddc_name">'SDDC Inputs - Common'!$D$603</definedName>
    <definedName name="input_cbr_recovery_subnet">'SDDC Inputs - Common'!$D$608</definedName>
    <definedName name="input_cbr_recovery_vpc">'SDDC Inputs - Common'!$D$607</definedName>
    <definedName name="input_cbr_vcdr_anti_affinity">'SDDC Inputs - Common'!$D$620</definedName>
    <definedName name="input_cbr_vcdr_cdp1_hostname">'Name &amp; IP Address Inputs - VM'!$E$157</definedName>
    <definedName name="input_cbr_vcdr_cdp1_ip">'Name &amp; IP Address Inputs - VM'!$G$157</definedName>
    <definedName name="input_cbr_vcdr_cdp2_hostname">'Name &amp; IP Address Inputs - VM'!$E$158</definedName>
    <definedName name="input_cbr_vcdr_cdp2_ip">'Name &amp; IP Address Inputs - VM'!$G$158</definedName>
    <definedName name="input_cbr_vcdr_cloud_file_system">'SDDC Inputs - Common'!$D$613</definedName>
    <definedName name="input_cbr_vcdr_email_recipient">'SDDC Inputs - Common'!$D$621</definedName>
    <definedName name="input_cbr_vcdr_email_sender">'SDDC Inputs - Common'!$D$622</definedName>
    <definedName name="input_cbr_vcdr_label">'SDDC Inputs - Common'!$D$619</definedName>
    <definedName name="input_cbr_vcdr_orchestrator_fqdn">'SDDC Inputs - Common'!$D$617</definedName>
    <definedName name="input_cbr_vcdr_ova">'SDDC Inputs - Common'!$D$616</definedName>
    <definedName name="input_cbr_vcdr_passcode">'SDDC Inputs - Common'!$D$618</definedName>
    <definedName name="input_cbr_vcdr_site_name">'SDDC Inputs - Common'!$D$614</definedName>
    <definedName name="input_cbr_vcdr_timezone">'SDDC Inputs - Common'!$D$615</definedName>
    <definedName name="input_cbr_vcdr_vsphere_role">'SDDC Inputs - Common'!$D$599</definedName>
    <definedName name="input_cbr_vm_folder">'SDDC Inputs - Common'!$D$602</definedName>
    <definedName name="input_ccm_aws_admin_password">'SDDC Inputs - Common'!$D$649</definedName>
    <definedName name="input_ccm_aws_admin_ssouser">'SDDC Inputs - Common'!$D$648</definedName>
    <definedName name="input_ccm_aws_host_count">'SDDC Inputs - Common'!$D$635</definedName>
    <definedName name="input_ccm_aws_host_type">'SDDC Inputs - Common'!$D$634</definedName>
    <definedName name="input_ccm_aws_management_subnet">'SDDC Inputs - Common'!$D$638</definedName>
    <definedName name="input_ccm_aws_region">'SDDC Inputs - Common'!$D$633</definedName>
    <definedName name="input_ccm_aws_sddc_name">'SDDC Inputs - Common'!$D$632</definedName>
    <definedName name="input_ccm_aws_subnet">'SDDC Inputs - Common'!$D$637</definedName>
    <definedName name="input_ccm_aws_vpc">'SDDC Inputs - Common'!$D$636</definedName>
    <definedName name="input_ccm_firewall_group">'SDDC Inputs - Common'!$D$641</definedName>
    <definedName name="input_ccm_firewall_ip_addresses">'SDDC Inputs - Common'!$D$642</definedName>
    <definedName name="input_ccm_firewall_rule_hcx">'SDDC Inputs - Common'!$D$640</definedName>
    <definedName name="input_ccm_firewall_rule_vcenter">'SDDC Inputs - Common'!$D$639</definedName>
    <definedName name="input_ccm_hcx_admin_password">'SDDC Inputs - Common'!$D$645</definedName>
    <definedName name="input_ccm_hcx_cdp_hostname">'Name &amp; IP Address Inputs - VM'!$E$150</definedName>
    <definedName name="input_ccm_hcx_cdp_ip">'Name &amp; IP Address Inputs - VM'!$G$150</definedName>
    <definedName name="input_ccm_hcx_compute_profile">'SDDC Inputs - Common'!$D$650</definedName>
    <definedName name="input_ccm_hcx_dc_location">'SDDC Inputs - Common'!$D$644</definedName>
    <definedName name="input_ccm_hcx_license">'SDDC Inputs - Common'!$D$643</definedName>
    <definedName name="input_ccm_hcx_mgmt_network_ip_range">'Name &amp; IP Address Inputs - VM'!$F$152</definedName>
    <definedName name="input_ccm_hcx_remote_url">'SDDC Inputs - Common'!$D$647</definedName>
    <definedName name="input_ccm_hcx_resource_pool">'SDDC Inputs - Common'!$D$631</definedName>
    <definedName name="input_ccm_hcx_root_password">'SDDC Inputs - Common'!$D$646</definedName>
    <definedName name="input_ccm_hcx_service_mesh">'SDDC Inputs - Common'!$D$651</definedName>
    <definedName name="input_ccm_hcx_vm_folder">'SDDC Inputs - Common'!$D$630</definedName>
    <definedName name="input_ccm_hcx_vmotion_network_ip_range">'Name &amp; IP Address Inputs - VM'!$F$153</definedName>
    <definedName name="input_ccm_hcx_vsphere_role">'SDDC Inputs - Common'!$D$628</definedName>
    <definedName name="input_ccm_vm_folder">'SDDC Inputs - Common'!$D$629</definedName>
    <definedName name="input_certificate_authority_fqdn">'Name &amp; IP Address Inputs - VM'!$D$29</definedName>
    <definedName name="input_certificate_authority_name">'Name &amp; IP Address Inputs - VM'!$D$30</definedName>
    <definedName name="input_child_ad_groups_ou">'Active Directory Inputs'!$E$11</definedName>
    <definedName name="input_child_ad_users_ou">'Active Directory Inputs'!$G$11</definedName>
    <definedName name="input_child_dns_zone">'Name &amp; IP Address Inputs - VM'!$D$18</definedName>
    <definedName name="input_child_svc_nsx_ad_password">'Active Directory Inputs'!$G$23</definedName>
    <definedName name="input_child_svc_nsx_ad_user">'Active Directory Inputs'!$E$23</definedName>
    <definedName name="input_child_svc_vsphere_ad_password">'Active Directory Inputs'!$G$22</definedName>
    <definedName name="input_child_svc_vsphere_ad_user">'Active Directory Inputs'!$E$22</definedName>
    <definedName name="input_child_svc_wsa_ad_password">'Active Directory Inputs'!$G$19</definedName>
    <definedName name="input_child_svc_wsa_ad_user">'Active Directory Inputs'!$E$19</definedName>
    <definedName name="input_cloudbuilder_admin_password">'SDDC Inputs - Common'!$D$12</definedName>
    <definedName name="input_cloudbuilder_admin_username">'SDDC Inputs - Common'!$D$11</definedName>
    <definedName name="input_cloudbuilder_hostname">'Name &amp; IP Address Inputs - VM'!$E$38</definedName>
    <definedName name="input_cloudbuilder_ip">'Name &amp; IP Address Inputs - VM'!$G$38</definedName>
    <definedName name="input_cloudbuilder_root_password">'SDDC Inputs - Common'!$D$13</definedName>
    <definedName name="input_cloudbuilder_target_datastore">'SDDC Inputs - Common'!$D$9</definedName>
    <definedName name="input_cloudbuilder_target_fqdn">'SDDC Inputs - Common'!$D$8</definedName>
    <definedName name="input_cloudbuilder_target_network">'SDDC Inputs - Common'!$D$10</definedName>
    <definedName name="input_domain_controller_hostname">'Name &amp; IP Address Inputs - VM'!$D$28</definedName>
    <definedName name="input_esx_k8s_license">'SDDC Inputs - Common'!$D$21</definedName>
    <definedName name="input_esx_std_license">'SDDC Inputs - Common'!$D$18</definedName>
    <definedName name="input_esxi_root_password">'SDDC Inputs - Common'!$D$28</definedName>
    <definedName name="input_esxi_thumbprint_validation">'SDDC Inputs - Common'!$D$137</definedName>
    <definedName name="input_gg_kub_admins_group">'Active Directory Inputs'!$E$79</definedName>
    <definedName name="input_gg_kub_readonly_group">'Active Directory Inputs'!$E$80</definedName>
    <definedName name="input_gg_nsx_auditors_group">'Active Directory Inputs'!$E$76</definedName>
    <definedName name="input_gg_nsx_enterprise_admins_group">'Active Directory Inputs'!$E$74</definedName>
    <definedName name="input_gg_nsx_network_admins_group">'Active Directory Inputs'!$E$75</definedName>
    <definedName name="input_gg_sso_admins_group">'Active Directory Inputs'!$E$73</definedName>
    <definedName name="input_gg_vc_admins_group">'Active Directory Inputs'!$E$71</definedName>
    <definedName name="input_gg_vc_read_only_group">'Active Directory Inputs'!$E$72</definedName>
    <definedName name="input_gg_vcf_admins_group">'Active Directory Inputs'!$E$68</definedName>
    <definedName name="input_gg_vcf_operators_group">'Active Directory Inputs'!$E$69</definedName>
    <definedName name="input_gg_vcf_viewers_group">'Active Directory Inputs'!$E$70</definedName>
    <definedName name="input_gg_vra_cloud_assembly_admins_group">'Active Directory Inputs'!$E$99</definedName>
    <definedName name="input_gg_vra_cloud_assembly_users_group">'Active Directory Inputs'!$E$100</definedName>
    <definedName name="input_gg_vra_cloud_assembly_viewers_group">'Active Directory Inputs'!$E$101</definedName>
    <definedName name="input_gg_vra_orchestrator_admins_group">'Active Directory Inputs'!$E$105</definedName>
    <definedName name="input_gg_vra_orchestrator_designers_group">'Active Directory Inputs'!$E$106</definedName>
    <definedName name="input_gg_vra_orchestrator_viewers_group">'Active Directory Inputs'!$E$107</definedName>
    <definedName name="input_gg_vra_org_owners_group">'Active Directory Inputs'!$E$98</definedName>
    <definedName name="input_gg_vra_project_admins_sample_group">'Active Directory Inputs'!$E$108</definedName>
    <definedName name="input_gg_vra_project_users_sample_group">'Active Directory Inputs'!$E$109</definedName>
    <definedName name="input_gg_vra_service_broker_admins_group">'Active Directory Inputs'!$E$102</definedName>
    <definedName name="input_gg_vra_service_broker_users_group">'Active Directory Inputs'!$E$103</definedName>
    <definedName name="input_gg_vra_service_broker_viewers_group">'Active Directory Inputs'!$E$104</definedName>
    <definedName name="input_gg_vrli_admins_group">'Active Directory Inputs'!$E$83</definedName>
    <definedName name="input_gg_vrli_users_group">'Active Directory Inputs'!$E$84</definedName>
    <definedName name="input_gg_vrli_viewers_group">'Active Directory Inputs'!$E$85</definedName>
    <definedName name="input_gg_vrni_admin_group">'Active Directory Inputs'!$E$93</definedName>
    <definedName name="input_gg_vrni_auditor_group">'Active Directory Inputs'!$E$95</definedName>
    <definedName name="input_gg_vrni_member_group">'Active Directory Inputs'!$E$94</definedName>
    <definedName name="input_gg_vrops_admins_group">'Active Directory Inputs'!$E$88</definedName>
    <definedName name="input_gg_vrops_content_admins_group">'Active Directory Inputs'!$E$89</definedName>
    <definedName name="input_gg_vrops_read_only_group">'Active Directory Inputs'!$E$90</definedName>
    <definedName name="input_gg_vrslcm_admins_group">'Active Directory Inputs'!$E$58</definedName>
    <definedName name="input_gg_vrslcm_content_developers_group">'Active Directory Inputs'!$E$60</definedName>
    <definedName name="input_gg_vrslcm_release_managers_group">'Active Directory Inputs'!$E$59</definedName>
    <definedName name="input_global_env_admin_password">'SDDC Inputs - Common'!$D$386</definedName>
    <definedName name="input_global_env_admin_password_alias">'SDDC Inputs - Common'!$D$385</definedName>
    <definedName name="input_global_env_admin_username">'SDDC Inputs - Common'!$D$387</definedName>
    <definedName name="input_hrm_notification_email">'SDDC Inputs - Common'!$D$595</definedName>
    <definedName name="input_hrm_vm_administrator_password">'SDDC Inputs - Common'!$D$589</definedName>
    <definedName name="input_hrm_vm_folder">'SDDC Inputs - Common'!$D$588</definedName>
    <definedName name="input_hrm_vm_hostname">'Name &amp; IP Address Inputs - VM'!$E$162</definedName>
    <definedName name="input_hrm_vm_ip">'Name &amp; IP Address Inputs - VM'!$G$162</definedName>
    <definedName name="input_hrm_vm_root_password">'SDDC Inputs - Common'!$D$590</definedName>
    <definedName name="input_hrm_vrops_role_description">'SDDC Inputs - Common'!$D$592</definedName>
    <definedName name="input_hrm_vrops_role_name">'SDDC Inputs - Common'!$D$591</definedName>
    <definedName name="input_hrm_vrops_scope_description">'SDDC Inputs - Common'!$D$594</definedName>
    <definedName name="input_hrm_vrops_scope_name">'SDDC Inputs - Common'!$D$593</definedName>
    <definedName name="input_iam_ad_connection_type">'SDDC Inputs - Common'!$D$401</definedName>
    <definedName name="input_ila_github_token">'SDDC Inputs - Common'!$D$439</definedName>
    <definedName name="input_inv_data_collector_secret">'Value Reference Tables'!#REF!</definedName>
    <definedName name="input_inv_mgmt_nsxt_piuser">'SDDC Inputs - Common'!$D$477</definedName>
    <definedName name="input_inv_vm_folder">'SDDC Inputs - Common'!$D$476</definedName>
    <definedName name="input_inv_vsphere_role">'SDDC Inputs - Common'!$D$475</definedName>
    <definedName name="input_inv_wld_nsxt_piuser">'SDDC Inputs - Common'!$D$478</definedName>
    <definedName name="input_iom_mgmt_nsxt_piuser">'SDDC Inputs - Common'!$D$446</definedName>
    <definedName name="input_iom_vsphere_role">'SDDC Inputs - Common'!$D$445</definedName>
    <definedName name="input_iom_wld_nsxt_piuser">'SDDC Inputs - Common'!$D$447</definedName>
    <definedName name="input_k8s_api_endpoint_hostname">'Name &amp; IP Address Inputs - VM'!$E$132</definedName>
    <definedName name="input_k8s_api_endpoint_ip">'Name &amp; IP Address Inputs - VM'!$G$132</definedName>
    <definedName name="input_k8s_cluster_name">'SDDC Inputs - Common'!$D$278</definedName>
    <definedName name="input_k8s_egress_pool_cidr">'Network Inputs - VVS'!$D$14</definedName>
    <definedName name="input_k8s_harbor_hostname">'Name &amp; IP Address Inputs - VM'!$E$133</definedName>
    <definedName name="input_k8s_harbor_ip">'Name &amp; IP Address Inputs - VM'!$G$133</definedName>
    <definedName name="input_k8s_harbor_storage_policy">'SDDC Inputs - Common'!#REF!</definedName>
    <definedName name="input_k8s_ingress_pool_cidr">'Network Inputs - VVS'!$D$13</definedName>
    <definedName name="input_k8s_ip_prefixlist">'SDDC Inputs - Common'!$D$406</definedName>
    <definedName name="input_k8s_ip_routemap">'SDDC Inputs - Common'!$D$407</definedName>
    <definedName name="input_k8s_kubectl_path">'SDDC Inputs - Common'!$D$412</definedName>
    <definedName name="input_k8s_mgmt_pool_start_ip">'Name &amp; IP Address Inputs - VM'!$G$130</definedName>
    <definedName name="input_k8s_mgmt_seg">'SDDC Inputs - Common'!$D$405</definedName>
    <definedName name="input_k8s_namepsace">'SDDC Inputs - Common'!$D$277</definedName>
    <definedName name="input_k8s_segment_cidr">'Network Inputs - VVS'!$F$9</definedName>
    <definedName name="input_k8s_segment_gateway_ip">'Network Inputs - VVS'!$H$9</definedName>
    <definedName name="input_k8s_supervisor_cluster_pod_pool_cidr">'Network Inputs - VVS'!$D$15</definedName>
    <definedName name="input_k8s_supervisor_cluster_service_pool_cidr">'Network Inputs - VVS'!$D$16</definedName>
    <definedName name="input_k8s_tanzu_k8s_cluster_pod_pool_cidr">'Network Inputs - VVS'!$D$17</definedName>
    <definedName name="input_k8s_tanzu_k8s_cluster_service_pool_cidr">'Network Inputs - VVS'!$D$18</definedName>
    <definedName name="input_k8s_vcenter_category">'SDDC Inputs - Common'!$D$408</definedName>
    <definedName name="input_k8s_vcenter_content_library">'SDDC Inputs - Common'!$D$411</definedName>
    <definedName name="input_k8s_vcenter_storage_policy">'SDDC Inputs - Common'!$D$410</definedName>
    <definedName name="input_k8s_vcenter_tag">'SDDC Inputs - Common'!$D$409</definedName>
    <definedName name="input_k8s_vm_class">'SDDC Inputs - Common'!$D$413</definedName>
    <definedName name="input_local_admin_password">'SDDC Inputs - Common'!$D$389</definedName>
    <definedName name="input_local_admin_password_alias">'SDDC Inputs - Common'!$D$388</definedName>
    <definedName name="input_local_admin_username">'SDDC Inputs - Common'!$D$390</definedName>
    <definedName name="input_local_configadmin_password">'SDDC Inputs - Common'!$D$392</definedName>
    <definedName name="input_local_configadmin_password_alias">'SDDC Inputs - Common'!$D$391</definedName>
    <definedName name="input_local_configadmin_username">'SDDC Inputs - Common'!$D$393</definedName>
    <definedName name="input_local_vcf_aware_wsa_root_password">'SDDC Inputs - Common'!$D$395</definedName>
    <definedName name="input_local_vcf_aware_wsa_root_password_alias">'SDDC Inputs - Common'!$D$394</definedName>
    <definedName name="input_mgmt_avilb_cluster_name">'SDDC Inputs - Common'!$D$112</definedName>
    <definedName name="input_mgmt_avilb_cluster_version">'SDDC Inputs - Common'!$D$113</definedName>
    <definedName name="input_mgmt_avilb_hostname">'Name &amp; IP Address Inputs - VM'!$E$49</definedName>
    <definedName name="input_mgmt_avilb_ip">'Name &amp; IP Address Inputs - VM'!$G$49</definedName>
    <definedName name="input_mgmt_avilb_mgra_hostname">'Name &amp; IP Address Inputs - VM'!$E$50</definedName>
    <definedName name="input_mgmt_avilb_mgra_ip">'Name &amp; IP Address Inputs - VM'!$G$50</definedName>
    <definedName name="input_mgmt_avilb_mgrb_hostname">'Name &amp; IP Address Inputs - VM'!$E$51</definedName>
    <definedName name="input_mgmt_avilb_mgrb_ip">'Name &amp; IP Address Inputs - VM'!$G$51</definedName>
    <definedName name="input_mgmt_avilb_mgrc_hostname">'Name &amp; IP Address Inputs - VM'!$E$52</definedName>
    <definedName name="input_mgmt_avilb_mgrc_ip">'Name &amp; IP Address Inputs - VM'!$G$52</definedName>
    <definedName name="input_mgmt_az1_edge_overlay_cidr">'Network Inputs - Rack'!$F$17</definedName>
    <definedName name="input_mgmt_az1_edge_overlay_gateway_ip">'Network Inputs - Rack'!$H$17</definedName>
    <definedName name="input_mgmt_az1_edge_overlay_mtu">'Network Inputs - Rack'!$J$17</definedName>
    <definedName name="input_mgmt_az1_edge_overlay_network_pool_name">'SDDC Inputs - Rack'!$D$14</definedName>
    <definedName name="input_mgmt_az1_edge_overlay_vlan">'Network Inputs - Rack'!$D$17</definedName>
    <definedName name="input_mgmt_az1_en1_edge_overlay_interface_ip_1_ip">'Name &amp; IP Address Inputs - Rack'!$F$46</definedName>
    <definedName name="input_mgmt_az1_en1_edge_overlay_interface_ip_2_ip">'Name &amp; IP Address Inputs - Rack'!$F$47</definedName>
    <definedName name="input_mgmt_az1_en1_hostname">'Name &amp; IP Address Inputs - Rack'!$D$43</definedName>
    <definedName name="input_mgmt_az1_en1_mgmt_ip">'Name &amp; IP Address Inputs - Rack'!$F$43</definedName>
    <definedName name="input_mgmt_az1_en1_uplink01_interface_ip">'Name &amp; IP Address Inputs - Rack'!$F$44</definedName>
    <definedName name="input_mgmt_az1_en1_uplink02_interface_ip">'Name &amp; IP Address Inputs - Rack'!$F$45</definedName>
    <definedName name="input_mgmt_az1_en2_edge_overlay_interface_ip_1_ip">'Name &amp; IP Address Inputs - Rack'!$F$51</definedName>
    <definedName name="input_mgmt_az1_en2_edge_overlay_interface_ip_2_ip">'Name &amp; IP Address Inputs - Rack'!$F$52</definedName>
    <definedName name="input_mgmt_az1_en2_hostname">'Name &amp; IP Address Inputs - Rack'!$D$48</definedName>
    <definedName name="input_mgmt_az1_en2_mgmt_ip">'Name &amp; IP Address Inputs - Rack'!$F$48</definedName>
    <definedName name="input_mgmt_az1_en2_uplink01_interface_ip">'Name &amp; IP Address Inputs - Rack'!$F$49</definedName>
    <definedName name="input_mgmt_az1_en2_uplink02_interface_ip">'Name &amp; IP Address Inputs - Rack'!$F$50</definedName>
    <definedName name="input_mgmt_az1_host_overlay_cidr">'Network Inputs - Rack'!$F$13</definedName>
    <definedName name="input_mgmt_az1_host_overlay_gateway_ip">'Network Inputs - Rack'!$H$13</definedName>
    <definedName name="input_mgmt_az1_host_overlay_mtu">'Network Inputs - Rack'!$J$13</definedName>
    <definedName name="input_mgmt_az1_host_overlay_network_pool_description">'SDDC Inputs - Rack'!$D$11</definedName>
    <definedName name="input_mgmt_az1_host_overlay_network_pool_name">'SDDC Inputs - Rack'!$D$12</definedName>
    <definedName name="input_mgmt_az1_host_overlay_network_profile_name">'SDDC Inputs - Rack'!$D$10</definedName>
    <definedName name="input_mgmt_az1_host_overlay_pool_end_ip">'Name &amp; IP Address Inputs - Rack'!$F$60</definedName>
    <definedName name="input_mgmt_az1_host_overlay_pool_start_ip">'Name &amp; IP Address Inputs - Rack'!$F$59</definedName>
    <definedName name="input_mgmt_az1_host_overlay_uplink_profile_name">'SDDC Inputs - Rack'!$D$13</definedName>
    <definedName name="input_mgmt_az1_host_overlay_vlan">'Network Inputs - Rack'!$D$13</definedName>
    <definedName name="input_mgmt_az1_host1_hostname">'Name &amp; IP Address Inputs - Rack'!$D$9</definedName>
    <definedName name="input_mgmt_az1_host1_mgmt_ip">'Name &amp; IP Address Inputs - Rack'!$F$9</definedName>
    <definedName name="input_mgmt_az1_host1_vrms_ip">'Name &amp; IP Address Inputs - Rack'!$F$26</definedName>
    <definedName name="input_mgmt_az1_host10_hostname">'Name &amp; IP Address Inputs - Rack'!$D$18</definedName>
    <definedName name="input_mgmt_az1_host10_mgmt_ip">'Name &amp; IP Address Inputs - Rack'!$F$18</definedName>
    <definedName name="input_mgmt_az1_host10_vrms_ip">'Name &amp; IP Address Inputs - Rack'!$F$35</definedName>
    <definedName name="input_mgmt_az1_host11_hostname">'Name &amp; IP Address Inputs - Rack'!$D$19</definedName>
    <definedName name="input_mgmt_az1_host11_mgmt_ip">'Name &amp; IP Address Inputs - Rack'!$F$19</definedName>
    <definedName name="input_mgmt_az1_host11_vrms_ip">'Name &amp; IP Address Inputs - Rack'!$F$36</definedName>
    <definedName name="input_mgmt_az1_host12_hostname">'Name &amp; IP Address Inputs - Rack'!$D$20</definedName>
    <definedName name="input_mgmt_az1_host12_mgmt_ip">'Name &amp; IP Address Inputs - Rack'!$F$20</definedName>
    <definedName name="input_mgmt_az1_host12_vrms_ip">'Name &amp; IP Address Inputs - Rack'!$F$37</definedName>
    <definedName name="input_mgmt_az1_host13_hostname">'Name &amp; IP Address Inputs - Rack'!$D$21</definedName>
    <definedName name="input_mgmt_az1_host13_mgmt_ip">'Name &amp; IP Address Inputs - Rack'!$F$21</definedName>
    <definedName name="input_mgmt_az1_host13_vrms_ip">'Name &amp; IP Address Inputs - Rack'!$F$38</definedName>
    <definedName name="input_mgmt_az1_host14_hostname">'Name &amp; IP Address Inputs - Rack'!$D$22</definedName>
    <definedName name="input_mgmt_az1_host14_mgmt_ip">'Name &amp; IP Address Inputs - Rack'!$F$22</definedName>
    <definedName name="input_mgmt_az1_host14_vrms_ip">'Name &amp; IP Address Inputs - Rack'!$F$39</definedName>
    <definedName name="input_mgmt_az1_host15_hostname">'Name &amp; IP Address Inputs - Rack'!$D$23</definedName>
    <definedName name="input_mgmt_az1_host15_mgmt_ip">'Name &amp; IP Address Inputs - Rack'!$F$23</definedName>
    <definedName name="input_mgmt_az1_host15_vrms_ip">'Name &amp; IP Address Inputs - Rack'!$F$40</definedName>
    <definedName name="input_mgmt_az1_host16_hostname">'Name &amp; IP Address Inputs - Rack'!$D$24</definedName>
    <definedName name="input_mgmt_az1_host16_mgmt_ip">'Name &amp; IP Address Inputs - Rack'!$F$24</definedName>
    <definedName name="input_mgmt_az1_host16_vrms_ip">'Name &amp; IP Address Inputs - Rack'!$F$41</definedName>
    <definedName name="input_mgmt_az1_host2_hostname">'Name &amp; IP Address Inputs - Rack'!$D$10</definedName>
    <definedName name="input_mgmt_az1_host2_mgmt_ip">'Name &amp; IP Address Inputs - Rack'!$F$10</definedName>
    <definedName name="input_mgmt_az1_host2_vrms_ip">'Name &amp; IP Address Inputs - Rack'!$F$27</definedName>
    <definedName name="input_mgmt_az1_host3_hostname">'Name &amp; IP Address Inputs - Rack'!$D$11</definedName>
    <definedName name="input_mgmt_az1_host3_mgmt_ip">'Name &amp; IP Address Inputs - Rack'!$F$11</definedName>
    <definedName name="input_mgmt_az1_host3_vrms_ip">'Name &amp; IP Address Inputs - Rack'!$F$28</definedName>
    <definedName name="input_mgmt_az1_host4_hostname">'Name &amp; IP Address Inputs - Rack'!$D$12</definedName>
    <definedName name="input_mgmt_az1_host4_mgmt_ip">'Name &amp; IP Address Inputs - Rack'!$F$12</definedName>
    <definedName name="input_mgmt_az1_host4_vrms_ip">'Name &amp; IP Address Inputs - Rack'!$F$29</definedName>
    <definedName name="input_mgmt_az1_host5_hostname">'Name &amp; IP Address Inputs - Rack'!$D$13</definedName>
    <definedName name="input_mgmt_az1_host5_mgmt_ip">'Name &amp; IP Address Inputs - Rack'!$F$13</definedName>
    <definedName name="input_mgmt_az1_host5_vrms_ip">'Name &amp; IP Address Inputs - Rack'!$F$30</definedName>
    <definedName name="input_mgmt_az1_host6_hostname">'Name &amp; IP Address Inputs - Rack'!$D$14</definedName>
    <definedName name="input_mgmt_az1_host6_mgmt_ip">'Name &amp; IP Address Inputs - Rack'!$F$14</definedName>
    <definedName name="input_mgmt_az1_host6_vrms_ip">'Name &amp; IP Address Inputs - Rack'!$F$31</definedName>
    <definedName name="input_mgmt_az1_host7_hostname">'Name &amp; IP Address Inputs - Rack'!$D$15</definedName>
    <definedName name="input_mgmt_az1_host7_mgmt_ip">'Name &amp; IP Address Inputs - Rack'!$F$15</definedName>
    <definedName name="input_mgmt_az1_host7_vrms_ip">'Name &amp; IP Address Inputs - Rack'!$F$32</definedName>
    <definedName name="input_mgmt_az1_host8_hostname">'Name &amp; IP Address Inputs - Rack'!$D$16</definedName>
    <definedName name="input_mgmt_az1_host8_mgmt_ip">'Name &amp; IP Address Inputs - Rack'!$F$16</definedName>
    <definedName name="input_mgmt_az1_host8_vrms_ip">'Name &amp; IP Address Inputs - Rack'!$F$33</definedName>
    <definedName name="input_mgmt_az1_host9_hostname">'Name &amp; IP Address Inputs - Rack'!$D$17</definedName>
    <definedName name="input_mgmt_az1_host9_mgmt_ip">'Name &amp; IP Address Inputs - Rack'!$F$17</definedName>
    <definedName name="input_mgmt_az1_host9_vrms_ip">'Name &amp; IP Address Inputs - Rack'!$F$34</definedName>
    <definedName name="input_mgmt_az1_mgmt_cidr">'Network Inputs - Rack'!$F$10</definedName>
    <definedName name="input_mgmt_az1_mgmt_gateway_ip">'Network Inputs - Rack'!$H$10</definedName>
    <definedName name="input_mgmt_az1_mgmt_mtu">'Network Inputs - Rack'!$J$10</definedName>
    <definedName name="input_mgmt_az1_mgmt_vlan">'Network Inputs - Rack'!$D$10</definedName>
    <definedName name="input_mgmt_az1_mgmt_vm_cidr">'Network Inputs - Rack'!$F$9</definedName>
    <definedName name="input_mgmt_az1_mgmt_vm_gateway_ip">'Network Inputs - Rack'!$H$9</definedName>
    <definedName name="input_mgmt_az1_mgmt_vm_mtu">'Network Inputs - Rack'!$J$9</definedName>
    <definedName name="input_mgmt_az1_mgmt_vm_vlan">'Network Inputs - Rack'!$D$9</definedName>
    <definedName name="input_mgmt_az1_pool_name">'SDDC Inputs - Rack'!$D$9</definedName>
    <definedName name="input_mgmt_az1_rtep_ip_pool_name">'SDDC Inputs - Rack'!$D$15</definedName>
    <definedName name="input_mgmt_az1_rtep_overlay_cidr">'Network Inputs - Rack'!$F$18</definedName>
    <definedName name="input_mgmt_az1_rtep_overlay_gateway_ip">'Network Inputs - Rack'!$H$18</definedName>
    <definedName name="input_mgmt_az1_rtep_overlay_mtu">'Network Inputs - Rack'!$J$18</definedName>
    <definedName name="input_mgmt_az1_rtep_overlay_vlan">'Network Inputs - Rack'!$D$18</definedName>
    <definedName name="input_mgmt_az1_tor1_peer_asn">'Network Inputs - Rack'!$D$28</definedName>
    <definedName name="input_mgmt_az1_tor1_peer_bgp_password">'Network Inputs - Rack'!$D$29</definedName>
    <definedName name="input_mgmt_az1_tor1_peer_ip">'Network Inputs - Rack'!$D$27</definedName>
    <definedName name="input_mgmt_az1_tor2_peer_asn">'Network Inputs - Rack'!$D$31</definedName>
    <definedName name="input_mgmt_az1_tor2_peer_bgp_password">'Network Inputs - Rack'!$D$32</definedName>
    <definedName name="input_mgmt_az1_tor2_peer_ip">'Network Inputs - Rack'!$D$30</definedName>
    <definedName name="input_mgmt_az1_uplink01_cidr">'Network Inputs - Rack'!$F$15</definedName>
    <definedName name="input_mgmt_az1_uplink01_gateway_ip">'Network Inputs - Rack'!$H$15</definedName>
    <definedName name="input_mgmt_az1_uplink01_mtu">'Network Inputs - Rack'!$J$15</definedName>
    <definedName name="input_mgmt_az1_uplink01_vlan">'Network Inputs - Rack'!$D$15</definedName>
    <definedName name="input_mgmt_az1_uplink02_cidr">'Network Inputs - Rack'!$F$16</definedName>
    <definedName name="input_mgmt_az1_uplink02_gateway_ip">'Network Inputs - Rack'!$H$16</definedName>
    <definedName name="input_mgmt_az1_uplink02_mtu">'Network Inputs - Rack'!$J$16</definedName>
    <definedName name="input_mgmt_az1_uplink02_vlan">'Network Inputs - Rack'!$D$16</definedName>
    <definedName name="input_mgmt_az1_vm_group_name">'SDDC Inputs - Common'!$D$134</definedName>
    <definedName name="input_mgmt_az1_vmotion_cidr">'Network Inputs - Rack'!$F$11</definedName>
    <definedName name="input_mgmt_az1_vmotion_gateway_ip">'Network Inputs - Rack'!$H$11</definedName>
    <definedName name="input_mgmt_az1_vmotion_mtu">'Network Inputs - Rack'!$J$11</definedName>
    <definedName name="input_mgmt_az1_vmotion_pool_end_ip">'Name &amp; IP Address Inputs - Rack'!$F$56</definedName>
    <definedName name="input_mgmt_az1_vmotion_pool_start_ip">'Name &amp; IP Address Inputs - Rack'!$F$55</definedName>
    <definedName name="input_mgmt_az1_vmotion_vlan">'Network Inputs - Rack'!$D$11</definedName>
    <definedName name="input_mgmt_az1_vrms_cidr">'Network Inputs - Rack'!$F$14</definedName>
    <definedName name="input_mgmt_az1_vrms_gateway_ip">'Network Inputs - Rack'!$H$14</definedName>
    <definedName name="input_mgmt_az1_vrms_mtu">'Network Inputs - Rack'!$J$14</definedName>
    <definedName name="input_mgmt_az1_vrms_vlan">'Network Inputs - Rack'!$D$14</definedName>
    <definedName name="input_mgmt_az1_vsan_cidr">'Network Inputs - Rack'!$F$12</definedName>
    <definedName name="input_mgmt_az1_vsan_gateway_ip">'Network Inputs - Rack'!$H$12</definedName>
    <definedName name="input_mgmt_az1_vsan_mtu">'Network Inputs - Rack'!$J$12</definedName>
    <definedName name="input_mgmt_az1_vsan_pool_end_ip">'Name &amp; IP Address Inputs - Rack'!$F$58</definedName>
    <definedName name="input_mgmt_az1_vsan_pool_start_ip">'Name &amp; IP Address Inputs - Rack'!$F$57</definedName>
    <definedName name="input_mgmt_az1_vsan_vlan">'Network Inputs - Rack'!$D$12</definedName>
    <definedName name="input_mgmt_az2_edge_overlay_cidr">'Network Inputs - Rack'!$F$44</definedName>
    <definedName name="input_mgmt_az2_edge_overlay_gateway_ip">'Network Inputs - Rack'!$H$44</definedName>
    <definedName name="input_mgmt_az2_edge_overlay_mtu">'Network Inputs - Rack'!$J$44</definedName>
    <definedName name="input_mgmt_az2_edge_overlay_vlan">'Network Inputs - Rack'!$D$44</definedName>
    <definedName name="input_mgmt_az2_host_overlay_cidr">'Network Inputs - Rack'!$F$40</definedName>
    <definedName name="input_mgmt_az2_host_overlay_gateway_ip">'Network Inputs - Rack'!$H$40</definedName>
    <definedName name="input_mgmt_az2_host_overlay_mtu">'Network Inputs - Rack'!$J$40</definedName>
    <definedName name="input_mgmt_az2_host_overlay_network_pool_name">'SDDC Inputs - Rack'!$D$40</definedName>
    <definedName name="input_mgmt_az2_host_overlay_network_profile_name">'SDDC Inputs - Rack'!$D$39</definedName>
    <definedName name="input_mgmt_az2_host_overlay_pool_end_ip">'Name &amp; IP Address Inputs - Rack'!$F$107</definedName>
    <definedName name="input_mgmt_az2_host_overlay_pool_start_ip">'Name &amp; IP Address Inputs - Rack'!$F$106</definedName>
    <definedName name="input_mgmt_az2_host_overlay_uplink_profile_name">'SDDC Inputs - Rack'!$D$41</definedName>
    <definedName name="input_mgmt_az2_host_overlay_vlan">'Network Inputs - Rack'!$D$40</definedName>
    <definedName name="input_mgmt_az2_host1_hostname">'Name &amp; IP Address Inputs - Rack'!$D$67</definedName>
    <definedName name="input_mgmt_az2_host1_mgmt_ip">'Name &amp; IP Address Inputs - Rack'!$F$67</definedName>
    <definedName name="input_mgmt_az2_host1_sddc_id">'SDDC Inputs - Common'!$D$178</definedName>
    <definedName name="input_mgmt_az2_host1_vrms_ip">'Name &amp; IP Address Inputs - Rack'!$F$84</definedName>
    <definedName name="input_mgmt_az2_host10_hostname">'Name &amp; IP Address Inputs - Rack'!$D$76</definedName>
    <definedName name="input_mgmt_az2_host10_mgmt_ip">'Name &amp; IP Address Inputs - Rack'!$F$76</definedName>
    <definedName name="input_mgmt_az2_host10_vrms_ip">'Name &amp; IP Address Inputs - Rack'!$F$93</definedName>
    <definedName name="input_mgmt_az2_host11_hostname">'Name &amp; IP Address Inputs - Rack'!$D$77</definedName>
    <definedName name="input_mgmt_az2_host11_mgmt_ip">'Name &amp; IP Address Inputs - Rack'!$F$77</definedName>
    <definedName name="input_mgmt_az2_host11_vrms_ip">'Name &amp; IP Address Inputs - Rack'!$F$94</definedName>
    <definedName name="input_mgmt_az2_host12_hostname">'Name &amp; IP Address Inputs - Rack'!$D$78</definedName>
    <definedName name="input_mgmt_az2_host12_mgmt_ip">'Name &amp; IP Address Inputs - Rack'!$F$78</definedName>
    <definedName name="input_mgmt_az2_host12_vrms_ip">'Name &amp; IP Address Inputs - Rack'!$F$95</definedName>
    <definedName name="input_mgmt_az2_host13_hostname">'Name &amp; IP Address Inputs - Rack'!$D$79</definedName>
    <definedName name="input_mgmt_az2_host13_mgmt_ip">'Name &amp; IP Address Inputs - Rack'!$F$79</definedName>
    <definedName name="input_mgmt_az2_host13_vrms_ip">'Name &amp; IP Address Inputs - Rack'!$F$96</definedName>
    <definedName name="input_mgmt_az2_host14_hostname">'Name &amp; IP Address Inputs - Rack'!$D$80</definedName>
    <definedName name="input_mgmt_az2_host14_mgmt_ip">'Name &amp; IP Address Inputs - Rack'!$F$80</definedName>
    <definedName name="input_mgmt_az2_host14_vrms_ip">'Name &amp; IP Address Inputs - Rack'!$F$97</definedName>
    <definedName name="input_mgmt_az2_host15_hostname">'Name &amp; IP Address Inputs - Rack'!$D$81</definedName>
    <definedName name="input_mgmt_az2_host15_mgmt_ip">'Name &amp; IP Address Inputs - Rack'!$F$81</definedName>
    <definedName name="input_mgmt_az2_host15_vrms_ip">'Name &amp; IP Address Inputs - Rack'!$F$98</definedName>
    <definedName name="input_mgmt_az2_host16_hostname">'Name &amp; IP Address Inputs - Rack'!$D$82</definedName>
    <definedName name="input_mgmt_az2_host16_mgmt_ip">'Name &amp; IP Address Inputs - Rack'!$F$82</definedName>
    <definedName name="input_mgmt_az2_host16_vrms_ip">'Name &amp; IP Address Inputs - Rack'!$F$99</definedName>
    <definedName name="input_mgmt_az2_host2_hostname">'Name &amp; IP Address Inputs - Rack'!$D$68</definedName>
    <definedName name="input_mgmt_az2_host2_mgmt_ip">'Name &amp; IP Address Inputs - Rack'!$F$68</definedName>
    <definedName name="input_mgmt_az2_host2_sddc_id">'SDDC Inputs - Common'!$D$179</definedName>
    <definedName name="input_mgmt_az2_host2_vrms_ip">'Name &amp; IP Address Inputs - Rack'!$F$85</definedName>
    <definedName name="input_mgmt_az2_host3_hostname">'Name &amp; IP Address Inputs - Rack'!$D$69</definedName>
    <definedName name="input_mgmt_az2_host3_mgmt_ip">'Name &amp; IP Address Inputs - Rack'!$F$69</definedName>
    <definedName name="input_mgmt_az2_host3_sddc_id">'SDDC Inputs - Common'!$D$180</definedName>
    <definedName name="input_mgmt_az2_host3_vrms_ip">'Name &amp; IP Address Inputs - Rack'!$F$86</definedName>
    <definedName name="input_mgmt_az2_host4_hostname">'Name &amp; IP Address Inputs - Rack'!$D$70</definedName>
    <definedName name="input_mgmt_az2_host4_mgmt_ip">'Name &amp; IP Address Inputs - Rack'!$F$70</definedName>
    <definedName name="input_mgmt_az2_host4_sddc_id">'SDDC Inputs - Common'!$D$181</definedName>
    <definedName name="input_mgmt_az2_host4_vrms_ip">'Name &amp; IP Address Inputs - Rack'!$F$87</definedName>
    <definedName name="input_mgmt_az2_host5_hostname">'Name &amp; IP Address Inputs - Rack'!$D$71</definedName>
    <definedName name="input_mgmt_az2_host5_mgmt_ip">'Name &amp; IP Address Inputs - Rack'!$F$71</definedName>
    <definedName name="input_mgmt_az2_host5_vrms_ip">'Name &amp; IP Address Inputs - Rack'!$F$88</definedName>
    <definedName name="input_mgmt_az2_host6_hostname">'Name &amp; IP Address Inputs - Rack'!$D$72</definedName>
    <definedName name="input_mgmt_az2_host6_mgmt_ip">'Name &amp; IP Address Inputs - Rack'!$F$72</definedName>
    <definedName name="input_mgmt_az2_host6_vrms_ip">'Name &amp; IP Address Inputs - Rack'!$F$89</definedName>
    <definedName name="input_mgmt_az2_host7_hostname">'Name &amp; IP Address Inputs - Rack'!$D$73</definedName>
    <definedName name="input_mgmt_az2_host7_mgmt_ip">'Name &amp; IP Address Inputs - Rack'!$F$73</definedName>
    <definedName name="input_mgmt_az2_host7_vrms_ip">'Name &amp; IP Address Inputs - Rack'!$F$90</definedName>
    <definedName name="input_mgmt_az2_host8_hostname">'Name &amp; IP Address Inputs - Rack'!$D$74</definedName>
    <definedName name="input_mgmt_az2_host8_mgmt_ip">'Name &amp; IP Address Inputs - Rack'!$F$74</definedName>
    <definedName name="input_mgmt_az2_host8_vrms_ip">'Name &amp; IP Address Inputs - Rack'!$F$91</definedName>
    <definedName name="input_mgmt_az2_host9_hostname">'Name &amp; IP Address Inputs - Rack'!$D$75</definedName>
    <definedName name="input_mgmt_az2_host9_mgmt_ip">'Name &amp; IP Address Inputs - Rack'!$F$75</definedName>
    <definedName name="input_mgmt_az2_host9_vrms_ip">'Name &amp; IP Address Inputs - Rack'!$F$92</definedName>
    <definedName name="input_mgmt_az2_mgmt_cidr">'Network Inputs - Rack'!$F$37</definedName>
    <definedName name="input_mgmt_az2_mgmt_gateway_ip">'Network Inputs - Rack'!$H$37</definedName>
    <definedName name="input_mgmt_az2_mgmt_mtu">'Network Inputs - Rack'!$J$37</definedName>
    <definedName name="input_mgmt_az2_mgmt_vlan">'Network Inputs - Rack'!$D$37</definedName>
    <definedName name="input_mgmt_az2_pool_name">'SDDC Inputs - Rack'!$D$38</definedName>
    <definedName name="input_mgmt_az2_rtep_overlay_cidr">'Network Inputs - Rack'!$F$45</definedName>
    <definedName name="input_mgmt_az2_rtep_overlay_gateway_ip">'Network Inputs - Rack'!$H$45</definedName>
    <definedName name="input_mgmt_az2_rtep_overlay_mtu">'Network Inputs - Rack'!$J$45</definedName>
    <definedName name="input_mgmt_az2_rtep_overlay_vlan">'Network Inputs - Rack'!$D$45</definedName>
    <definedName name="input_mgmt_az2_tor1_peer_asn">'Network Inputs - Rack'!$D$54</definedName>
    <definedName name="input_mgmt_az2_tor1_peer_bgp_password">'Network Inputs - Rack'!$D$55</definedName>
    <definedName name="input_mgmt_az2_tor1_peer_ip">'Network Inputs - Rack'!$D$53</definedName>
    <definedName name="input_mgmt_az2_tor2_peer_asn">'Network Inputs - Rack'!$D$57</definedName>
    <definedName name="input_mgmt_az2_tor2_peer_bgp_password">'Network Inputs - Rack'!$D$58</definedName>
    <definedName name="input_mgmt_az2_tor2_peer_ip">'Network Inputs - Rack'!$D$56</definedName>
    <definedName name="input_mgmt_az2_uplink01_cidr">'Network Inputs - Rack'!$F$42</definedName>
    <definedName name="input_mgmt_az2_uplink01_gateway_ip">'Network Inputs - Rack'!$H$42</definedName>
    <definedName name="input_mgmt_az2_uplink01_mtu">'Network Inputs - Rack'!$J$42</definedName>
    <definedName name="input_mgmt_az2_uplink01_vlan">'Network Inputs - Rack'!$D$42</definedName>
    <definedName name="input_mgmt_az2_uplink02_cidr">'Network Inputs - Rack'!$F$43</definedName>
    <definedName name="input_mgmt_az2_uplink02_gateway_ip">'Network Inputs - Rack'!$H$43</definedName>
    <definedName name="input_mgmt_az2_uplink02_mtu">'Network Inputs - Rack'!$J$43</definedName>
    <definedName name="input_mgmt_az2_uplink02_vlan">'Network Inputs - Rack'!$D$43</definedName>
    <definedName name="input_mgmt_az2_vmotion_cidr">'Network Inputs - Rack'!$F$38</definedName>
    <definedName name="input_mgmt_az2_vmotion_gateway_ip">'Network Inputs - Rack'!$H$38</definedName>
    <definedName name="input_mgmt_az2_vmotion_mtu">'Network Inputs - Rack'!$J$38</definedName>
    <definedName name="input_mgmt_az2_vmotion_pool_end_ip">'Name &amp; IP Address Inputs - Rack'!$F$103</definedName>
    <definedName name="input_mgmt_az2_vmotion_pool_start_ip">'Name &amp; IP Address Inputs - Rack'!$F$102</definedName>
    <definedName name="input_mgmt_az2_vmotion_vlan">'Network Inputs - Rack'!$D$38</definedName>
    <definedName name="input_mgmt_az2_vrms_cidr">'Network Inputs - Rack'!$F$41</definedName>
    <definedName name="input_mgmt_az2_vrms_gateway_ip">'Network Inputs - Rack'!$H$41</definedName>
    <definedName name="input_mgmt_az2_vrms_mtu">'Network Inputs - Rack'!$J$41</definedName>
    <definedName name="input_mgmt_az2_vrms_vlan">'Network Inputs - Rack'!$D$41</definedName>
    <definedName name="input_mgmt_az2_vsan_cidr">'Network Inputs - Rack'!$F$39</definedName>
    <definedName name="input_mgmt_az2_vsan_gateway_ip">'Network Inputs - Rack'!$H$39</definedName>
    <definedName name="input_mgmt_az2_vsan_mtu">'Network Inputs - Rack'!$J$39</definedName>
    <definedName name="input_mgmt_az2_vsan_pool_end_ip">'Name &amp; IP Address Inputs - Rack'!$F$105</definedName>
    <definedName name="input_mgmt_az2_vsan_pool_start_ip">'Name &amp; IP Address Inputs - Rack'!$F$104</definedName>
    <definedName name="input_mgmt_az2_vsan_vlan">'Network Inputs - Rack'!$D$39</definedName>
    <definedName name="input_mgmt_ceip_status">'SDDC Inputs - Common'!$D$74</definedName>
    <definedName name="input_mgmt_cl01_az1_mgmt_pg">'SDDC Inputs - Common'!$D$87</definedName>
    <definedName name="input_mgmt_cl01_az1_mgmt_vm_pg">'SDDC Inputs - Common'!$D$86</definedName>
    <definedName name="input_mgmt_cl01_az1_uplink01_pg">'SDDC Inputs - Common'!$D$90</definedName>
    <definedName name="input_mgmt_cl01_az1_uplink02_pg">'SDDC Inputs - Common'!$D$91</definedName>
    <definedName name="input_mgmt_cl01_az1_vmotion_pg">'SDDC Inputs - Common'!$D$88</definedName>
    <definedName name="input_mgmt_cl01_az1_vsan_pg">'SDDC Inputs - Common'!$D$89</definedName>
    <definedName name="input_mgmt_cl01_cluster">'SDDC Inputs - Common'!$D$124</definedName>
    <definedName name="input_mgmt_cl01_cluster_sddc_id">'SDDC Inputs - Common'!$D$182</definedName>
    <definedName name="input_mgmt_cl01_evc_mode">'SDDC Inputs - Common'!$D$125</definedName>
    <definedName name="input_mgmt_cl01_vds_profile">'SDDC Inputs - Common'!$D$82</definedName>
    <definedName name="input_mgmt_cl01_vds01_mtu">'SDDC Inputs - Common'!$D$81</definedName>
    <definedName name="input_mgmt_cl01_vds01_name">'SDDC Inputs - Common'!$D$79</definedName>
    <definedName name="input_mgmt_cl01_vds01_pnics">'SDDC Inputs - Common'!$D$80</definedName>
    <definedName name="input_mgmt_cl01_vds02_mtu">'SDDC Inputs - Common'!$D$85</definedName>
    <definedName name="input_mgmt_cl01_vds02_name">'SDDC Inputs - Common'!$D$83</definedName>
    <definedName name="input_mgmt_cl01_vds02_pnics">'SDDC Inputs - Common'!$D$84</definedName>
    <definedName name="input_mgmt_cl01_vsan_datastore">'SDDC Inputs - Common'!$D$116</definedName>
    <definedName name="input_mgmt_cl01_vsan_dedupe_compression">'SDDC Inputs - Common'!$D$118</definedName>
    <definedName name="input_mgmt_cl01_vsan_ftt">'SDDC Inputs - Common'!$D$117</definedName>
    <definedName name="input_mgmt_cl01_vss_switch">'SDDC Inputs - Common'!$D$78</definedName>
    <definedName name="input_mgmt_datacenter">'SDDC Inputs - Common'!$D$121</definedName>
    <definedName name="input_mgmt_ec_name">'SDDC Inputs - Common'!$D$92</definedName>
    <definedName name="input_mgmt_ec_profile_type">'SDDC Inputs - Common'!$D$93</definedName>
    <definedName name="input_mgmt_en_asn">'Network Inputs - Rack'!$D$26</definedName>
    <definedName name="input_mgmt_existing_active_nsx_gm">'SDDC Inputs - Common'!$D$108</definedName>
    <definedName name="input_mgmt_existing_cross_instance_t0_name">'SDDC Inputs - Common'!$D$109</definedName>
    <definedName name="input_mgmt_existing_vc_fqdn">'SDDC Inputs - Common'!$D$458</definedName>
    <definedName name="input_mgmt_fips_status">'SDDC Inputs - Common'!$D$75</definedName>
    <definedName name="input_mgmt_host1_sshfingerprint">'SDDC Inputs - Common'!$D$138</definedName>
    <definedName name="input_mgmt_host1_thumbprint">'SDDC Inputs - Common'!$D$139</definedName>
    <definedName name="input_mgmt_host2_sshfingerprint">'SDDC Inputs - Common'!$D$140</definedName>
    <definedName name="input_mgmt_host2_thumbprint">'SDDC Inputs - Common'!$D$141</definedName>
    <definedName name="input_mgmt_host3_sshfingerprint">'SDDC Inputs - Common'!$D$142</definedName>
    <definedName name="input_mgmt_host3_thumbprint">'SDDC Inputs - Common'!$D$143</definedName>
    <definedName name="input_mgmt_host4_sshfingerprint">'SDDC Inputs - Common'!$D$144</definedName>
    <definedName name="input_mgmt_host4_thumbprint">'SDDC Inputs - Common'!$D$145</definedName>
    <definedName name="input_mgmt_internet_proxy_address">'SDDC Inputs - Common'!$D$167</definedName>
    <definedName name="input_mgmt_internet_proxy_auth">'SDDC Inputs - Common'!$D$169</definedName>
    <definedName name="input_mgmt_internet_proxy_password">'SDDC Inputs - Common'!$D$53</definedName>
    <definedName name="input_mgmt_internet_proxy_port">'SDDC Inputs - Common'!$D$168</definedName>
    <definedName name="input_mgmt_internet_proxy_type">'SDDC Inputs - Common'!$D$166</definedName>
    <definedName name="input_mgmt_internet_proxy_user">'SDDC Inputs - Common'!$D$52</definedName>
    <definedName name="input_mgmt_mgmt_rp">'SDDC Inputs - Common'!$D$128</definedName>
    <definedName name="input_mgmt_nsx_rp">'SDDC Inputs - Common'!$D$129</definedName>
    <definedName name="input_mgmt_nsxt_federation_global_manager_name">'SDDC Inputs - Common'!$D$104</definedName>
    <definedName name="input_mgmt_nsxt_federation_location_name">'SDDC Inputs - Common'!$D$105</definedName>
    <definedName name="input_mgmt_nsxt_global_mgr_anti_affinity_rule_name">'SDDC Inputs - Common'!$D$102</definedName>
    <definedName name="input_mgmt_nsxt_global_mgr_certificate_id">'SDDC Inputs - Common'!$D$103</definedName>
    <definedName name="input_mgmt_nsxt_global_mgr_cluster_id">'SDDC Inputs - Common'!$D$100</definedName>
    <definedName name="input_mgmt_nsxt_global_mgr_vmca_signed_thumbprint">'SDDC Inputs - Common'!$D$101</definedName>
    <definedName name="input_mgmt_nsxt_global_mgra_hostname">'Name &amp; IP Address Inputs - VM'!$E$46</definedName>
    <definedName name="input_mgmt_nsxt_global_mgra_ip">'Name &amp; IP Address Inputs - VM'!$G$46</definedName>
    <definedName name="input_mgmt_nsxt_global_mgrb_hostname">'Name &amp; IP Address Inputs - VM'!$E$47</definedName>
    <definedName name="input_mgmt_nsxt_global_mgrb_ip">'Name &amp; IP Address Inputs - VM'!$G$47</definedName>
    <definedName name="input_mgmt_nsxt_global_mgrc_hostname">'Name &amp; IP Address Inputs - VM'!$E$48</definedName>
    <definedName name="input_mgmt_nsxt_global_mgrc_ip">'Name &amp; IP Address Inputs - VM'!$G$48</definedName>
    <definedName name="input_mgmt_nsxt_gm_fingerprint">'SDDC Inputs - Common'!$D$107</definedName>
    <definedName name="input_mgmt_nsxt_gm_hostname">'Name &amp; IP Address Inputs - VM'!$E$45</definedName>
    <definedName name="input_mgmt_nsxt_gm_ip">'Name &amp; IP Address Inputs - VM'!$G$45</definedName>
    <definedName name="input_mgmt_nsxt_hostname">'Name &amp; IP Address Inputs - VM'!$E$41</definedName>
    <definedName name="input_mgmt_nsxt_ip">'Name &amp; IP Address Inputs - VM'!$G$41</definedName>
    <definedName name="input_mgmt_nsxt_lm_fingerprint">'SDDC Inputs - Common'!$D$99</definedName>
    <definedName name="input_mgmt_nsxt_mgra_hostname">'Name &amp; IP Address Inputs - VM'!$E$42</definedName>
    <definedName name="input_mgmt_nsxt_mgra_ip">'Name &amp; IP Address Inputs - VM'!$G$42</definedName>
    <definedName name="input_mgmt_nsxt_mgrb_hostname">'Name &amp; IP Address Inputs - VM'!$E$43</definedName>
    <definedName name="input_mgmt_nsxt_mgrb_ip">'Name &amp; IP Address Inputs - VM'!$G$43</definedName>
    <definedName name="input_mgmt_nsxt_mgrc_hostname">'Name &amp; IP Address Inputs - VM'!$E$44</definedName>
    <definedName name="input_mgmt_nsxt_mgrc_ip">'Name &amp; IP Address Inputs - VM'!$G$44</definedName>
    <definedName name="input_mgmt_nsxt_xreg_t1_name">'SDDC Inputs - Common'!$D$106</definedName>
    <definedName name="input_mgmt_offline_depot_hostname">'SDDC Inputs - Common'!$D$172</definedName>
    <definedName name="input_mgmt_offline_depot_password">'SDDC Inputs - Common'!$D$51</definedName>
    <definedName name="input_mgmt_offline_depot_port">'SDDC Inputs - Common'!$D$173</definedName>
    <definedName name="input_mgmt_offline_depot_user">'SDDC Inputs - Common'!$D$50</definedName>
    <definedName name="input_mgmt_recovery_lb_creation_method">'SDDC Inputs - Common'!$D$548</definedName>
    <definedName name="input_mgmt_rtep_overlay_pool_end_ip">'Name &amp; IP Address Inputs - Rack'!$F$62</definedName>
    <definedName name="input_mgmt_rtep_overlay_pool_start_ip">'Name &amp; IP Address Inputs - Rack'!$F$61</definedName>
    <definedName name="input_mgmt_sddc_domain">'SDDC Inputs - Common'!$D$70</definedName>
    <definedName name="input_mgmt_srm_admin_email">'SDDC Inputs - Common'!$D$536</definedName>
    <definedName name="input_mgmt_srm_admin_password">'SDDC Inputs - Common'!$D$533</definedName>
    <definedName name="input_mgmt_srm_database_password">'SDDC Inputs - Common'!$D$534</definedName>
    <definedName name="input_mgmt_srm_days">'SDDC Inputs - Common'!$D$540</definedName>
    <definedName name="input_mgmt_srm_hostname">'Name &amp; IP Address Inputs - VM'!$E$140</definedName>
    <definedName name="input_mgmt_srm_instances_per_day">'SDDC Inputs - Common'!$D$539</definedName>
    <definedName name="input_mgmt_srm_ip">'Name &amp; IP Address Inputs - VM'!$G$140</definedName>
    <definedName name="input_mgmt_srm_p12_password">'SDDC Inputs - Common'!$D$537</definedName>
    <definedName name="input_mgmt_srm_recovery_cluster">'SDDC Inputs - Common'!$D$556</definedName>
    <definedName name="input_mgmt_srm_recovery_datastore">'SDDC Inputs - Common'!$D$557</definedName>
    <definedName name="input_mgmt_srm_recovery_nsx_ec_name">'SDDC Inputs - Common'!$D$555</definedName>
    <definedName name="input_mgmt_srm_recovery_nsx_location">'SDDC Inputs - Common'!$D$554</definedName>
    <definedName name="input_mgmt_srm_recovery_sddc_manager_domain">'SDDC Inputs - Common'!$D$553</definedName>
    <definedName name="input_mgmt_srm_recovery_sddc_manager_fqdn">'SDDC Inputs - Common'!$D$512</definedName>
    <definedName name="input_mgmt_srm_recovery_sddc_manager_password">'SDDC Inputs - Common'!$D$514</definedName>
    <definedName name="input_mgmt_srm_recovery_sddc_manager_username">'SDDC Inputs - Common'!$D$513</definedName>
    <definedName name="input_mgmt_srm_recovery_t1_si_ip">'Name &amp; IP Address Inputs - VM'!$G$141</definedName>
    <definedName name="input_mgmt_srm_recovery_vcenter_fqdn">'SDDC Inputs - Common'!$D$550</definedName>
    <definedName name="input_mgmt_srm_recovery_vcenter_password">'SDDC Inputs - Common'!$D$552</definedName>
    <definedName name="input_mgmt_srm_recovery_vcenter_username">'SDDC Inputs - Common'!$D$551</definedName>
    <definedName name="input_mgmt_srm_root_password">'SDDC Inputs - Common'!$D$532</definedName>
    <definedName name="input_mgmt_srm_rpo">'SDDC Inputs - Common'!$D$538</definedName>
    <definedName name="input_mgmt_srm_site_name">'SDDC Inputs - Common'!$D$535</definedName>
    <definedName name="input_mgmt_srm_sso_domain_membership">'SDDC Inputs - Common'!$D$559</definedName>
    <definedName name="input_mgmt_srm_vm_folder">'SDDC Inputs - Common'!$D$531</definedName>
    <definedName name="input_mgmt_srm_vm_size">'Management Domain Sizing Inputs'!$E$70</definedName>
    <definedName name="input_mgmt_srm_vra_pg">'SDDC Inputs - Common'!$D$545</definedName>
    <definedName name="input_mgmt_srm_vra_rp">'SDDC Inputs - Common'!$D$546</definedName>
    <definedName name="input_mgmt_srm_vrops_pg">'SDDC Inputs - Common'!$D$543</definedName>
    <definedName name="input_mgmt_srm_vrops_rp">'SDDC Inputs - Common'!$D$544</definedName>
    <definedName name="input_mgmt_srm_vrslcm_wsa_pg">'SDDC Inputs - Common'!$D$541</definedName>
    <definedName name="input_mgmt_srm_vrslcm_wsa_rp">'SDDC Inputs - Common'!$D$542</definedName>
    <definedName name="input_mgmt_tier0_name">'SDDC Inputs - Common'!$D$96</definedName>
    <definedName name="input_mgmt_tier1_name">'SDDC Inputs - Common'!$D$97</definedName>
    <definedName name="input_mgmt_user_edge_rp">'SDDC Inputs - Common'!$D$130</definedName>
    <definedName name="input_mgmt_user_vm_rp">'SDDC Inputs - Common'!$D$131</definedName>
    <definedName name="input_mgmt_vc_hostname">'Name &amp; IP Address Inputs - VM'!$E$40</definedName>
    <definedName name="input_mgmt_vc_ip">'Name &amp; IP Address Inputs - VM'!$G$40</definedName>
    <definedName name="input_mgmt_vrms_admin_email">'SDDC Inputs - Common'!$D$527</definedName>
    <definedName name="input_mgmt_vrms_admin_password">'SDDC Inputs - Common'!$D$525</definedName>
    <definedName name="input_mgmt_vrms_hostname">'Name &amp; IP Address Inputs - VM'!$E$138</definedName>
    <definedName name="input_mgmt_vrms_mgmt_ip">'Name &amp; IP Address Inputs - VM'!$G$138</definedName>
    <definedName name="input_mgmt_vrms_p12_password">'SDDC Inputs - Common'!$D$529</definedName>
    <definedName name="input_mgmt_vrms_pg">'SDDC Inputs - Common'!$D$528</definedName>
    <definedName name="input_mgmt_vrms_recovery_replication_cidr">'SDDC Inputs - Common'!$D$558</definedName>
    <definedName name="input_mgmt_vrms_root_password">'SDDC Inputs - Common'!$D$524</definedName>
    <definedName name="input_mgmt_vrms_site_name">'SDDC Inputs - Common'!$D$526</definedName>
    <definedName name="input_mgmt_vrms_vm_folder">'SDDC Inputs - Common'!$D$523</definedName>
    <definedName name="input_mgmt_vrms_vm_size">'Management Domain Sizing Inputs'!$E$69</definedName>
    <definedName name="input_mgmt_vrms_vrms_ip">'Name &amp; IP Address Inputs - VM'!$G$139</definedName>
    <definedName name="input_mgmt_witness_cluster">'SDDC Inputs - Common'!$D$187</definedName>
    <definedName name="input_mgmt_witness_hostname">'Name &amp; IP Address Inputs - VM'!$E$58</definedName>
    <definedName name="input_mgmt_witness_ip">'Name &amp; IP Address Inputs - VM'!$G$58</definedName>
    <definedName name="input_mgmt_witness_mgmt_pg">'SDDC Inputs - Common'!$D$189</definedName>
    <definedName name="input_mgmt_witness_root_password">'SDDC Inputs - Common'!$D$64</definedName>
    <definedName name="input_mgmt_witness_sddc_domain">'SDDC Inputs - Common'!$D$185</definedName>
    <definedName name="input_mgmt_witness_vm_folder">'SDDC Inputs - Common'!$D$188</definedName>
    <definedName name="input_mgmt_witness_vsan_datastore">'SDDC Inputs - Common'!$D$186</definedName>
    <definedName name="input_mgmt_witness_zone_vc_hostname">'Name &amp; IP Address Inputs - VM'!$E$57</definedName>
    <definedName name="input_mgmt_witness_zone_vc_ip">'Name &amp; IP Address Inputs - VM'!$G$57</definedName>
    <definedName name="input_mgmt_witnessaz_cidr">'Network Inputs - Rack'!$F$63</definedName>
    <definedName name="input_mgmt_witnessaz_gateway_ip">'Network Inputs - Rack'!$H$63</definedName>
    <definedName name="input_mgmt_witnessaz_mgmt_cidr">'Network Inputs - Rack'!$F$63</definedName>
    <definedName name="input_mgmt_witnessaz_mgmt_gateway_ip">'Network Inputs - Rack'!$H$63</definedName>
    <definedName name="input_mgmt_witnessaz_mgmt_mtu">'Network Inputs - Rack'!$J$63</definedName>
    <definedName name="input_mgmt_witnessaz_mgmt_vlan">'Network Inputs - Rack'!$D$63</definedName>
    <definedName name="input_mgmt_witnessaz_mtu">'Network Inputs - Rack'!$J$63</definedName>
    <definedName name="input_mgmt_witnessaz_vlan">'Network Inputs - Rack'!$D$63</definedName>
    <definedName name="input_nsxt_en_admin_password">'SDDC Inputs - Common'!$D$37</definedName>
    <definedName name="input_nsxt_en_audit_password">'SDDC Inputs - Common'!$D$38</definedName>
    <definedName name="input_nsxt_en_root_password">'SDDC Inputs - Common'!$D$36</definedName>
    <definedName name="input_nsxt_gm_admin_password">'SDDC Inputs - Common'!$D$40</definedName>
    <definedName name="input_nsxt_gm_audit_password">'SDDC Inputs - Common'!$D$41</definedName>
    <definedName name="input_nsxt_gm_root_password">'SDDC Inputs - Common'!$D$39</definedName>
    <definedName name="input_nsxt_license">'SDDC Inputs - Common'!$D$20</definedName>
    <definedName name="input_nsxt_lm_admin_password">'SDDC Inputs - Common'!$D$34</definedName>
    <definedName name="input_nsxt_lm_audit_password">'SDDC Inputs - Common'!$D$35</definedName>
    <definedName name="input_nsxt_lm_root_password">'SDDC Inputs - Common'!$D$33</definedName>
    <definedName name="input_nsxt_vsphere_role_name">'SDDC Inputs - Common'!$D$400</definedName>
    <definedName name="input_parent_ad_groups_ou">'Active Directory Inputs'!$E$10</definedName>
    <definedName name="input_parent_ad_users_ou">'Active Directory Inputs'!$G$10</definedName>
    <definedName name="input_parent_dns_zone">'Name &amp; IP Address Inputs - VM'!$D$17</definedName>
    <definedName name="input_parent_gg_wsa_admins_group">'Active Directory Inputs'!$E$63</definedName>
    <definedName name="input_parent_gg_wsa_directory_admins_group">'Active Directory Inputs'!$E$64</definedName>
    <definedName name="input_parent_gg_wsa_read_only_group">'Active Directory Inputs'!$E$65</definedName>
    <definedName name="input_quickstart_hostname">#REF!</definedName>
    <definedName name="input_quickstart_ip">#REF!</definedName>
    <definedName name="input_reg_seg01_cidr">'Network Inputs - Rack'!$F$21</definedName>
    <definedName name="input_reg_seg01_gateway_ip">'Network Inputs - Rack'!$H$21</definedName>
    <definedName name="input_reg_seg01_mtu">'Network Inputs - Rack'!$J$21</definedName>
    <definedName name="input_reg_seg01_name">'SDDC Inputs - Common'!$D$94</definedName>
    <definedName name="input_reg_seg01_vlan">'Network Inputs - Rack'!$D$21</definedName>
    <definedName name="input_region_ad_child_fqdn">'Active Directory Inputs'!$E$9</definedName>
    <definedName name="input_region_ad_child_netbios">'Active Directory Inputs'!$G$9</definedName>
    <definedName name="input_region_ad_parent_fqdn">'Active Directory Inputs'!$E$8</definedName>
    <definedName name="input_region_ad_parent_netbios">'Active Directory Inputs'!$G$8</definedName>
    <definedName name="input_region_dns1_ip">'Name &amp; IP Address Inputs - VM'!$D$20</definedName>
    <definedName name="input_region_dns2_ip">'Name &amp; IP Address Inputs - VM'!$D$21</definedName>
    <definedName name="input_region_existing_remote_vrli_host">'SDDC Inputs - Common'!$D$437</definedName>
    <definedName name="input_region_existing_remote_vrli_tag">'SDDC Inputs - Common'!$D$438</definedName>
    <definedName name="input_region_ntp1_server">'Name &amp; IP Address Inputs - VM'!$D$9</definedName>
    <definedName name="input_region_ntp2_server">'Name &amp; IP Address Inputs - VM'!$D$10</definedName>
    <definedName name="input_region_vrli_admin_email">'SDDC Inputs - Common'!$D$429</definedName>
    <definedName name="input_region_vrli_admin_password">'SDDC Inputs - Common'!$D$427</definedName>
    <definedName name="input_region_vrli_admin_password_alias">'SDDC Inputs - Common'!$D$426</definedName>
    <definedName name="input_region_vrli_appliance_size">'Management Domain Sizing Inputs'!$E$59</definedName>
    <definedName name="input_region_vrli_datastore_size">'SDDC Inputs - Common'!$D$434</definedName>
    <definedName name="input_region_vrli_email_notification_target">'SDDC Inputs - Common'!$D$431</definedName>
    <definedName name="input_region_vrli_log_retention_notification">'SDDC Inputs - Common'!$D$430</definedName>
    <definedName name="input_region_vrli_log_retention_period">'SDDC Inputs - Common'!$D$435</definedName>
    <definedName name="input_region_vrli_nfs_server">'SDDC Inputs - Common'!$D$432</definedName>
    <definedName name="input_region_vrli_nfs_share">'SDDC Inputs - Common'!$D$433</definedName>
    <definedName name="input_region_vrli_nodea_hostname">'Name &amp; IP Address Inputs - VM'!$E$102</definedName>
    <definedName name="input_region_vrli_nodea_ip">'Name &amp; IP Address Inputs - VM'!$G$102</definedName>
    <definedName name="input_region_vrli_nodeb_hostname">'Name &amp; IP Address Inputs - VM'!$E$103</definedName>
    <definedName name="input_region_vrli_nodeb_ip">'Name &amp; IP Address Inputs - VM'!$G$103</definedName>
    <definedName name="input_region_vrli_nodec_hostname">'Name &amp; IP Address Inputs - VM'!$E$104</definedName>
    <definedName name="input_region_vrli_nodec_ip">'Name &amp; IP Address Inputs - VM'!$G$104</definedName>
    <definedName name="input_region_vrli_tag">'SDDC Inputs - Common'!$D$436</definedName>
    <definedName name="input_region_vrli_virtual_hostname">'Name &amp; IP Address Inputs - VM'!$E$101</definedName>
    <definedName name="input_region_vrli_virtual_ip">'Name &amp; IP Address Inputs - VM'!$G$101</definedName>
    <definedName name="input_region_vrni_collector_node_size">'Management Domain Sizing Inputs'!$E$65</definedName>
    <definedName name="input_region_vrni_nodea_hostname">'Name &amp; IP Address Inputs - VM'!$E$118</definedName>
    <definedName name="input_region_vrni_nodea_ip">'Name &amp; IP Address Inputs - VM'!$G$118</definedName>
    <definedName name="input_region_vrops_existing_rca_fqdn">'SDDC Inputs - Common'!$D$467</definedName>
    <definedName name="input_region_vrops_existing_rca_hostname">'SDDC Inputs - Common'!$D$466</definedName>
    <definedName name="input_region_vrops_existing_rcb_fqdn">'SDDC Inputs - Common'!$D$469</definedName>
    <definedName name="input_region_vrops_existing_rcb_hostname">'SDDC Inputs - Common'!$D$468</definedName>
    <definedName name="input_region_vropsca_hostname">'Name &amp; IP Address Inputs - VM'!$E$112</definedName>
    <definedName name="input_region_vropsca_ip">'Name &amp; IP Address Inputs - VM'!$G$112</definedName>
    <definedName name="input_region_vropscb_hostname">'Name &amp; IP Address Inputs - VM'!$E$113</definedName>
    <definedName name="input_region_vropscb_ip">'Name &amp; IP Address Inputs - VM'!$G$113</definedName>
    <definedName name="input_sddc_mgr_admin_local_password">'SDDC Inputs - Common'!$D$45</definedName>
    <definedName name="input_sddc_mgr_hostname">'Name &amp; IP Address Inputs - VM'!$E$39</definedName>
    <definedName name="input_sddc_mgr_ip">'Name &amp; IP Address Inputs - VM'!$G$39</definedName>
    <definedName name="input_sddc_mgr_root_password">'SDDC Inputs - Common'!$D$43</definedName>
    <definedName name="input_sddc_mgr_vcf_password">'SDDC Inputs - Common'!$D$44</definedName>
    <definedName name="input_sftp_server">'Name &amp; IP Address Inputs - VM'!$D$31</definedName>
    <definedName name="input_sftp_server_backup_dir">'SDDC Inputs - Common'!$D$161</definedName>
    <definedName name="input_sftp_server_passphrase">'SDDC Inputs - Common'!$D$163</definedName>
    <definedName name="input_sftp_server_port">'SDDC Inputs - Common'!$D$159</definedName>
    <definedName name="input_sftp_server_protocol">'SDDC Inputs - Common'!$D$160</definedName>
    <definedName name="input_sftp_server_sshfingerprint">'SDDC Inputs - Common'!$D$162</definedName>
    <definedName name="input_smtp_sender_password">'SDDC Inputs - Common'!$D$62</definedName>
    <definedName name="input_smtp_sender_username">'SDDC Inputs - Common'!$D$61</definedName>
    <definedName name="input_smtp_server">'Name &amp; IP Address Inputs - VM'!$D$32</definedName>
    <definedName name="input_smtp_server_port">'Name &amp; IP Address Inputs - VM'!$D$33</definedName>
    <definedName name="input_srm_license">'SDDC Inputs - Common'!$D$23</definedName>
    <definedName name="input_svc_cbr_vcdr_vsphere_password">'SDDC Inputs - Common'!$D$601</definedName>
    <definedName name="input_svc_cbr_vcdr_vsphere_user">'SDDC Inputs - Common'!$D$600</definedName>
    <definedName name="input_svc_ccm_hcx_nsx_password">'Active Directory Inputs'!$G$53</definedName>
    <definedName name="input_svc_ccm_hcx_nsx_user">'Active Directory Inputs'!$E$53</definedName>
    <definedName name="input_svc_ccm_hcx_vsphere_password">'Active Directory Inputs'!$G$52</definedName>
    <definedName name="input_svc_ccm_hcx_vsphere_user">'Active Directory Inputs'!$E$52</definedName>
    <definedName name="input_svc_hrm_vcf_password">'Active Directory Inputs'!$G$48</definedName>
    <definedName name="input_svc_hrm_vcf_user">'Active Directory Inputs'!$E$48</definedName>
    <definedName name="input_svc_hrm_vrops_password">'Active Directory Inputs'!$G$49</definedName>
    <definedName name="input_svc_hrm_vrops_user">'Active Directory Inputs'!$E$49</definedName>
    <definedName name="input_svc_ila_ad_password">'Active Directory Inputs'!$G$28</definedName>
    <definedName name="input_svc_ila_ad_user">'Active Directory Inputs'!$E$28</definedName>
    <definedName name="input_svc_inv_ad_password">'Active Directory Inputs'!$G$36</definedName>
    <definedName name="input_svc_inv_ad_user">'Active Directory Inputs'!$E$36</definedName>
    <definedName name="input_svc_inv_vrops_password">'Active Directory Inputs'!$G$38</definedName>
    <definedName name="input_svc_inv_vrops_user">'Active Directory Inputs'!$E$38</definedName>
    <definedName name="input_svc_inv_vsphere_password">'Active Directory Inputs'!$G$37</definedName>
    <definedName name="input_svc_inv_vsphere_user">'Active Directory Inputs'!$E$37</definedName>
    <definedName name="input_svc_iom_vcf_password">'Active Directory Inputs'!$G$31</definedName>
    <definedName name="input_svc_iom_vcf_user">'Active Directory Inputs'!$E$31</definedName>
    <definedName name="input_svc_iom_vsphere_password">'Active Directory Inputs'!$G$32</definedName>
    <definedName name="input_svc_iom_vsphere_user">'Active Directory Inputs'!$E$32</definedName>
    <definedName name="input_svc_my_vmware_logon">'SDDC Inputs - Common'!$D$46</definedName>
    <definedName name="input_svc_my_vmware_password">'SDDC Inputs - Common'!$D$47</definedName>
    <definedName name="input_svc_vcf_bck_password">'SDDC Inputs - Common'!$D$56</definedName>
    <definedName name="input_svc_vcf_bck_user">'SDDC Inputs - Common'!$D$55</definedName>
    <definedName name="input_svc_vcf_ca_vcf_user">'SDDC Inputs - Common'!$D$71</definedName>
    <definedName name="input_svc_vcf_ca_vvd_password">'Active Directory Inputs'!$G$16</definedName>
    <definedName name="input_svc_vcf_ca_vvd_user">'Active Directory Inputs'!$E$16</definedName>
    <definedName name="input_svc_vra_nsx_password">'Active Directory Inputs'!$G$42</definedName>
    <definedName name="input_svc_vra_nsx_user">'Active Directory Inputs'!$E$42</definedName>
    <definedName name="input_svc_vra_vcf_password">'Active Directory Inputs'!$G$43</definedName>
    <definedName name="input_svc_vra_vcf_user">'Active Directory Inputs'!$E$43</definedName>
    <definedName name="input_svc_vra_vrops_password">'Active Directory Inputs'!$G$45</definedName>
    <definedName name="input_svc_vra_vrops_user">'Active Directory Inputs'!$E$45</definedName>
    <definedName name="input_svc_vra_vsphere_password">'Active Directory Inputs'!$G$41</definedName>
    <definedName name="input_svc_vra_vsphere_user">'Active Directory Inputs'!$E$41</definedName>
    <definedName name="input_svc_vro_vsphere_password">'Active Directory Inputs'!$G$44</definedName>
    <definedName name="input_svc_vro_vsphere_user">'Active Directory Inputs'!$E$44</definedName>
    <definedName name="input_svc_vrops_vra_password">'Active Directory Inputs'!$G$33</definedName>
    <definedName name="input_svc_vrops_vra_user">'Active Directory Inputs'!$E$33</definedName>
    <definedName name="input_vc_license">'SDDC Inputs - Common'!$D$17</definedName>
    <definedName name="input_vcenter_root_password">'SDDC Inputs - Common'!$D$31</definedName>
    <definedName name="input_vcfadmin_local_password">'SDDC Inputs - Common'!$D$365</definedName>
    <definedName name="input_vlcm_image_cluster_moref">'SDDC Inputs - Common'!$D$196</definedName>
    <definedName name="input_vlcm_image_cluster_name">'SDDC Inputs - Common'!$D$195</definedName>
    <definedName name="input_vlcm_image_name">'SDDC Inputs - Common'!$D$197</definedName>
    <definedName name="input_vlcm_image_vc_hostname">'SDDC Inputs - Common'!$D$194</definedName>
    <definedName name="input_vra_license">'SDDC Inputs - Common'!$D$490</definedName>
    <definedName name="input_vra_license_alias">'SDDC Inputs - Common'!$D$489</definedName>
    <definedName name="input_vra_sddc_mgr_integration_name">'SDDC Inputs - Common'!$D$496</definedName>
    <definedName name="input_vrli_license">'SDDC Inputs - Common'!$D$425</definedName>
    <definedName name="input_vrli_license_alias">'SDDC Inputs - Common'!$D$424</definedName>
    <definedName name="input_vrni_license">'SDDC Inputs - Common'!$D$474</definedName>
    <definedName name="input_vrni_license_alias">'SDDC Inputs - Common'!$D$473</definedName>
    <definedName name="input_vrops_license">'SDDC Inputs - Common'!$D$444</definedName>
    <definedName name="input_vrops_license_alias">'SDDC Inputs - Common'!$D$443</definedName>
    <definedName name="input_vrs_license">'SDDC Inputs - Common'!$D$22</definedName>
    <definedName name="input_vrs_t1_lb_si_ip">'Name &amp; IP Address Inputs - VM'!$G$86</definedName>
    <definedName name="input_vrs_t1_lb_si_name">'Name &amp; IP Address Inputs - VM'!$E$86</definedName>
    <definedName name="input_vrslcm_bespoke_svc_vrslcm_vsphere_password">'SDDC Inputs - Common'!$D$375</definedName>
    <definedName name="input_vrslcm_reg_dc">'SDDC Inputs - Common'!$D$368</definedName>
    <definedName name="input_vrslcm_reg_env">'SDDC Inputs - Common'!$D$428</definedName>
    <definedName name="input_vrslcm_root_password">'SDDC Inputs - Common'!$D$366</definedName>
    <definedName name="input_vrslcm_xreg_admin_username">'SDDC Inputs - Common'!$D$374</definedName>
    <definedName name="input_vrslcm_xreg_dc">'SDDC Inputs - Common'!$D$370</definedName>
    <definedName name="input_vrslcm_xreg_env">'SDDC Inputs - Common'!$D$369</definedName>
    <definedName name="input_vrslcm_xreg_env_password">'SDDC Inputs - Common'!$D$373</definedName>
    <definedName name="input_vrslcm_xreg_env_password_alias">'SDDC Inputs - Common'!$D$372</definedName>
    <definedName name="input_vrslcm_xreg_location">'SDDC Inputs - Common'!$D$371</definedName>
    <definedName name="input_vrslcm_xreg_vm_folder">'SDDC Inputs - Common'!$D$367</definedName>
    <definedName name="input_vsan_license">'SDDC Inputs - Common'!$D$19</definedName>
    <definedName name="input_witness_dns_zone">'Name &amp; IP Address Inputs - VM'!$D$19</definedName>
    <definedName name="input_witness_dns1_ip">'Name &amp; IP Address Inputs - VM'!$D$24</definedName>
    <definedName name="input_witness_dns2_ip">'Name &amp; IP Address Inputs - VM'!$D$25</definedName>
    <definedName name="input_witness_ntp1_server">'Name &amp; IP Address Inputs - VM'!$D$13</definedName>
    <definedName name="input_witness_ntp2_server">'Name &amp; IP Address Inputs - VM'!$D$14</definedName>
    <definedName name="input_wld_avilb_cluster_name">'SDDC Inputs - Common'!$D$258</definedName>
    <definedName name="input_wld_avilb_cluster_version">'SDDC Inputs - Common'!$D$259</definedName>
    <definedName name="input_wld_avilb_hostname">'Name &amp; IP Address Inputs - VM'!$E$72</definedName>
    <definedName name="input_wld_avilb_ip">'Name &amp; IP Address Inputs - VM'!$G$72</definedName>
    <definedName name="input_wld_avilb_mgra_hostname">'Name &amp; IP Address Inputs - VM'!$E$73</definedName>
    <definedName name="input_wld_avilb_mgra_ip">'Name &amp; IP Address Inputs - VM'!$G$73</definedName>
    <definedName name="input_wld_avilb_mgrb_hostname">'Name &amp; IP Address Inputs - VM'!$E$74</definedName>
    <definedName name="input_wld_avilb_mgrb_ip">'Name &amp; IP Address Inputs - VM'!$G$74</definedName>
    <definedName name="input_wld_avilb_mgrc_hostname">'Name &amp; IP Address Inputs - VM'!$E$75</definedName>
    <definedName name="input_wld_avilb_mgrc_ip">'Name &amp; IP Address Inputs - VM'!$G$75</definedName>
    <definedName name="input_wld_az1_child_dns_zone">'Name &amp; IP Address Inputs - Rack'!$E$111</definedName>
    <definedName name="input_wld_az1_edge_overlay_cidr">'Network Inputs - Rack'!$F$77</definedName>
    <definedName name="input_wld_az1_edge_overlay_gateway_ip">'Network Inputs - Rack'!$H$77</definedName>
    <definedName name="input_wld_az1_edge_overlay_mtu">'Network Inputs - Rack'!$J$77</definedName>
    <definedName name="input_wld_az1_edge_overlay_network_pool_name">'SDDC Inputs - Rack'!$D$68</definedName>
    <definedName name="input_wld_az1_edge_overlay_pool_end_ip">'Name &amp; IP Address Inputs - Rack'!$F$169</definedName>
    <definedName name="input_wld_az1_edge_overlay_pool_start_ip">'Name &amp; IP Address Inputs - Rack'!$F$168</definedName>
    <definedName name="input_wld_az1_edge_overlay_vlan">'Network Inputs - Rack'!$D$77</definedName>
    <definedName name="input_wld_az1_en1_edge_overlay_interface_ip_1_ip">'Name &amp; IP Address Inputs - Rack'!$F$151</definedName>
    <definedName name="input_wld_az1_en1_edge_overlay_interface_ip_2_ip">'Name &amp; IP Address Inputs - Rack'!$F$152</definedName>
    <definedName name="input_wld_az1_en1_hostname">'Name &amp; IP Address Inputs - Rack'!$D$148</definedName>
    <definedName name="input_wld_az1_en1_mgmt_ip">'Name &amp; IP Address Inputs - Rack'!$F$148</definedName>
    <definedName name="input_wld_az1_en1_uplink01_interface_ip">'Name &amp; IP Address Inputs - Rack'!$F$149</definedName>
    <definedName name="input_wld_az1_en1_uplink02_interface_ip">'Name &amp; IP Address Inputs - Rack'!$F$150</definedName>
    <definedName name="input_wld_az1_en2_edge_overlay_interface_ip_1_ip">'Name &amp; IP Address Inputs - Rack'!$F$156</definedName>
    <definedName name="input_wld_az1_en2_edge_overlay_interface_ip_2_ip">'Name &amp; IP Address Inputs - Rack'!$F$157</definedName>
    <definedName name="input_wld_az1_en2_hostname">'Name &amp; IP Address Inputs - Rack'!$D$153</definedName>
    <definedName name="input_wld_az1_en2_mgmt_ip">'Name &amp; IP Address Inputs - Rack'!$F$153</definedName>
    <definedName name="input_wld_az1_en2_uplink01_interface_ip">'Name &amp; IP Address Inputs - Rack'!$F$154</definedName>
    <definedName name="input_wld_az1_en2_uplink02_interface_ip">'Name &amp; IP Address Inputs - Rack'!$F$155</definedName>
    <definedName name="input_wld_az1_host_functions">'Value Reference Tables - MR'!$F$215:$F$230</definedName>
    <definedName name="input_wld_az1_host_overlay_cidr">'Network Inputs - Rack'!$F$72</definedName>
    <definedName name="input_wld_az1_host_overlay_gateway_ip">'Network Inputs - Rack'!$H$72</definedName>
    <definedName name="input_wld_az1_host_overlay_mtu">'Network Inputs - Rack'!$J$72</definedName>
    <definedName name="input_wld_az1_host_overlay_network_pool_name">'SDDC Inputs - Rack'!$D$66</definedName>
    <definedName name="input_wld_az1_host_overlay_network_profile_name">'SDDC Inputs - Rack'!$D$65</definedName>
    <definedName name="input_wld_az1_host_overlay_pool_end_ip">'Name &amp; IP Address Inputs - Rack'!$F$165</definedName>
    <definedName name="input_wld_az1_host_overlay_pool_start_ip">'Name &amp; IP Address Inputs - Rack'!$F$164</definedName>
    <definedName name="input_wld_az1_host_overlay_uplink_profile_name">'SDDC Inputs - Rack'!$D$67</definedName>
    <definedName name="input_wld_az1_host_overlay_vlan">'Network Inputs - Rack'!$D$72</definedName>
    <definedName name="input_wld_az1_host1_function">'SDDC Inputs - Rack'!$D$75</definedName>
    <definedName name="input_wld_az1_host1_hostname">'Name &amp; IP Address Inputs - Rack'!$D$114</definedName>
    <definedName name="input_wld_az1_host1_mgmt_ip">'Name &amp; IP Address Inputs - Rack'!$F$114</definedName>
    <definedName name="input_wld_az1_host1_sddc_id">'SDDC Inputs - Common'!$D$204</definedName>
    <definedName name="input_wld_az1_host1_vrms_ip">'Name &amp; IP Address Inputs - Rack'!$F$131</definedName>
    <definedName name="input_wld_az1_host10_function">'SDDC Inputs - Rack'!$D$84</definedName>
    <definedName name="input_wld_az1_host10_hostname">'Name &amp; IP Address Inputs - Rack'!$D$123</definedName>
    <definedName name="input_wld_az1_host10_mgmt_ip">'Name &amp; IP Address Inputs - Rack'!$F$123</definedName>
    <definedName name="input_wld_az1_host10_vrms_ip">'Name &amp; IP Address Inputs - Rack'!$F$140</definedName>
    <definedName name="input_wld_az1_host11_function">'SDDC Inputs - Rack'!$D$85</definedName>
    <definedName name="input_wld_az1_host11_hostname">'Name &amp; IP Address Inputs - Rack'!$D$124</definedName>
    <definedName name="input_wld_az1_host11_mgmt_ip">'Name &amp; IP Address Inputs - Rack'!$F$124</definedName>
    <definedName name="input_wld_az1_host11_vrms_ip">'Name &amp; IP Address Inputs - Rack'!$F$141</definedName>
    <definedName name="input_wld_az1_host12_function">'SDDC Inputs - Rack'!$D$86</definedName>
    <definedName name="input_wld_az1_host12_hostname">'Name &amp; IP Address Inputs - Rack'!$D$125</definedName>
    <definedName name="input_wld_az1_host12_mgmt_ip">'Name &amp; IP Address Inputs - Rack'!$F$125</definedName>
    <definedName name="input_wld_az1_host12_vrms_ip">'Name &amp; IP Address Inputs - Rack'!$F$142</definedName>
    <definedName name="input_wld_az1_host13_function">'SDDC Inputs - Rack'!$D$87</definedName>
    <definedName name="input_wld_az1_host13_hostname">'Name &amp; IP Address Inputs - Rack'!$D$126</definedName>
    <definedName name="input_wld_az1_host13_mgmt_ip">'Name &amp; IP Address Inputs - Rack'!$F$126</definedName>
    <definedName name="input_wld_az1_host13_vrms_ip">'Name &amp; IP Address Inputs - Rack'!$F$143</definedName>
    <definedName name="input_wld_az1_host14_function">'SDDC Inputs - Rack'!$D$88</definedName>
    <definedName name="input_wld_az1_host14_hostname">'Name &amp; IP Address Inputs - Rack'!$D$127</definedName>
    <definedName name="input_wld_az1_host14_mgmt_ip">'Name &amp; IP Address Inputs - Rack'!$F$127</definedName>
    <definedName name="input_wld_az1_host14_vrms_ip">'Name &amp; IP Address Inputs - Rack'!$F$144</definedName>
    <definedName name="input_wld_az1_host15_function">'SDDC Inputs - Rack'!$D$89</definedName>
    <definedName name="input_wld_az1_host15_hostname">'Name &amp; IP Address Inputs - Rack'!$D$128</definedName>
    <definedName name="input_wld_az1_host15_mgmt_ip">'Name &amp; IP Address Inputs - Rack'!$F$128</definedName>
    <definedName name="input_wld_az1_host15_vrms_ip">'Name &amp; IP Address Inputs - Rack'!$F$145</definedName>
    <definedName name="input_wld_az1_host16_function">'SDDC Inputs - Rack'!$D$90</definedName>
    <definedName name="input_wld_az1_host16_hostname">'Name &amp; IP Address Inputs - Rack'!$D$129</definedName>
    <definedName name="input_wld_az1_host16_mgmt_ip">'Name &amp; IP Address Inputs - Rack'!$F$129</definedName>
    <definedName name="input_wld_az1_host16_vrms_ip">'Name &amp; IP Address Inputs - Rack'!$F$146</definedName>
    <definedName name="input_wld_az1_host2_function">'SDDC Inputs - Rack'!$D$76</definedName>
    <definedName name="input_wld_az1_host2_hostname">'Name &amp; IP Address Inputs - Rack'!$D$115</definedName>
    <definedName name="input_wld_az1_host2_mgmt_ip">'Name &amp; IP Address Inputs - Rack'!$F$115</definedName>
    <definedName name="input_wld_az1_host2_sddc_id">'SDDC Inputs - Common'!$D$205</definedName>
    <definedName name="input_wld_az1_host2_vrms_ip">'Name &amp; IP Address Inputs - Rack'!$F$132</definedName>
    <definedName name="input_wld_az1_host3_function">'SDDC Inputs - Rack'!$D$77</definedName>
    <definedName name="input_wld_az1_host3_hostname">'Name &amp; IP Address Inputs - Rack'!$D$116</definedName>
    <definedName name="input_wld_az1_host3_mgmt_ip">'Name &amp; IP Address Inputs - Rack'!$F$116</definedName>
    <definedName name="input_wld_az1_host3_sddc_id">'SDDC Inputs - Common'!$D$206</definedName>
    <definedName name="input_wld_az1_host3_vrms_ip">'Name &amp; IP Address Inputs - Rack'!$F$133</definedName>
    <definedName name="input_wld_az1_host4_function">'SDDC Inputs - Rack'!$D$78</definedName>
    <definedName name="input_wld_az1_host4_hostname">'Name &amp; IP Address Inputs - Rack'!$D$117</definedName>
    <definedName name="input_wld_az1_host4_mgmt_ip">'Name &amp; IP Address Inputs - Rack'!$F$117</definedName>
    <definedName name="input_wld_az1_host4_sddc_id">'SDDC Inputs - Common'!$D$207</definedName>
    <definedName name="input_wld_az1_host4_vrms_ip">'Name &amp; IP Address Inputs - Rack'!$F$134</definedName>
    <definedName name="input_wld_az1_host5_function">'SDDC Inputs - Rack'!$D$79</definedName>
    <definedName name="input_wld_az1_host5_hostname">'Name &amp; IP Address Inputs - Rack'!$D$118</definedName>
    <definedName name="input_wld_az1_host5_mgmt_ip">'Name &amp; IP Address Inputs - Rack'!$F$118</definedName>
    <definedName name="input_wld_az1_host5_vrms_ip">'Name &amp; IP Address Inputs - Rack'!$F$135</definedName>
    <definedName name="input_wld_az1_host6_function">'SDDC Inputs - Rack'!$D$80</definedName>
    <definedName name="input_wld_az1_host6_hostname">'Name &amp; IP Address Inputs - Rack'!$D$119</definedName>
    <definedName name="input_wld_az1_host6_mgmt_ip">'Name &amp; IP Address Inputs - Rack'!$F$119</definedName>
    <definedName name="input_wld_az1_host6_vrms_ip">'Name &amp; IP Address Inputs - Rack'!$F$136</definedName>
    <definedName name="input_wld_az1_host7_function">'SDDC Inputs - Rack'!$D$81</definedName>
    <definedName name="input_wld_az1_host7_hostname">'Name &amp; IP Address Inputs - Rack'!$D$120</definedName>
    <definedName name="input_wld_az1_host7_mgmt_ip">'Name &amp; IP Address Inputs - Rack'!$F$120</definedName>
    <definedName name="input_wld_az1_host7_vrms_ip">'Name &amp; IP Address Inputs - Rack'!$F$137</definedName>
    <definedName name="input_wld_az1_host8_function">'SDDC Inputs - Rack'!$D$82</definedName>
    <definedName name="input_wld_az1_host8_hostname">'Name &amp; IP Address Inputs - Rack'!$D$121</definedName>
    <definedName name="input_wld_az1_host8_mgmt_ip">'Name &amp; IP Address Inputs - Rack'!$F$121</definedName>
    <definedName name="input_wld_az1_host8_vrms_ip">'Name &amp; IP Address Inputs - Rack'!$F$138</definedName>
    <definedName name="input_wld_az1_host9_function">'SDDC Inputs - Rack'!$D$83</definedName>
    <definedName name="input_wld_az1_host9_hostname">'Name &amp; IP Address Inputs - Rack'!$D$122</definedName>
    <definedName name="input_wld_az1_host9_mgmt_ip">'Name &amp; IP Address Inputs - Rack'!$F$122</definedName>
    <definedName name="input_wld_az1_host9_vrms_ip">'Name &amp; IP Address Inputs - Rack'!$F$139</definedName>
    <definedName name="input_wld_az1_mgmt_cidr">'Network Inputs - Rack'!$F$69</definedName>
    <definedName name="input_wld_az1_mgmt_gateway_ip">'Network Inputs - Rack'!$H$69</definedName>
    <definedName name="input_wld_az1_mgmt_mtu">'Network Inputs - Rack'!$J$69</definedName>
    <definedName name="input_wld_az1_mgmt_vlan">'Network Inputs - Rack'!$D$69</definedName>
    <definedName name="input_wld_az1_mgmt_vm_cidr">'Network Inputs - Rack'!$F$68</definedName>
    <definedName name="input_wld_az1_mgmt_vm_gateway_ip">'Network Inputs - Rack'!$H$68</definedName>
    <definedName name="input_wld_az1_mgmt_vm_mtu">'Network Inputs - Rack'!$J$68</definedName>
    <definedName name="input_wld_az1_mgmt_vm_vlan">'Network Inputs - Rack'!$D$68</definedName>
    <definedName name="input_wld_az1_pool_name">'SDDC Inputs - Rack'!$D$64</definedName>
    <definedName name="input_wld_az1_principal_storage_cidr">'Network Inputs - Rack'!$F$71</definedName>
    <definedName name="input_wld_az1_principal_storage_gateway_ip">'Network Inputs - Rack'!$H$71</definedName>
    <definedName name="input_wld_az1_principal_storage_mtu">'Network Inputs - Rack'!$J$71</definedName>
    <definedName name="input_wld_az1_principal_storage_pool_end_ip">'Name &amp; IP Address Inputs - Rack'!$F$163</definedName>
    <definedName name="input_wld_az1_principal_storage_pool_start_ip">'Name &amp; IP Address Inputs - Rack'!$F$162</definedName>
    <definedName name="input_wld_az1_principal_storage_vlan">'Network Inputs - Rack'!$D$71</definedName>
    <definedName name="input_wld_az1_rack2_child_dns_zone">'Name &amp; IP Address Inputs - Rack'!$E$222</definedName>
    <definedName name="input_wld_az1_rack2_edge_overlay_cidr">'Network Inputs - Rack'!$F$130</definedName>
    <definedName name="input_wld_az1_rack2_edge_overlay_gateway_ip">'Network Inputs - Rack'!$H$130</definedName>
    <definedName name="input_wld_az1_rack2_edge_overlay_mtu">'Network Inputs - Rack'!$J$130</definedName>
    <definedName name="input_wld_az1_rack2_edge_overlay_network_pool_name">'SDDC Inputs - Rack'!$D$127</definedName>
    <definedName name="input_wld_az1_rack2_edge_overlay_pool_end_ip">'Name &amp; IP Address Inputs - Rack'!$F$276</definedName>
    <definedName name="input_wld_az1_rack2_edge_overlay_pool_start_ip">'Name &amp; IP Address Inputs - Rack'!$F$275</definedName>
    <definedName name="input_wld_az1_rack2_edge_overlay_vlan">'Network Inputs - Rack'!$D$130</definedName>
    <definedName name="input_wld_az1_rack2_en1_hostname">'Name &amp; IP Address Inputs - Rack'!$D$259</definedName>
    <definedName name="input_wld_az1_rack2_en1_mgmt_ip">'Name &amp; IP Address Inputs - Rack'!$F$259</definedName>
    <definedName name="input_wld_az1_rack2_en1_uplink01_interface_ip">'Name &amp; IP Address Inputs - Rack'!$F$260</definedName>
    <definedName name="input_wld_az1_rack2_en1_uplink02_interface_ip">'Name &amp; IP Address Inputs - Rack'!$F$261</definedName>
    <definedName name="input_wld_az1_rack2_en2_hostname">'Name &amp; IP Address Inputs - Rack'!$D$262</definedName>
    <definedName name="input_wld_az1_rack2_en2_mgmt_ip">'Name &amp; IP Address Inputs - Rack'!$F$262</definedName>
    <definedName name="input_wld_az1_rack2_en2_uplink01_interface_ip">'Name &amp; IP Address Inputs - Rack'!$F$263</definedName>
    <definedName name="input_wld_az1_rack2_en2_uplink02_interface_ip">'Name &amp; IP Address Inputs - Rack'!$F$264</definedName>
    <definedName name="input_wld_az1_rack2_host_functions">'Value Reference Tables - MR'!$I$215:$I$230</definedName>
    <definedName name="input_wld_az1_rack2_host_overlay_cidr">'Network Inputs - Rack'!$F$125</definedName>
    <definedName name="input_wld_az1_rack2_host_overlay_gateway_ip">'Network Inputs - Rack'!$H$125</definedName>
    <definedName name="input_wld_az1_rack2_host_overlay_mtu">'Network Inputs - Rack'!$J$125</definedName>
    <definedName name="input_wld_az1_rack2_host_overlay_network_pool_name">'SDDC Inputs - Rack'!$D$125</definedName>
    <definedName name="input_wld_az1_rack2_host_overlay_network_profile_name">'SDDC Inputs - Rack'!$D$124</definedName>
    <definedName name="input_wld_az1_rack2_host_overlay_pool_end_ip">'Name &amp; IP Address Inputs - Rack'!$F$272</definedName>
    <definedName name="input_wld_az1_rack2_host_overlay_pool_start_ip">'Name &amp; IP Address Inputs - Rack'!$F$271</definedName>
    <definedName name="input_wld_az1_rack2_host_overlay_uplink_profile_name">'SDDC Inputs - Rack'!$D$126</definedName>
    <definedName name="input_wld_az1_rack2_host_overlay_vlan">'Network Inputs - Rack'!$D$125</definedName>
    <definedName name="input_wld_az1_rack2_host1_function">'SDDC Inputs - Rack'!$D$134</definedName>
    <definedName name="input_wld_az1_rack2_host1_hostname">'Name &amp; IP Address Inputs - Rack'!$D$225</definedName>
    <definedName name="input_wld_az1_rack2_host1_mgmt_ip">'Name &amp; IP Address Inputs - Rack'!$F$225</definedName>
    <definedName name="input_wld_az1_rack2_host1_vrms_ip">'Name &amp; IP Address Inputs - Rack'!$F$242</definedName>
    <definedName name="input_wld_az1_rack2_host10_function">'SDDC Inputs - Rack'!$D$143</definedName>
    <definedName name="input_wld_az1_rack2_host10_hostname">'Name &amp; IP Address Inputs - Rack'!$D$234</definedName>
    <definedName name="input_wld_az1_rack2_host10_mgmt_ip">'Name &amp; IP Address Inputs - Rack'!$F$234</definedName>
    <definedName name="input_wld_az1_rack2_host10_vrms_ip">'Name &amp; IP Address Inputs - Rack'!$F$251</definedName>
    <definedName name="input_wld_az1_rack2_host11_function">'SDDC Inputs - Rack'!$D$144</definedName>
    <definedName name="input_wld_az1_rack2_host11_hostname">'Name &amp; IP Address Inputs - Rack'!$D$235</definedName>
    <definedName name="input_wld_az1_rack2_host11_mgmt_ip">'Name &amp; IP Address Inputs - Rack'!$F$235</definedName>
    <definedName name="input_wld_az1_rack2_host11_vrms_ip">'Name &amp; IP Address Inputs - Rack'!$F$252</definedName>
    <definedName name="input_wld_az1_rack2_host12_function">'SDDC Inputs - Rack'!$D$145</definedName>
    <definedName name="input_wld_az1_rack2_host12_hostname">'Name &amp; IP Address Inputs - Rack'!$D$236</definedName>
    <definedName name="input_wld_az1_rack2_host12_mgmt_ip">'Name &amp; IP Address Inputs - Rack'!$F$236</definedName>
    <definedName name="input_wld_az1_rack2_host12_vrms_ip">'Name &amp; IP Address Inputs - Rack'!$F$253</definedName>
    <definedName name="input_wld_az1_rack2_host13_function">'SDDC Inputs - Rack'!$D$146</definedName>
    <definedName name="input_wld_az1_rack2_host13_hostname">'Name &amp; IP Address Inputs - Rack'!$D$237</definedName>
    <definedName name="input_wld_az1_rack2_host13_mgmt_ip">'Name &amp; IP Address Inputs - Rack'!$F$237</definedName>
    <definedName name="input_wld_az1_rack2_host13_vrms_ip">'Name &amp; IP Address Inputs - Rack'!$F$254</definedName>
    <definedName name="input_wld_az1_rack2_host14_function">'SDDC Inputs - Rack'!$D$147</definedName>
    <definedName name="input_wld_az1_rack2_host14_hostname">'Name &amp; IP Address Inputs - Rack'!$D$238</definedName>
    <definedName name="input_wld_az1_rack2_host14_mgmt_ip">'Name &amp; IP Address Inputs - Rack'!$F$238</definedName>
    <definedName name="input_wld_az1_rack2_host14_vrms_ip">'Name &amp; IP Address Inputs - Rack'!$F$255</definedName>
    <definedName name="input_wld_az1_rack2_host15_function">'SDDC Inputs - Rack'!$D$148</definedName>
    <definedName name="input_wld_az1_rack2_host15_hostname">'Name &amp; IP Address Inputs - Rack'!$D$239</definedName>
    <definedName name="input_wld_az1_rack2_host15_mgmt_ip">'Name &amp; IP Address Inputs - Rack'!$F$239</definedName>
    <definedName name="input_wld_az1_rack2_host15_vrms_ip">'Name &amp; IP Address Inputs - Rack'!$F$256</definedName>
    <definedName name="input_wld_az1_rack2_host16_function">'SDDC Inputs - Rack'!$D$149</definedName>
    <definedName name="input_wld_az1_rack2_host16_hostname">'Name &amp; IP Address Inputs - Rack'!$D$240</definedName>
    <definedName name="input_wld_az1_rack2_host16_mgmt_ip">'Name &amp; IP Address Inputs - Rack'!$F$240</definedName>
    <definedName name="input_wld_az1_rack2_host16_vrms_ip">'Name &amp; IP Address Inputs - Rack'!$F$257</definedName>
    <definedName name="input_wld_az1_rack2_host2_function">'SDDC Inputs - Rack'!$D$135</definedName>
    <definedName name="input_wld_az1_rack2_host2_hostname">'Name &amp; IP Address Inputs - Rack'!$D$226</definedName>
    <definedName name="input_wld_az1_rack2_host2_mgmt_ip">'Name &amp; IP Address Inputs - Rack'!$F$226</definedName>
    <definedName name="input_wld_az1_rack2_host2_vrms_ip">'Name &amp; IP Address Inputs - Rack'!$F$243</definedName>
    <definedName name="input_wld_az1_rack2_host3_function">'SDDC Inputs - Rack'!$D$136</definedName>
    <definedName name="input_wld_az1_rack2_host3_hostname">'Name &amp; IP Address Inputs - Rack'!$D$227</definedName>
    <definedName name="input_wld_az1_rack2_host3_mgmt_ip">'Name &amp; IP Address Inputs - Rack'!$F$227</definedName>
    <definedName name="input_wld_az1_rack2_host3_vrms_ip">'Name &amp; IP Address Inputs - Rack'!$F$244</definedName>
    <definedName name="input_wld_az1_rack2_host4_function">'SDDC Inputs - Rack'!$D$137</definedName>
    <definedName name="input_wld_az1_rack2_host4_hostname">'Name &amp; IP Address Inputs - Rack'!$D$228</definedName>
    <definedName name="input_wld_az1_rack2_host4_mgmt_ip">'Name &amp; IP Address Inputs - Rack'!$F$228</definedName>
    <definedName name="input_wld_az1_rack2_host4_vrms_ip">'Name &amp; IP Address Inputs - Rack'!$F$245</definedName>
    <definedName name="input_wld_az1_rack2_host5_function">'SDDC Inputs - Rack'!$D$138</definedName>
    <definedName name="input_wld_az1_rack2_host5_hostname">'Name &amp; IP Address Inputs - Rack'!$D$229</definedName>
    <definedName name="input_wld_az1_rack2_host5_mgmt_ip">'Name &amp; IP Address Inputs - Rack'!$F$229</definedName>
    <definedName name="input_wld_az1_rack2_host5_vrms_ip">'Name &amp; IP Address Inputs - Rack'!$F$246</definedName>
    <definedName name="input_wld_az1_rack2_host6_function">'SDDC Inputs - Rack'!$D$139</definedName>
    <definedName name="input_wld_az1_rack2_host6_hostname">'Name &amp; IP Address Inputs - Rack'!$D$230</definedName>
    <definedName name="input_wld_az1_rack2_host6_mgmt_ip">'Name &amp; IP Address Inputs - Rack'!$F$230</definedName>
    <definedName name="input_wld_az1_rack2_host6_vrms_ip">'Name &amp; IP Address Inputs - Rack'!$F$247</definedName>
    <definedName name="input_wld_az1_rack2_host7_function">'SDDC Inputs - Rack'!$D$140</definedName>
    <definedName name="input_wld_az1_rack2_host7_hostname">'Name &amp; IP Address Inputs - Rack'!$D$231</definedName>
    <definedName name="input_wld_az1_rack2_host7_mgmt_ip">'Name &amp; IP Address Inputs - Rack'!$F$231</definedName>
    <definedName name="input_wld_az1_rack2_host7_vrms_ip">'Name &amp; IP Address Inputs - Rack'!$F$248</definedName>
    <definedName name="input_wld_az1_rack2_host8_function">'SDDC Inputs - Rack'!$D$141</definedName>
    <definedName name="input_wld_az1_rack2_host8_hostname">'Name &amp; IP Address Inputs - Rack'!$D$232</definedName>
    <definedName name="input_wld_az1_rack2_host8_mgmt_ip">'Name &amp; IP Address Inputs - Rack'!$F$232</definedName>
    <definedName name="input_wld_az1_rack2_host8_vrms_ip">'Name &amp; IP Address Inputs - Rack'!$F$249</definedName>
    <definedName name="input_wld_az1_rack2_host9_function">'SDDC Inputs - Rack'!$D$142</definedName>
    <definedName name="input_wld_az1_rack2_host9_hostname">'Name &amp; IP Address Inputs - Rack'!$D$233</definedName>
    <definedName name="input_wld_az1_rack2_host9_mgmt_ip">'Name &amp; IP Address Inputs - Rack'!$F$233</definedName>
    <definedName name="input_wld_az1_rack2_host9_vrms_ip">'Name &amp; IP Address Inputs - Rack'!$F$250</definedName>
    <definedName name="input_wld_az1_rack2_mgmt_cidr">'Network Inputs - Rack'!$F$122</definedName>
    <definedName name="input_wld_az1_rack2_mgmt_gateway_ip">'Network Inputs - Rack'!$H$122</definedName>
    <definedName name="input_wld_az1_rack2_mgmt_mtu">'Network Inputs - Rack'!$J$122</definedName>
    <definedName name="input_wld_az1_rack2_mgmt_vlan">'Network Inputs - Rack'!$D$122</definedName>
    <definedName name="input_wld_az1_rack2_mgmt_vm_cidr">'Network Inputs - Rack'!$F$121</definedName>
    <definedName name="input_wld_az1_rack2_mgmt_vm_gateway_ip">'Network Inputs - Rack'!$H$121</definedName>
    <definedName name="input_wld_az1_rack2_mgmt_vm_mtu">'Network Inputs - Rack'!$J$121</definedName>
    <definedName name="input_wld_az1_rack2_mgmt_vm_vlan">'Network Inputs - Rack'!$D$121</definedName>
    <definedName name="input_wld_az1_rack2_pool_name">'SDDC Inputs - Rack'!$D$123</definedName>
    <definedName name="input_wld_az1_rack2_principal_storage_cidr">'Network Inputs - Rack'!$F$124</definedName>
    <definedName name="input_wld_az1_rack2_principal_storage_gateway_ip">'Network Inputs - Rack'!$H$124</definedName>
    <definedName name="input_wld_az1_rack2_principal_storage_mtu">'Network Inputs - Rack'!$J$124</definedName>
    <definedName name="input_wld_az1_rack2_principal_storage_pool_end_ip">'Name &amp; IP Address Inputs - Rack'!$F$270</definedName>
    <definedName name="input_wld_az1_rack2_principal_storage_pool_start_ip">'Name &amp; IP Address Inputs - Rack'!$F$269</definedName>
    <definedName name="input_wld_az1_rack2_principal_storage_vlan">'Network Inputs - Rack'!$D$124</definedName>
    <definedName name="input_wld_az1_rack2_rtep_ip_pool_name">'SDDC Inputs - Rack'!$D$128</definedName>
    <definedName name="input_wld_az1_rack2_rtep_overlay_cidr">'Network Inputs - Rack'!$F$131</definedName>
    <definedName name="input_wld_az1_rack2_rtep_overlay_gateway_ip">'Network Inputs - Rack'!$H$131</definedName>
    <definedName name="input_wld_az1_rack2_rtep_overlay_mtu">'Network Inputs - Rack'!$J$131</definedName>
    <definedName name="input_wld_az1_rack2_rtep_overlay_pool_end_ip">'Name &amp; IP Address Inputs - Rack'!$F$278</definedName>
    <definedName name="input_wld_az1_rack2_rtep_overlay_pool_start_ip">'Name &amp; IP Address Inputs - Rack'!$F$277</definedName>
    <definedName name="input_wld_az1_rack2_rtep_overlay_vlan">'Network Inputs - Rack'!$D$131</definedName>
    <definedName name="input_wld_az1_rack2_secondary_storage_cidr">'Network Inputs - Rack'!$F$126</definedName>
    <definedName name="input_wld_az1_rack2_secondary_storage_gateway_ip">'Network Inputs - Rack'!$H$126</definedName>
    <definedName name="input_wld_az1_rack2_secondary_storage_mtu">'Network Inputs - Rack'!$J$126</definedName>
    <definedName name="input_wld_az1_rack2_secondary_storage_pool_end_ip">'Name &amp; IP Address Inputs - Rack'!$F$274</definedName>
    <definedName name="input_wld_az1_rack2_secondary_storage_pool_start_ip">'Name &amp; IP Address Inputs - Rack'!$F$273</definedName>
    <definedName name="input_wld_az1_rack2_secondary_storage_vlan">'Network Inputs - Rack'!$D$126</definedName>
    <definedName name="input_wld_az1_rack2_tor1_peer_asn">'Network Inputs - Rack'!$D$137</definedName>
    <definedName name="input_wld_az1_rack2_tor1_peer_bgp_password">'Network Inputs - Rack'!$D$138</definedName>
    <definedName name="input_wld_az1_rack2_tor1_peer_ip">'Network Inputs - Rack'!$D$136</definedName>
    <definedName name="input_wld_az1_rack2_tor2_peer_asn">'Network Inputs - Rack'!$D$140</definedName>
    <definedName name="input_wld_az1_rack2_tor2_peer_bgp_password">'Network Inputs - Rack'!$D$141</definedName>
    <definedName name="input_wld_az1_rack2_tor2_peer_ip">'Network Inputs - Rack'!$D$139</definedName>
    <definedName name="input_wld_az1_rack2_uplink01_cidr">'Network Inputs - Rack'!$F$128</definedName>
    <definedName name="input_wld_az1_rack2_uplink01_gateway_ip">'Network Inputs - Rack'!$H$128</definedName>
    <definedName name="input_wld_az1_rack2_uplink01_mtu">'Network Inputs - Rack'!$J$128</definedName>
    <definedName name="input_wld_az1_rack2_uplink01_pg">'SDDC Inputs - Rack'!$D$121</definedName>
    <definedName name="input_wld_az1_rack2_uplink01_vlan">'Network Inputs - Rack'!$D$128</definedName>
    <definedName name="input_wld_az1_rack2_uplink02_cidr">'Network Inputs - Rack'!$F$129</definedName>
    <definedName name="input_wld_az1_rack2_uplink02_gateway_ip">'Network Inputs - Rack'!$H$129</definedName>
    <definedName name="input_wld_az1_rack2_uplink02_mtu">'Network Inputs - Rack'!$J$129</definedName>
    <definedName name="input_wld_az1_rack2_uplink02_pg">'SDDC Inputs - Rack'!$D$122</definedName>
    <definedName name="input_wld_az1_rack2_uplink02_vlan">'Network Inputs - Rack'!$D$129</definedName>
    <definedName name="input_wld_az1_rack2_vmotion_cidr">'Network Inputs - Rack'!$F$123</definedName>
    <definedName name="input_wld_az1_rack2_vmotion_gateway_ip">'Network Inputs - Rack'!$H$123</definedName>
    <definedName name="input_wld_az1_rack2_vmotion_mtu">'Network Inputs - Rack'!$J$123</definedName>
    <definedName name="input_wld_az1_rack2_vmotion_pool_end_ip">'Name &amp; IP Address Inputs - Rack'!$F$268</definedName>
    <definedName name="input_wld_az1_rack2_vmotion_pool_start_ip">'Name &amp; IP Address Inputs - Rack'!$F$267</definedName>
    <definedName name="input_wld_az1_rack2_vmotion_vlan">'Network Inputs - Rack'!$D$123</definedName>
    <definedName name="input_wld_az1_rack2_vrms_cidr">'Network Inputs - Rack'!$F$127</definedName>
    <definedName name="input_wld_az1_rack2_vrms_gateway_ip">'Network Inputs - Rack'!$H$127</definedName>
    <definedName name="input_wld_az1_rack2_vrms_mtu">'Network Inputs - Rack'!$J$127</definedName>
    <definedName name="input_wld_az1_rack2_vrms_vlan">'Network Inputs - Rack'!$D$127</definedName>
    <definedName name="input_wld_az1_rack2_vsan_fault_domain">'SDDC Inputs - Rack'!$D$131</definedName>
    <definedName name="input_wld_az1_rack3_child_dns_zone">'Name &amp; IP Address Inputs - Rack'!$E$282</definedName>
    <definedName name="input_wld_az1_rack3_edge_overlay_cidr">'Network Inputs - Rack'!$F$155</definedName>
    <definedName name="input_wld_az1_rack3_edge_overlay_gateway_ip">'Network Inputs - Rack'!$H$155</definedName>
    <definedName name="input_wld_az1_rack3_edge_overlay_mtu">'Network Inputs - Rack'!$J$155</definedName>
    <definedName name="input_wld_az1_rack3_edge_overlay_network_pool_name">'SDDC Inputs - Rack'!$D$160</definedName>
    <definedName name="input_wld_az1_rack3_edge_overlay_pool_end_ip">'Name &amp; IP Address Inputs - Rack'!$F$336</definedName>
    <definedName name="input_wld_az1_rack3_edge_overlay_pool_start_ip">'Name &amp; IP Address Inputs - Rack'!$F$335</definedName>
    <definedName name="input_wld_az1_rack3_edge_overlay_vlan">'Network Inputs - Rack'!$D$155</definedName>
    <definedName name="input_wld_az1_rack3_en1_hostname">'Name &amp; IP Address Inputs - Rack'!$D$319</definedName>
    <definedName name="input_wld_az1_rack3_en1_mgmt_ip">'Name &amp; IP Address Inputs - Rack'!$F$319</definedName>
    <definedName name="input_wld_az1_rack3_en1_uplink01_interface_ip">'Name &amp; IP Address Inputs - Rack'!$F$320</definedName>
    <definedName name="input_wld_az1_rack3_en1_uplink02_interface_ip">'Name &amp; IP Address Inputs - Rack'!$F$321</definedName>
    <definedName name="input_wld_az1_rack3_en2_hostname">'Name &amp; IP Address Inputs - Rack'!$D$322</definedName>
    <definedName name="input_wld_az1_rack3_en2_mgmt_ip">'Name &amp; IP Address Inputs - Rack'!$F$322</definedName>
    <definedName name="input_wld_az1_rack3_en2_uplink01_interface_ip">'Name &amp; IP Address Inputs - Rack'!$F$323</definedName>
    <definedName name="input_wld_az1_rack3_en2_uplink02_interface_ip">'Name &amp; IP Address Inputs - Rack'!$F$324</definedName>
    <definedName name="input_wld_az1_rack3_host_functions">'Value Reference Tables - MR'!$L$215:$L$230</definedName>
    <definedName name="input_wld_az1_rack3_host_overlay_cidr">'Network Inputs - Rack'!$F$150</definedName>
    <definedName name="input_wld_az1_rack3_host_overlay_gateway_ip">'Network Inputs - Rack'!$H$150</definedName>
    <definedName name="input_wld_az1_rack3_host_overlay_mtu">'Network Inputs - Rack'!$J$150</definedName>
    <definedName name="input_wld_az1_rack3_host_overlay_network_pool_name">'SDDC Inputs - Rack'!$D$158</definedName>
    <definedName name="input_wld_az1_rack3_host_overlay_network_profile_name">'SDDC Inputs - Rack'!$D$157</definedName>
    <definedName name="input_wld_az1_rack3_host_overlay_pool_end_ip">'Name &amp; IP Address Inputs - Rack'!$F$332</definedName>
    <definedName name="input_wld_az1_rack3_host_overlay_pool_start_ip">'Name &amp; IP Address Inputs - Rack'!$F$331</definedName>
    <definedName name="input_wld_az1_rack3_host_overlay_uplink_profile_name">'SDDC Inputs - Rack'!$D$159</definedName>
    <definedName name="input_wld_az1_rack3_host_overlay_vlan">'Network Inputs - Rack'!$D$150</definedName>
    <definedName name="input_wld_az1_rack3_host1_function">'SDDC Inputs - Rack'!$D$167</definedName>
    <definedName name="input_wld_az1_rack3_host1_hostname">'Name &amp; IP Address Inputs - Rack'!$D$285</definedName>
    <definedName name="input_wld_az1_rack3_host1_mgmt_ip">'Name &amp; IP Address Inputs - Rack'!$F$285</definedName>
    <definedName name="input_wld_az1_rack3_host1_vrms_ip">'Name &amp; IP Address Inputs - Rack'!$F$302</definedName>
    <definedName name="input_wld_az1_rack3_host10_function">'SDDC Inputs - Rack'!$D$176</definedName>
    <definedName name="input_wld_az1_rack3_host10_hostname">'Name &amp; IP Address Inputs - Rack'!$D$294</definedName>
    <definedName name="input_wld_az1_rack3_host10_mgmt_ip">'Name &amp; IP Address Inputs - Rack'!$F$294</definedName>
    <definedName name="input_wld_az1_rack3_host10_vrms_ip">'Name &amp; IP Address Inputs - Rack'!$F$311</definedName>
    <definedName name="input_wld_az1_rack3_host11_function">'SDDC Inputs - Rack'!$D$177</definedName>
    <definedName name="input_wld_az1_rack3_host11_hostname">'Name &amp; IP Address Inputs - Rack'!$D$295</definedName>
    <definedName name="input_wld_az1_rack3_host11_mgmt_ip">'Name &amp; IP Address Inputs - Rack'!$F$295</definedName>
    <definedName name="input_wld_az1_rack3_host11_vrms_ip">'Name &amp; IP Address Inputs - Rack'!$F$312</definedName>
    <definedName name="input_wld_az1_rack3_host12_function">'SDDC Inputs - Rack'!$D$178</definedName>
    <definedName name="input_wld_az1_rack3_host12_hostname">'Name &amp; IP Address Inputs - Rack'!$D$296</definedName>
    <definedName name="input_wld_az1_rack3_host12_mgmt_ip">'Name &amp; IP Address Inputs - Rack'!$F$296</definedName>
    <definedName name="input_wld_az1_rack3_host12_vrms_ip">'Name &amp; IP Address Inputs - Rack'!$F$313</definedName>
    <definedName name="input_wld_az1_rack3_host13_function">'SDDC Inputs - Rack'!$D$179</definedName>
    <definedName name="input_wld_az1_rack3_host13_hostname">'Name &amp; IP Address Inputs - Rack'!$D$297</definedName>
    <definedName name="input_wld_az1_rack3_host13_mgmt_ip">'Name &amp; IP Address Inputs - Rack'!$F$297</definedName>
    <definedName name="input_wld_az1_rack3_host13_vrms_ip">'Name &amp; IP Address Inputs - Rack'!$F$314</definedName>
    <definedName name="input_wld_az1_rack3_host14_function">'SDDC Inputs - Rack'!$D$180</definedName>
    <definedName name="input_wld_az1_rack3_host14_hostname">'Name &amp; IP Address Inputs - Rack'!$D$298</definedName>
    <definedName name="input_wld_az1_rack3_host14_mgmt_ip">'Name &amp; IP Address Inputs - Rack'!$F$298</definedName>
    <definedName name="input_wld_az1_rack3_host14_vrms_ip">'Name &amp; IP Address Inputs - Rack'!$F$315</definedName>
    <definedName name="input_wld_az1_rack3_host15_function">'SDDC Inputs - Rack'!$D$181</definedName>
    <definedName name="input_wld_az1_rack3_host15_hostname">'Name &amp; IP Address Inputs - Rack'!$D$299</definedName>
    <definedName name="input_wld_az1_rack3_host15_mgmt_ip">'Name &amp; IP Address Inputs - Rack'!$F$299</definedName>
    <definedName name="input_wld_az1_rack3_host15_vrms_ip">'Name &amp; IP Address Inputs - Rack'!$F$316</definedName>
    <definedName name="input_wld_az1_rack3_host16_function">'SDDC Inputs - Rack'!$D$182</definedName>
    <definedName name="input_wld_az1_rack3_host16_hostname">'Name &amp; IP Address Inputs - Rack'!$D$300</definedName>
    <definedName name="input_wld_az1_rack3_host16_mgmt_ip">'Name &amp; IP Address Inputs - Rack'!$F$300</definedName>
    <definedName name="input_wld_az1_rack3_host16_vrms_ip">'Name &amp; IP Address Inputs - Rack'!$F$317</definedName>
    <definedName name="input_wld_az1_rack3_host2_function">'SDDC Inputs - Rack'!$D$168</definedName>
    <definedName name="input_wld_az1_rack3_host2_hostname">'Name &amp; IP Address Inputs - Rack'!$D$286</definedName>
    <definedName name="input_wld_az1_rack3_host2_mgmt_ip">'Name &amp; IP Address Inputs - Rack'!$F$286</definedName>
    <definedName name="input_wld_az1_rack3_host2_vrms_ip">'Name &amp; IP Address Inputs - Rack'!$F$303</definedName>
    <definedName name="input_wld_az1_rack3_host3_function">'SDDC Inputs - Rack'!$D$169</definedName>
    <definedName name="input_wld_az1_rack3_host3_hostname">'Name &amp; IP Address Inputs - Rack'!$D$287</definedName>
    <definedName name="input_wld_az1_rack3_host3_mgmt_ip">'Name &amp; IP Address Inputs - Rack'!$F$287</definedName>
    <definedName name="input_wld_az1_rack3_host3_vrms_ip">'Name &amp; IP Address Inputs - Rack'!$F$304</definedName>
    <definedName name="input_wld_az1_rack3_host4_function">'SDDC Inputs - Rack'!$D$170</definedName>
    <definedName name="input_wld_az1_rack3_host4_hostname">'Name &amp; IP Address Inputs - Rack'!$D$288</definedName>
    <definedName name="input_wld_az1_rack3_host4_mgmt_ip">'Name &amp; IP Address Inputs - Rack'!$F$288</definedName>
    <definedName name="input_wld_az1_rack3_host4_vrms_ip">'Name &amp; IP Address Inputs - Rack'!$F$305</definedName>
    <definedName name="input_wld_az1_rack3_host5_function">'SDDC Inputs - Rack'!$D$171</definedName>
    <definedName name="input_wld_az1_rack3_host5_hostname">'Name &amp; IP Address Inputs - Rack'!$D$289</definedName>
    <definedName name="input_wld_az1_rack3_host5_mgmt_ip">'Name &amp; IP Address Inputs - Rack'!$F$289</definedName>
    <definedName name="input_wld_az1_rack3_host5_vrms_ip">'Name &amp; IP Address Inputs - Rack'!$F$306</definedName>
    <definedName name="input_wld_az1_rack3_host6_function">'SDDC Inputs - Rack'!$D$172</definedName>
    <definedName name="input_wld_az1_rack3_host6_hostname">'Name &amp; IP Address Inputs - Rack'!$D$290</definedName>
    <definedName name="input_wld_az1_rack3_host6_mgmt_ip">'Name &amp; IP Address Inputs - Rack'!$F$290</definedName>
    <definedName name="input_wld_az1_rack3_host6_vrms_ip">'Name &amp; IP Address Inputs - Rack'!$F$307</definedName>
    <definedName name="input_wld_az1_rack3_host7_function">'SDDC Inputs - Rack'!$D$173</definedName>
    <definedName name="input_wld_az1_rack3_host7_hostname">'Name &amp; IP Address Inputs - Rack'!$D$291</definedName>
    <definedName name="input_wld_az1_rack3_host7_mgmt_ip">'Name &amp; IP Address Inputs - Rack'!$F$291</definedName>
    <definedName name="input_wld_az1_rack3_host7_vrms_ip">'Name &amp; IP Address Inputs - Rack'!$F$308</definedName>
    <definedName name="input_wld_az1_rack3_host8_function">'SDDC Inputs - Rack'!$D$174</definedName>
    <definedName name="input_wld_az1_rack3_host8_hostname">'Name &amp; IP Address Inputs - Rack'!$D$292</definedName>
    <definedName name="input_wld_az1_rack3_host8_mgmt_ip">'Name &amp; IP Address Inputs - Rack'!$F$292</definedName>
    <definedName name="input_wld_az1_rack3_host8_vrms_ip">'Name &amp; IP Address Inputs - Rack'!$F$309</definedName>
    <definedName name="input_wld_az1_rack3_host9_function">'SDDC Inputs - Rack'!$D$175</definedName>
    <definedName name="input_wld_az1_rack3_host9_hostname">'Name &amp; IP Address Inputs - Rack'!$D$293</definedName>
    <definedName name="input_wld_az1_rack3_host9_mgmt_ip">'Name &amp; IP Address Inputs - Rack'!$F$293</definedName>
    <definedName name="input_wld_az1_rack3_host9_vrms_ip">'Name &amp; IP Address Inputs - Rack'!$F$310</definedName>
    <definedName name="input_wld_az1_rack3_mgmt_cidr">'Network Inputs - Rack'!$F$147</definedName>
    <definedName name="input_wld_az1_rack3_mgmt_gateway_ip">'Network Inputs - Rack'!$H$147</definedName>
    <definedName name="input_wld_az1_rack3_mgmt_mtu">'Network Inputs - Rack'!$J$147</definedName>
    <definedName name="input_wld_az1_rack3_mgmt_vlan">'Network Inputs - Rack'!$D$147</definedName>
    <definedName name="input_wld_az1_rack3_mgmt_vm_cidr">'Network Inputs - Rack'!$F$146</definedName>
    <definedName name="input_wld_az1_rack3_mgmt_vm_gateway_ip">'Network Inputs - Rack'!$H$146</definedName>
    <definedName name="input_wld_az1_rack3_mgmt_vm_mtu">'Network Inputs - Rack'!$J$146</definedName>
    <definedName name="input_wld_az1_rack3_mgmt_vm_vlan">'Network Inputs - Rack'!$D$146</definedName>
    <definedName name="input_wld_az1_rack3_pool_name">'SDDC Inputs - Rack'!$D$156</definedName>
    <definedName name="input_wld_az1_rack3_principal_storage_cidr">'Network Inputs - Rack'!$F$149</definedName>
    <definedName name="input_wld_az1_rack3_principal_storage_gateway_ip">'Network Inputs - Rack'!$H$149</definedName>
    <definedName name="input_wld_az1_rack3_principal_storage_mtu">'Network Inputs - Rack'!$J$149</definedName>
    <definedName name="input_wld_az1_rack3_principal_storage_pool_end_ip">'Name &amp; IP Address Inputs - Rack'!$F$330</definedName>
    <definedName name="input_wld_az1_rack3_principal_storage_pool_start_ip">'Name &amp; IP Address Inputs - Rack'!$F$329</definedName>
    <definedName name="input_wld_az1_rack3_principal_storage_vlan">'Network Inputs - Rack'!$D$149</definedName>
    <definedName name="input_wld_az1_rack3_rtep_ip_pool_name">'SDDC Inputs - Rack'!$D$161</definedName>
    <definedName name="input_wld_az1_rack3_rtep_overlay_cidr">'Network Inputs - Rack'!$F$156</definedName>
    <definedName name="input_wld_az1_rack3_rtep_overlay_gateway_ip">'Network Inputs - Rack'!$H$156</definedName>
    <definedName name="input_wld_az1_rack3_rtep_overlay_mtu">'Network Inputs - Rack'!$J$156</definedName>
    <definedName name="input_wld_az1_rack3_rtep_overlay_pool_end_ip">'Name &amp; IP Address Inputs - Rack'!$F$338</definedName>
    <definedName name="input_wld_az1_rack3_rtep_overlay_pool_start_ip">'Name &amp; IP Address Inputs - Rack'!$F$337</definedName>
    <definedName name="input_wld_az1_rack3_rtep_overlay_vlan">'Network Inputs - Rack'!$D$156</definedName>
    <definedName name="input_wld_az1_rack3_secondary_storage_cidr">'Network Inputs - Rack'!$F$151</definedName>
    <definedName name="input_wld_az1_rack3_secondary_storage_gateway_ip">'Network Inputs - Rack'!$H$151</definedName>
    <definedName name="input_wld_az1_rack3_secondary_storage_mtu">'Network Inputs - Rack'!$J$151</definedName>
    <definedName name="input_wld_az1_rack3_secondary_storage_pool_end_ip">'Name &amp; IP Address Inputs - Rack'!$F$334</definedName>
    <definedName name="input_wld_az1_rack3_secondary_storage_pool_start_ip">'Name &amp; IP Address Inputs - Rack'!$F$333</definedName>
    <definedName name="input_wld_az1_rack3_secondary_storage_vlan">'Network Inputs - Rack'!$D$151</definedName>
    <definedName name="input_wld_az1_rack3_tor1_peer_asn">'Network Inputs - Rack'!$D$162</definedName>
    <definedName name="input_wld_az1_rack3_tor1_peer_bgp_password">'Network Inputs - Rack'!$D$163</definedName>
    <definedName name="input_wld_az1_rack3_tor1_peer_ip">'Network Inputs - Rack'!$D$161</definedName>
    <definedName name="input_wld_az1_rack3_tor2_peer_asn">'Network Inputs - Rack'!$D$165</definedName>
    <definedName name="input_wld_az1_rack3_tor2_peer_bgp_password">'Network Inputs - Rack'!$D$166</definedName>
    <definedName name="input_wld_az1_rack3_tor2_peer_ip">'Network Inputs - Rack'!$D$164</definedName>
    <definedName name="input_wld_az1_rack3_uplink01_cidr">'Network Inputs - Rack'!$F$153</definedName>
    <definedName name="input_wld_az1_rack3_uplink01_gateway_ip">'Network Inputs - Rack'!$H$153</definedName>
    <definedName name="input_wld_az1_rack3_uplink01_mtu">'Network Inputs - Rack'!$J$153</definedName>
    <definedName name="input_wld_az1_rack3_uplink01_pg">'SDDC Inputs - Rack'!$D$154</definedName>
    <definedName name="input_wld_az1_rack3_uplink01_vlan">'Network Inputs - Rack'!$D$153</definedName>
    <definedName name="input_wld_az1_rack3_uplink02_cidr">'Network Inputs - Rack'!$F$154</definedName>
    <definedName name="input_wld_az1_rack3_uplink02_gateway_ip">'Network Inputs - Rack'!$H$154</definedName>
    <definedName name="input_wld_az1_rack3_uplink02_mtu">'Network Inputs - Rack'!$J$154</definedName>
    <definedName name="input_wld_az1_rack3_uplink02_pg">'SDDC Inputs - Rack'!$D$155</definedName>
    <definedName name="input_wld_az1_rack3_uplink02_vlan">'Network Inputs - Rack'!$D$154</definedName>
    <definedName name="input_wld_az1_rack3_vmotion_cidr">'Network Inputs - Rack'!$F$148</definedName>
    <definedName name="input_wld_az1_rack3_vmotion_gateway_ip">'Network Inputs - Rack'!$H$148</definedName>
    <definedName name="input_wld_az1_rack3_vmotion_mtu">'Network Inputs - Rack'!$J$148</definedName>
    <definedName name="input_wld_az1_rack3_vmotion_pool_end_ip">'Name &amp; IP Address Inputs - Rack'!$F$328</definedName>
    <definedName name="input_wld_az1_rack3_vmotion_pool_start_ip">'Name &amp; IP Address Inputs - Rack'!$F$327</definedName>
    <definedName name="input_wld_az1_rack3_vmotion_vlan">'Network Inputs - Rack'!$D$148</definedName>
    <definedName name="input_wld_az1_rack3_vrms_cidr">'Network Inputs - Rack'!$F$152</definedName>
    <definedName name="input_wld_az1_rack3_vrms_gateway_ip">'Network Inputs - Rack'!$H$152</definedName>
    <definedName name="input_wld_az1_rack3_vrms_mtu">'Network Inputs - Rack'!$J$152</definedName>
    <definedName name="input_wld_az1_rack3_vrms_vlan">'Network Inputs - Rack'!$D$152</definedName>
    <definedName name="input_wld_az1_rack3_vsan_fault_domain">'SDDC Inputs - Rack'!$D$164</definedName>
    <definedName name="input_wld_az1_rack4_child_dns_zone">'Name &amp; IP Address Inputs - Rack'!$E$342</definedName>
    <definedName name="input_wld_az1_rack4_edge_overlay_cidr">'Network Inputs - Rack'!$F$180</definedName>
    <definedName name="input_wld_az1_rack4_edge_overlay_gateway_ip">'Network Inputs - Rack'!$H$180</definedName>
    <definedName name="input_wld_az1_rack4_edge_overlay_mtu">'Network Inputs - Rack'!$J$180</definedName>
    <definedName name="input_wld_az1_rack4_edge_overlay_network_pool_name">'SDDC Inputs - Rack'!$D$193</definedName>
    <definedName name="input_wld_az1_rack4_edge_overlay_pool_end_ip">'Name &amp; IP Address Inputs - Rack'!$F$396</definedName>
    <definedName name="input_wld_az1_rack4_edge_overlay_pool_start_ip">'Name &amp; IP Address Inputs - Rack'!$F$395</definedName>
    <definedName name="input_wld_az1_rack4_edge_overlay_vlan">'Network Inputs - Rack'!$D$180</definedName>
    <definedName name="input_wld_az1_rack4_en1_hostname">'Name &amp; IP Address Inputs - Rack'!$D$379</definedName>
    <definedName name="input_wld_az1_rack4_en1_mgmt_ip">'Name &amp; IP Address Inputs - Rack'!$F$379</definedName>
    <definedName name="input_wld_az1_rack4_en1_uplink01_interface_ip">'Name &amp; IP Address Inputs - Rack'!$F$380</definedName>
    <definedName name="input_wld_az1_rack4_en1_uplink02_interface_ip">'Name &amp; IP Address Inputs - Rack'!$F$381</definedName>
    <definedName name="input_wld_az1_rack4_en2_hostname">'Name &amp; IP Address Inputs - Rack'!$D$382</definedName>
    <definedName name="input_wld_az1_rack4_en2_mgmt_ip">'Name &amp; IP Address Inputs - Rack'!$F$382</definedName>
    <definedName name="input_wld_az1_rack4_en2_uplink01_interface_ip">'Name &amp; IP Address Inputs - Rack'!$F$383</definedName>
    <definedName name="input_wld_az1_rack4_en2_uplink02_interface_ip">'Name &amp; IP Address Inputs - Rack'!$F$384</definedName>
    <definedName name="input_wld_az1_rack4_host_functions">'Value Reference Tables - MR'!$O$215:$O$230</definedName>
    <definedName name="input_wld_az1_rack4_host_overlay_cidr">'Network Inputs - Rack'!$F$175</definedName>
    <definedName name="input_wld_az1_rack4_host_overlay_gateway_ip">'Network Inputs - Rack'!$H$175</definedName>
    <definedName name="input_wld_az1_rack4_host_overlay_mtu">'Network Inputs - Rack'!$J$175</definedName>
    <definedName name="input_wld_az1_rack4_host_overlay_network_pool_name">'SDDC Inputs - Rack'!$D$191</definedName>
    <definedName name="input_wld_az1_rack4_host_overlay_network_profile_name">'SDDC Inputs - Rack'!$D$190</definedName>
    <definedName name="input_wld_az1_rack4_host_overlay_pool_end_ip">'Name &amp; IP Address Inputs - Rack'!$F$392</definedName>
    <definedName name="input_wld_az1_rack4_host_overlay_pool_start_ip">'Name &amp; IP Address Inputs - Rack'!$F$391</definedName>
    <definedName name="input_wld_az1_rack4_host_overlay_uplink_profile_name">'SDDC Inputs - Rack'!$D$192</definedName>
    <definedName name="input_wld_az1_rack4_host_overlay_vlan">'Network Inputs - Rack'!$D$175</definedName>
    <definedName name="input_wld_az1_rack4_host1_function">'SDDC Inputs - Rack'!$D$200</definedName>
    <definedName name="input_wld_az1_rack4_host1_hostname">'Name &amp; IP Address Inputs - Rack'!$D$345</definedName>
    <definedName name="input_wld_az1_rack4_host1_mgmt_ip">'Name &amp; IP Address Inputs - Rack'!$F$345</definedName>
    <definedName name="input_wld_az1_rack4_host1_vrms_ip">'Name &amp; IP Address Inputs - Rack'!$F$362</definedName>
    <definedName name="input_wld_az1_rack4_host10_function">'SDDC Inputs - Rack'!$D$209</definedName>
    <definedName name="input_wld_az1_rack4_host10_hostname">'Name &amp; IP Address Inputs - Rack'!$D$354</definedName>
    <definedName name="input_wld_az1_rack4_host10_mgmt_ip">'Name &amp; IP Address Inputs - Rack'!$F$354</definedName>
    <definedName name="input_wld_az1_rack4_host10_vrms_ip">'Name &amp; IP Address Inputs - Rack'!$F$371</definedName>
    <definedName name="input_wld_az1_rack4_host11_function">'SDDC Inputs - Rack'!$D$210</definedName>
    <definedName name="input_wld_az1_rack4_host11_hostname">'Name &amp; IP Address Inputs - Rack'!$D$355</definedName>
    <definedName name="input_wld_az1_rack4_host11_mgmt_ip">'Name &amp; IP Address Inputs - Rack'!$F$355</definedName>
    <definedName name="input_wld_az1_rack4_host11_vrms_ip">'Name &amp; IP Address Inputs - Rack'!$F$372</definedName>
    <definedName name="input_wld_az1_rack4_host12_function">'SDDC Inputs - Rack'!$D$211</definedName>
    <definedName name="input_wld_az1_rack4_host12_hostname">'Name &amp; IP Address Inputs - Rack'!$D$356</definedName>
    <definedName name="input_wld_az1_rack4_host12_mgmt_ip">'Name &amp; IP Address Inputs - Rack'!$F$356</definedName>
    <definedName name="input_wld_az1_rack4_host12_vrms_ip">'Name &amp; IP Address Inputs - Rack'!$F$373</definedName>
    <definedName name="input_wld_az1_rack4_host13_function">'SDDC Inputs - Rack'!$D$212</definedName>
    <definedName name="input_wld_az1_rack4_host13_hostname">'Name &amp; IP Address Inputs - Rack'!$D$357</definedName>
    <definedName name="input_wld_az1_rack4_host13_mgmt_ip">'Name &amp; IP Address Inputs - Rack'!$F$357</definedName>
    <definedName name="input_wld_az1_rack4_host13_vrms_ip">'Name &amp; IP Address Inputs - Rack'!$F$374</definedName>
    <definedName name="input_wld_az1_rack4_host14_function">'SDDC Inputs - Rack'!$D$213</definedName>
    <definedName name="input_wld_az1_rack4_host14_hostname">'Name &amp; IP Address Inputs - Rack'!$D$358</definedName>
    <definedName name="input_wld_az1_rack4_host14_mgmt_ip">'Name &amp; IP Address Inputs - Rack'!$F$358</definedName>
    <definedName name="input_wld_az1_rack4_host14_vrms_ip">'Name &amp; IP Address Inputs - Rack'!$F$375</definedName>
    <definedName name="input_wld_az1_rack4_host15_function">'SDDC Inputs - Rack'!$D$214</definedName>
    <definedName name="input_wld_az1_rack4_host15_hostname">'Name &amp; IP Address Inputs - Rack'!$D$359</definedName>
    <definedName name="input_wld_az1_rack4_host15_mgmt_ip">'Name &amp; IP Address Inputs - Rack'!$F$359</definedName>
    <definedName name="input_wld_az1_rack4_host15_vrms_ip">'Name &amp; IP Address Inputs - Rack'!$F$376</definedName>
    <definedName name="input_wld_az1_rack4_host16_function">'SDDC Inputs - Rack'!$D$215</definedName>
    <definedName name="input_wld_az1_rack4_host16_hostname">'Name &amp; IP Address Inputs - Rack'!$D$360</definedName>
    <definedName name="input_wld_az1_rack4_host16_mgmt_ip">'Name &amp; IP Address Inputs - Rack'!$F$360</definedName>
    <definedName name="input_wld_az1_rack4_host16_vrms_ip">'Name &amp; IP Address Inputs - Rack'!$F$377</definedName>
    <definedName name="input_wld_az1_rack4_host2_function">'SDDC Inputs - Rack'!$D$201</definedName>
    <definedName name="input_wld_az1_rack4_host2_hostname">'Name &amp; IP Address Inputs - Rack'!$D$346</definedName>
    <definedName name="input_wld_az1_rack4_host2_mgmt_ip">'Name &amp; IP Address Inputs - Rack'!$F$346</definedName>
    <definedName name="input_wld_az1_rack4_host2_vrms_ip">'Name &amp; IP Address Inputs - Rack'!$F$363</definedName>
    <definedName name="input_wld_az1_rack4_host3_function">'SDDC Inputs - Rack'!$D$202</definedName>
    <definedName name="input_wld_az1_rack4_host3_hostname">'Name &amp; IP Address Inputs - Rack'!$D$347</definedName>
    <definedName name="input_wld_az1_rack4_host3_mgmt_ip">'Name &amp; IP Address Inputs - Rack'!$F$347</definedName>
    <definedName name="input_wld_az1_rack4_host3_vrms_ip">'Name &amp; IP Address Inputs - Rack'!$F$364</definedName>
    <definedName name="input_wld_az1_rack4_host4_function">'SDDC Inputs - Rack'!$D$203</definedName>
    <definedName name="input_wld_az1_rack4_host4_hostname">'Name &amp; IP Address Inputs - Rack'!$D$348</definedName>
    <definedName name="input_wld_az1_rack4_host4_mgmt_ip">'Name &amp; IP Address Inputs - Rack'!$F$348</definedName>
    <definedName name="input_wld_az1_rack4_host4_vrms_ip">'Name &amp; IP Address Inputs - Rack'!$F$365</definedName>
    <definedName name="input_wld_az1_rack4_host5_function">'SDDC Inputs - Rack'!$D$204</definedName>
    <definedName name="input_wld_az1_rack4_host5_hostname">'Name &amp; IP Address Inputs - Rack'!$D$349</definedName>
    <definedName name="input_wld_az1_rack4_host5_mgmt_ip">'Name &amp; IP Address Inputs - Rack'!$F$349</definedName>
    <definedName name="input_wld_az1_rack4_host5_vrms_ip">'Name &amp; IP Address Inputs - Rack'!$F$366</definedName>
    <definedName name="input_wld_az1_rack4_host6_function">'SDDC Inputs - Rack'!$D$205</definedName>
    <definedName name="input_wld_az1_rack4_host6_hostname">'Name &amp; IP Address Inputs - Rack'!$D$350</definedName>
    <definedName name="input_wld_az1_rack4_host6_mgmt_ip">'Name &amp; IP Address Inputs - Rack'!$F$350</definedName>
    <definedName name="input_wld_az1_rack4_host6_vrms_ip">'Name &amp; IP Address Inputs - Rack'!$F$367</definedName>
    <definedName name="input_wld_az1_rack4_host7_function">'SDDC Inputs - Rack'!$D$206</definedName>
    <definedName name="input_wld_az1_rack4_host7_hostname">'Name &amp; IP Address Inputs - Rack'!$D$351</definedName>
    <definedName name="input_wld_az1_rack4_host7_mgmt_ip">'Name &amp; IP Address Inputs - Rack'!$F$351</definedName>
    <definedName name="input_wld_az1_rack4_host7_vrms_ip">'Name &amp; IP Address Inputs - Rack'!$F$368</definedName>
    <definedName name="input_wld_az1_rack4_host8_function">'SDDC Inputs - Rack'!$D$207</definedName>
    <definedName name="input_wld_az1_rack4_host8_hostname">'Name &amp; IP Address Inputs - Rack'!$D$352</definedName>
    <definedName name="input_wld_az1_rack4_host8_mgmt_ip">'Name &amp; IP Address Inputs - Rack'!$F$352</definedName>
    <definedName name="input_wld_az1_rack4_host8_vrms_ip">'Name &amp; IP Address Inputs - Rack'!$F$369</definedName>
    <definedName name="input_wld_az1_rack4_host9_function">'SDDC Inputs - Rack'!$D$208</definedName>
    <definedName name="input_wld_az1_rack4_host9_hostname">'Name &amp; IP Address Inputs - Rack'!$D$353</definedName>
    <definedName name="input_wld_az1_rack4_host9_mgmt_ip">'Name &amp; IP Address Inputs - Rack'!$F$353</definedName>
    <definedName name="input_wld_az1_rack4_host9_vrms_ip">'Name &amp; IP Address Inputs - Rack'!$F$370</definedName>
    <definedName name="input_wld_az1_rack4_mgmt_cidr">'Network Inputs - Rack'!$F$172</definedName>
    <definedName name="input_wld_az1_rack4_mgmt_gateway_ip">'Network Inputs - Rack'!$H$172</definedName>
    <definedName name="input_wld_az1_rack4_mgmt_mtu">'Network Inputs - Rack'!$J$172</definedName>
    <definedName name="input_wld_az1_rack4_mgmt_vlan">'Network Inputs - Rack'!$D$172</definedName>
    <definedName name="input_wld_az1_rack4_mgmt_vm_cidr">'Network Inputs - Rack'!$F$171</definedName>
    <definedName name="input_wld_az1_rack4_mgmt_vm_gateway_ip">'Network Inputs - Rack'!$H$171</definedName>
    <definedName name="input_wld_az1_rack4_mgmt_vm_mtu">'Network Inputs - Rack'!$J$171</definedName>
    <definedName name="input_wld_az1_rack4_mgmt_vm_vlan">'Network Inputs - Rack'!$D$171</definedName>
    <definedName name="input_wld_az1_rack4_pool_name">'SDDC Inputs - Rack'!$D$189</definedName>
    <definedName name="input_wld_az1_rack4_principal_storage_cidr">'Network Inputs - Rack'!$F$174</definedName>
    <definedName name="input_wld_az1_rack4_principal_storage_gateway_ip">'Network Inputs - Rack'!$H$174</definedName>
    <definedName name="input_wld_az1_rack4_principal_storage_mtu">'Network Inputs - Rack'!$J$174</definedName>
    <definedName name="input_wld_az1_rack4_principal_storage_pool_end_ip">'Name &amp; IP Address Inputs - Rack'!$F$390</definedName>
    <definedName name="input_wld_az1_rack4_principal_storage_pool_start_ip">'Name &amp; IP Address Inputs - Rack'!$F$389</definedName>
    <definedName name="input_wld_az1_rack4_principal_storage_vlan">'Network Inputs - Rack'!$D$174</definedName>
    <definedName name="input_wld_az1_rack4_rtep_ip_pool_name">'SDDC Inputs - Rack'!$D$194</definedName>
    <definedName name="input_wld_az1_rack4_rtep_overlay_cidr">'Network Inputs - Rack'!$F$181</definedName>
    <definedName name="input_wld_az1_rack4_rtep_overlay_gateway_ip">'Network Inputs - Rack'!$H$181</definedName>
    <definedName name="input_wld_az1_rack4_rtep_overlay_mtu">'Network Inputs - Rack'!$J$181</definedName>
    <definedName name="input_wld_az1_rack4_rtep_overlay_pool_end_ip">'Name &amp; IP Address Inputs - Rack'!$F$398</definedName>
    <definedName name="input_wld_az1_rack4_rtep_overlay_pool_start_ip">'Name &amp; IP Address Inputs - Rack'!$F$397</definedName>
    <definedName name="input_wld_az1_rack4_rtep_overlay_vlan">'Network Inputs - Rack'!$D$181</definedName>
    <definedName name="input_wld_az1_rack4_secondary_storage_cidr">'Network Inputs - Rack'!$F$176</definedName>
    <definedName name="input_wld_az1_rack4_secondary_storage_gateway_ip">'Network Inputs - Rack'!$H$176</definedName>
    <definedName name="input_wld_az1_rack4_secondary_storage_mtu">'Network Inputs - Rack'!$J$176</definedName>
    <definedName name="input_wld_az1_rack4_secondary_storage_pool_end_ip">'Name &amp; IP Address Inputs - Rack'!$F$394</definedName>
    <definedName name="input_wld_az1_rack4_secondary_storage_pool_start_ip">'Name &amp; IP Address Inputs - Rack'!$F$393</definedName>
    <definedName name="input_wld_az1_rack4_secondary_storage_vlan">'Network Inputs - Rack'!$D$176</definedName>
    <definedName name="input_wld_az1_rack4_tor1_peer_asn">'Network Inputs - Rack'!$D$187</definedName>
    <definedName name="input_wld_az1_rack4_tor1_peer_bgp_password">'Network Inputs - Rack'!$D$188</definedName>
    <definedName name="input_wld_az1_rack4_tor1_peer_ip">'Network Inputs - Rack'!$D$186</definedName>
    <definedName name="input_wld_az1_rack4_tor2_peer_asn">'Network Inputs - Rack'!$D$190</definedName>
    <definedName name="input_wld_az1_rack4_tor2_peer_bgp_password">'Network Inputs - Rack'!$D$191</definedName>
    <definedName name="input_wld_az1_rack4_tor2_peer_ip">'Network Inputs - Rack'!$D$189</definedName>
    <definedName name="input_wld_az1_rack4_uplink01_cidr">'Network Inputs - Rack'!$F$178</definedName>
    <definedName name="input_wld_az1_rack4_uplink01_gateway_ip">'Network Inputs - Rack'!$H$178</definedName>
    <definedName name="input_wld_az1_rack4_uplink01_mtu">'Network Inputs - Rack'!$J$178</definedName>
    <definedName name="input_wld_az1_rack4_uplink01_pg">'SDDC Inputs - Rack'!$D$187</definedName>
    <definedName name="input_wld_az1_rack4_uplink01_vlan">'Network Inputs - Rack'!$D$178</definedName>
    <definedName name="input_wld_az1_rack4_uplink02_cidr">'Network Inputs - Rack'!$F$179</definedName>
    <definedName name="input_wld_az1_rack4_uplink02_gateway_ip">'Network Inputs - Rack'!$H$179</definedName>
    <definedName name="input_wld_az1_rack4_uplink02_mtu">'Network Inputs - Rack'!$J$179</definedName>
    <definedName name="input_wld_az1_rack4_uplink02_pg">'SDDC Inputs - Rack'!$D$188</definedName>
    <definedName name="input_wld_az1_rack4_uplink02_vlan">'Network Inputs - Rack'!$D$179</definedName>
    <definedName name="input_wld_az1_rack4_vmotion_cidr">'Network Inputs - Rack'!$F$173</definedName>
    <definedName name="input_wld_az1_rack4_vmotion_gateway_ip">'Network Inputs - Rack'!$H$173</definedName>
    <definedName name="input_wld_az1_rack4_vmotion_mtu">'Network Inputs - Rack'!$J$173</definedName>
    <definedName name="input_wld_az1_rack4_vmotion_pool_end_ip">'Name &amp; IP Address Inputs - Rack'!$F$388</definedName>
    <definedName name="input_wld_az1_rack4_vmotion_pool_start_ip">'Name &amp; IP Address Inputs - Rack'!$F$387</definedName>
    <definedName name="input_wld_az1_rack4_vmotion_vlan">'Network Inputs - Rack'!$D$173</definedName>
    <definedName name="input_wld_az1_rack4_vrms_cidr">'Network Inputs - Rack'!$F$177</definedName>
    <definedName name="input_wld_az1_rack4_vrms_gateway_ip">'Network Inputs - Rack'!$H$177</definedName>
    <definedName name="input_wld_az1_rack4_vrms_mtu">'Network Inputs - Rack'!$J$177</definedName>
    <definedName name="input_wld_az1_rack4_vrms_vlan">'Network Inputs - Rack'!$D$177</definedName>
    <definedName name="input_wld_az1_rack4_vsan_fault_domain">'SDDC Inputs - Rack'!$D$197</definedName>
    <definedName name="input_wld_az1_rack5_child_dns_zone">'Name &amp; IP Address Inputs - Rack'!$E$402</definedName>
    <definedName name="input_wld_az1_rack5_edge_overlay_cidr">'Network Inputs - Rack'!$F$205</definedName>
    <definedName name="input_wld_az1_rack5_edge_overlay_gateway_ip">'Network Inputs - Rack'!$H$205</definedName>
    <definedName name="input_wld_az1_rack5_edge_overlay_mtu">'Network Inputs - Rack'!$J$205</definedName>
    <definedName name="input_wld_az1_rack5_edge_overlay_network_pool_name">'SDDC Inputs - Rack'!$D$226</definedName>
    <definedName name="input_wld_az1_rack5_edge_overlay_pool_end_ip">'Name &amp; IP Address Inputs - Rack'!$F$456</definedName>
    <definedName name="input_wld_az1_rack5_edge_overlay_pool_start_ip">'Name &amp; IP Address Inputs - Rack'!$F$455</definedName>
    <definedName name="input_wld_az1_rack5_edge_overlay_vlan">'Network Inputs - Rack'!$D$205</definedName>
    <definedName name="input_wld_az1_rack5_en1_hostname">'Name &amp; IP Address Inputs - Rack'!$D$439</definedName>
    <definedName name="input_wld_az1_rack5_en1_mgmt_ip">'Name &amp; IP Address Inputs - Rack'!$F$439</definedName>
    <definedName name="input_wld_az1_rack5_en1_uplink01_interface_ip">'Name &amp; IP Address Inputs - Rack'!$F$440</definedName>
    <definedName name="input_wld_az1_rack5_en1_uplink02_interface_ip">'Name &amp; IP Address Inputs - Rack'!$F$441</definedName>
    <definedName name="input_wld_az1_rack5_en2_hostname">'Name &amp; IP Address Inputs - Rack'!$D$442</definedName>
    <definedName name="input_wld_az1_rack5_en2_mgmt_ip">'Name &amp; IP Address Inputs - Rack'!$F$442</definedName>
    <definedName name="input_wld_az1_rack5_en2_uplink01_interface_ip">'Name &amp; IP Address Inputs - Rack'!$F$443</definedName>
    <definedName name="input_wld_az1_rack5_en2_uplink02_interface_ip">'Name &amp; IP Address Inputs - Rack'!$F$444</definedName>
    <definedName name="input_wld_az1_rack5_host_functions">'Value Reference Tables - MR'!$R$215:$R$230</definedName>
    <definedName name="input_wld_az1_rack5_host_overlay_cidr">'Network Inputs - Rack'!$F$200</definedName>
    <definedName name="input_wld_az1_rack5_host_overlay_gateway_ip">'Network Inputs - Rack'!$H$200</definedName>
    <definedName name="input_wld_az1_rack5_host_overlay_mtu">'Network Inputs - Rack'!$J$200</definedName>
    <definedName name="input_wld_az1_rack5_host_overlay_network_pool_name">'SDDC Inputs - Rack'!$D$224</definedName>
    <definedName name="input_wld_az1_rack5_host_overlay_network_profile_name">'SDDC Inputs - Rack'!$D$223</definedName>
    <definedName name="input_wld_az1_rack5_host_overlay_pool_end_ip">'Name &amp; IP Address Inputs - Rack'!$F$452</definedName>
    <definedName name="input_wld_az1_rack5_host_overlay_pool_start_ip">'Name &amp; IP Address Inputs - Rack'!$F$451</definedName>
    <definedName name="input_wld_az1_rack5_host_overlay_uplink_profile_name">'SDDC Inputs - Rack'!$D$225</definedName>
    <definedName name="input_wld_az1_rack5_host_overlay_vlan">'Network Inputs - Rack'!$D$200</definedName>
    <definedName name="input_wld_az1_rack5_host1_function">'SDDC Inputs - Rack'!$D$233</definedName>
    <definedName name="input_wld_az1_rack5_host1_hostname">'Name &amp; IP Address Inputs - Rack'!$D$405</definedName>
    <definedName name="input_wld_az1_rack5_host1_mgmt_ip">'Name &amp; IP Address Inputs - Rack'!$F$405</definedName>
    <definedName name="input_wld_az1_rack5_host1_vrms_ip">'Name &amp; IP Address Inputs - Rack'!$F$422</definedName>
    <definedName name="input_wld_az1_rack5_host10_function">'SDDC Inputs - Rack'!$D$242</definedName>
    <definedName name="input_wld_az1_rack5_host10_hostname">'Name &amp; IP Address Inputs - Rack'!$D$414</definedName>
    <definedName name="input_wld_az1_rack5_host10_mgmt_ip">'Name &amp; IP Address Inputs - Rack'!$F$414</definedName>
    <definedName name="input_wld_az1_rack5_host10_vrms_ip">'Name &amp; IP Address Inputs - Rack'!$F$431</definedName>
    <definedName name="input_wld_az1_rack5_host11_function">'SDDC Inputs - Rack'!$D$243</definedName>
    <definedName name="input_wld_az1_rack5_host11_hostname">'Name &amp; IP Address Inputs - Rack'!$D$415</definedName>
    <definedName name="input_wld_az1_rack5_host11_mgmt_ip">'Name &amp; IP Address Inputs - Rack'!$F$415</definedName>
    <definedName name="input_wld_az1_rack5_host11_vrms_ip">'Name &amp; IP Address Inputs - Rack'!$F$432</definedName>
    <definedName name="input_wld_az1_rack5_host12_function">'SDDC Inputs - Rack'!$D$244</definedName>
    <definedName name="input_wld_az1_rack5_host12_hostname">'Name &amp; IP Address Inputs - Rack'!$D$416</definedName>
    <definedName name="input_wld_az1_rack5_host12_mgmt_ip">'Name &amp; IP Address Inputs - Rack'!$F$416</definedName>
    <definedName name="input_wld_az1_rack5_host12_vrms_ip">'Name &amp; IP Address Inputs - Rack'!$F$433</definedName>
    <definedName name="input_wld_az1_rack5_host13_function">'SDDC Inputs - Rack'!$D$245</definedName>
    <definedName name="input_wld_az1_rack5_host13_hostname">'Name &amp; IP Address Inputs - Rack'!$D$417</definedName>
    <definedName name="input_wld_az1_rack5_host13_mgmt_ip">'Name &amp; IP Address Inputs - Rack'!$F$417</definedName>
    <definedName name="input_wld_az1_rack5_host13_vrms_ip">'Name &amp; IP Address Inputs - Rack'!$F$434</definedName>
    <definedName name="input_wld_az1_rack5_host14_function">'SDDC Inputs - Rack'!$D$246</definedName>
    <definedName name="input_wld_az1_rack5_host14_hostname">'Name &amp; IP Address Inputs - Rack'!$D$418</definedName>
    <definedName name="input_wld_az1_rack5_host14_mgmt_ip">'Name &amp; IP Address Inputs - Rack'!$F$418</definedName>
    <definedName name="input_wld_az1_rack5_host14_vrms_ip">'Name &amp; IP Address Inputs - Rack'!$F$435</definedName>
    <definedName name="input_wld_az1_rack5_host15_function">'SDDC Inputs - Rack'!$D$247</definedName>
    <definedName name="input_wld_az1_rack5_host15_hostname">'Name &amp; IP Address Inputs - Rack'!$D$419</definedName>
    <definedName name="input_wld_az1_rack5_host15_mgmt_ip">'Name &amp; IP Address Inputs - Rack'!$F$419</definedName>
    <definedName name="input_wld_az1_rack5_host15_vrms_ip">'Name &amp; IP Address Inputs - Rack'!$F$436</definedName>
    <definedName name="input_wld_az1_rack5_host16_function">'SDDC Inputs - Rack'!$D$248</definedName>
    <definedName name="input_wld_az1_rack5_host16_hostname">'Name &amp; IP Address Inputs - Rack'!$D$420</definedName>
    <definedName name="input_wld_az1_rack5_host16_mgmt_ip">'Name &amp; IP Address Inputs - Rack'!$F$420</definedName>
    <definedName name="input_wld_az1_rack5_host16_vrms_ip">'Name &amp; IP Address Inputs - Rack'!$F$437</definedName>
    <definedName name="input_wld_az1_rack5_host2_function">'SDDC Inputs - Rack'!$D$234</definedName>
    <definedName name="input_wld_az1_rack5_host2_hostname">'Name &amp; IP Address Inputs - Rack'!$D$406</definedName>
    <definedName name="input_wld_az1_rack5_host2_mgmt_ip">'Name &amp; IP Address Inputs - Rack'!$F$406</definedName>
    <definedName name="input_wld_az1_rack5_host2_vrms_ip">'Name &amp; IP Address Inputs - Rack'!$F$423</definedName>
    <definedName name="input_wld_az1_rack5_host3_function">'SDDC Inputs - Rack'!$D$235</definedName>
    <definedName name="input_wld_az1_rack5_host3_hostname">'Name &amp; IP Address Inputs - Rack'!$D$407</definedName>
    <definedName name="input_wld_az1_rack5_host3_mgmt_ip">'Name &amp; IP Address Inputs - Rack'!$F$407</definedName>
    <definedName name="input_wld_az1_rack5_host3_vrms_ip">'Name &amp; IP Address Inputs - Rack'!$F$424</definedName>
    <definedName name="input_wld_az1_rack5_host4_function">'SDDC Inputs - Rack'!$D$236</definedName>
    <definedName name="input_wld_az1_rack5_host4_hostname">'Name &amp; IP Address Inputs - Rack'!$D$408</definedName>
    <definedName name="input_wld_az1_rack5_host4_mgmt_ip">'Name &amp; IP Address Inputs - Rack'!$F$408</definedName>
    <definedName name="input_wld_az1_rack5_host4_vrms_ip">'Name &amp; IP Address Inputs - Rack'!$F$425</definedName>
    <definedName name="input_wld_az1_rack5_host5_function">'SDDC Inputs - Rack'!$D$237</definedName>
    <definedName name="input_wld_az1_rack5_host5_hostname">'Name &amp; IP Address Inputs - Rack'!$D$409</definedName>
    <definedName name="input_wld_az1_rack5_host5_mgmt_ip">'Name &amp; IP Address Inputs - Rack'!$F$409</definedName>
    <definedName name="input_wld_az1_rack5_host5_vrms_ip">'Name &amp; IP Address Inputs - Rack'!$F$426</definedName>
    <definedName name="input_wld_az1_rack5_host6_function">'SDDC Inputs - Rack'!$D$238</definedName>
    <definedName name="input_wld_az1_rack5_host6_hostname">'Name &amp; IP Address Inputs - Rack'!$D$410</definedName>
    <definedName name="input_wld_az1_rack5_host6_mgmt_ip">'Name &amp; IP Address Inputs - Rack'!$F$410</definedName>
    <definedName name="input_wld_az1_rack5_host6_vrms_ip">'Name &amp; IP Address Inputs - Rack'!$F$427</definedName>
    <definedName name="input_wld_az1_rack5_host7_function">'SDDC Inputs - Rack'!$D$239</definedName>
    <definedName name="input_wld_az1_rack5_host7_hostname">'Name &amp; IP Address Inputs - Rack'!$D$411</definedName>
    <definedName name="input_wld_az1_rack5_host7_mgmt_ip">'Name &amp; IP Address Inputs - Rack'!$F$411</definedName>
    <definedName name="input_wld_az1_rack5_host7_vrms_ip">'Name &amp; IP Address Inputs - Rack'!$F$428</definedName>
    <definedName name="input_wld_az1_rack5_host8_function">'SDDC Inputs - Rack'!$D$240</definedName>
    <definedName name="input_wld_az1_rack5_host8_hostname">'Name &amp; IP Address Inputs - Rack'!$D$412</definedName>
    <definedName name="input_wld_az1_rack5_host8_mgmt_ip">'Name &amp; IP Address Inputs - Rack'!$F$412</definedName>
    <definedName name="input_wld_az1_rack5_host8_vrms_ip">'Name &amp; IP Address Inputs - Rack'!$F$429</definedName>
    <definedName name="input_wld_az1_rack5_host9_function">'SDDC Inputs - Rack'!$D$241</definedName>
    <definedName name="input_wld_az1_rack5_host9_hostname">'Name &amp; IP Address Inputs - Rack'!$D$413</definedName>
    <definedName name="input_wld_az1_rack5_host9_mgmt_ip">'Name &amp; IP Address Inputs - Rack'!$F$413</definedName>
    <definedName name="input_wld_az1_rack5_host9_vrms_ip">'Name &amp; IP Address Inputs - Rack'!$F$430</definedName>
    <definedName name="input_wld_az1_rack5_mgmt_cidr">'Network Inputs - Rack'!$F$197</definedName>
    <definedName name="input_wld_az1_rack5_mgmt_gateway_ip">'Network Inputs - Rack'!$H$197</definedName>
    <definedName name="input_wld_az1_rack5_mgmt_mtu">'Network Inputs - Rack'!$J$197</definedName>
    <definedName name="input_wld_az1_rack5_mgmt_vlan">'Network Inputs - Rack'!$D$197</definedName>
    <definedName name="input_wld_az1_rack5_mgmt_vm_cidr">'Network Inputs - Rack'!$F$196</definedName>
    <definedName name="input_wld_az1_rack5_mgmt_vm_gateway_ip">'Network Inputs - Rack'!$H$196</definedName>
    <definedName name="input_wld_az1_rack5_mgmt_vm_mtu">'Network Inputs - Rack'!$J$196</definedName>
    <definedName name="input_wld_az1_rack5_mgmt_vm_vlan">'Network Inputs - Rack'!$D$196</definedName>
    <definedName name="input_wld_az1_rack5_pool_name">'SDDC Inputs - Rack'!$D$222</definedName>
    <definedName name="input_wld_az1_rack5_principal_storage_cidr">'Network Inputs - Rack'!$F$199</definedName>
    <definedName name="input_wld_az1_rack5_principal_storage_gateway_ip">'Network Inputs - Rack'!$H$199</definedName>
    <definedName name="input_wld_az1_rack5_principal_storage_mtu">'Network Inputs - Rack'!$J$199</definedName>
    <definedName name="input_wld_az1_rack5_principal_storage_pool_end_ip">'Name &amp; IP Address Inputs - Rack'!$F$450</definedName>
    <definedName name="input_wld_az1_rack5_principal_storage_pool_start_ip">'Name &amp; IP Address Inputs - Rack'!$F$449</definedName>
    <definedName name="input_wld_az1_rack5_principal_storage_vlan">'Network Inputs - Rack'!$D$199</definedName>
    <definedName name="input_wld_az1_rack5_rtep_ip_pool_name">'SDDC Inputs - Rack'!$D$227</definedName>
    <definedName name="input_wld_az1_rack5_rtep_overlay_cidr">'Network Inputs - Rack'!$F$206</definedName>
    <definedName name="input_wld_az1_rack5_rtep_overlay_gateway_ip">'Network Inputs - Rack'!$H$206</definedName>
    <definedName name="input_wld_az1_rack5_rtep_overlay_mtu">'Network Inputs - Rack'!$J$206</definedName>
    <definedName name="input_wld_az1_rack5_rtep_overlay_pool_end_ip">'Name &amp; IP Address Inputs - Rack'!$F$458</definedName>
    <definedName name="input_wld_az1_rack5_rtep_overlay_pool_start_ip">'Name &amp; IP Address Inputs - Rack'!$F$457</definedName>
    <definedName name="input_wld_az1_rack5_rtep_overlay_vlan">'Network Inputs - Rack'!$D$206</definedName>
    <definedName name="input_wld_az1_rack5_secondary_storage_cidr">'Network Inputs - Rack'!$F$201</definedName>
    <definedName name="input_wld_az1_rack5_secondary_storage_gateway_ip">'Network Inputs - Rack'!$H$201</definedName>
    <definedName name="input_wld_az1_rack5_secondary_storage_mtu">'Network Inputs - Rack'!$J$201</definedName>
    <definedName name="input_wld_az1_rack5_secondary_storage_pool_end_ip">'Name &amp; IP Address Inputs - Rack'!$F$454</definedName>
    <definedName name="input_wld_az1_rack5_secondary_storage_pool_start_ip">'Name &amp; IP Address Inputs - Rack'!$F$453</definedName>
    <definedName name="input_wld_az1_rack5_secondary_storage_vlan">'Network Inputs - Rack'!$D$201</definedName>
    <definedName name="input_wld_az1_rack5_tor1_peer_asn">'Network Inputs - Rack'!$D$212</definedName>
    <definedName name="input_wld_az1_rack5_tor1_peer_bgp_password">'Network Inputs - Rack'!$D$213</definedName>
    <definedName name="input_wld_az1_rack5_tor1_peer_ip">'Network Inputs - Rack'!$D$211</definedName>
    <definedName name="input_wld_az1_rack5_tor2_peer_asn">'Network Inputs - Rack'!$D$215</definedName>
    <definedName name="input_wld_az1_rack5_tor2_peer_bgp_password">'Network Inputs - Rack'!$D$216</definedName>
    <definedName name="input_wld_az1_rack5_tor2_peer_ip">'Network Inputs - Rack'!$D$214</definedName>
    <definedName name="input_wld_az1_rack5_uplink01_cidr">'Network Inputs - Rack'!$F$203</definedName>
    <definedName name="input_wld_az1_rack5_uplink01_gateway_ip">'Network Inputs - Rack'!$H$203</definedName>
    <definedName name="input_wld_az1_rack5_uplink01_mtu">'Network Inputs - Rack'!$J$203</definedName>
    <definedName name="input_wld_az1_rack5_uplink01_pg">'SDDC Inputs - Rack'!$D$220</definedName>
    <definedName name="input_wld_az1_rack5_uplink01_vlan">'Network Inputs - Rack'!$D$203</definedName>
    <definedName name="input_wld_az1_rack5_uplink02_cidr">'Network Inputs - Rack'!$F$204</definedName>
    <definedName name="input_wld_az1_rack5_uplink02_gateway_ip">'Network Inputs - Rack'!$H$204</definedName>
    <definedName name="input_wld_az1_rack5_uplink02_mtu">'Network Inputs - Rack'!$J$204</definedName>
    <definedName name="input_wld_az1_rack5_uplink02_pg">'SDDC Inputs - Rack'!$D$221</definedName>
    <definedName name="input_wld_az1_rack5_uplink02_vlan">'Network Inputs - Rack'!$D$204</definedName>
    <definedName name="input_wld_az1_rack5_vmotion_cidr">'Network Inputs - Rack'!$F$198</definedName>
    <definedName name="input_wld_az1_rack5_vmotion_gateway_ip">'Network Inputs - Rack'!$H$198</definedName>
    <definedName name="input_wld_az1_rack5_vmotion_mtu">'Network Inputs - Rack'!$J$198</definedName>
    <definedName name="input_wld_az1_rack5_vmotion_pool_end_ip">'Name &amp; IP Address Inputs - Rack'!$F$448</definedName>
    <definedName name="input_wld_az1_rack5_vmotion_pool_start_ip">'Name &amp; IP Address Inputs - Rack'!$F$447</definedName>
    <definedName name="input_wld_az1_rack5_vmotion_vlan">'Network Inputs - Rack'!$D$198</definedName>
    <definedName name="input_wld_az1_rack5_vrms_cidr">'Network Inputs - Rack'!$F$202</definedName>
    <definedName name="input_wld_az1_rack5_vrms_gateway_ip">'Network Inputs - Rack'!$H$202</definedName>
    <definedName name="input_wld_az1_rack5_vrms_mtu">'Network Inputs - Rack'!$J$202</definedName>
    <definedName name="input_wld_az1_rack5_vrms_vlan">'Network Inputs - Rack'!$D$202</definedName>
    <definedName name="input_wld_az1_rack5_vsan_fault_domain">'SDDC Inputs - Rack'!$D$230</definedName>
    <definedName name="input_wld_az1_rack6_child_dns_zone">'Name &amp; IP Address Inputs - Rack'!$E$462</definedName>
    <definedName name="input_wld_az1_rack6_edge_overlay_cidr">'Network Inputs - Rack'!$F$230</definedName>
    <definedName name="input_wld_az1_rack6_edge_overlay_gateway_ip">'Network Inputs - Rack'!$H$230</definedName>
    <definedName name="input_wld_az1_rack6_edge_overlay_mtu">'Network Inputs - Rack'!$J$230</definedName>
    <definedName name="input_wld_az1_rack6_edge_overlay_network_pool_name">'SDDC Inputs - Rack'!$D$259</definedName>
    <definedName name="input_wld_az1_rack6_edge_overlay_pool_end_ip">'Name &amp; IP Address Inputs - Rack'!$F$515</definedName>
    <definedName name="input_wld_az1_rack6_edge_overlay_pool_start_ip">'Name &amp; IP Address Inputs - Rack'!$F$514</definedName>
    <definedName name="input_wld_az1_rack6_edge_overlay_vlan">'Network Inputs - Rack'!$D$230</definedName>
    <definedName name="input_wld_az1_rack6_en1_hostname">'Name &amp; IP Address Inputs - Rack'!$D$499</definedName>
    <definedName name="input_wld_az1_rack6_en1_mgmt_ip">'Name &amp; IP Address Inputs - Rack'!$F$499</definedName>
    <definedName name="input_wld_az1_rack6_en1_uplink01_interface_ip">'Name &amp; IP Address Inputs - Rack'!$F$500</definedName>
    <definedName name="input_wld_az1_rack6_en1_uplink02_interface_ip">'Name &amp; IP Address Inputs - Rack'!$F$501</definedName>
    <definedName name="input_wld_az1_rack6_en2_hostname">'Name &amp; IP Address Inputs - Rack'!$D$502</definedName>
    <definedName name="input_wld_az1_rack6_en2_mgmt_ip">'Name &amp; IP Address Inputs - Rack'!$F$502</definedName>
    <definedName name="input_wld_az1_rack6_en2_uplink01_interface_ip">'Name &amp; IP Address Inputs - Rack'!$F$503</definedName>
    <definedName name="input_wld_az1_rack6_en2_uplink02_interface_ip">'Name &amp; IP Address Inputs - Rack'!$F$504</definedName>
    <definedName name="input_wld_az1_rack6_host_functions">'Value Reference Tables - MR'!$U$215:$U$230</definedName>
    <definedName name="input_wld_az1_rack6_host_overlay_cidr">'Network Inputs - Rack'!$F$225</definedName>
    <definedName name="input_wld_az1_rack6_host_overlay_gateway_ip">'Network Inputs - Rack'!$H$225</definedName>
    <definedName name="input_wld_az1_rack6_host_overlay_mtu">'Network Inputs - Rack'!$J$225</definedName>
    <definedName name="input_wld_az1_rack6_host_overlay_network_pool_name">'SDDC Inputs - Rack'!$D$257</definedName>
    <definedName name="input_wld_az1_rack6_host_overlay_network_profile_name">'SDDC Inputs - Rack'!$D$256</definedName>
    <definedName name="input_wld_az1_rack6_host_overlay_pool_end_ip">'Name &amp; IP Address Inputs - Rack'!$F$511</definedName>
    <definedName name="input_wld_az1_rack6_host_overlay_pool_start_ip">'Name &amp; IP Address Inputs - Rack'!$F$510</definedName>
    <definedName name="input_wld_az1_rack6_host_overlay_uplink_profile_name">'SDDC Inputs - Rack'!$D$258</definedName>
    <definedName name="input_wld_az1_rack6_host_overlay_vlan">'Network Inputs - Rack'!$D$225</definedName>
    <definedName name="input_wld_az1_rack6_host1_function">'SDDC Inputs - Rack'!$D$266</definedName>
    <definedName name="input_wld_az1_rack6_host1_hostname">'Name &amp; IP Address Inputs - Rack'!$D$465</definedName>
    <definedName name="input_wld_az1_rack6_host1_mgmt_ip">'Name &amp; IP Address Inputs - Rack'!$F$465</definedName>
    <definedName name="input_wld_az1_rack6_host1_vrms_ip">'Name &amp; IP Address Inputs - Rack'!$F$482</definedName>
    <definedName name="input_wld_az1_rack6_host10_function">'SDDC Inputs - Rack'!$D$275</definedName>
    <definedName name="input_wld_az1_rack6_host10_hostname">'Name &amp; IP Address Inputs - Rack'!$D$474</definedName>
    <definedName name="input_wld_az1_rack6_host10_mgmt_ip">'Name &amp; IP Address Inputs - Rack'!$F$474</definedName>
    <definedName name="input_wld_az1_rack6_host10_vrms_ip">'Name &amp; IP Address Inputs - Rack'!$F$491</definedName>
    <definedName name="input_wld_az1_rack6_host11_function">'SDDC Inputs - Rack'!$D$276</definedName>
    <definedName name="input_wld_az1_rack6_host11_hostname">'Name &amp; IP Address Inputs - Rack'!$D$475</definedName>
    <definedName name="input_wld_az1_rack6_host11_mgmt_ip">'Name &amp; IP Address Inputs - Rack'!$F$475</definedName>
    <definedName name="input_wld_az1_rack6_host11_vrms_ip">'Name &amp; IP Address Inputs - Rack'!$F$492</definedName>
    <definedName name="input_wld_az1_rack6_host12_function">'SDDC Inputs - Rack'!$D$277</definedName>
    <definedName name="input_wld_az1_rack6_host12_hostname">'Name &amp; IP Address Inputs - Rack'!$D$476</definedName>
    <definedName name="input_wld_az1_rack6_host12_mgmt_ip">'Name &amp; IP Address Inputs - Rack'!$F$476</definedName>
    <definedName name="input_wld_az1_rack6_host12_vrms_ip">'Name &amp; IP Address Inputs - Rack'!$F$493</definedName>
    <definedName name="input_wld_az1_rack6_host13_function">'SDDC Inputs - Rack'!$D$278</definedName>
    <definedName name="input_wld_az1_rack6_host13_hostname">'Name &amp; IP Address Inputs - Rack'!$D$477</definedName>
    <definedName name="input_wld_az1_rack6_host13_mgmt_ip">'Name &amp; IP Address Inputs - Rack'!$F$477</definedName>
    <definedName name="input_wld_az1_rack6_host13_vrms_ip">'Name &amp; IP Address Inputs - Rack'!$F$494</definedName>
    <definedName name="input_wld_az1_rack6_host14_function">'SDDC Inputs - Rack'!$D$279</definedName>
    <definedName name="input_wld_az1_rack6_host14_hostname">'Name &amp; IP Address Inputs - Rack'!$D$478</definedName>
    <definedName name="input_wld_az1_rack6_host14_mgmt_ip">'Name &amp; IP Address Inputs - Rack'!$F$478</definedName>
    <definedName name="input_wld_az1_rack6_host14_vrms_ip">'Name &amp; IP Address Inputs - Rack'!$F$495</definedName>
    <definedName name="input_wld_az1_rack6_host15_function">'SDDC Inputs - Rack'!$D$280</definedName>
    <definedName name="input_wld_az1_rack6_host15_hostname">'Name &amp; IP Address Inputs - Rack'!$D$479</definedName>
    <definedName name="input_wld_az1_rack6_host15_mgmt_ip">'Name &amp; IP Address Inputs - Rack'!$F$479</definedName>
    <definedName name="input_wld_az1_rack6_host15_vrms_ip">'Name &amp; IP Address Inputs - Rack'!$F$496</definedName>
    <definedName name="input_wld_az1_rack6_host16_function">'SDDC Inputs - Rack'!$D$281</definedName>
    <definedName name="input_wld_az1_rack6_host16_hostname">'Name &amp; IP Address Inputs - Rack'!$D$480</definedName>
    <definedName name="input_wld_az1_rack6_host16_mgmt_ip">'Name &amp; IP Address Inputs - Rack'!$F$480</definedName>
    <definedName name="input_wld_az1_rack6_host16_vrms_ip">'Name &amp; IP Address Inputs - Rack'!$F$497</definedName>
    <definedName name="input_wld_az1_rack6_host2_function">'SDDC Inputs - Rack'!$D$267</definedName>
    <definedName name="input_wld_az1_rack6_host2_hostname">'Name &amp; IP Address Inputs - Rack'!$D$466</definedName>
    <definedName name="input_wld_az1_rack6_host2_mgmt_ip">'Name &amp; IP Address Inputs - Rack'!$F$466</definedName>
    <definedName name="input_wld_az1_rack6_host2_vrms_ip">'Name &amp; IP Address Inputs - Rack'!$F$483</definedName>
    <definedName name="input_wld_az1_rack6_host3_function">'SDDC Inputs - Rack'!$D$268</definedName>
    <definedName name="input_wld_az1_rack6_host3_hostname">'Name &amp; IP Address Inputs - Rack'!$D$467</definedName>
    <definedName name="input_wld_az1_rack6_host3_mgmt_ip">'Name &amp; IP Address Inputs - Rack'!$F$467</definedName>
    <definedName name="input_wld_az1_rack6_host3_vrms_ip">'Name &amp; IP Address Inputs - Rack'!$F$484</definedName>
    <definedName name="input_wld_az1_rack6_host4_function">'SDDC Inputs - Rack'!$D$269</definedName>
    <definedName name="input_wld_az1_rack6_host4_hostname">'Name &amp; IP Address Inputs - Rack'!$D$468</definedName>
    <definedName name="input_wld_az1_rack6_host4_mgmt_ip">'Name &amp; IP Address Inputs - Rack'!$F$468</definedName>
    <definedName name="input_wld_az1_rack6_host4_vrms_ip">'Name &amp; IP Address Inputs - Rack'!$F$485</definedName>
    <definedName name="input_wld_az1_rack6_host5_function">'SDDC Inputs - Rack'!$D$270</definedName>
    <definedName name="input_wld_az1_rack6_host5_hostname">'Name &amp; IP Address Inputs - Rack'!$D$469</definedName>
    <definedName name="input_wld_az1_rack6_host5_mgmt_ip">'Name &amp; IP Address Inputs - Rack'!$F$469</definedName>
    <definedName name="input_wld_az1_rack6_host5_vrms_ip">'Name &amp; IP Address Inputs - Rack'!$F$486</definedName>
    <definedName name="input_wld_az1_rack6_host6_function">'SDDC Inputs - Rack'!$D$271</definedName>
    <definedName name="input_wld_az1_rack6_host6_hostname">'Name &amp; IP Address Inputs - Rack'!$D$470</definedName>
    <definedName name="input_wld_az1_rack6_host6_mgmt_ip">'Name &amp; IP Address Inputs - Rack'!$F$470</definedName>
    <definedName name="input_wld_az1_rack6_host6_vrms_ip">'Name &amp; IP Address Inputs - Rack'!$F$487</definedName>
    <definedName name="input_wld_az1_rack6_host7_function">'SDDC Inputs - Rack'!$D$272</definedName>
    <definedName name="input_wld_az1_rack6_host7_hostname">'Name &amp; IP Address Inputs - Rack'!$D$471</definedName>
    <definedName name="input_wld_az1_rack6_host7_mgmt_ip">'Name &amp; IP Address Inputs - Rack'!$F$471</definedName>
    <definedName name="input_wld_az1_rack6_host7_vrms_ip">'Name &amp; IP Address Inputs - Rack'!$F$488</definedName>
    <definedName name="input_wld_az1_rack6_host8_function">'SDDC Inputs - Rack'!$D$273</definedName>
    <definedName name="input_wld_az1_rack6_host8_hostname">'Name &amp; IP Address Inputs - Rack'!$D$472</definedName>
    <definedName name="input_wld_az1_rack6_host8_mgmt_ip">'Name &amp; IP Address Inputs - Rack'!$F$472</definedName>
    <definedName name="input_wld_az1_rack6_host8_vrms_ip">'Name &amp; IP Address Inputs - Rack'!$F$489</definedName>
    <definedName name="input_wld_az1_rack6_host9_function">'SDDC Inputs - Rack'!$D$274</definedName>
    <definedName name="input_wld_az1_rack6_host9_hostname">'Name &amp; IP Address Inputs - Rack'!$D$473</definedName>
    <definedName name="input_wld_az1_rack6_host9_mgmt_ip">'Name &amp; IP Address Inputs - Rack'!$F$473</definedName>
    <definedName name="input_wld_az1_rack6_host9_vrms_ip">'Name &amp; IP Address Inputs - Rack'!$F$490</definedName>
    <definedName name="input_wld_az1_rack6_mgmt_cidr">'Network Inputs - Rack'!$F$222</definedName>
    <definedName name="input_wld_az1_rack6_mgmt_gateway_ip">'Network Inputs - Rack'!$H$222</definedName>
    <definedName name="input_wld_az1_rack6_mgmt_mtu">'Network Inputs - Rack'!$J$222</definedName>
    <definedName name="input_wld_az1_rack6_mgmt_vlan">'Network Inputs - Rack'!$D$222</definedName>
    <definedName name="input_wld_az1_rack6_mgmt_vm_cidr">'Network Inputs - Rack'!$F$221</definedName>
    <definedName name="input_wld_az1_rack6_mgmt_vm_gateway_ip">'Network Inputs - Rack'!$H$221</definedName>
    <definedName name="input_wld_az1_rack6_mgmt_vm_mtu">'Network Inputs - Rack'!$J$221</definedName>
    <definedName name="input_wld_az1_rack6_mgmt_vm_vlan">'Network Inputs - Rack'!$D$221</definedName>
    <definedName name="input_wld_az1_rack6_pool_name">'SDDC Inputs - Rack'!$D$255</definedName>
    <definedName name="input_wld_az1_rack6_principal_storage_cidr">'Network Inputs - Rack'!$F$224</definedName>
    <definedName name="input_wld_az1_rack6_principal_storage_gateway_ip">'Network Inputs - Rack'!$H$224</definedName>
    <definedName name="input_wld_az1_rack6_principal_storage_mtu">'Network Inputs - Rack'!$J$224</definedName>
    <definedName name="input_wld_az1_rack6_principal_storage_pool_end_ip">'Name &amp; IP Address Inputs - Rack'!$F$509</definedName>
    <definedName name="input_wld_az1_rack6_principal_storage_pool_start_ip">'Name &amp; IP Address Inputs - Rack'!$F$508</definedName>
    <definedName name="input_wld_az1_rack6_principal_storage_vlan">'Network Inputs - Rack'!$D$224</definedName>
    <definedName name="input_wld_az1_rack6_rtep_ip_pool_name">'SDDC Inputs - Rack'!$D$260</definedName>
    <definedName name="input_wld_az1_rack6_rtep_overlay_cidr">'Network Inputs - Rack'!$F$231</definedName>
    <definedName name="input_wld_az1_rack6_rtep_overlay_gateway_ip">'Network Inputs - Rack'!$H$231</definedName>
    <definedName name="input_wld_az1_rack6_rtep_overlay_mtu">'Network Inputs - Rack'!$J$231</definedName>
    <definedName name="input_wld_az1_rack6_rtep_overlay_pool_end_ip">'Name &amp; IP Address Inputs - Rack'!$F$517</definedName>
    <definedName name="input_wld_az1_rack6_rtep_overlay_pool_start_ip">'Name &amp; IP Address Inputs - Rack'!$F$516</definedName>
    <definedName name="input_wld_az1_rack6_rtep_overlay_vlan">'Network Inputs - Rack'!$D$231</definedName>
    <definedName name="input_wld_az1_rack6_secondary_storage_cidr">'Network Inputs - Rack'!$F$226</definedName>
    <definedName name="input_wld_az1_rack6_secondary_storage_gateway_ip">'Network Inputs - Rack'!$H$226</definedName>
    <definedName name="input_wld_az1_rack6_secondary_storage_mtu">'Network Inputs - Rack'!$J$226</definedName>
    <definedName name="input_wld_az1_rack6_secondary_storage_pool_end_ip">'Name &amp; IP Address Inputs - Rack'!$F$513</definedName>
    <definedName name="input_wld_az1_rack6_secondary_storage_pool_start_ip">'Name &amp; IP Address Inputs - Rack'!$F$512</definedName>
    <definedName name="input_wld_az1_rack6_secondary_storage_vlan">'Network Inputs - Rack'!$D$226</definedName>
    <definedName name="input_wld_az1_rack6_tor1_peer_asn">'Network Inputs - Rack'!$D$237</definedName>
    <definedName name="input_wld_az1_rack6_tor1_peer_bgp_password">'Network Inputs - Rack'!$D$238</definedName>
    <definedName name="input_wld_az1_rack6_tor1_peer_ip">'Network Inputs - Rack'!$D$236</definedName>
    <definedName name="input_wld_az1_rack6_tor2_peer_asn">'Network Inputs - Rack'!$D$240</definedName>
    <definedName name="input_wld_az1_rack6_tor2_peer_bgp_password">'Network Inputs - Rack'!$D$241</definedName>
    <definedName name="input_wld_az1_rack6_tor2_peer_ip">'Network Inputs - Rack'!$D$239</definedName>
    <definedName name="input_wld_az1_rack6_uplink01_cidr">'Network Inputs - Rack'!$F$228</definedName>
    <definedName name="input_wld_az1_rack6_uplink01_gateway_ip">'Network Inputs - Rack'!$H$228</definedName>
    <definedName name="input_wld_az1_rack6_uplink01_mtu">'Network Inputs - Rack'!$J$228</definedName>
    <definedName name="input_wld_az1_rack6_uplink01_pg">'SDDC Inputs - Rack'!$D$253</definedName>
    <definedName name="input_wld_az1_rack6_uplink01_vlan">'Network Inputs - Rack'!$D$228</definedName>
    <definedName name="input_wld_az1_rack6_uplink02_cidr">'Network Inputs - Rack'!$F$229</definedName>
    <definedName name="input_wld_az1_rack6_uplink02_gateway_ip">'Network Inputs - Rack'!$H$229</definedName>
    <definedName name="input_wld_az1_rack6_uplink02_mtu">'Network Inputs - Rack'!$J$229</definedName>
    <definedName name="input_wld_az1_rack6_uplink02_pg">'SDDC Inputs - Rack'!$D$254</definedName>
    <definedName name="input_wld_az1_rack6_uplink02_vlan">'Network Inputs - Rack'!$D$229</definedName>
    <definedName name="input_wld_az1_rack6_vmotion_cidr">'Network Inputs - Rack'!$F$223</definedName>
    <definedName name="input_wld_az1_rack6_vmotion_gateway_ip">'Network Inputs - Rack'!$H$223</definedName>
    <definedName name="input_wld_az1_rack6_vmotion_mtu">'Network Inputs - Rack'!$J$223</definedName>
    <definedName name="input_wld_az1_rack6_vmotion_pool_end_ip">'Name &amp; IP Address Inputs - Rack'!$F$507</definedName>
    <definedName name="input_wld_az1_rack6_vmotion_pool_start_ip">'Name &amp; IP Address Inputs - Rack'!$F$506</definedName>
    <definedName name="input_wld_az1_rack6_vmotion_vlan">'Network Inputs - Rack'!$D$223</definedName>
    <definedName name="input_wld_az1_rack6_vrms_cidr">'Network Inputs - Rack'!$F$227</definedName>
    <definedName name="input_wld_az1_rack6_vrms_gateway_ip">'Network Inputs - Rack'!$H$227</definedName>
    <definedName name="input_wld_az1_rack6_vrms_mtu">'Network Inputs - Rack'!$J$227</definedName>
    <definedName name="input_wld_az1_rack6_vrms_vlan">'Network Inputs - Rack'!$D$227</definedName>
    <definedName name="input_wld_az1_rack6_vsan_fault_domain">'SDDC Inputs - Rack'!$D$263</definedName>
    <definedName name="input_wld_az1_rack7_child_dns_zone">'Name &amp; IP Address Inputs - Rack'!$E$521</definedName>
    <definedName name="input_wld_az1_rack7_edge_overlay_cidr">'Network Inputs - Rack'!$F$255</definedName>
    <definedName name="input_wld_az1_rack7_edge_overlay_gateway_ip">'Network Inputs - Rack'!$H$255</definedName>
    <definedName name="input_wld_az1_rack7_edge_overlay_mtu">'Network Inputs - Rack'!$J$255</definedName>
    <definedName name="input_wld_az1_rack7_edge_overlay_network_pool_name">'SDDC Inputs - Rack'!$D$292</definedName>
    <definedName name="input_wld_az1_rack7_edge_overlay_pool_end_ip">'Name &amp; IP Address Inputs - Rack'!$F$575</definedName>
    <definedName name="input_wld_az1_rack7_edge_overlay_pool_start_ip">'Name &amp; IP Address Inputs - Rack'!$F$574</definedName>
    <definedName name="input_wld_az1_rack7_edge_overlay_vlan">'Network Inputs - Rack'!$D$255</definedName>
    <definedName name="input_wld_az1_rack7_en1_hostname">'Name &amp; IP Address Inputs - Rack'!$D$558</definedName>
    <definedName name="input_wld_az1_rack7_en1_mgmt_ip">'Name &amp; IP Address Inputs - Rack'!$F$558</definedName>
    <definedName name="input_wld_az1_rack7_en1_uplink01_interface_ip">'Name &amp; IP Address Inputs - Rack'!$F$559</definedName>
    <definedName name="input_wld_az1_rack7_en1_uplink02_interface_ip">'Name &amp; IP Address Inputs - Rack'!$F$560</definedName>
    <definedName name="input_wld_az1_rack7_en2_hostname">'Name &amp; IP Address Inputs - Rack'!$D$561</definedName>
    <definedName name="input_wld_az1_rack7_en2_mgmt_ip">'Name &amp; IP Address Inputs - Rack'!$F$561</definedName>
    <definedName name="input_wld_az1_rack7_en2_uplink01_interface_ip">'Name &amp; IP Address Inputs - Rack'!$F$562</definedName>
    <definedName name="input_wld_az1_rack7_en2_uplink02_interface_ip">'Name &amp; IP Address Inputs - Rack'!$F$563</definedName>
    <definedName name="input_wld_az1_rack7_host_functions">'Value Reference Tables - MR'!$X$215:$X$230</definedName>
    <definedName name="input_wld_az1_rack7_host_overlay_cidr">'Network Inputs - Rack'!$F$250</definedName>
    <definedName name="input_wld_az1_rack7_host_overlay_gateway_ip">'Network Inputs - Rack'!$H$250</definedName>
    <definedName name="input_wld_az1_rack7_host_overlay_mtu">'Network Inputs - Rack'!$J$250</definedName>
    <definedName name="input_wld_az1_rack7_host_overlay_network_pool_name">'SDDC Inputs - Rack'!$D$290</definedName>
    <definedName name="input_wld_az1_rack7_host_overlay_network_profile_name">'SDDC Inputs - Rack'!$D$289</definedName>
    <definedName name="input_wld_az1_rack7_host_overlay_pool_end_ip">'Name &amp; IP Address Inputs - Rack'!$F$571</definedName>
    <definedName name="input_wld_az1_rack7_host_overlay_pool_start_ip">'Name &amp; IP Address Inputs - Rack'!$F$570</definedName>
    <definedName name="input_wld_az1_rack7_host_overlay_uplink_profile_name">'SDDC Inputs - Rack'!$D$291</definedName>
    <definedName name="input_wld_az1_rack7_host_overlay_vlan">'Network Inputs - Rack'!$D$250</definedName>
    <definedName name="input_wld_az1_rack7_host1_function">'SDDC Inputs - Rack'!$D$299</definedName>
    <definedName name="input_wld_az1_rack7_host1_hostname">'Name &amp; IP Address Inputs - Rack'!$D$524</definedName>
    <definedName name="input_wld_az1_rack7_host1_mgmt_ip">'Name &amp; IP Address Inputs - Rack'!$F$524</definedName>
    <definedName name="input_wld_az1_rack7_host1_vrms_ip">'Name &amp; IP Address Inputs - Rack'!$F$541</definedName>
    <definedName name="input_wld_az1_rack7_host10_function">'SDDC Inputs - Rack'!$D$308</definedName>
    <definedName name="input_wld_az1_rack7_host10_hostname">'Name &amp; IP Address Inputs - Rack'!$D$533</definedName>
    <definedName name="input_wld_az1_rack7_host10_mgmt_ip">'Name &amp; IP Address Inputs - Rack'!$F$533</definedName>
    <definedName name="input_wld_az1_rack7_host10_vrms_ip">'Name &amp; IP Address Inputs - Rack'!$F$550</definedName>
    <definedName name="input_wld_az1_rack7_host11_function">'SDDC Inputs - Rack'!$D$309</definedName>
    <definedName name="input_wld_az1_rack7_host11_hostname">'Name &amp; IP Address Inputs - Rack'!$D$534</definedName>
    <definedName name="input_wld_az1_rack7_host11_mgmt_ip">'Name &amp; IP Address Inputs - Rack'!$F$534</definedName>
    <definedName name="input_wld_az1_rack7_host11_vrms_ip">'Name &amp; IP Address Inputs - Rack'!$F$551</definedName>
    <definedName name="input_wld_az1_rack7_host12_function">'SDDC Inputs - Rack'!$D$310</definedName>
    <definedName name="input_wld_az1_rack7_host12_hostname">'Name &amp; IP Address Inputs - Rack'!$D$535</definedName>
    <definedName name="input_wld_az1_rack7_host12_mgmt_ip">'Name &amp; IP Address Inputs - Rack'!$F$535</definedName>
    <definedName name="input_wld_az1_rack7_host12_vrms_ip">'Name &amp; IP Address Inputs - Rack'!$F$552</definedName>
    <definedName name="input_wld_az1_rack7_host13_function">'SDDC Inputs - Rack'!$D$311</definedName>
    <definedName name="input_wld_az1_rack7_host13_hostname">'Name &amp; IP Address Inputs - Rack'!$D$536</definedName>
    <definedName name="input_wld_az1_rack7_host13_mgmt_ip">'Name &amp; IP Address Inputs - Rack'!$F$536</definedName>
    <definedName name="input_wld_az1_rack7_host13_vrms_ip">'Name &amp; IP Address Inputs - Rack'!$F$553</definedName>
    <definedName name="input_wld_az1_rack7_host14_function">'SDDC Inputs - Rack'!$D$312</definedName>
    <definedName name="input_wld_az1_rack7_host14_hostname">'Name &amp; IP Address Inputs - Rack'!$D$537</definedName>
    <definedName name="input_wld_az1_rack7_host14_mgmt_ip">'Name &amp; IP Address Inputs - Rack'!$F$537</definedName>
    <definedName name="input_wld_az1_rack7_host14_vrms_ip">'Name &amp; IP Address Inputs - Rack'!$F$554</definedName>
    <definedName name="input_wld_az1_rack7_host15_function">'SDDC Inputs - Rack'!$D$313</definedName>
    <definedName name="input_wld_az1_rack7_host15_hostname">'Name &amp; IP Address Inputs - Rack'!$D$538</definedName>
    <definedName name="input_wld_az1_rack7_host15_mgmt_ip">'Name &amp; IP Address Inputs - Rack'!$F$538</definedName>
    <definedName name="input_wld_az1_rack7_host15_vrms_ip">'Name &amp; IP Address Inputs - Rack'!$F$555</definedName>
    <definedName name="input_wld_az1_rack7_host16_function">'SDDC Inputs - Rack'!$D$314</definedName>
    <definedName name="input_wld_az1_rack7_host16_hostname">'Name &amp; IP Address Inputs - Rack'!$D$539</definedName>
    <definedName name="input_wld_az1_rack7_host16_mgmt_ip">'Name &amp; IP Address Inputs - Rack'!$F$539</definedName>
    <definedName name="input_wld_az1_rack7_host16_vrms_ip">'Name &amp; IP Address Inputs - Rack'!$F$556</definedName>
    <definedName name="input_wld_az1_rack7_host2_function">'SDDC Inputs - Rack'!$D$300</definedName>
    <definedName name="input_wld_az1_rack7_host2_hostname">'Name &amp; IP Address Inputs - Rack'!$D$525</definedName>
    <definedName name="input_wld_az1_rack7_host2_mgmt_ip">'Name &amp; IP Address Inputs - Rack'!$F$525</definedName>
    <definedName name="input_wld_az1_rack7_host2_vrms_ip">'Name &amp; IP Address Inputs - Rack'!$F$542</definedName>
    <definedName name="input_wld_az1_rack7_host3_function">'SDDC Inputs - Rack'!$D$301</definedName>
    <definedName name="input_wld_az1_rack7_host3_hostname">'Name &amp; IP Address Inputs - Rack'!$D$526</definedName>
    <definedName name="input_wld_az1_rack7_host3_mgmt_ip">'Name &amp; IP Address Inputs - Rack'!$F$526</definedName>
    <definedName name="input_wld_az1_rack7_host3_vrms_ip">'Name &amp; IP Address Inputs - Rack'!$F$543</definedName>
    <definedName name="input_wld_az1_rack7_host4_function">'SDDC Inputs - Rack'!$D$302</definedName>
    <definedName name="input_wld_az1_rack7_host4_hostname">'Name &amp; IP Address Inputs - Rack'!$D$527</definedName>
    <definedName name="input_wld_az1_rack7_host4_mgmt_ip">'Name &amp; IP Address Inputs - Rack'!$F$527</definedName>
    <definedName name="input_wld_az1_rack7_host4_vrms_ip">'Name &amp; IP Address Inputs - Rack'!$F$544</definedName>
    <definedName name="input_wld_az1_rack7_host5_function">'SDDC Inputs - Rack'!$D$303</definedName>
    <definedName name="input_wld_az1_rack7_host5_hostname">'Name &amp; IP Address Inputs - Rack'!$D$528</definedName>
    <definedName name="input_wld_az1_rack7_host5_mgmt_ip">'Name &amp; IP Address Inputs - Rack'!$F$528</definedName>
    <definedName name="input_wld_az1_rack7_host5_vrms_ip">'Name &amp; IP Address Inputs - Rack'!$F$545</definedName>
    <definedName name="input_wld_az1_rack7_host6_function">'SDDC Inputs - Rack'!$D$304</definedName>
    <definedName name="input_wld_az1_rack7_host6_hostname">'Name &amp; IP Address Inputs - Rack'!$D$529</definedName>
    <definedName name="input_wld_az1_rack7_host6_mgmt_ip">'Name &amp; IP Address Inputs - Rack'!$F$529</definedName>
    <definedName name="input_wld_az1_rack7_host6_vrms_ip">'Name &amp; IP Address Inputs - Rack'!$F$546</definedName>
    <definedName name="input_wld_az1_rack7_host7_function">'SDDC Inputs - Rack'!$D$305</definedName>
    <definedName name="input_wld_az1_rack7_host7_hostname">'Name &amp; IP Address Inputs - Rack'!$D$530</definedName>
    <definedName name="input_wld_az1_rack7_host7_mgmt_ip">'Name &amp; IP Address Inputs - Rack'!$F$530</definedName>
    <definedName name="input_wld_az1_rack7_host7_vrms_ip">'Name &amp; IP Address Inputs - Rack'!$F$547</definedName>
    <definedName name="input_wld_az1_rack7_host8_function">'SDDC Inputs - Rack'!$D$306</definedName>
    <definedName name="input_wld_az1_rack7_host8_hostname">'Name &amp; IP Address Inputs - Rack'!$D$531</definedName>
    <definedName name="input_wld_az1_rack7_host8_mgmt_ip">'Name &amp; IP Address Inputs - Rack'!$F$531</definedName>
    <definedName name="input_wld_az1_rack7_host8_vrms_ip">'Name &amp; IP Address Inputs - Rack'!$F$548</definedName>
    <definedName name="input_wld_az1_rack7_host9_function">'SDDC Inputs - Rack'!$D$307</definedName>
    <definedName name="input_wld_az1_rack7_host9_hostname">'Name &amp; IP Address Inputs - Rack'!$D$532</definedName>
    <definedName name="input_wld_az1_rack7_host9_mgmt_ip">'Name &amp; IP Address Inputs - Rack'!$F$532</definedName>
    <definedName name="input_wld_az1_rack7_host9_vrms_ip">'Name &amp; IP Address Inputs - Rack'!$F$549</definedName>
    <definedName name="input_wld_az1_rack7_mgmt_cidr">'Network Inputs - Rack'!$F$247</definedName>
    <definedName name="input_wld_az1_rack7_mgmt_gateway_ip">'Network Inputs - Rack'!$H$247</definedName>
    <definedName name="input_wld_az1_rack7_mgmt_mtu">'Network Inputs - Rack'!$J$247</definedName>
    <definedName name="input_wld_az1_rack7_mgmt_vlan">'Network Inputs - Rack'!$D$247</definedName>
    <definedName name="input_wld_az1_rack7_mgmt_vm_cidr">'Network Inputs - Rack'!$F$246</definedName>
    <definedName name="input_wld_az1_rack7_mgmt_vm_gateway_ip">'Network Inputs - Rack'!$H$246</definedName>
    <definedName name="input_wld_az1_rack7_mgmt_vm_mtu">'Network Inputs - Rack'!$J$246</definedName>
    <definedName name="input_wld_az1_rack7_mgmt_vm_vlan">'Network Inputs - Rack'!$D$246</definedName>
    <definedName name="input_wld_az1_rack7_pool_name">'SDDC Inputs - Rack'!$D$288</definedName>
    <definedName name="input_wld_az1_rack7_principal_storage_cidr">'Network Inputs - Rack'!$F$249</definedName>
    <definedName name="input_wld_az1_rack7_principal_storage_gateway_ip">'Network Inputs - Rack'!$H$249</definedName>
    <definedName name="input_wld_az1_rack7_principal_storage_mtu">'Network Inputs - Rack'!$J$249</definedName>
    <definedName name="input_wld_az1_rack7_principal_storage_pool_end_ip">'Name &amp; IP Address Inputs - Rack'!$F$569</definedName>
    <definedName name="input_wld_az1_rack7_principal_storage_pool_start_ip">'Name &amp; IP Address Inputs - Rack'!$F$568</definedName>
    <definedName name="input_wld_az1_rack7_principal_storage_vlan">'Network Inputs - Rack'!$D$249</definedName>
    <definedName name="input_wld_az1_rack7_rtep_ip_pool_name">'SDDC Inputs - Rack'!$D$293</definedName>
    <definedName name="input_wld_az1_rack7_rtep_overlay_cidr">'Network Inputs - Rack'!$F$256</definedName>
    <definedName name="input_wld_az1_rack7_rtep_overlay_gateway_ip">'Network Inputs - Rack'!$H$256</definedName>
    <definedName name="input_wld_az1_rack7_rtep_overlay_mtu">'Network Inputs - Rack'!$J$256</definedName>
    <definedName name="input_wld_az1_rack7_rtep_overlay_pool_end_ip">'Name &amp; IP Address Inputs - Rack'!$F$577</definedName>
    <definedName name="input_wld_az1_rack7_rtep_overlay_pool_start_ip">'Name &amp; IP Address Inputs - Rack'!$F$576</definedName>
    <definedName name="input_wld_az1_rack7_rtep_overlay_vlan">'Network Inputs - Rack'!$D$256</definedName>
    <definedName name="input_wld_az1_rack7_secondary_storage_cidr">'Network Inputs - Rack'!$F$251</definedName>
    <definedName name="input_wld_az1_rack7_secondary_storage_gateway_ip">'Network Inputs - Rack'!$H$251</definedName>
    <definedName name="input_wld_az1_rack7_secondary_storage_mtu">'Network Inputs - Rack'!$J$251</definedName>
    <definedName name="input_wld_az1_rack7_secondary_storage_pool_end_ip">'Name &amp; IP Address Inputs - Rack'!$F$573</definedName>
    <definedName name="input_wld_az1_rack7_secondary_storage_pool_start_ip">'Name &amp; IP Address Inputs - Rack'!$F$572</definedName>
    <definedName name="input_wld_az1_rack7_secondary_storage_vlan">'Network Inputs - Rack'!$D$251</definedName>
    <definedName name="input_wld_az1_rack7_tor1_peer_asn">'Network Inputs - Rack'!$D$262</definedName>
    <definedName name="input_wld_az1_rack7_tor1_peer_bgp_password">'Network Inputs - Rack'!$D$263</definedName>
    <definedName name="input_wld_az1_rack7_tor1_peer_ip">'Network Inputs - Rack'!$D$261</definedName>
    <definedName name="input_wld_az1_rack7_tor2_peer_asn">'Network Inputs - Rack'!$D$265</definedName>
    <definedName name="input_wld_az1_rack7_tor2_peer_bgp_password">'Network Inputs - Rack'!$D$266</definedName>
    <definedName name="input_wld_az1_rack7_tor2_peer_ip">'Network Inputs - Rack'!$D$264</definedName>
    <definedName name="input_wld_az1_rack7_uplink01_cidr">'Network Inputs - Rack'!$F$253</definedName>
    <definedName name="input_wld_az1_rack7_uplink01_gateway_ip">'Network Inputs - Rack'!$H$253</definedName>
    <definedName name="input_wld_az1_rack7_uplink01_mtu">'Network Inputs - Rack'!$J$253</definedName>
    <definedName name="input_wld_az1_rack7_uplink01_pg">'SDDC Inputs - Rack'!$D$286</definedName>
    <definedName name="input_wld_az1_rack7_uplink01_vlan">'Network Inputs - Rack'!$D$253</definedName>
    <definedName name="input_wld_az1_rack7_uplink02_cidr">'Network Inputs - Rack'!$F$254</definedName>
    <definedName name="input_wld_az1_rack7_uplink02_gateway_ip">'Network Inputs - Rack'!$H$254</definedName>
    <definedName name="input_wld_az1_rack7_uplink02_mtu">'Network Inputs - Rack'!$J$254</definedName>
    <definedName name="input_wld_az1_rack7_uplink02_pg">'SDDC Inputs - Rack'!$D$287</definedName>
    <definedName name="input_wld_az1_rack7_uplink02_vlan">'Network Inputs - Rack'!$D$254</definedName>
    <definedName name="input_wld_az1_rack7_vmotion_cidr">'Network Inputs - Rack'!$F$248</definedName>
    <definedName name="input_wld_az1_rack7_vmotion_gateway_ip">'Network Inputs - Rack'!$H$248</definedName>
    <definedName name="input_wld_az1_rack7_vmotion_mtu">'Network Inputs - Rack'!$J$248</definedName>
    <definedName name="input_wld_az1_rack7_vmotion_pool_end_ip">'Name &amp; IP Address Inputs - Rack'!$F$567</definedName>
    <definedName name="input_wld_az1_rack7_vmotion_pool_start_ip">'Name &amp; IP Address Inputs - Rack'!$F$566</definedName>
    <definedName name="input_wld_az1_rack7_vmotion_vlan">'Network Inputs - Rack'!$D$248</definedName>
    <definedName name="input_wld_az1_rack7_vrms_cidr">'Network Inputs - Rack'!$F$252</definedName>
    <definedName name="input_wld_az1_rack7_vrms_gateway_ip">'Network Inputs - Rack'!$H$252</definedName>
    <definedName name="input_wld_az1_rack7_vrms_mtu">'Network Inputs - Rack'!$J$252</definedName>
    <definedName name="input_wld_az1_rack7_vrms_vlan">'Network Inputs - Rack'!$D$252</definedName>
    <definedName name="input_wld_az1_rack7_vsan_fault_domain">'SDDC Inputs - Rack'!$D$296</definedName>
    <definedName name="input_wld_az1_rack8_child_dns_zone">'Name &amp; IP Address Inputs - Rack'!$E$581</definedName>
    <definedName name="input_wld_az1_rack8_edge_overlay_cidr">'Network Inputs - Rack'!$F$280</definedName>
    <definedName name="input_wld_az1_rack8_edge_overlay_gateway_ip">'Network Inputs - Rack'!$H$280</definedName>
    <definedName name="input_wld_az1_rack8_edge_overlay_mtu">'Network Inputs - Rack'!$J$280</definedName>
    <definedName name="input_wld_az1_rack8_edge_overlay_network_pool_name">'SDDC Inputs - Rack'!$D$324</definedName>
    <definedName name="input_wld_az1_rack8_edge_overlay_pool_end_ip">'Name &amp; IP Address Inputs - Rack'!$F$635</definedName>
    <definedName name="input_wld_az1_rack8_edge_overlay_pool_start_ip">'Name &amp; IP Address Inputs - Rack'!$F$634</definedName>
    <definedName name="input_wld_az1_rack8_edge_overlay_vlan">'Network Inputs - Rack'!$D$280</definedName>
    <definedName name="input_wld_az1_rack8_en1_hostname">'Name &amp; IP Address Inputs - Rack'!$D$618</definedName>
    <definedName name="input_wld_az1_rack8_en1_mgmt_ip">'Name &amp; IP Address Inputs - Rack'!$F$618</definedName>
    <definedName name="input_wld_az1_rack8_en1_uplink01_interface_ip">'Name &amp; IP Address Inputs - Rack'!$F$619</definedName>
    <definedName name="input_wld_az1_rack8_en1_uplink02_interface_ip">'Name &amp; IP Address Inputs - Rack'!$F$620</definedName>
    <definedName name="input_wld_az1_rack8_en2_hostname">'Name &amp; IP Address Inputs - Rack'!$D$621</definedName>
    <definedName name="input_wld_az1_rack8_en2_mgmt_ip">'Name &amp; IP Address Inputs - Rack'!$F$621</definedName>
    <definedName name="input_wld_az1_rack8_en2_uplink01_interface_ip">'Name &amp; IP Address Inputs - Rack'!$F$622</definedName>
    <definedName name="input_wld_az1_rack8_en2_uplink02_interface_ip">'Name &amp; IP Address Inputs - Rack'!$F$623</definedName>
    <definedName name="input_wld_az1_rack8_host_functions">'Value Reference Tables - MR'!$AA$215:$AA$230</definedName>
    <definedName name="input_wld_az1_rack8_host_overlay_cidr">'Network Inputs - Rack'!$F$275</definedName>
    <definedName name="input_wld_az1_rack8_host_overlay_gateway_ip">'Network Inputs - Rack'!$H$275</definedName>
    <definedName name="input_wld_az1_rack8_host_overlay_mtu">'Network Inputs - Rack'!$J$275</definedName>
    <definedName name="input_wld_az1_rack8_host_overlay_network_pool_name">'SDDC Inputs - Rack'!$D$322</definedName>
    <definedName name="input_wld_az1_rack8_host_overlay_network_profile_name">'SDDC Inputs - Rack'!$D$321</definedName>
    <definedName name="input_wld_az1_rack8_host_overlay_pool_end_ip">'Name &amp; IP Address Inputs - Rack'!$F$631</definedName>
    <definedName name="input_wld_az1_rack8_host_overlay_pool_start_ip">'Name &amp; IP Address Inputs - Rack'!$F$630</definedName>
    <definedName name="input_wld_az1_rack8_host_overlay_uplink_profile_name">'SDDC Inputs - Rack'!$D$323</definedName>
    <definedName name="input_wld_az1_rack8_host_overlay_vlan">'Network Inputs - Rack'!$D$275</definedName>
    <definedName name="input_wld_az1_rack8_host1_function">'SDDC Inputs - Rack'!$D$331</definedName>
    <definedName name="input_wld_az1_rack8_host1_hostname">'Name &amp; IP Address Inputs - Rack'!$D$584</definedName>
    <definedName name="input_wld_az1_rack8_host1_mgmt_ip">'Name &amp; IP Address Inputs - Rack'!$F$584</definedName>
    <definedName name="input_wld_az1_rack8_host1_vrms_ip">'Name &amp; IP Address Inputs - Rack'!$F$601</definedName>
    <definedName name="input_wld_az1_rack8_host10_function">'SDDC Inputs - Rack'!$D$340</definedName>
    <definedName name="input_wld_az1_rack8_host10_hostname">'Name &amp; IP Address Inputs - Rack'!$D$593</definedName>
    <definedName name="input_wld_az1_rack8_host10_mgmt_ip">'Name &amp; IP Address Inputs - Rack'!$F$593</definedName>
    <definedName name="input_wld_az1_rack8_host10_vrms_ip">'Name &amp; IP Address Inputs - Rack'!$F$610</definedName>
    <definedName name="input_wld_az1_rack8_host11_function">'SDDC Inputs - Rack'!$D$341</definedName>
    <definedName name="input_wld_az1_rack8_host11_hostname">'Name &amp; IP Address Inputs - Rack'!$D$594</definedName>
    <definedName name="input_wld_az1_rack8_host11_mgmt_ip">'Name &amp; IP Address Inputs - Rack'!$F$594</definedName>
    <definedName name="input_wld_az1_rack8_host11_vrms_ip">'Name &amp; IP Address Inputs - Rack'!$F$611</definedName>
    <definedName name="input_wld_az1_rack8_host12_function">'SDDC Inputs - Rack'!$D$342</definedName>
    <definedName name="input_wld_az1_rack8_host12_hostname">'Name &amp; IP Address Inputs - Rack'!$D$595</definedName>
    <definedName name="input_wld_az1_rack8_host12_mgmt_ip">'Name &amp; IP Address Inputs - Rack'!$F$595</definedName>
    <definedName name="input_wld_az1_rack8_host12_vrms_ip">'Name &amp; IP Address Inputs - Rack'!$F$612</definedName>
    <definedName name="input_wld_az1_rack8_host13_function">'SDDC Inputs - Rack'!$D$343</definedName>
    <definedName name="input_wld_az1_rack8_host13_hostname">'Name &amp; IP Address Inputs - Rack'!$D$596</definedName>
    <definedName name="input_wld_az1_rack8_host13_mgmt_ip">'Name &amp; IP Address Inputs - Rack'!$F$596</definedName>
    <definedName name="input_wld_az1_rack8_host13_vrms_ip">'Name &amp; IP Address Inputs - Rack'!$F$613</definedName>
    <definedName name="input_wld_az1_rack8_host14_function">'SDDC Inputs - Rack'!$D$344</definedName>
    <definedName name="input_wld_az1_rack8_host14_hostname">'Name &amp; IP Address Inputs - Rack'!$D$597</definedName>
    <definedName name="input_wld_az1_rack8_host14_mgmt_ip">'Name &amp; IP Address Inputs - Rack'!$F$597</definedName>
    <definedName name="input_wld_az1_rack8_host14_vrms_ip">'Name &amp; IP Address Inputs - Rack'!$F$614</definedName>
    <definedName name="input_wld_az1_rack8_host15_function">'SDDC Inputs - Rack'!$D$345</definedName>
    <definedName name="input_wld_az1_rack8_host15_hostname">'Name &amp; IP Address Inputs - Rack'!$D$598</definedName>
    <definedName name="input_wld_az1_rack8_host15_mgmt_ip">'Name &amp; IP Address Inputs - Rack'!$F$598</definedName>
    <definedName name="input_wld_az1_rack8_host15_vrms_ip">'Name &amp; IP Address Inputs - Rack'!$F$615</definedName>
    <definedName name="input_wld_az1_rack8_host16_function">'SDDC Inputs - Rack'!$D$346</definedName>
    <definedName name="input_wld_az1_rack8_host16_hostname">'Name &amp; IP Address Inputs - Rack'!$D$599</definedName>
    <definedName name="input_wld_az1_rack8_host16_mgmt_ip">'Name &amp; IP Address Inputs - Rack'!$F$599</definedName>
    <definedName name="input_wld_az1_rack8_host16_vrms_ip">'Name &amp; IP Address Inputs - Rack'!$F$616</definedName>
    <definedName name="input_wld_az1_rack8_host2_function">'SDDC Inputs - Rack'!$D$332</definedName>
    <definedName name="input_wld_az1_rack8_host2_hostname">'Name &amp; IP Address Inputs - Rack'!$D$585</definedName>
    <definedName name="input_wld_az1_rack8_host2_mgmt_ip">'Name &amp; IP Address Inputs - Rack'!$F$585</definedName>
    <definedName name="input_wld_az1_rack8_host2_vrms_ip">'Name &amp; IP Address Inputs - Rack'!$F$602</definedName>
    <definedName name="input_wld_az1_rack8_host3_function">'SDDC Inputs - Rack'!$D$333</definedName>
    <definedName name="input_wld_az1_rack8_host3_hostname">'Name &amp; IP Address Inputs - Rack'!$D$586</definedName>
    <definedName name="input_wld_az1_rack8_host3_mgmt_ip">'Name &amp; IP Address Inputs - Rack'!$F$586</definedName>
    <definedName name="input_wld_az1_rack8_host3_vrms_ip">'Name &amp; IP Address Inputs - Rack'!$F$603</definedName>
    <definedName name="input_wld_az1_rack8_host4_function">'SDDC Inputs - Rack'!$D$334</definedName>
    <definedName name="input_wld_az1_rack8_host4_hostname">'Name &amp; IP Address Inputs - Rack'!$D$587</definedName>
    <definedName name="input_wld_az1_rack8_host4_mgmt_ip">'Name &amp; IP Address Inputs - Rack'!$F$587</definedName>
    <definedName name="input_wld_az1_rack8_host4_vrms_ip">'Name &amp; IP Address Inputs - Rack'!$F$604</definedName>
    <definedName name="input_wld_az1_rack8_host5_function">'SDDC Inputs - Rack'!$D$335</definedName>
    <definedName name="input_wld_az1_rack8_host5_hostname">'Name &amp; IP Address Inputs - Rack'!$D$588</definedName>
    <definedName name="input_wld_az1_rack8_host5_mgmt_ip">'Name &amp; IP Address Inputs - Rack'!$F$588</definedName>
    <definedName name="input_wld_az1_rack8_host5_vrms_ip">'Name &amp; IP Address Inputs - Rack'!$F$605</definedName>
    <definedName name="input_wld_az1_rack8_host6_function">'SDDC Inputs - Rack'!$D$336</definedName>
    <definedName name="input_wld_az1_rack8_host6_hostname">'Name &amp; IP Address Inputs - Rack'!$D$589</definedName>
    <definedName name="input_wld_az1_rack8_host6_mgmt_ip">'Name &amp; IP Address Inputs - Rack'!$F$589</definedName>
    <definedName name="input_wld_az1_rack8_host6_vrms_ip">'Name &amp; IP Address Inputs - Rack'!$F$606</definedName>
    <definedName name="input_wld_az1_rack8_host7_function">'SDDC Inputs - Rack'!$D$337</definedName>
    <definedName name="input_wld_az1_rack8_host7_hostname">'Name &amp; IP Address Inputs - Rack'!$D$590</definedName>
    <definedName name="input_wld_az1_rack8_host7_mgmt_ip">'Name &amp; IP Address Inputs - Rack'!$F$590</definedName>
    <definedName name="input_wld_az1_rack8_host7_vrms_ip">'Name &amp; IP Address Inputs - Rack'!$F$607</definedName>
    <definedName name="input_wld_az1_rack8_host8_function">'SDDC Inputs - Rack'!$D$338</definedName>
    <definedName name="input_wld_az1_rack8_host8_hostname">'Name &amp; IP Address Inputs - Rack'!$D$591</definedName>
    <definedName name="input_wld_az1_rack8_host8_mgmt_ip">'Name &amp; IP Address Inputs - Rack'!$F$591</definedName>
    <definedName name="input_wld_az1_rack8_host8_vrms_ip">'Name &amp; IP Address Inputs - Rack'!$F$608</definedName>
    <definedName name="input_wld_az1_rack8_host9_function">'SDDC Inputs - Rack'!$D$339</definedName>
    <definedName name="input_wld_az1_rack8_host9_hostname">'Name &amp; IP Address Inputs - Rack'!$D$592</definedName>
    <definedName name="input_wld_az1_rack8_host9_mgmt_ip">'Name &amp; IP Address Inputs - Rack'!$F$592</definedName>
    <definedName name="input_wld_az1_rack8_host9_vrms_ip">'Name &amp; IP Address Inputs - Rack'!$F$609</definedName>
    <definedName name="input_wld_az1_rack8_mgmt_cidr">'Network Inputs - Rack'!$F$272</definedName>
    <definedName name="input_wld_az1_rack8_mgmt_gateway_ip">'Network Inputs - Rack'!$H$272</definedName>
    <definedName name="input_wld_az1_rack8_mgmt_mtu">'Network Inputs - Rack'!$J$272</definedName>
    <definedName name="input_wld_az1_rack8_mgmt_vlan">'Network Inputs - Rack'!$D$272</definedName>
    <definedName name="input_wld_az1_rack8_mgmt_vm_cidr">'Network Inputs - Rack'!$F$271</definedName>
    <definedName name="input_wld_az1_rack8_mgmt_vm_gateway_ip">'Network Inputs - Rack'!$H$271</definedName>
    <definedName name="input_wld_az1_rack8_mgmt_vm_mtu">'Network Inputs - Rack'!$J$271</definedName>
    <definedName name="input_wld_az1_rack8_mgmt_vm_vlan">'Network Inputs - Rack'!$D$271</definedName>
    <definedName name="input_wld_az1_rack8_pool_name">'SDDC Inputs - Rack'!$D$320</definedName>
    <definedName name="input_wld_az1_rack8_principal_storage_cidr">'Network Inputs - Rack'!$F$274</definedName>
    <definedName name="input_wld_az1_rack8_principal_storage_gateway_ip">'Network Inputs - Rack'!$H$274</definedName>
    <definedName name="input_wld_az1_rack8_principal_storage_mtu">'Network Inputs - Rack'!$J$274</definedName>
    <definedName name="input_wld_az1_rack8_principal_storage_pool_end_ip">'Name &amp; IP Address Inputs - Rack'!$F$629</definedName>
    <definedName name="input_wld_az1_rack8_principal_storage_pool_start_ip">'Name &amp; IP Address Inputs - Rack'!$F$628</definedName>
    <definedName name="input_wld_az1_rack8_principal_storage_vlan">'Network Inputs - Rack'!$D$274</definedName>
    <definedName name="input_wld_az1_rack8_rtep_ip_pool_name">'SDDC Inputs - Rack'!$D$325</definedName>
    <definedName name="input_wld_az1_rack8_rtep_overlay_cidr">'Network Inputs - Rack'!$F$281</definedName>
    <definedName name="input_wld_az1_rack8_rtep_overlay_gateway_ip">'Network Inputs - Rack'!$H$281</definedName>
    <definedName name="input_wld_az1_rack8_rtep_overlay_mtu">'Network Inputs - Rack'!$J$281</definedName>
    <definedName name="input_wld_az1_rack8_rtep_overlay_pool_end_ip">'Name &amp; IP Address Inputs - Rack'!$F$637</definedName>
    <definedName name="input_wld_az1_rack8_rtep_overlay_pool_start_ip">'Name &amp; IP Address Inputs - Rack'!$F$636</definedName>
    <definedName name="input_wld_az1_rack8_rtep_overlay_vlan">'Network Inputs - Rack'!$D$281</definedName>
    <definedName name="input_wld_az1_rack8_secondary_storage_cidr">'Network Inputs - Rack'!$F$276</definedName>
    <definedName name="input_wld_az1_rack8_secondary_storage_gateway_ip">'Network Inputs - Rack'!$H$276</definedName>
    <definedName name="input_wld_az1_rack8_secondary_storage_mtu">'Network Inputs - Rack'!$J$276</definedName>
    <definedName name="input_wld_az1_rack8_secondary_storage_pool_end_ip">'Name &amp; IP Address Inputs - Rack'!$F$633</definedName>
    <definedName name="input_wld_az1_rack8_secondary_storage_pool_start_ip">'Name &amp; IP Address Inputs - Rack'!$F$632</definedName>
    <definedName name="input_wld_az1_rack8_secondary_storage_vlan">'Network Inputs - Rack'!$D$276</definedName>
    <definedName name="input_wld_az1_rack8_tor1_peer_asn">'Network Inputs - Rack'!$D$287</definedName>
    <definedName name="input_wld_az1_rack8_tor1_peer_bgp_password">'Network Inputs - Rack'!$D$288</definedName>
    <definedName name="input_wld_az1_rack8_tor1_peer_ip">'Network Inputs - Rack'!$D$286</definedName>
    <definedName name="input_wld_az1_rack8_tor2_peer_asn">'Network Inputs - Rack'!$D$290</definedName>
    <definedName name="input_wld_az1_rack8_tor2_peer_bgp_password">'Network Inputs - Rack'!$D$291</definedName>
    <definedName name="input_wld_az1_rack8_tor2_peer_ip">'Network Inputs - Rack'!$D$289</definedName>
    <definedName name="input_wld_az1_rack8_uplink01_cidr">'Network Inputs - Rack'!$F$278</definedName>
    <definedName name="input_wld_az1_rack8_uplink01_gateway_ip">'Network Inputs - Rack'!$H$278</definedName>
    <definedName name="input_wld_az1_rack8_uplink01_mtu">'Network Inputs - Rack'!$J$278</definedName>
    <definedName name="input_wld_az1_rack8_uplink01_pg">'SDDC Inputs - Rack'!$D$318</definedName>
    <definedName name="input_wld_az1_rack8_uplink01_vlan">'Network Inputs - Rack'!$D$278</definedName>
    <definedName name="input_wld_az1_rack8_uplink02_cidr">'Network Inputs - Rack'!$F$279</definedName>
    <definedName name="input_wld_az1_rack8_uplink02_gateway_ip">'Network Inputs - Rack'!$H$279</definedName>
    <definedName name="input_wld_az1_rack8_uplink02_mtu">'Network Inputs - Rack'!$J$279</definedName>
    <definedName name="input_wld_az1_rack8_uplink02_pg">'SDDC Inputs - Rack'!$D$319</definedName>
    <definedName name="input_wld_az1_rack8_uplink02_vlan">'Network Inputs - Rack'!$D$279</definedName>
    <definedName name="input_wld_az1_rack8_vmotion_cidr">'Network Inputs - Rack'!$F$273</definedName>
    <definedName name="input_wld_az1_rack8_vmotion_gateway_ip">'Network Inputs - Rack'!$H$273</definedName>
    <definedName name="input_wld_az1_rack8_vmotion_mtu">'Network Inputs - Rack'!$J$273</definedName>
    <definedName name="input_wld_az1_rack8_vmotion_pool_end_ip">'Name &amp; IP Address Inputs - Rack'!$F$627</definedName>
    <definedName name="input_wld_az1_rack8_vmotion_pool_start_ip">'Name &amp; IP Address Inputs - Rack'!$F$626</definedName>
    <definedName name="input_wld_az1_rack8_vmotion_vlan">'Network Inputs - Rack'!$D$273</definedName>
    <definedName name="input_wld_az1_rack8_vrms_cidr">'Network Inputs - Rack'!$F$277</definedName>
    <definedName name="input_wld_az1_rack8_vrms_gateway_ip">'Network Inputs - Rack'!$H$277</definedName>
    <definedName name="input_wld_az1_rack8_vrms_mtu">'Network Inputs - Rack'!$J$277</definedName>
    <definedName name="input_wld_az1_rack8_vrms_vlan">'Network Inputs - Rack'!$D$277</definedName>
    <definedName name="input_wld_az1_rack8_vsan_fault_domain">'SDDC Inputs - Rack'!$D$328</definedName>
    <definedName name="input_wld_az1_rtep_ip_pool_name">'SDDC Inputs - Rack'!$D$69</definedName>
    <definedName name="input_wld_az1_rtep_overlay_cidr">'Network Inputs - Rack'!$F$78</definedName>
    <definedName name="input_wld_az1_rtep_overlay_gateway_ip">'Network Inputs - Rack'!$H$78</definedName>
    <definedName name="input_wld_az1_rtep_overlay_mtu">'Network Inputs - Rack'!$J$78</definedName>
    <definedName name="input_wld_az1_rtep_overlay_vlan">'Network Inputs - Rack'!$D$78</definedName>
    <definedName name="input_wld_az1_secondary_storage_cidr">'Network Inputs - Rack'!$F$73</definedName>
    <definedName name="input_wld_az1_secondary_storage_gateway_ip">'Network Inputs - Rack'!$H$73</definedName>
    <definedName name="input_wld_az1_secondary_storage_mtu">'Network Inputs - Rack'!$J$73</definedName>
    <definedName name="input_wld_az1_secondary_storage_pool_end_ip">'Name &amp; IP Address Inputs - Rack'!$F$167</definedName>
    <definedName name="input_wld_az1_secondary_storage_pool_start_ip">'Name &amp; IP Address Inputs - Rack'!$F$166</definedName>
    <definedName name="input_wld_az1_secondary_storage_vlan">'Network Inputs - Rack'!$D$73</definedName>
    <definedName name="input_wld_az1_sso_domain_administrator_password">'SDDC Inputs - Common'!$D$203</definedName>
    <definedName name="input_wld_az1_sso_domain_name">'SDDC Inputs - Common'!$D$202</definedName>
    <definedName name="input_wld_az1_tor1_peer_asn">'Network Inputs - Rack'!$D$84</definedName>
    <definedName name="input_wld_az1_tor1_peer_bgp_password">'Network Inputs - Rack'!$D$85</definedName>
    <definedName name="input_wld_az1_tor1_peer_ip">'Network Inputs - Rack'!$D$83</definedName>
    <definedName name="input_wld_az1_tor2_peer_asn">'Network Inputs - Rack'!$D$87</definedName>
    <definedName name="input_wld_az1_tor2_peer_bgp_password">'Network Inputs - Rack'!$D$88</definedName>
    <definedName name="input_wld_az1_tor2_peer_ip">'Network Inputs - Rack'!$D$86</definedName>
    <definedName name="input_wld_az1_uplink01_cidr">'Network Inputs - Rack'!$F$75</definedName>
    <definedName name="input_wld_az1_uplink01_gateway_ip">'Network Inputs - Rack'!$H$75</definedName>
    <definedName name="input_wld_az1_uplink01_mtu">'Network Inputs - Rack'!$J$75</definedName>
    <definedName name="input_wld_az1_uplink01_vlan">'Network Inputs - Rack'!$D$75</definedName>
    <definedName name="input_wld_az1_uplink02_cidr">'Network Inputs - Rack'!$F$76</definedName>
    <definedName name="input_wld_az1_uplink02_gateway_ip">'Network Inputs - Rack'!$H$76</definedName>
    <definedName name="input_wld_az1_uplink02_mtu">'Network Inputs - Rack'!$J$76</definedName>
    <definedName name="input_wld_az1_uplink02_vlan">'Network Inputs - Rack'!$D$76</definedName>
    <definedName name="input_wld_az1_vmotion_cidr">'Network Inputs - Rack'!$F$70</definedName>
    <definedName name="input_wld_az1_vmotion_gateway_ip">'Network Inputs - Rack'!$H$70</definedName>
    <definedName name="input_wld_az1_vmotion_mtu">'Network Inputs - Rack'!$J$70</definedName>
    <definedName name="input_wld_az1_vmotion_pool_end_ip">'Name &amp; IP Address Inputs - Rack'!$F$161</definedName>
    <definedName name="input_wld_az1_vmotion_pool_start_ip">'Name &amp; IP Address Inputs - Rack'!$F$160</definedName>
    <definedName name="input_wld_az1_vmotion_vlan">'Network Inputs - Rack'!$D$70</definedName>
    <definedName name="input_wld_az1_vrms_cidr">'Network Inputs - Rack'!$F$74</definedName>
    <definedName name="input_wld_az1_vrms_gateway_ip">'Network Inputs - Rack'!$H$74</definedName>
    <definedName name="input_wld_az1_vrms_mtu">'Network Inputs - Rack'!$J$74</definedName>
    <definedName name="input_wld_az1_vrms_vlan">'Network Inputs - Rack'!$D$74</definedName>
    <definedName name="input_wld_az1_vsan_fault_domain">'SDDC Inputs - Rack'!$D$72</definedName>
    <definedName name="input_wld_az2_edge_overlay_cidr">'Network Inputs - Rack'!$F$101</definedName>
    <definedName name="input_wld_az2_edge_overlay_gateway_ip">'Network Inputs - Rack'!$H$101</definedName>
    <definedName name="input_wld_az2_edge_overlay_mtu">'Network Inputs - Rack'!$J$101</definedName>
    <definedName name="input_wld_az2_edge_overlay_vlan">'Network Inputs - Rack'!$D$101</definedName>
    <definedName name="input_wld_az2_host_overlay_cidr">'Network Inputs - Rack'!$F$96</definedName>
    <definedName name="input_wld_az2_host_overlay_gateway_ip">'Network Inputs - Rack'!$H$96</definedName>
    <definedName name="input_wld_az2_host_overlay_mtu">'Network Inputs - Rack'!$J$96</definedName>
    <definedName name="input_wld_az2_host_overlay_network_pool_name">'SDDC Inputs - Rack'!$D$97</definedName>
    <definedName name="input_wld_az2_host_overlay_network_profile_name">'SDDC Inputs - Rack'!$D$96</definedName>
    <definedName name="input_wld_az2_host_overlay_pool_end_ip">'Name &amp; IP Address Inputs - Rack'!$F$216</definedName>
    <definedName name="input_wld_az2_host_overlay_pool_start_ip">'Name &amp; IP Address Inputs - Rack'!$F$215</definedName>
    <definedName name="input_wld_az2_host_overlay_uplink_profile_name">'SDDC Inputs - Rack'!$D$98</definedName>
    <definedName name="input_wld_az2_host_overlay_vlan">'Network Inputs - Rack'!$D$96</definedName>
    <definedName name="input_wld_az2_host1_hostname">'Name &amp; IP Address Inputs - Rack'!$D$176</definedName>
    <definedName name="input_wld_az2_host1_mgmt_ip">'Name &amp; IP Address Inputs - Rack'!$F$176</definedName>
    <definedName name="input_wld_az2_host1_sddc_id">'SDDC Inputs - Common'!$D$286</definedName>
    <definedName name="input_wld_az2_host1_vrms_ip">'Name &amp; IP Address Inputs - Rack'!$F$193</definedName>
    <definedName name="input_wld_az2_host10_hostname">'Name &amp; IP Address Inputs - Rack'!$D$185</definedName>
    <definedName name="input_wld_az2_host10_mgmt_ip">'Name &amp; IP Address Inputs - Rack'!$F$185</definedName>
    <definedName name="input_wld_az2_host10_vrms_ip">'Name &amp; IP Address Inputs - Rack'!$F$202</definedName>
    <definedName name="input_wld_az2_host11_hostname">'Name &amp; IP Address Inputs - Rack'!$D$186</definedName>
    <definedName name="input_wld_az2_host11_mgmt_ip">'Name &amp; IP Address Inputs - Rack'!$F$186</definedName>
    <definedName name="input_wld_az2_host11_vrms_ip">'Name &amp; IP Address Inputs - Rack'!$F$203</definedName>
    <definedName name="input_wld_az2_host12_hostname">'Name &amp; IP Address Inputs - Rack'!$D$187</definedName>
    <definedName name="input_wld_az2_host12_mgmt_ip">'Name &amp; IP Address Inputs - Rack'!$F$187</definedName>
    <definedName name="input_wld_az2_host12_vrms_ip">'Name &amp; IP Address Inputs - Rack'!$F$204</definedName>
    <definedName name="input_wld_az2_host13_hostname">'Name &amp; IP Address Inputs - Rack'!$D$188</definedName>
    <definedName name="input_wld_az2_host13_mgmt_ip">'Name &amp; IP Address Inputs - Rack'!$F$188</definedName>
    <definedName name="input_wld_az2_host13_vrms_ip">'Name &amp; IP Address Inputs - Rack'!$F$205</definedName>
    <definedName name="input_wld_az2_host14_hostname">'Name &amp; IP Address Inputs - Rack'!$D$189</definedName>
    <definedName name="input_wld_az2_host14_mgmt_ip">'Name &amp; IP Address Inputs - Rack'!$F$189</definedName>
    <definedName name="input_wld_az2_host14_vrms_ip">'Name &amp; IP Address Inputs - Rack'!$F$206</definedName>
    <definedName name="input_wld_az2_host15_hostname">'Name &amp; IP Address Inputs - Rack'!$D$190</definedName>
    <definedName name="input_wld_az2_host15_mgmt_ip">'Name &amp; IP Address Inputs - Rack'!$F$190</definedName>
    <definedName name="input_wld_az2_host15_vrms_ip">'Name &amp; IP Address Inputs - Rack'!$F$207</definedName>
    <definedName name="input_wld_az2_host16_hostname">'Name &amp; IP Address Inputs - Rack'!$D$191</definedName>
    <definedName name="input_wld_az2_host16_mgmt_ip">'Name &amp; IP Address Inputs - Rack'!$F$191</definedName>
    <definedName name="input_wld_az2_host16_vrms_ip">'Name &amp; IP Address Inputs - Rack'!$F$208</definedName>
    <definedName name="input_wld_az2_host2_hostname">'Name &amp; IP Address Inputs - Rack'!$D$177</definedName>
    <definedName name="input_wld_az2_host2_mgmt_ip">'Name &amp; IP Address Inputs - Rack'!$F$177</definedName>
    <definedName name="input_wld_az2_host2_sddc_id">'SDDC Inputs - Common'!$D$287</definedName>
    <definedName name="input_wld_az2_host2_vrms_ip">'Name &amp; IP Address Inputs - Rack'!$F$194</definedName>
    <definedName name="input_wld_az2_host3_hostname">'Name &amp; IP Address Inputs - Rack'!$D$178</definedName>
    <definedName name="input_wld_az2_host3_mgmt_ip">'Name &amp; IP Address Inputs - Rack'!$F$178</definedName>
    <definedName name="input_wld_az2_host3_sddc_id">'SDDC Inputs - Common'!$D$288</definedName>
    <definedName name="input_wld_az2_host3_vrms_ip">'Name &amp; IP Address Inputs - Rack'!$F$195</definedName>
    <definedName name="input_wld_az2_host4_hostname">'Name &amp; IP Address Inputs - Rack'!$D$179</definedName>
    <definedName name="input_wld_az2_host4_mgmt_ip">'Name &amp; IP Address Inputs - Rack'!$F$179</definedName>
    <definedName name="input_wld_az2_host4_sddc_id">'SDDC Inputs - Common'!$D$289</definedName>
    <definedName name="input_wld_az2_host4_vrms_ip">'Name &amp; IP Address Inputs - Rack'!$F$196</definedName>
    <definedName name="input_wld_az2_host5_hostname">'Name &amp; IP Address Inputs - Rack'!$D$180</definedName>
    <definedName name="input_wld_az2_host5_mgmt_ip">'Name &amp; IP Address Inputs - Rack'!$F$180</definedName>
    <definedName name="input_wld_az2_host5_vrms_ip">'Name &amp; IP Address Inputs - Rack'!$F$197</definedName>
    <definedName name="input_wld_az2_host6_hostname">'Name &amp; IP Address Inputs - Rack'!$D$181</definedName>
    <definedName name="input_wld_az2_host6_mgmt_ip">'Name &amp; IP Address Inputs - Rack'!$F$181</definedName>
    <definedName name="input_wld_az2_host6_vrms_ip">'Name &amp; IP Address Inputs - Rack'!$F$198</definedName>
    <definedName name="input_wld_az2_host7_hostname">'Name &amp; IP Address Inputs - Rack'!$D$182</definedName>
    <definedName name="input_wld_az2_host7_mgmt_ip">'Name &amp; IP Address Inputs - Rack'!$F$182</definedName>
    <definedName name="input_wld_az2_host7_vrms_ip">'Name &amp; IP Address Inputs - Rack'!$F$199</definedName>
    <definedName name="input_wld_az2_host8_hostname">'Name &amp; IP Address Inputs - Rack'!$D$183</definedName>
    <definedName name="input_wld_az2_host8_mgmt_ip">'Name &amp; IP Address Inputs - Rack'!$F$183</definedName>
    <definedName name="input_wld_az2_host8_vrms_ip">'Name &amp; IP Address Inputs - Rack'!$F$200</definedName>
    <definedName name="input_wld_az2_host9_hostname">'Name &amp; IP Address Inputs - Rack'!$D$184</definedName>
    <definedName name="input_wld_az2_host9_mgmt_ip">'Name &amp; IP Address Inputs - Rack'!$F$184</definedName>
    <definedName name="input_wld_az2_host9_vrms_ip">'Name &amp; IP Address Inputs - Rack'!$F$201</definedName>
    <definedName name="input_wld_az2_mgmt_cidr">'Network Inputs - Rack'!$F$93</definedName>
    <definedName name="input_wld_az2_mgmt_gateway_ip">'Network Inputs - Rack'!$H$93</definedName>
    <definedName name="input_wld_az2_mgmt_mtu">'Network Inputs - Rack'!$J$93</definedName>
    <definedName name="input_wld_az2_mgmt_vlan">'Network Inputs - Rack'!$D$93</definedName>
    <definedName name="input_wld_az2_pool_name">'SDDC Inputs - Rack'!$D$95</definedName>
    <definedName name="input_wld_az2_principal_storage_cidr">'Network Inputs - Rack'!$F$95</definedName>
    <definedName name="input_wld_az2_principal_storage_gateway_ip">'Network Inputs - Rack'!$H$95</definedName>
    <definedName name="input_wld_az2_principal_storage_mtu">'Network Inputs - Rack'!$J$95</definedName>
    <definedName name="input_wld_az2_principal_storage_pool_end_ip">'Name &amp; IP Address Inputs - Rack'!$F$214</definedName>
    <definedName name="input_wld_az2_principal_storage_pool_start_ip">'Name &amp; IP Address Inputs - Rack'!$F$213</definedName>
    <definedName name="input_wld_az2_principal_storage_vlan">'Network Inputs - Rack'!$D$95</definedName>
    <definedName name="input_wld_az2_rtep_overlay_cidr">'Network Inputs - Rack'!$F$102</definedName>
    <definedName name="input_wld_az2_rtep_overlay_gateway_ip">'Network Inputs - Rack'!$H$102</definedName>
    <definedName name="input_wld_az2_rtep_overlay_mtu">'Network Inputs - Rack'!$J$102</definedName>
    <definedName name="input_wld_az2_rtep_overlay_vlan">'Network Inputs - Rack'!$D$102</definedName>
    <definedName name="input_wld_az2_secondary_storage_cidr">'Network Inputs - Rack'!$F$97</definedName>
    <definedName name="input_wld_az2_secondary_storage_gateway_ip">'Network Inputs - Rack'!$H$97</definedName>
    <definedName name="input_wld_az2_secondary_storage_mtu">'Network Inputs - Rack'!$J$97</definedName>
    <definedName name="input_wld_az2_secondary_storage_pool_end_ip">'Name &amp; IP Address Inputs - Rack'!$F$218</definedName>
    <definedName name="input_wld_az2_secondary_storage_pool_start_ip">'Name &amp; IP Address Inputs - Rack'!$F$217</definedName>
    <definedName name="input_wld_az2_secondary_storage_vlan">'Network Inputs - Rack'!$D$97</definedName>
    <definedName name="input_wld_az2_tor1_peer_asn">'Network Inputs - Rack'!$D$107</definedName>
    <definedName name="input_wld_az2_tor1_peer_bgp_password">'Network Inputs - Rack'!$D$108</definedName>
    <definedName name="input_wld_az2_tor1_peer_ip">'Network Inputs - Rack'!$D$106</definedName>
    <definedName name="input_wld_az2_tor2_peer_asn">'Network Inputs - Rack'!$D$110</definedName>
    <definedName name="input_wld_az2_tor2_peer_bgp_password">'Network Inputs - Rack'!$D$111</definedName>
    <definedName name="input_wld_az2_tor2_peer_ip">'Network Inputs - Rack'!$D$109</definedName>
    <definedName name="input_wld_az2_uplink01_cidr">'Network Inputs - Rack'!$F$99</definedName>
    <definedName name="input_wld_az2_uplink01_gateway_ip">'Network Inputs - Rack'!$H$99</definedName>
    <definedName name="input_wld_az2_uplink01_mtu">'Network Inputs - Rack'!$J$99</definedName>
    <definedName name="input_wld_az2_uplink01_vlan">'Network Inputs - Rack'!$D$99</definedName>
    <definedName name="input_wld_az2_uplink02_cidr">'Network Inputs - Rack'!$F$100</definedName>
    <definedName name="input_wld_az2_uplink02_gateway_ip">'Network Inputs - Rack'!$H$100</definedName>
    <definedName name="input_wld_az2_uplink02_mtu">'Network Inputs - Rack'!$J$100</definedName>
    <definedName name="input_wld_az2_uplink02_vlan">'Network Inputs - Rack'!$D$100</definedName>
    <definedName name="input_wld_az2_vmotion_cidr">'Network Inputs - Rack'!$F$94</definedName>
    <definedName name="input_wld_az2_vmotion_gateway_ip">'Network Inputs - Rack'!$H$94</definedName>
    <definedName name="input_wld_az2_vmotion_mtu">'Network Inputs - Rack'!$J$94</definedName>
    <definedName name="input_wld_az2_vmotion_pool_end_ip">'Name &amp; IP Address Inputs - Rack'!$F$212</definedName>
    <definedName name="input_wld_az2_vmotion_pool_start_ip">'Name &amp; IP Address Inputs - Rack'!$F$211</definedName>
    <definedName name="input_wld_az2_vmotion_vlan">'Network Inputs - Rack'!$D$94</definedName>
    <definedName name="input_wld_az2_vrms_cidr">'Network Inputs - Rack'!$F$98</definedName>
    <definedName name="input_wld_az2_vrms_gateway_ip">'Network Inputs - Rack'!$H$98</definedName>
    <definedName name="input_wld_az2_vrms_mtu">'Network Inputs - Rack'!$J$98</definedName>
    <definedName name="input_wld_az2_vrms_vlan">'Network Inputs - Rack'!$D$98</definedName>
    <definedName name="input_wld_cl01_az1_mgmt_pg">'SDDC Inputs - Common'!$D$229</definedName>
    <definedName name="input_wld_cl01_az1_mgmt_vm_pg">'SDDC Inputs - Common'!$D$228</definedName>
    <definedName name="input_wld_cl01_az1_principal_storage_pg">'SDDC Inputs - Common'!$D$231</definedName>
    <definedName name="input_wld_cl01_az1_uplink01_pg">'SDDC Inputs - Common'!$D$232</definedName>
    <definedName name="input_wld_cl01_az1_uplink02_pg">'SDDC Inputs - Common'!$D$233</definedName>
    <definedName name="input_wld_cl01_az1_vmotion_pg">'SDDC Inputs - Common'!$D$230</definedName>
    <definedName name="input_wld_cl01_cluster">'SDDC Inputs - Common'!$D$214</definedName>
    <definedName name="input_wld_cl01_cluster_sddc_id">'SDDC Inputs - Common'!$D$208</definedName>
    <definedName name="input_wld_cl01_evc_mode">'SDDC Inputs - Common'!$D$215</definedName>
    <definedName name="input_wld_cl01_nfs_datastore_name">'SDDC Inputs - Common'!$D$272</definedName>
    <definedName name="input_wld_cl01_nfs_server_address">'SDDC Inputs - Common'!$D$274</definedName>
    <definedName name="input_wld_cl01_nfs_share_path">'SDDC Inputs - Common'!$D$273</definedName>
    <definedName name="input_wld_cl01_vds_profile">'SDDC Inputs - Common'!$D$218</definedName>
    <definedName name="input_wld_cl01_vds01_mtu">'SDDC Inputs - Common'!$D$221</definedName>
    <definedName name="input_wld_cl01_vds01_name">'SDDC Inputs - Common'!$D$219</definedName>
    <definedName name="input_wld_cl01_vds01_pnics">'SDDC Inputs - Common'!$D$220</definedName>
    <definedName name="input_wld_cl01_vds02_mtu">'SDDC Inputs - Common'!$D$224</definedName>
    <definedName name="input_wld_cl01_vds02_name">'SDDC Inputs - Common'!$D$222</definedName>
    <definedName name="input_wld_cl01_vds02_pnics">'SDDC Inputs - Common'!$D$223</definedName>
    <definedName name="input_wld_cl01_vds03_mtu">'SDDC Inputs - Common'!$D$227</definedName>
    <definedName name="input_wld_cl01_vds03_name">'SDDC Inputs - Common'!$D$225</definedName>
    <definedName name="input_wld_cl01_vds03_pnics">'SDDC Inputs - Common'!$D$226</definedName>
    <definedName name="input_wld_cl01_vmfs_datastore_name">'SDDC Inputs - Common'!$D$265</definedName>
    <definedName name="input_wld_cl01_vsan_datastore">'SDDC Inputs - Common'!$D$262</definedName>
    <definedName name="input_wld_cl01_vsan_dedupe_compression">'SDDC Inputs - Common'!$D$264</definedName>
    <definedName name="input_wld_cl01_vsan_ftt">'SDDC Inputs - Common'!$D$263</definedName>
    <definedName name="input_wld_cl01_vvols_datastore_name">'SDDC Inputs - Common'!$D$266</definedName>
    <definedName name="input_wld_cl02_az1_mgmt_pg">'SDDC Inputs - Common'!$D$324</definedName>
    <definedName name="input_wld_cl02_az1_mgmt_vm_pg">'SDDC Inputs - Common'!$D$323</definedName>
    <definedName name="input_wld_cl02_az1_principal_storage_pg">'SDDC Inputs - Common'!$D$326</definedName>
    <definedName name="input_wld_cl02_az1_uplink01_pg">'SDDC Inputs - Common'!$D$327</definedName>
    <definedName name="input_wld_cl02_az1_uplink02_pg">'SDDC Inputs - Common'!$D$328</definedName>
    <definedName name="input_wld_cl02_az1_vmotion_pg">'SDDC Inputs - Common'!$D$325</definedName>
    <definedName name="input_wld_cl02_cluster">'SDDC Inputs - Common'!$D$301</definedName>
    <definedName name="input_wld_cl02_evc_mode">'SDDC Inputs - Common'!$D$302</definedName>
    <definedName name="input_wld_cl02_nfs_datastore_name">'SDDC Inputs - Common'!$D$308</definedName>
    <definedName name="input_wld_cl02_nfs_server_address">'SDDC Inputs - Common'!$D$310</definedName>
    <definedName name="input_wld_cl02_nfs_share_path">'SDDC Inputs - Common'!$D$309</definedName>
    <definedName name="input_wld_cl02_vds_profile">'SDDC Inputs - Common'!$D$313</definedName>
    <definedName name="input_wld_cl02_vds01_mtu">'SDDC Inputs - Common'!$D$316</definedName>
    <definedName name="input_wld_cl02_vds01_name">'SDDC Inputs - Common'!$D$314</definedName>
    <definedName name="input_wld_cl02_vds01_pnics">'SDDC Inputs - Common'!$D$315</definedName>
    <definedName name="input_wld_cl02_vds02_mtu">'SDDC Inputs - Common'!$D$319</definedName>
    <definedName name="input_wld_cl02_vds02_name">'SDDC Inputs - Common'!$D$317</definedName>
    <definedName name="input_wld_cl02_vds02_pnics">'SDDC Inputs - Common'!$D$318</definedName>
    <definedName name="input_wld_cl02_vds03_mtu">'SDDC Inputs - Common'!$D$322</definedName>
    <definedName name="input_wld_cl02_vds03_name">'SDDC Inputs - Common'!$D$320</definedName>
    <definedName name="input_wld_cl02_vds03_pnics">'SDDC Inputs - Common'!$D$321</definedName>
    <definedName name="input_wld_cl02_vsan_datastore">'SDDC Inputs - Common'!$D$305</definedName>
    <definedName name="input_wld_cl02_vsan_dedupe_compression">'SDDC Inputs - Common'!$D$307</definedName>
    <definedName name="input_wld_cl02_vsan_ftt">'SDDC Inputs - Common'!$D$306</definedName>
    <definedName name="input_wld_cl03_az1_mgmt_pg">'SDDC Inputs - Common'!$D$356</definedName>
    <definedName name="input_wld_cl03_az1_mgmt_vm_pg">'SDDC Inputs - Common'!$D$355</definedName>
    <definedName name="input_wld_cl03_az1_principal_storage_pg">'SDDC Inputs - Common'!$D$358</definedName>
    <definedName name="input_wld_cl03_az1_uplink01_pg">'SDDC Inputs - Common'!$D$359</definedName>
    <definedName name="input_wld_cl03_az1_uplink02_pg">'SDDC Inputs - Common'!$D$360</definedName>
    <definedName name="input_wld_cl03_az1_vmotion_pg">'SDDC Inputs - Common'!$D$357</definedName>
    <definedName name="input_wld_cl03_cluster">'SDDC Inputs - Common'!$D$333</definedName>
    <definedName name="input_wld_cl03_evc_mode">'SDDC Inputs - Common'!$D$334</definedName>
    <definedName name="input_wld_cl03_nfs_datastore_name">'SDDC Inputs - Common'!$D$340</definedName>
    <definedName name="input_wld_cl03_nfs_server_address">'SDDC Inputs - Common'!$D$342</definedName>
    <definedName name="input_wld_cl03_nfs_share_path">'SDDC Inputs - Common'!$D$341</definedName>
    <definedName name="input_wld_cl03_vds_profile">'SDDC Inputs - Common'!$D$345</definedName>
    <definedName name="input_wld_cl03_vds01_mtu">'SDDC Inputs - Common'!$D$348</definedName>
    <definedName name="input_wld_cl03_vds01_name">'SDDC Inputs - Common'!$D$346</definedName>
    <definedName name="input_wld_cl03_vds01_pnics">'SDDC Inputs - Common'!$D$347</definedName>
    <definedName name="input_wld_cl03_vds02_mtu">'SDDC Inputs - Common'!$D$351</definedName>
    <definedName name="input_wld_cl03_vds02_name">'SDDC Inputs - Common'!$D$349</definedName>
    <definedName name="input_wld_cl03_vds02_pnics">'SDDC Inputs - Common'!$D$350</definedName>
    <definedName name="input_wld_cl03_vds03_mtu">'SDDC Inputs - Common'!$D$354</definedName>
    <definedName name="input_wld_cl03_vds03_name">'SDDC Inputs - Common'!$D$352</definedName>
    <definedName name="input_wld_cl03_vds03_pnics">'SDDC Inputs - Common'!$D$353</definedName>
    <definedName name="input_wld_cl03_vsan_datastore">'SDDC Inputs - Common'!$D$337</definedName>
    <definedName name="input_wld_cl03_vsan_dedupe_compression">'SDDC Inputs - Common'!$D$339</definedName>
    <definedName name="input_wld_cl03_vsan_ftt">'SDDC Inputs - Common'!$D$338</definedName>
    <definedName name="input_wld_cloud_account_name">'SDDC Inputs - Common'!$D$497</definedName>
    <definedName name="input_wld_datacenter">'SDDC Inputs - Common'!$D$211</definedName>
    <definedName name="input_wld_datacenter_moref">'SDDC Inputs - Common'!$D$503</definedName>
    <definedName name="input_wld_ec_formfactor">'SDDC Inputs - Common'!$D$239</definedName>
    <definedName name="input_wld_ec_name">'SDDC Inputs - Common'!$D$237</definedName>
    <definedName name="input_wld_ec_profile_name">'SDDC Inputs - Common'!$D$236</definedName>
    <definedName name="input_wld_ec_profile_type">'SDDC Inputs - Common'!$D$238</definedName>
    <definedName name="input_wld_en_asn">'Network Inputs - Rack'!$D$82</definedName>
    <definedName name="input_wld_existing_active_nsx_gm">'SDDC Inputs - Common'!$D$254</definedName>
    <definedName name="input_wld_existing_cross_instance_t0_name">'SDDC Inputs - Common'!$D$255</definedName>
    <definedName name="input_wld_nsxt_federation_global_manager_name">'SDDC Inputs - Common'!$D$250</definedName>
    <definedName name="input_wld_nsxt_federation_location_name">'SDDC Inputs - Common'!$D$251</definedName>
    <definedName name="input_wld_nsxt_global_mgr_anti_affinity_rule_name">'SDDC Inputs - Common'!$D$248</definedName>
    <definedName name="input_wld_nsxt_global_mgr_certificate_id">'SDDC Inputs - Common'!$D$249</definedName>
    <definedName name="input_wld_nsxt_global_mgr_cluster_id">'SDDC Inputs - Common'!$D$246</definedName>
    <definedName name="input_wld_nsxt_global_mgr_vmca_signed_thumbprint">'SDDC Inputs - Common'!$D$247</definedName>
    <definedName name="input_wld_nsxt_global_mgra_hostname">'Name &amp; IP Address Inputs - VM'!$E$69</definedName>
    <definedName name="input_wld_nsxt_global_mgra_ip">'Name &amp; IP Address Inputs - VM'!$G$69</definedName>
    <definedName name="input_wld_nsxt_global_mgrb_hostname">'Name &amp; IP Address Inputs - VM'!$E$70</definedName>
    <definedName name="input_wld_nsxt_global_mgrb_ip">'Name &amp; IP Address Inputs - VM'!$G$70</definedName>
    <definedName name="input_wld_nsxt_global_mgrc_hostname">'Name &amp; IP Address Inputs - VM'!$E$71</definedName>
    <definedName name="input_wld_nsxt_global_mgrc_ip">'Name &amp; IP Address Inputs - VM'!$G$71</definedName>
    <definedName name="input_wld_nsxt_gm_fingerprint">'SDDC Inputs - Common'!$D$253</definedName>
    <definedName name="input_wld_nsxt_gm_hostname">'Name &amp; IP Address Inputs - VM'!$E$68</definedName>
    <definedName name="input_wld_nsxt_gm_ip">'Name &amp; IP Address Inputs - VM'!$G$68</definedName>
    <definedName name="input_wld_nsxt_hostname">'Name &amp; IP Address Inputs - VM'!$E$64</definedName>
    <definedName name="input_wld_nsxt_ip">'Name &amp; IP Address Inputs - VM'!$G$64</definedName>
    <definedName name="input_wld_nsxt_lm_fingerprint">'SDDC Inputs - Common'!$D$245</definedName>
    <definedName name="input_wld_nsxt_mgra_hostname">'Name &amp; IP Address Inputs - VM'!$E$65</definedName>
    <definedName name="input_wld_nsxt_mgra_ip">'Name &amp; IP Address Inputs - VM'!$G$65</definedName>
    <definedName name="input_wld_nsxt_mgrb_hostname">'Name &amp; IP Address Inputs - VM'!$E$66</definedName>
    <definedName name="input_wld_nsxt_mgrb_ip">'Name &amp; IP Address Inputs - VM'!$G$66</definedName>
    <definedName name="input_wld_nsxt_mgrc_hostname">'Name &amp; IP Address Inputs - VM'!$E$67</definedName>
    <definedName name="input_wld_nsxt_mgrc_ip">'Name &amp; IP Address Inputs - VM'!$G$67</definedName>
    <definedName name="input_wld_nsxt_xreg_t1_name">'SDDC Inputs - Common'!$D$252</definedName>
    <definedName name="input_wld_rack2_en_asn">'Network Inputs - Rack'!$D$135</definedName>
    <definedName name="input_wld_rack3_en_asn">'Network Inputs - Rack'!$D$160</definedName>
    <definedName name="input_wld_rack4_en_asn">'Network Inputs - Rack'!$D$185</definedName>
    <definedName name="input_wld_rack5_en_asn">'Network Inputs - Rack'!$D$210</definedName>
    <definedName name="input_wld_rack6_en_asn">'Network Inputs - Rack'!$D$235</definedName>
    <definedName name="input_wld_rack7_en_asn">'Network Inputs - Rack'!$D$260</definedName>
    <definedName name="input_wld_rack8_en_asn">'Network Inputs - Rack'!$D$285</definedName>
    <definedName name="input_wld_rtep_ip_pool_name">'SDDC Inputs - Common'!$D$244</definedName>
    <definedName name="input_wld_rtep_overlay_pool_end_ip">'Name &amp; IP Address Inputs - Rack'!$F$171</definedName>
    <definedName name="input_wld_rtep_overlay_pool_start_ip">'Name &amp; IP Address Inputs - Rack'!$F$170</definedName>
    <definedName name="input_wld_sddc_domain">'SDDC Inputs - Common'!$D$200</definedName>
    <definedName name="input_wld_sddc_org">'SDDC Inputs - Common'!$D$201</definedName>
    <definedName name="input_wld_srm_admin_email">'SDDC Inputs - Common'!$D$577</definedName>
    <definedName name="input_wld_srm_admin_password">'SDDC Inputs - Common'!$D$574</definedName>
    <definedName name="input_wld_srm_database_password">'SDDC Inputs - Common'!$D$575</definedName>
    <definedName name="input_wld_srm_hostname">'Name &amp; IP Address Inputs - VM'!$E$146</definedName>
    <definedName name="input_wld_srm_ip">'Name &amp; IP Address Inputs - VM'!$G$146</definedName>
    <definedName name="input_wld_srm_p12_password">'SDDC Inputs - Common'!$D$578</definedName>
    <definedName name="input_wld_srm_recovery_vcenter_fqdn">'SDDC Inputs - Common'!$D$580</definedName>
    <definedName name="input_wld_srm_recovery_vcenter_password">'SDDC Inputs - Common'!$D$582</definedName>
    <definedName name="input_wld_srm_recovery_vcenter_username">'SDDC Inputs - Common'!$D$581</definedName>
    <definedName name="input_wld_srm_root_password">'SDDC Inputs - Common'!$D$573</definedName>
    <definedName name="input_wld_srm_site_name">'SDDC Inputs - Common'!$D$576</definedName>
    <definedName name="input_wld_srm_sso_domain_membership">'SDDC Inputs - Common'!$D$584</definedName>
    <definedName name="input_wld_srm_vm_folder">'SDDC Inputs - Common'!$D$572</definedName>
    <definedName name="input_wld_srm_vm_size">'Management Domain Sizing Inputs'!$E$71</definedName>
    <definedName name="input_wld_tier0_name">'SDDC Inputs - Common'!$D$240</definedName>
    <definedName name="input_wld_tier1_name">'SDDC Inputs - Common'!$D$241</definedName>
    <definedName name="input_wld_user_vm_rp">'SDDC Inputs - Common'!$D$281</definedName>
    <definedName name="input_wld_vc_hostname">'Name &amp; IP Address Inputs - VM'!$E$63</definedName>
    <definedName name="input_wld_vc_ip">'Name &amp; IP Address Inputs - VM'!$G$63</definedName>
    <definedName name="input_wld_vra_storage_folder">'SDDC Inputs - Common'!$D$500</definedName>
    <definedName name="input_wld_vra_storage_readonly_folder">'SDDC Inputs - Common'!$D$501</definedName>
    <definedName name="input_wld_vra_vm_folder">'SDDC Inputs - Common'!$D$498</definedName>
    <definedName name="input_wld_vra_vm_rp">'SDDC Inputs - Common'!$D$499</definedName>
    <definedName name="input_wld_vrms_admin_email">'SDDC Inputs - Common'!$D$568</definedName>
    <definedName name="input_wld_vrms_admin_password">'SDDC Inputs - Common'!$D$566</definedName>
    <definedName name="input_wld_vrms_hostname">'Name &amp; IP Address Inputs - VM'!$E$144</definedName>
    <definedName name="input_wld_vrms_mgmt_ip">'Name &amp; IP Address Inputs - VM'!$G$144</definedName>
    <definedName name="input_wld_vrms_p12_password">'SDDC Inputs - Common'!$D$570</definedName>
    <definedName name="input_wld_vrms_pg">'SDDC Inputs - Common'!$D$569</definedName>
    <definedName name="input_wld_vrms_recovery_replication_cidr">'SDDC Inputs - Common'!$D$583</definedName>
    <definedName name="input_wld_vrms_root_password">'SDDC Inputs - Common'!$D$565</definedName>
    <definedName name="input_wld_vrms_site_name">'SDDC Inputs - Common'!$D$567</definedName>
    <definedName name="input_wld_vrms_vm_folder">'SDDC Inputs - Common'!$D$564</definedName>
    <definedName name="input_wld_vrms_vrms_ip">'Name &amp; IP Address Inputs - VM'!$G$145</definedName>
    <definedName name="input_wld_vvols_vasa_provider_container_name">'SDDC Inputs - Common'!$D$271</definedName>
    <definedName name="input_wld_vvols_vasa_provider_name">'SDDC Inputs - Common'!$D$267</definedName>
    <definedName name="input_wld_vvols_vasa_provider_password">'SDDC Inputs - Common'!$D$270</definedName>
    <definedName name="input_wld_vvols_vasa_provider_url">'SDDC Inputs - Common'!$D$268</definedName>
    <definedName name="input_wld_vvols_vasa_provider_username">'SDDC Inputs - Common'!$D$269</definedName>
    <definedName name="input_wld_witness_cluster">'SDDC Inputs - Common'!$D$294</definedName>
    <definedName name="input_wld_witness_hostname">'Name &amp; IP Address Inputs - VM'!$E$81</definedName>
    <definedName name="input_wld_witness_ip">'Name &amp; IP Address Inputs - VM'!$G$81</definedName>
    <definedName name="input_wld_witness_mgmt_pg">'SDDC Inputs - Common'!$D$296</definedName>
    <definedName name="input_wld_witness_root_password">'SDDC Inputs - Common'!$D$65</definedName>
    <definedName name="input_wld_witness_sddc_domain">'SDDC Inputs - Common'!$D$292</definedName>
    <definedName name="input_wld_witness_vm_folder">'SDDC Inputs - Common'!$D$295</definedName>
    <definedName name="input_wld_witness_vsan_datastore">'SDDC Inputs - Common'!$D$293</definedName>
    <definedName name="input_wld_witness_zone_vc_hostname">'Name &amp; IP Address Inputs - VM'!$E$80</definedName>
    <definedName name="input_wld_witness_zone_vc_ip">'Name &amp; IP Address Inputs - VM'!$G$80</definedName>
    <definedName name="input_wld_witnessaz_mgmt_cidr">'Network Inputs - Rack'!$F$116</definedName>
    <definedName name="input_wld_witnessaz_mgmt_gateway_ip">'Network Inputs - Rack'!$H$116</definedName>
    <definedName name="input_wld_witnessaz_mgmt_mtu">'Network Inputs - Rack'!$J$116</definedName>
    <definedName name="input_wld_witnessaz_mgmt_vlan">'Network Inputs - Rack'!$D$116</definedName>
    <definedName name="input_xreg_configadmin_email">'SDDC Inputs - Common'!$D$396</definedName>
    <definedName name="input_xreg_customer_connect_email">'SDDC Inputs - Common'!$D$377</definedName>
    <definedName name="input_xreg_customer_connect_password">'SDDC Inputs - Common'!$D$378</definedName>
    <definedName name="input_xreg_existing_vrslcm_fqdn">'SDDC Inputs - Common'!$D$376</definedName>
    <definedName name="input_xreg_seg01_cidr">'Network Inputs - Rack'!$F$22</definedName>
    <definedName name="input_xreg_seg01_gateway_ip">'Network Inputs - Rack'!$H$22</definedName>
    <definedName name="input_xreg_seg01_mtu">'Network Inputs - Rack'!$J$22</definedName>
    <definedName name="input_xreg_seg01_name">'SDDC Inputs - Common'!$D$95</definedName>
    <definedName name="input_xreg_seg01_vlan">'Network Inputs - Rack'!$D$22</definedName>
    <definedName name="input_xreg_vra_anti_affinity_rule">'SDDC Inputs - Common'!$D$494</definedName>
    <definedName name="input_xreg_vra_appliance_size">'Management Domain Sizing Inputs'!$E$67</definedName>
    <definedName name="input_xreg_vra_cloud_account_cloud_capability_tag">'SDDC Inputs - Common'!$D$504</definedName>
    <definedName name="input_xreg_vra_cloud_account_region_capability_tag">'SDDC Inputs - Common'!$D$505</definedName>
    <definedName name="input_xreg_vra_k8s_cluster_cidr">'Network Inputs - VVS'!$D$22</definedName>
    <definedName name="input_xreg_vra_k8s_service_cidr">'Network Inputs - VVS'!$D$23</definedName>
    <definedName name="input_xreg_vra_nodea_hostname">'Name &amp; IP Address Inputs - VM'!$E$123</definedName>
    <definedName name="input_xreg_vra_nodea_ip">'Name &amp; IP Address Inputs - VM'!$G$123</definedName>
    <definedName name="input_xreg_vra_nodeb_hostname">'Name &amp; IP Address Inputs - VM'!$E$124</definedName>
    <definedName name="input_xreg_vra_nodeb_ip">'Name &amp; IP Address Inputs - VM'!$G$124</definedName>
    <definedName name="input_xreg_vra_nodec_hostname">'Name &amp; IP Address Inputs - VM'!$E$125</definedName>
    <definedName name="input_xreg_vra_nodec_ip">'Name &amp; IP Address Inputs - VM'!$G$125</definedName>
    <definedName name="input_xreg_vra_org_name">'SDDC Inputs - Common'!$D$502</definedName>
    <definedName name="input_xreg_vra_root_password">'SDDC Inputs - Common'!$D$492</definedName>
    <definedName name="input_xreg_vra_root_password_alias">'SDDC Inputs - Common'!$D$491</definedName>
    <definedName name="input_xreg_vra_smtp_sender_email_address">'SDDC Inputs - Common'!$D$507</definedName>
    <definedName name="input_xreg_vra_smtp_sender_name">'SDDC Inputs - Common'!$D$506</definedName>
    <definedName name="input_xreg_vra_virtual_hostname">'Name &amp; IP Address Inputs - VM'!$E$122</definedName>
    <definedName name="input_xreg_vra_virtual_ip">'Name &amp; IP Address Inputs - VM'!$G$122</definedName>
    <definedName name="input_xreg_vra_vm_folder">'SDDC Inputs - Common'!$D$493</definedName>
    <definedName name="input_xreg_vra_vm_vm_rule">'SDDC Inputs - Common'!$D$495</definedName>
    <definedName name="input_xreg_vrni_consoleuser_password">'SDDC Inputs - Common'!$D$484</definedName>
    <definedName name="input_xreg_vrni_consoleuser_password_alias">'SDDC Inputs - Common'!$D$483</definedName>
    <definedName name="input_xreg_vrni_deployment_type">'SDDC Inputs - Common'!$D$485</definedName>
    <definedName name="input_xreg_vrni_nodea_hostname">'Name &amp; IP Address Inputs - VM'!$E$117</definedName>
    <definedName name="input_xreg_vrni_nodea_ip">'Name &amp; IP Address Inputs - VM'!$G$117</definedName>
    <definedName name="input_xreg_vrni_platform_node_size">'Management Domain Sizing Inputs'!$E$64</definedName>
    <definedName name="input_xreg_vrni_root_password">'SDDC Inputs - Common'!$D$480</definedName>
    <definedName name="input_xreg_vrni_root_password_alias">'SDDC Inputs - Common'!$D$479</definedName>
    <definedName name="input_xreg_vrni_support_password">'SDDC Inputs - Common'!$D$482</definedName>
    <definedName name="input_xreg_vrni_support_password_alias">'SDDC Inputs - Common'!$D$481</definedName>
    <definedName name="input_xreg_vrops_appliance_size">'Management Domain Sizing Inputs'!$E$61</definedName>
    <definedName name="input_xreg_vrops_currency">'SDDC Inputs - Common'!$D$451</definedName>
    <definedName name="input_xreg_vrops_existing_nodea_fqdn">'SDDC Inputs - Common'!$D$461</definedName>
    <definedName name="input_xreg_vrops_existing_nodea_hostname">'SDDC Inputs - Common'!$D$460</definedName>
    <definedName name="input_xreg_vrops_existing_nodeb_fqdn">'SDDC Inputs - Common'!$D$463</definedName>
    <definedName name="input_xreg_vrops_existing_nodeb_hostname">'SDDC Inputs - Common'!$D$462</definedName>
    <definedName name="input_xreg_vrops_existing_nodec_fqdn">'SDDC Inputs - Common'!$D$465</definedName>
    <definedName name="input_xreg_vrops_existing_nodec_hostname">'SDDC Inputs - Common'!$D$464</definedName>
    <definedName name="input_xreg_vrops_existing_virtual_server_fqdn">'SDDC Inputs - Common'!$D$459</definedName>
    <definedName name="input_xreg_vrops_nodea_hostname">'Name &amp; IP Address Inputs - VM'!$E$109</definedName>
    <definedName name="input_xreg_vrops_nodea_ip">'Name &amp; IP Address Inputs - VM'!$G$109</definedName>
    <definedName name="input_xreg_vrops_nodeb_hostname">'Name &amp; IP Address Inputs - VM'!$E$110</definedName>
    <definedName name="input_xreg_vrops_nodeb_ip">'Name &amp; IP Address Inputs - VM'!$G$110</definedName>
    <definedName name="input_xreg_vrops_nodec_hostname">'Name &amp; IP Address Inputs - VM'!$E$111</definedName>
    <definedName name="input_xreg_vrops_nodec_ip">'Name &amp; IP Address Inputs - VM'!$G$111</definedName>
    <definedName name="input_xreg_vrops_notification_delay">'SDDC Inputs - Common'!$D$457</definedName>
    <definedName name="input_xreg_vrops_notification_interval">'SDDC Inputs - Common'!$D$455</definedName>
    <definedName name="input_xreg_vrops_notification_max">'SDDC Inputs - Common'!$D$456</definedName>
    <definedName name="input_xreg_vrops_rc_size">'Management Domain Sizing Inputs'!$E$62</definedName>
    <definedName name="input_xreg_vrops_root_password">'SDDC Inputs - Common'!$D$449</definedName>
    <definedName name="input_xreg_vrops_root_password_alias">'SDDC Inputs - Common'!$D$448</definedName>
    <definedName name="input_xreg_vrops_smtp_receiver_email_address">'SDDC Inputs - Common'!$D$454</definedName>
    <definedName name="input_xreg_vrops_smtp_sender_email_address">'SDDC Inputs - Common'!$D$453</definedName>
    <definedName name="input_xreg_vrops_smtp_sender_name">'SDDC Inputs - Common'!$D$452</definedName>
    <definedName name="input_xreg_vrops_srm_sso_password">'SDDC Inputs - Common'!$D$518</definedName>
    <definedName name="input_xreg_vrops_srm_sso_username">'SDDC Inputs - Common'!$D$517</definedName>
    <definedName name="input_xreg_vrops_virtual_hostname">'Name &amp; IP Address Inputs - VM'!$E$108</definedName>
    <definedName name="input_xreg_vrops_virtual_ip">'Name &amp; IP Address Inputs - VM'!$G$108</definedName>
    <definedName name="input_xreg_vrops_vm_folder">'SDDC Inputs - Common'!$D$450</definedName>
    <definedName name="input_xreg_vrops_vrms_sso_password">'SDDC Inputs - Common'!$D$516</definedName>
    <definedName name="input_xreg_vrops_vrms_sso_username">'SDDC Inputs - Common'!$D$515</definedName>
    <definedName name="input_xreg_vrslcm_hostname">'Name &amp; IP Address Inputs - VM'!$E$89</definedName>
    <definedName name="input_xreg_vrslcm_ip">'Name &amp; IP Address Inputs - VM'!$G$89</definedName>
    <definedName name="input_xreg_wsa_cert_name">'SDDC Inputs - Common'!$D$383</definedName>
    <definedName name="input_xreg_wsa_delegate_ip">'Name &amp; IP Address Inputs - VM'!$G$97</definedName>
    <definedName name="input_xreg_wsa_node_size">'Management Domain Sizing Inputs'!$E$57</definedName>
    <definedName name="input_xreg_wsa_nodea_hostname">'Name &amp; IP Address Inputs - VM'!$E$94</definedName>
    <definedName name="input_xreg_wsa_nodea_ip">'Name &amp; IP Address Inputs - VM'!$G$94</definedName>
    <definedName name="input_xreg_wsa_nodeb_hostname">'Name &amp; IP Address Inputs - VM'!$E$95</definedName>
    <definedName name="input_xreg_wsa_nodeb_ip">'Name &amp; IP Address Inputs - VM'!$G$95</definedName>
    <definedName name="input_xreg_wsa_nodec_hostname">'Name &amp; IP Address Inputs - VM'!$E$96</definedName>
    <definedName name="input_xreg_wsa_nodec_ip">'Name &amp; IP Address Inputs - VM'!$G$96</definedName>
    <definedName name="input_xreg_wsa_virtual_hostname">'Name &amp; IP Address Inputs - VM'!$E$93</definedName>
    <definedName name="input_xreg_wsa_virtual_ip">'Name &amp; IP Address Inputs - VM'!$G$93</definedName>
    <definedName name="input_xreg_wsa_vm_folder">'SDDC Inputs - Common'!$D$384</definedName>
    <definedName name="input_xregion_dns1_ip">'Name &amp; IP Address Inputs - VM'!$D$22</definedName>
    <definedName name="input_xregion_dns2_ip">'Name &amp; IP Address Inputs - VM'!$D$23</definedName>
    <definedName name="input_xregion_ntp1_server">'Name &amp; IP Address Inputs - VM'!$D$11</definedName>
    <definedName name="input_xregion_ntp2_server">'Name &amp; IP Address Inputs - VM'!$D$12</definedName>
    <definedName name="intelligent_logging_chosen">'Deployment Options'!$H$69</definedName>
    <definedName name="intelligent_logging_result">'Deployment Options'!$J$69</definedName>
    <definedName name="intelligent_operations_chosen">'Deployment Options'!$H$70</definedName>
    <definedName name="intelligent_operations_result">'Deployment Options'!$J$70</definedName>
    <definedName name="inv_ad_base_dn">'Value Reference Tables'!$R$269</definedName>
    <definedName name="inv_cdp_hostname">'Value Reference Tables'!$R$260</definedName>
    <definedName name="inv_cdp_ip">'Value Reference Tables'!$R$261</definedName>
    <definedName name="inv_chosen">'Deployment Options'!$H$71</definedName>
    <definedName name="inv_dc_folder">'Value Reference Tables'!$R$257</definedName>
    <definedName name="inv_ldap_url">'Value Reference Tables'!$R$266</definedName>
    <definedName name="inv_mgmt_nsxt_piuser">'Value Reference Tables'!$R$258</definedName>
    <definedName name="inv_result">'Deployment Options'!$J$71</definedName>
    <definedName name="inv_vm_folder">'Value Reference Tables'!$R$256</definedName>
    <definedName name="inv_vrops_password">'Value Reference Tables'!$R$277</definedName>
    <definedName name="inv_vsphere_role">'Value Reference Tables'!$R$253</definedName>
    <definedName name="inv_vsphere_svc_password">'Value Reference Tables'!$R$255</definedName>
    <definedName name="inv_vsphere_svc_user">'Value Reference Tables'!$R$254</definedName>
    <definedName name="inv_wld_nsxt_piuser">'Value Reference Tables'!$R$259</definedName>
    <definedName name="iom_ci_result">'Value Reference Tables'!$X$90</definedName>
    <definedName name="iom_id_result">'Value Reference Tables'!$X$89</definedName>
    <definedName name="iom_mgmt_nsxt_piuser">'Value Reference Tables'!$R$129</definedName>
    <definedName name="iom_vaops_vcf_vc_adapter_name">'Value Reference Tables'!$R$154</definedName>
    <definedName name="iom_vaops_vcf_vc_credential_name">'Value Reference Tables'!$R$155</definedName>
    <definedName name="iom_vaops_vcf_vsan_adapter_name">'Value Reference Tables'!$R$156</definedName>
    <definedName name="iom_vaops_vcf_vsan_credential_name">'Value Reference Tables'!$R$157</definedName>
    <definedName name="iom_vcf_svc_password">'Value Reference Tables'!$R$126</definedName>
    <definedName name="iom_vcf_svc_user">'Value Reference Tables'!$R$125</definedName>
    <definedName name="iom_vsphere_role">'Value Reference Tables'!$R$124</definedName>
    <definedName name="iom_vsphere_svc_password">'Value Reference Tables'!$R$128</definedName>
    <definedName name="iom_vsphere_svc_user">'Value Reference Tables'!$R$127</definedName>
    <definedName name="iom_wld_nsxt_piuser">'Value Reference Tables'!$R$130</definedName>
    <definedName name="k8s_api_endpoint_fqdn">'Value Reference Tables'!$R$48</definedName>
    <definedName name="k8s_cluster_endpoint_fqdn">'Value Reference Tables'!$R$45</definedName>
    <definedName name="k8s_cluster_name">'Value Reference Tables'!$L$110</definedName>
    <definedName name="k8s_egress_pool_cidr">'Value Reference Tables'!$O$41</definedName>
    <definedName name="k8s_harbor_fqdn">'Value Reference Tables'!$O$54</definedName>
    <definedName name="k8s_harbor_hostname">'Value Reference Tables'!$O$51</definedName>
    <definedName name="k8s_harbor_ip">'Value Reference Tables'!$O$48</definedName>
    <definedName name="k8s_harbor_storage_policy">'Value Reference Tables'!#REF!</definedName>
    <definedName name="k8s_ingress_pool_cidr">'Value Reference Tables'!$O$40</definedName>
    <definedName name="k8s_ip_prefixlist">'Value Reference Tables'!$R$31</definedName>
    <definedName name="k8s_ip_routemap">'Value Reference Tables'!$R$32</definedName>
    <definedName name="k8s_kubectl_path">'Value Reference Tables'!$R$46</definedName>
    <definedName name="k8s_mgmt_pool_start_ip">'Value Reference Tables'!$R$43</definedName>
    <definedName name="k8s_mgmt_seg">'Value Reference Tables'!$R$30</definedName>
    <definedName name="k8s_namepsace">'Value Reference Tables'!$L$109</definedName>
    <definedName name="k8s_segment_cidr">'Value Reference Tables'!$U$32</definedName>
    <definedName name="k8s_segment_gateway_ip">'Value Reference Tables'!$R$44</definedName>
    <definedName name="k8s_segment_gateway_ip_cidr">'Value Reference Tables'!$R$47</definedName>
    <definedName name="k8s_segment_ip">'Value Reference Tables'!$U$36</definedName>
    <definedName name="k8s_segment_mask">'Value Reference Tables'!$X$52</definedName>
    <definedName name="k8s_segment_pg">'Value Reference Tables'!$U$28</definedName>
    <definedName name="k8s_supervisor_cluster_pod_pool_cidr">'Value Reference Tables'!$O$42</definedName>
    <definedName name="k8s_supervisor_cluster_service_pool_cidr">'Value Reference Tables'!$O$43</definedName>
    <definedName name="k8s_tanzu_k8s_cluster_pod_pool_cidr">'Value Reference Tables'!$O$44</definedName>
    <definedName name="k8s_tanzu_k8s_cluster_service_pool_cidr">'Value Reference Tables'!$O$45</definedName>
    <definedName name="k8s_vcenter_category">'Value Reference Tables'!$R$36</definedName>
    <definedName name="k8s_vcenter_content_library">'Value Reference Tables'!$R$39</definedName>
    <definedName name="k8s_vcenter_storage_policy">'Value Reference Tables'!$R$38</definedName>
    <definedName name="k8s_vcenter_tag">'Value Reference Tables'!$R$37</definedName>
    <definedName name="k8s_vm_class">'Value Reference Tables'!$R$50</definedName>
    <definedName name="label_cloudbuilder_admin_password">'SDDC Inputs - Common'!$B$12</definedName>
    <definedName name="label_cloudbuilder_root_password">'SDDC Inputs - Common'!$B$13</definedName>
    <definedName name="label_cloudbuilder_target_datastore">'SDDC Inputs - Common'!$B$9</definedName>
    <definedName name="label_cloudbuilder_target_fqdn">'SDDC Inputs - Common'!$B$8</definedName>
    <definedName name="label_cloudbuilder_target_network">'SDDC Inputs - Common'!$B$10</definedName>
    <definedName name="label_esxi_root_password">'SDDC Inputs - Common'!$B$28</definedName>
    <definedName name="local_admin_password">'Value Reference Tables'!$X$21</definedName>
    <definedName name="local_admin_password_alias">'Value Reference Tables'!$X$20</definedName>
    <definedName name="local_admin_username">'Value Reference Tables'!$X$22</definedName>
    <definedName name="local_configadmin_password">'Value Reference Tables'!$X$24</definedName>
    <definedName name="local_configadmin_password_alias">'Value Reference Tables'!$X$23</definedName>
    <definedName name="local_configadmin_username">'Value Reference Tables'!$X$25</definedName>
    <definedName name="local_vcf_aware_wsa_root_password">'Value Reference Tables'!$X$27</definedName>
    <definedName name="local_vcf_aware_wsa_root_password_alias">'Value Reference Tables'!$X$26</definedName>
    <definedName name="local_vcf_aware_wsa_root_password_username">'Value Reference Tables'!$X$28</definedName>
    <definedName name="mgmt_avi_loadbalancer_chosen">'Deployment Options'!$H$27</definedName>
    <definedName name="mgmt_avi_loadbalancer_result">'Deployment Options'!$J$27</definedName>
    <definedName name="mgmt_avilb_cluster_name">'Value Reference Tables'!$L$35</definedName>
    <definedName name="mgmt_avilb_cluster_version">'Value Reference Tables'!$L$36</definedName>
    <definedName name="mgmt_avilb_fqdn">'Value Reference Tables'!$C$65</definedName>
    <definedName name="mgmt_avilb_hostname">'Value Reference Tables'!$C$44</definedName>
    <definedName name="mgmt_avilb_ip">'Value Reference Tables'!$C$25</definedName>
    <definedName name="mgmt_avilb_mgra_fqdn">'Value Reference Tables'!$C$66</definedName>
    <definedName name="mgmt_avilb_mgra_hostname">'Value Reference Tables'!$C$45</definedName>
    <definedName name="mgmt_avilb_mgra_ip">'Value Reference Tables'!$C$26</definedName>
    <definedName name="mgmt_avilb_mgrb_fqdn">'Value Reference Tables'!$C$67</definedName>
    <definedName name="mgmt_avilb_mgrb_hostname">'Value Reference Tables'!$C$46</definedName>
    <definedName name="mgmt_avilb_mgrb_ip">'Value Reference Tables'!$C$27</definedName>
    <definedName name="mgmt_avilb_mgrc_fqdn">'Value Reference Tables'!$C$68</definedName>
    <definedName name="mgmt_avilb_mgrc_hostname">'Value Reference Tables'!$C$47</definedName>
    <definedName name="mgmt_avilb_mgrc_ip">'Value Reference Tables'!$C$28</definedName>
    <definedName name="mgmt_az1_edge_overlay_cidr">'Value Reference Tables - MR'!$C$30</definedName>
    <definedName name="mgmt_az1_edge_overlay_gateway_ip">'Value Reference Tables - MR'!$C$44</definedName>
    <definedName name="mgmt_az1_edge_overlay_mtu">'Value Reference Tables - MR'!$C$58</definedName>
    <definedName name="mgmt_az1_edge_overlay_network_pool_name">'Value Reference Tables - MR'!$C$103</definedName>
    <definedName name="mgmt_az1_edge_overlay_pool_end_ip">'Value Reference Tables - MR'!$C$92</definedName>
    <definedName name="mgmt_az1_edge_overlay_pool_start_ip">'Value Reference Tables - MR'!$C$91</definedName>
    <definedName name="mgmt_az1_edge_overlay_vlan">'Value Reference Tables - MR'!$C$16</definedName>
    <definedName name="mgmt_az1_en1_edge_overlay_interface_ip_1_ip">'Value Reference Tables - MR'!$C$201</definedName>
    <definedName name="mgmt_az1_en1_edge_overlay_interface_ip_2_ip">'Value Reference Tables - MR'!$C$202</definedName>
    <definedName name="mgmt_az1_en1_fqdn">'Value Reference Tables'!$C$63</definedName>
    <definedName name="mgmt_az1_en1_hostname">'Value Reference Tables - MR'!$C$196</definedName>
    <definedName name="mgmt_az1_en1_mgmt_ip">'Value Reference Tables - MR'!$C$198</definedName>
    <definedName name="mgmt_az1_en1_uplink01_interface_ip">'Value Reference Tables - MR'!$C$199</definedName>
    <definedName name="mgmt_az1_en1_uplink02_interface_ip">'Value Reference Tables - MR'!$C$200</definedName>
    <definedName name="mgmt_az1_en2_edge_overlay_interface_ip_1_ip">'Value Reference Tables - MR'!$C$210</definedName>
    <definedName name="mgmt_az1_en2_edge_overlay_interface_ip_2_ip">'Value Reference Tables - MR'!$C$211</definedName>
    <definedName name="mgmt_az1_en2_fqdn">'Value Reference Tables'!$C$64</definedName>
    <definedName name="mgmt_az1_en2_hostname">'Value Reference Tables - MR'!$C$205</definedName>
    <definedName name="mgmt_az1_en2_mgmt_ip">'Value Reference Tables - MR'!$C$207</definedName>
    <definedName name="mgmt_az1_en2_uplink01_interface_ip">'Value Reference Tables - MR'!$C$208</definedName>
    <definedName name="mgmt_az1_en2_uplink02_interface_ip">'Value Reference Tables - MR'!$C$209</definedName>
    <definedName name="mgmt_az1_host_fqdns">'Value Reference Tables - MR'!$C$178:$C$193</definedName>
    <definedName name="mgmt_az1_host_hostnames">'Value Reference Tables - MR'!$C$159:$C$174</definedName>
    <definedName name="mgmt_az1_host_mgmt_ips">'Value Reference Tables - MR'!$C$124:$C$139</definedName>
    <definedName name="mgmt_az1_host_overlay_cidr">'Value Reference Tables - MR'!$C$26</definedName>
    <definedName name="mgmt_az1_host_overlay_gateway_ip">'Value Reference Tables - MR'!$C$40</definedName>
    <definedName name="mgmt_az1_host_overlay_mtu">'Value Reference Tables - MR'!$C$54</definedName>
    <definedName name="mgmt_az1_host_overlay_network_pool_description">'Value Reference Tables - MR'!$C$100</definedName>
    <definedName name="mgmt_az1_host_overlay_network_pool_name">'Value Reference Tables - MR'!$C$101</definedName>
    <definedName name="mgmt_az1_host_overlay_network_profile_name">'Value Reference Tables - MR'!$C$99</definedName>
    <definedName name="mgmt_az1_host_overlay_pool_end_ip">'Value Reference Tables - MR'!$C$88</definedName>
    <definedName name="mgmt_az1_host_overlay_pool_start_ip">'Value Reference Tables - MR'!$C$87</definedName>
    <definedName name="mgmt_az1_host_overlay_uplink_profile_name">'Value Reference Tables - MR'!$C$102</definedName>
    <definedName name="mgmt_az1_host_overlay_vlan">'Value Reference Tables - MR'!$C$12</definedName>
    <definedName name="mgmt_az1_host_vrms_ips">'Value Reference Tables - MR'!$C$140:$C$155</definedName>
    <definedName name="mgmt_az1_host1_fqdn">'Value Reference Tables - MR'!$C$178</definedName>
    <definedName name="mgmt_az1_host1_hostname">'Value Reference Tables - MR'!$C$159</definedName>
    <definedName name="mgmt_az1_host1_mgmt_ip">'Value Reference Tables - MR'!$C$124</definedName>
    <definedName name="mgmt_az1_host1_vrms_ip">'Value Reference Tables - MR'!$C$140</definedName>
    <definedName name="mgmt_az1_host10_fqdn">'Value Reference Tables - MR'!$C$187</definedName>
    <definedName name="mgmt_az1_host10_hostname">'Value Reference Tables - MR'!$C$168</definedName>
    <definedName name="mgmt_az1_host10_mgmt_ip">'Value Reference Tables - MR'!$C$133</definedName>
    <definedName name="mgmt_az1_host10_vrms_ip">'Value Reference Tables - MR'!$C$149</definedName>
    <definedName name="mgmt_az1_host11_fqdn">'Value Reference Tables - MR'!$C$188</definedName>
    <definedName name="mgmt_az1_host11_hostname">'Value Reference Tables - MR'!$C$169</definedName>
    <definedName name="mgmt_az1_host11_mgmt_ip">'Value Reference Tables - MR'!$C$134</definedName>
    <definedName name="mgmt_az1_host11_vrms_ip">'Value Reference Tables - MR'!$C$150</definedName>
    <definedName name="mgmt_az1_host12_fqdn">'Value Reference Tables - MR'!$C$189</definedName>
    <definedName name="mgmt_az1_host12_hostname">'Value Reference Tables - MR'!$C$170</definedName>
    <definedName name="mgmt_az1_host12_mgmt_ip">'Value Reference Tables - MR'!$C$135</definedName>
    <definedName name="mgmt_az1_host12_vrms_ip">'Value Reference Tables - MR'!$C$151</definedName>
    <definedName name="mgmt_az1_host13_fqdn">'Value Reference Tables - MR'!$C$190</definedName>
    <definedName name="mgmt_az1_host13_hostname">'Value Reference Tables - MR'!$C$171</definedName>
    <definedName name="mgmt_az1_host13_mgmt_ip">'Value Reference Tables - MR'!$C$136</definedName>
    <definedName name="mgmt_az1_host13_vrms_ip">'Value Reference Tables - MR'!$C$152</definedName>
    <definedName name="mgmt_az1_host14_fqdn">'Value Reference Tables - MR'!$C$191</definedName>
    <definedName name="mgmt_az1_host14_hostname">'Value Reference Tables - MR'!$C$172</definedName>
    <definedName name="mgmt_az1_host14_mgmt_ip">'Value Reference Tables - MR'!$C$137</definedName>
    <definedName name="mgmt_az1_host14_vrms_ip">'Value Reference Tables - MR'!$C$153</definedName>
    <definedName name="mgmt_az1_host15_fqdn">'Value Reference Tables - MR'!$C$192</definedName>
    <definedName name="mgmt_az1_host15_hostname">'Value Reference Tables - MR'!$C$173</definedName>
    <definedName name="mgmt_az1_host15_mgmt_ip">'Value Reference Tables - MR'!$C$138</definedName>
    <definedName name="mgmt_az1_host15_vrms_ip">'Value Reference Tables - MR'!$C$154</definedName>
    <definedName name="mgmt_az1_host16_fqdn">'Value Reference Tables - MR'!$C$193</definedName>
    <definedName name="mgmt_az1_host16_hostname">'Value Reference Tables - MR'!$C$174</definedName>
    <definedName name="mgmt_az1_host16_mgmt_ip">'Value Reference Tables - MR'!$C$139</definedName>
    <definedName name="mgmt_az1_host16_vrms_ip">'Value Reference Tables - MR'!$C$155</definedName>
    <definedName name="mgmt_az1_host2_fqdn">'Value Reference Tables - MR'!$C$179</definedName>
    <definedName name="mgmt_az1_host2_hostname">'Value Reference Tables - MR'!$C$160</definedName>
    <definedName name="mgmt_az1_host2_mgmt_ip">'Value Reference Tables - MR'!$C$125</definedName>
    <definedName name="mgmt_az1_host2_vrms_ip">'Value Reference Tables - MR'!$C$141</definedName>
    <definedName name="mgmt_az1_host3_fqdn">'Value Reference Tables - MR'!$C$180</definedName>
    <definedName name="mgmt_az1_host3_hostname">'Value Reference Tables - MR'!$C$161</definedName>
    <definedName name="mgmt_az1_host3_mgmt_ip">'Value Reference Tables - MR'!$C$126</definedName>
    <definedName name="mgmt_az1_host3_vrms_ip">'Value Reference Tables - MR'!$C$142</definedName>
    <definedName name="mgmt_az1_host4_fqdn">'Value Reference Tables - MR'!$C$181</definedName>
    <definedName name="mgmt_az1_host4_hostname">'Value Reference Tables - MR'!$C$162</definedName>
    <definedName name="mgmt_az1_host4_mgmt_ip">'Value Reference Tables - MR'!$C$127</definedName>
    <definedName name="mgmt_az1_host4_vrms_ip">'Value Reference Tables - MR'!$C$143</definedName>
    <definedName name="mgmt_az1_host5_fqdn">'Value Reference Tables - MR'!$C$182</definedName>
    <definedName name="mgmt_az1_host5_hostname">'Value Reference Tables - MR'!$C$163</definedName>
    <definedName name="mgmt_az1_host5_mgmt_ip">'Value Reference Tables - MR'!$C$128</definedName>
    <definedName name="mgmt_az1_host5_vrms_ip">'Value Reference Tables - MR'!$C$144</definedName>
    <definedName name="mgmt_az1_host6_fqdn">'Value Reference Tables - MR'!$C$183</definedName>
    <definedName name="mgmt_az1_host6_hostname">'Value Reference Tables - MR'!$C$164</definedName>
    <definedName name="mgmt_az1_host6_mgmt_ip">'Value Reference Tables - MR'!$C$129</definedName>
    <definedName name="mgmt_az1_host6_vrms_ip">'Value Reference Tables - MR'!$C$145</definedName>
    <definedName name="mgmt_az1_host7_fqdn">'Value Reference Tables - MR'!$C$184</definedName>
    <definedName name="mgmt_az1_host7_hostname">'Value Reference Tables - MR'!$C$165</definedName>
    <definedName name="mgmt_az1_host7_mgmt_ip">'Value Reference Tables - MR'!$C$130</definedName>
    <definedName name="mgmt_az1_host7_vrms_ip">'Value Reference Tables - MR'!$C$146</definedName>
    <definedName name="mgmt_az1_host8_fqdn">'Value Reference Tables - MR'!$C$185</definedName>
    <definedName name="mgmt_az1_host8_hostname">'Value Reference Tables - MR'!$C$166</definedName>
    <definedName name="mgmt_az1_host8_mgmt_ip">'Value Reference Tables - MR'!$C$131</definedName>
    <definedName name="mgmt_az1_host8_vrms_ip">'Value Reference Tables - MR'!$C$147</definedName>
    <definedName name="mgmt_az1_host9_fqdn">'Value Reference Tables - MR'!$C$186</definedName>
    <definedName name="mgmt_az1_host9_hostname">'Value Reference Tables - MR'!$C$167</definedName>
    <definedName name="mgmt_az1_host9_mgmt_ip">'Value Reference Tables - MR'!$C$132</definedName>
    <definedName name="mgmt_az1_host9_vrms_ip">'Value Reference Tables - MR'!$C$148</definedName>
    <definedName name="mgmt_az1_mgmt_cidr">'Value Reference Tables - MR'!$C$23</definedName>
    <definedName name="mgmt_az1_mgmt_gateway_ip">'Value Reference Tables - MR'!$C$37</definedName>
    <definedName name="mgmt_az1_mgmt_mask">'Value Reference Tables - MR'!$C$110</definedName>
    <definedName name="mgmt_az1_mgmt_mtu">'Value Reference Tables - MR'!$C$51</definedName>
    <definedName name="mgmt_az1_mgmt_vlan">'Value Reference Tables - MR'!$C$9</definedName>
    <definedName name="mgmt_az1_mgmt_vm_cidr">'Value Reference Tables - MR'!$C$22</definedName>
    <definedName name="mgmt_az1_mgmt_vm_gateway_ip">'Value Reference Tables - MR'!$C$36</definedName>
    <definedName name="mgmt_az1_mgmt_vm_mask">'Value Reference Tables - MR'!$C$109</definedName>
    <definedName name="mgmt_az1_mgmt_vm_mtu">'Value Reference Tables - MR'!$C$50</definedName>
    <definedName name="mgmt_az1_mgmt_vm_vlan">'Value Reference Tables - MR'!$C$8</definedName>
    <definedName name="mgmt_az1_pool_name">'Value Reference Tables - MR'!$C$98</definedName>
    <definedName name="mgmt_az1_rtep_ip_pool_name">'Value Reference Tables - MR'!$C$104</definedName>
    <definedName name="mgmt_az1_rtep_overlay_cidr">'Value Reference Tables - MR'!$C$31</definedName>
    <definedName name="mgmt_az1_rtep_overlay_gateway_ip">'Value Reference Tables - MR'!$C$45</definedName>
    <definedName name="mgmt_az1_rtep_overlay_mtu">'Value Reference Tables - MR'!$C$59</definedName>
    <definedName name="mgmt_az1_rtep_overlay_vlan">'Value Reference Tables - MR'!$C$17</definedName>
    <definedName name="mgmt_az1_tor1_peer_asn">'Value Reference Tables - MR'!$C$66</definedName>
    <definedName name="mgmt_az1_tor1_peer_bgp_password">'Value Reference Tables - MR'!$C$67</definedName>
    <definedName name="mgmt_az1_tor1_peer_ip">'Value Reference Tables - MR'!$C$65</definedName>
    <definedName name="mgmt_az1_tor2_peer_asn">'Value Reference Tables - MR'!$C$69</definedName>
    <definedName name="mgmt_az1_tor2_peer_bgp_password">'Value Reference Tables - MR'!$C$70</definedName>
    <definedName name="mgmt_az1_tor2_peer_ip">'Value Reference Tables - MR'!$C$68</definedName>
    <definedName name="mgmt_az1_uplink01_cidr">'Value Reference Tables - MR'!$C$28</definedName>
    <definedName name="mgmt_az1_uplink01_gateway_ip">'Value Reference Tables - MR'!$C$42</definedName>
    <definedName name="mgmt_az1_uplink01_mask">'Value Reference Tables'!$X$42</definedName>
    <definedName name="mgmt_az1_uplink01_mtu">'Value Reference Tables - MR'!$C$56</definedName>
    <definedName name="mgmt_az1_uplink01_vlan">'Value Reference Tables - MR'!$C$14</definedName>
    <definedName name="mgmt_az1_uplink02_cidr">'Value Reference Tables - MR'!$C$29</definedName>
    <definedName name="mgmt_az1_uplink02_gateway_ip">'Value Reference Tables - MR'!$C$43</definedName>
    <definedName name="mgmt_az1_uplink02_mask">'Value Reference Tables'!$X$43</definedName>
    <definedName name="mgmt_az1_uplink02_mtu">'Value Reference Tables - MR'!$C$57</definedName>
    <definedName name="mgmt_az1_uplink02_vlan">'Value Reference Tables - MR'!$C$15</definedName>
    <definedName name="mgmt_az1_vm_cidr">'Value Reference Tables'!$AA$17</definedName>
    <definedName name="mgmt_az1_vm_gateway_ip">'Value Reference Tables'!$AA$21</definedName>
    <definedName name="mgmt_az1_vm_group_name">'Value Reference Tables'!$C$84</definedName>
    <definedName name="mgmt_az1_vm_mtu">'Value Reference Tables'!$AA$25</definedName>
    <definedName name="mgmt_az1_vm_vlan">'Value Reference Tables'!$AA$8</definedName>
    <definedName name="mgmt_az1_vmotion_cidr">'Value Reference Tables - MR'!$C$24</definedName>
    <definedName name="mgmt_az1_vmotion_gateway_ip">'Value Reference Tables - MR'!$C$38</definedName>
    <definedName name="mgmt_az1_vmotion_mask">'Value Reference Tables - MR'!$C$111</definedName>
    <definedName name="mgmt_az1_vmotion_mtu">'Value Reference Tables - MR'!$C$52</definedName>
    <definedName name="mgmt_az1_vmotion_pool_end_ip">'Value Reference Tables - MR'!$C$84</definedName>
    <definedName name="mgmt_az1_vmotion_pool_start_ip">'Value Reference Tables - MR'!$C$83</definedName>
    <definedName name="mgmt_az1_vmotion_vlan">'Value Reference Tables - MR'!$C$10</definedName>
    <definedName name="mgmt_az1_vrms_cidr">'Value Reference Tables - MR'!$C$32</definedName>
    <definedName name="mgmt_az1_vrms_gateway_ip">'Value Reference Tables - MR'!$C$46</definedName>
    <definedName name="mgmt_az1_vrms_mtu">'Value Reference Tables - MR'!$C$60</definedName>
    <definedName name="mgmt_az1_vrms_vlan">'Value Reference Tables - MR'!$C$18</definedName>
    <definedName name="mgmt_az1_vsan_cidr">'Value Reference Tables - MR'!$C$25</definedName>
    <definedName name="mgmt_az1_vsan_gateway_ip">'Value Reference Tables - MR'!$C$39</definedName>
    <definedName name="mgmt_az1_vsan_mask">'Value Reference Tables - MR'!$C$112</definedName>
    <definedName name="mgmt_az1_vsan_mtu">'Value Reference Tables - MR'!$C$53</definedName>
    <definedName name="mgmt_az1_vsan_pool_end_ip">'Value Reference Tables - MR'!$C$86</definedName>
    <definedName name="mgmt_az1_vsan_pool_start_ip">'Value Reference Tables - MR'!$C$85</definedName>
    <definedName name="mgmt_az1_vsan_vlan">'Value Reference Tables - MR'!$C$11</definedName>
    <definedName name="mgmt_az2_edge_overlay_cidr">'Value Reference Tables - MR'!$C$257</definedName>
    <definedName name="mgmt_az2_edge_overlay_gateway_ip">'Value Reference Tables - MR'!$C$271</definedName>
    <definedName name="mgmt_az2_edge_overlay_mtu">'Value Reference Tables - MR'!$C$285</definedName>
    <definedName name="mgmt_az2_edge_overlay_vlan">'Value Reference Tables - MR'!$C$243</definedName>
    <definedName name="mgmt_az2_host_fqdns">'Value Reference Tables - MR'!$C$394:$C$409</definedName>
    <definedName name="mgmt_az2_host_hostnames">'Value Reference Tables - MR'!$C$375:$C$390</definedName>
    <definedName name="mgmt_az2_host_mgmt_ips">'Value Reference Tables - MR'!$C$340:$C$355</definedName>
    <definedName name="mgmt_az2_host_overlay_cidr">'Value Reference Tables - MR'!$C$253</definedName>
    <definedName name="mgmt_az2_host_overlay_gateway_ip">'Value Reference Tables - MR'!$C$267</definedName>
    <definedName name="mgmt_az2_host_overlay_mtu">'Value Reference Tables - MR'!$C$281</definedName>
    <definedName name="mgmt_az2_host_overlay_network_pool_name">'Value Reference Tables - MR'!$C$325</definedName>
    <definedName name="mgmt_az2_host_overlay_network_profile_name">'Value Reference Tables - MR'!$C$324</definedName>
    <definedName name="mgmt_az2_host_overlay_pool_end_ip">'Value Reference Tables - MR'!$C$315</definedName>
    <definedName name="mgmt_az2_host_overlay_pool_name">'Value Reference Tables'!$C$216</definedName>
    <definedName name="mgmt_az2_host_overlay_pool_start_ip">'Value Reference Tables - MR'!$C$314</definedName>
    <definedName name="mgmt_az2_host_overlay_uplink_profile_name">'Value Reference Tables - MR'!$C$326</definedName>
    <definedName name="mgmt_az2_host_overlay_vlan">'Value Reference Tables - MR'!$C$239</definedName>
    <definedName name="mgmt_az2_host_vrms_ips">'Value Reference Tables - MR'!$C$356:$C$371</definedName>
    <definedName name="mgmt_az2_host1_fqdn">'Value Reference Tables - MR'!$C$394</definedName>
    <definedName name="mgmt_az2_host1_hostname">'Value Reference Tables - MR'!$C$375</definedName>
    <definedName name="mgmt_az2_host1_mgmt_ip">'Value Reference Tables - MR'!$C$340</definedName>
    <definedName name="mgmt_az2_host1_sddc_id">'Value Reference Tables'!$C$211</definedName>
    <definedName name="mgmt_az2_host1_vrms_ip">'Value Reference Tables - MR'!$C$356</definedName>
    <definedName name="mgmt_az2_host10_fqdn">'Value Reference Tables - MR'!$C$403</definedName>
    <definedName name="mgmt_az2_host10_hostname">'Value Reference Tables - MR'!$C$384</definedName>
    <definedName name="mgmt_az2_host10_mgmt_ip">'Value Reference Tables - MR'!$C$349</definedName>
    <definedName name="mgmt_az2_host10_vrms_ip">'Value Reference Tables - MR'!$C$365</definedName>
    <definedName name="mgmt_az2_host11_fqdn">'Value Reference Tables - MR'!$C$404</definedName>
    <definedName name="mgmt_az2_host11_hostname">'Value Reference Tables - MR'!$C$385</definedName>
    <definedName name="mgmt_az2_host11_mgmt_ip">'Value Reference Tables - MR'!$C$350</definedName>
    <definedName name="mgmt_az2_host11_vrms_ip">'Value Reference Tables - MR'!$C$366</definedName>
    <definedName name="mgmt_az2_host12_fqdn">'Value Reference Tables - MR'!$C$405</definedName>
    <definedName name="mgmt_az2_host12_hostname">'Value Reference Tables - MR'!$C$386</definedName>
    <definedName name="mgmt_az2_host12_mgmt_ip">'Value Reference Tables - MR'!$C$351</definedName>
    <definedName name="mgmt_az2_host12_vrms_ip">'Value Reference Tables - MR'!$C$367</definedName>
    <definedName name="mgmt_az2_host13_fqdn">'Value Reference Tables - MR'!$C$406</definedName>
    <definedName name="mgmt_az2_host13_hostname">'Value Reference Tables - MR'!$C$387</definedName>
    <definedName name="mgmt_az2_host13_mgmt_ip">'Value Reference Tables - MR'!$C$352</definedName>
    <definedName name="mgmt_az2_host13_vrms_ip">'Value Reference Tables - MR'!$C$368</definedName>
    <definedName name="mgmt_az2_host14_fqdn">'Value Reference Tables - MR'!$C$407</definedName>
    <definedName name="mgmt_az2_host14_hostname">'Value Reference Tables - MR'!$C$388</definedName>
    <definedName name="mgmt_az2_host14_mgmt_ip">'Value Reference Tables - MR'!$C$353</definedName>
    <definedName name="mgmt_az2_host14_vrms_ip">'Value Reference Tables - MR'!$C$369</definedName>
    <definedName name="mgmt_az2_host15_fqdn">'Value Reference Tables - MR'!$C$408</definedName>
    <definedName name="mgmt_az2_host15_hostname">'Value Reference Tables - MR'!$C$389</definedName>
    <definedName name="mgmt_az2_host15_mgmt_ip">'Value Reference Tables - MR'!$C$354</definedName>
    <definedName name="mgmt_az2_host15_vrms_ip">'Value Reference Tables - MR'!$C$370</definedName>
    <definedName name="mgmt_az2_host16_fqdn">'Value Reference Tables - MR'!$C$409</definedName>
    <definedName name="mgmt_az2_host16_hostname">'Value Reference Tables - MR'!$C$390</definedName>
    <definedName name="mgmt_az2_host16_mgmt_ip">'Value Reference Tables - MR'!$C$355</definedName>
    <definedName name="mgmt_az2_host16_vrms_ip">'Value Reference Tables - MR'!$C$371</definedName>
    <definedName name="mgmt_az2_host2_fqdn">'Value Reference Tables - MR'!$C$395</definedName>
    <definedName name="mgmt_az2_host2_hostname">'Value Reference Tables - MR'!$C$376</definedName>
    <definedName name="mgmt_az2_host2_mgmt_ip">'Value Reference Tables - MR'!$C$341</definedName>
    <definedName name="mgmt_az2_host2_sddc_id">'Value Reference Tables'!$C$212</definedName>
    <definedName name="mgmt_az2_host2_vrms_ip">'Value Reference Tables - MR'!$C$357</definedName>
    <definedName name="mgmt_az2_host3_fqdn">'Value Reference Tables - MR'!$C$396</definedName>
    <definedName name="mgmt_az2_host3_hostname">'Value Reference Tables - MR'!$C$377</definedName>
    <definedName name="mgmt_az2_host3_mgmt_ip">'Value Reference Tables - MR'!$C$342</definedName>
    <definedName name="mgmt_az2_host3_sddc_id">'Value Reference Tables'!$C$213</definedName>
    <definedName name="mgmt_az2_host3_vrms_ip">'Value Reference Tables - MR'!$C$358</definedName>
    <definedName name="mgmt_az2_host4_fqdn">'Value Reference Tables - MR'!$C$397</definedName>
    <definedName name="mgmt_az2_host4_hostname">'Value Reference Tables - MR'!$C$378</definedName>
    <definedName name="mgmt_az2_host4_mgmt_ip">'Value Reference Tables - MR'!$C$343</definedName>
    <definedName name="mgmt_az2_host4_sddc_id">'Value Reference Tables'!$C$214</definedName>
    <definedName name="mgmt_az2_host4_vrms_ip">'Value Reference Tables - MR'!$C$359</definedName>
    <definedName name="mgmt_az2_host5_fqdn">'Value Reference Tables - MR'!$C$398</definedName>
    <definedName name="mgmt_az2_host5_hostname">'Value Reference Tables - MR'!$C$379</definedName>
    <definedName name="mgmt_az2_host5_mgmt_ip">'Value Reference Tables - MR'!$C$344</definedName>
    <definedName name="mgmt_az2_host5_vrms_ip">'Value Reference Tables - MR'!$C$360</definedName>
    <definedName name="mgmt_az2_host6_fqdn">'Value Reference Tables - MR'!$C$399</definedName>
    <definedName name="mgmt_az2_host6_hostname">'Value Reference Tables - MR'!$C$380</definedName>
    <definedName name="mgmt_az2_host6_mgmt_ip">'Value Reference Tables - MR'!$C$345</definedName>
    <definedName name="mgmt_az2_host6_vrms_ip">'Value Reference Tables - MR'!$C$361</definedName>
    <definedName name="mgmt_az2_host7_fqdn">'Value Reference Tables - MR'!$C$400</definedName>
    <definedName name="mgmt_az2_host7_hostname">'Value Reference Tables - MR'!$C$381</definedName>
    <definedName name="mgmt_az2_host7_mgmt_ip">'Value Reference Tables - MR'!$C$346</definedName>
    <definedName name="mgmt_az2_host7_vrms_ip">'Value Reference Tables - MR'!$C$362</definedName>
    <definedName name="mgmt_az2_host8_fqdn">'Value Reference Tables - MR'!$C$401</definedName>
    <definedName name="mgmt_az2_host8_hostname">'Value Reference Tables - MR'!$C$382</definedName>
    <definedName name="mgmt_az2_host8_mgmt_ip">'Value Reference Tables - MR'!$C$347</definedName>
    <definedName name="mgmt_az2_host8_vrms_ip">'Value Reference Tables - MR'!$C$363</definedName>
    <definedName name="mgmt_az2_host9_fqdn">'Value Reference Tables - MR'!$C$402</definedName>
    <definedName name="mgmt_az2_host9_hostname">'Value Reference Tables - MR'!$C$383</definedName>
    <definedName name="mgmt_az2_host9_mgmt_ip">'Value Reference Tables - MR'!$C$348</definedName>
    <definedName name="mgmt_az2_host9_vrms_ip">'Value Reference Tables - MR'!$C$364</definedName>
    <definedName name="mgmt_az2_mgmt_cidr">'Value Reference Tables - MR'!$C$250</definedName>
    <definedName name="mgmt_az2_mgmt_gateway_ip">'Value Reference Tables - MR'!$C$264</definedName>
    <definedName name="mgmt_az2_mgmt_mtu">'Value Reference Tables - MR'!$C$278</definedName>
    <definedName name="mgmt_az2_mgmt_vlan">'Value Reference Tables - MR'!$C$236</definedName>
    <definedName name="mgmt_az2_mgmt_vm_cidr">'Value Reference Tables - MR'!$C$249</definedName>
    <definedName name="mgmt_az2_mgmt_vm_gateway_ip">'Value Reference Tables - MR'!$C$263</definedName>
    <definedName name="mgmt_az2_mgmt_vm_mtu">'Value Reference Tables - MR'!$C$277</definedName>
    <definedName name="mgmt_az2_mgmt_vm_vlan">'Value Reference Tables - MR'!$C$235</definedName>
    <definedName name="mgmt_az2_pool_name">'Value Reference Tables - MR'!$C$323</definedName>
    <definedName name="mgmt_az2_rtep_overlay_cidr">'Value Reference Tables - MR'!$C$258</definedName>
    <definedName name="mgmt_az2_rtep_overlay_gateway_ip">'Value Reference Tables - MR'!$C$272</definedName>
    <definedName name="mgmt_az2_rtep_overlay_mtu">'Value Reference Tables - MR'!$C$286</definedName>
    <definedName name="mgmt_az2_rtep_overlay_vlan">'Value Reference Tables - MR'!$C$244</definedName>
    <definedName name="mgmt_az2_tor1_peer_asn">'Value Reference Tables - MR'!$C$293</definedName>
    <definedName name="mgmt_az2_tor1_peer_bgp_password">'Value Reference Tables - MR'!$C$294</definedName>
    <definedName name="mgmt_az2_tor1_peer_ip">'Value Reference Tables - MR'!$C$292</definedName>
    <definedName name="mgmt_az2_tor2_peer_asn">'Value Reference Tables - MR'!$C$296</definedName>
    <definedName name="mgmt_az2_tor2_peer_bgp_password">'Value Reference Tables - MR'!$C$297</definedName>
    <definedName name="mgmt_az2_tor2_peer_ip">'Value Reference Tables - MR'!$C$295</definedName>
    <definedName name="mgmt_az2_uplink01_cidr">'Value Reference Tables - MR'!$C$255</definedName>
    <definedName name="mgmt_az2_uplink01_gateway_ip">'Value Reference Tables - MR'!$C$269</definedName>
    <definedName name="mgmt_az2_uplink01_mtu">'Value Reference Tables - MR'!$C$283</definedName>
    <definedName name="mgmt_az2_uplink01_vlan">'Value Reference Tables - MR'!$C$241</definedName>
    <definedName name="mgmt_az2_uplink02_cidr">'Value Reference Tables - MR'!$C$256</definedName>
    <definedName name="mgmt_az2_uplink02_gateway_ip">'Value Reference Tables - MR'!$C$270</definedName>
    <definedName name="mgmt_az2_uplink02_mtu">'Value Reference Tables - MR'!$C$284</definedName>
    <definedName name="mgmt_az2_uplink02_vlan">'Value Reference Tables - MR'!$C$242</definedName>
    <definedName name="mgmt_az2_vm_cidr">'Value Reference Tables'!$AB$17</definedName>
    <definedName name="mgmt_az2_vm_gateway_ip">'Value Reference Tables'!$AB$21</definedName>
    <definedName name="mgmt_az2_vm_mtu">'Value Reference Tables'!$AB$25</definedName>
    <definedName name="mgmt_az2_vm_vlan">'Value Reference Tables'!$AB$8</definedName>
    <definedName name="mgmt_az2_vmotion_cidr">'Value Reference Tables - MR'!$C$251</definedName>
    <definedName name="mgmt_az2_vmotion_gateway_ip">'Value Reference Tables - MR'!$C$265</definedName>
    <definedName name="mgmt_az2_vmotion_mtu">'Value Reference Tables - MR'!$C$279</definedName>
    <definedName name="mgmt_az2_vmotion_pool_end_ip">'Value Reference Tables - MR'!$C$311</definedName>
    <definedName name="mgmt_az2_vmotion_pool_start_ip">'Value Reference Tables - MR'!$C$310</definedName>
    <definedName name="mgmt_az2_vmotion_vlan">'Value Reference Tables - MR'!$C$237</definedName>
    <definedName name="mgmt_az2_vrms_cidr">'Value Reference Tables - MR'!$C$259</definedName>
    <definedName name="mgmt_az2_vrms_gateway_ip">'Value Reference Tables - MR'!$C$273</definedName>
    <definedName name="mgmt_az2_vrms_mtu">'Value Reference Tables - MR'!$C$287</definedName>
    <definedName name="mgmt_az2_vrms_vlan">'Value Reference Tables - MR'!$C$245</definedName>
    <definedName name="mgmt_az2_vsan_cidr">'Value Reference Tables - MR'!$C$252</definedName>
    <definedName name="mgmt_az2_vsan_gateway_ip">'Value Reference Tables - MR'!$C$266</definedName>
    <definedName name="mgmt_az2_vsan_mtu">'Value Reference Tables - MR'!$C$280</definedName>
    <definedName name="mgmt_az2_vsan_pool_end_ip">'Value Reference Tables - MR'!$C$313</definedName>
    <definedName name="mgmt_az2_vsan_pool_start_ip">'Value Reference Tables - MR'!$C$312</definedName>
    <definedName name="mgmt_az2_vsan_vlan">'Value Reference Tables - MR'!$C$238</definedName>
    <definedName name="mgmt_ceip_status">'Value Reference Tables'!$L$14</definedName>
    <definedName name="mgmt_cl01_az1_mgmt_pg">'Value Reference Tables - MR'!$C$75</definedName>
    <definedName name="mgmt_cl01_az1_mgmt_vm_pg">'Value Reference Tables - MR'!$C$74</definedName>
    <definedName name="mgmt_cl01_az1_uplink01_pg">'Value Reference Tables - MR'!$C$78</definedName>
    <definedName name="mgmt_cl01_az1_uplink02_pg">'Value Reference Tables - MR'!$C$79</definedName>
    <definedName name="mgmt_cl01_az1_vmotion_pg">'Value Reference Tables - MR'!$C$76</definedName>
    <definedName name="mgmt_cl01_az1_vsan_pg">'Value Reference Tables - MR'!$C$77</definedName>
    <definedName name="mgmt_cl01_az2_mgmt_pg">'Value Reference Tables - MR'!$C$302</definedName>
    <definedName name="mgmt_cl01_az2_mgmt_vm_pg">'Value Reference Tables - MR'!$C$301</definedName>
    <definedName name="mgmt_cl01_az2_vmotion_pg">'Value Reference Tables - MR'!$C$303</definedName>
    <definedName name="mgmt_cl01_az2_vsan_pg">'Value Reference Tables - MR'!$C$304</definedName>
    <definedName name="mgmt_cl01_cluster">'Value Reference Tables'!$C$78</definedName>
    <definedName name="mgmt_cl01_cluster_sddc_id">'Value Reference Tables'!$C$215</definedName>
    <definedName name="mgmt_cl01_evc_mode">'Value Reference Tables'!$C$79</definedName>
    <definedName name="mgmt_cl01_vds_profile">'Value Reference Tables'!$C$90</definedName>
    <definedName name="mgmt_cl01_vds01_mtu">'Value Reference Tables'!$C$94</definedName>
    <definedName name="mgmt_cl01_vds01_name">'Value Reference Tables'!$C$92</definedName>
    <definedName name="mgmt_cl01_vds01_pnics">'Value Reference Tables'!$C$93</definedName>
    <definedName name="mgmt_cl01_vds02_mtu">'Value Reference Tables'!$C$100</definedName>
    <definedName name="mgmt_cl01_vds02_name">'Value Reference Tables'!$C$98</definedName>
    <definedName name="mgmt_cl01_vds02_pnics">'Value Reference Tables'!$C$99</definedName>
    <definedName name="mgmt_cl01_vsan_datastore">'Value Reference Tables'!$C$112</definedName>
    <definedName name="mgmt_cl01_vsan_dedupe_compression">'Value Reference Tables'!$C$114</definedName>
    <definedName name="mgmt_cl01_vsan_ftt">'Value Reference Tables'!$C$113</definedName>
    <definedName name="mgmt_cl01_vss_switch">'Value Reference Tables'!$L$16</definedName>
    <definedName name="mgmt_consolidated_chosen">'Deployment Options'!$H$18</definedName>
    <definedName name="mgmt_consolidated_result">'Deployment Options'!$J$18</definedName>
    <definedName name="mgmt_datacenter">'Value Reference Tables'!$C$77</definedName>
    <definedName name="mgmt_domain_chosen">'Deployment Options'!$H$12</definedName>
    <definedName name="mgmt_domain_result">'Deployment Options'!$J$12</definedName>
    <definedName name="mgmt_dpg_separation_chosen">'Deployment Options'!$H$16</definedName>
    <definedName name="mgmt_dpg_separation_result">'Deployment Options'!$J$16</definedName>
    <definedName name="mgmt_ec_formfactor">'Value Reference Tables'!$L$20</definedName>
    <definedName name="mgmt_ec_name">'Value Reference Tables'!$L$18</definedName>
    <definedName name="mgmt_ec_profile_type">'Value Reference Tables'!$L$19</definedName>
    <definedName name="mgmt_edge_vm_folder">'Value Reference Tables'!$L$47</definedName>
    <definedName name="mgmt_en_asn">'Value Reference Tables - MR'!$C$64</definedName>
    <definedName name="mgmt_esxi_external_certs_chosen">'Deployment Options'!$H$19</definedName>
    <definedName name="mgmt_esxi_external_certs_result">'Deployment Options'!$J$19</definedName>
    <definedName name="mgmt_existing_active_nsx_gm">'Value Reference Tables'!$L$32</definedName>
    <definedName name="mgmt_existing_cross_instance_t0_name">'Value Reference Tables'!$L$33</definedName>
    <definedName name="mgmt_existing_vc_fqdn">'Value Reference Tables'!$R$158</definedName>
    <definedName name="mgmt_fips_status">'Value Reference Tables'!$L$15</definedName>
    <definedName name="mgmt_host_overlay_addressing_chosen">'Deployment Options'!$H$17</definedName>
    <definedName name="mgmt_host_overlay_addressing_result">'Deployment Options'!$J$17</definedName>
    <definedName name="mgmt_host1_sshfingerprint">'Value Reference Tables'!$L$37</definedName>
    <definedName name="mgmt_host1_thumbprint">'Value Reference Tables'!$L$38</definedName>
    <definedName name="mgmt_host2_sshfingerprint">'Value Reference Tables'!$L$39</definedName>
    <definedName name="mgmt_host2_thumbprint">'Value Reference Tables'!$L$40</definedName>
    <definedName name="mgmt_host3_sshfingerprint">'Value Reference Tables'!$L$41</definedName>
    <definedName name="mgmt_host3_thumbprint">'Value Reference Tables'!$L$42</definedName>
    <definedName name="mgmt_host4_sshfingerprint">'Value Reference Tables'!$L$43</definedName>
    <definedName name="mgmt_host4_thumbprint">'Value Reference Tables'!$L$44</definedName>
    <definedName name="mgmt_internet_proxy_address">'Value Reference Tables'!$L$66</definedName>
    <definedName name="mgmt_internet_proxy_auth">'Value Reference Tables'!$L$68</definedName>
    <definedName name="mgmt_internet_proxy_chosen">'Deployment Options'!$H$28</definedName>
    <definedName name="mgmt_internet_proxy_password">'Value Reference Tables'!$I$60</definedName>
    <definedName name="mgmt_internet_proxy_port">'Value Reference Tables'!$L$67</definedName>
    <definedName name="mgmt_internet_proxy_result">'Deployment Options'!$J$28</definedName>
    <definedName name="mgmt_internet_proxy_type">'Value Reference Tables'!$L$65</definedName>
    <definedName name="mgmt_internet_proxy_user">'Value Reference Tables'!$I$59</definedName>
    <definedName name="mgmt_mgmt_rp">'Value Reference Tables'!$C$80</definedName>
    <definedName name="mgmt_mgmt_vm_folder">'Value Reference Tables'!$L$45</definedName>
    <definedName name="mgmt_nsx_rp">'Value Reference Tables'!$C$81</definedName>
    <definedName name="mgmt_nsx_vm_folder">'Value Reference Tables'!$L$46</definedName>
    <definedName name="mgmt_nsxt_federation_chosen">'Deployment Options'!$H$25</definedName>
    <definedName name="mgmt_nsxt_federation_global_manager_name">'Value Reference Tables'!$L$27</definedName>
    <definedName name="mgmt_nsxt_federation_location_name">'Value Reference Tables'!$L$28</definedName>
    <definedName name="mgmt_nsxt_federation_result">'Deployment Options'!$J$25</definedName>
    <definedName name="mgmt_nsxt_global_mgr_anti_affinity_rule_name">'Value Reference Tables'!$L$25</definedName>
    <definedName name="mgmt_nsxt_global_mgr_certificate_id">'Value Reference Tables'!$L$26</definedName>
    <definedName name="mgmt_nsxt_global_mgr_cluster_id">'Value Reference Tables'!$L$24</definedName>
    <definedName name="mgmt_nsxt_global_mgr_vmca_signed_thumbprint">'Value Reference Tables'!$L$23</definedName>
    <definedName name="mgmt_nsxt_global_mgra_fqdn">'Value Reference Tables'!$C$60</definedName>
    <definedName name="mgmt_nsxt_global_mgra_hostname">'Value Reference Tables'!$C$41</definedName>
    <definedName name="mgmt_nsxt_global_mgra_ip">'Value Reference Tables'!$C$22</definedName>
    <definedName name="mgmt_nsxt_global_mgrb_fqdn">'Value Reference Tables'!$C$61</definedName>
    <definedName name="mgmt_nsxt_global_mgrb_hostname">'Value Reference Tables'!$C$42</definedName>
    <definedName name="mgmt_nsxt_global_mgrb_ip">'Value Reference Tables'!$C$23</definedName>
    <definedName name="mgmt_nsxt_global_mgrc_fqdn">'Value Reference Tables'!$C$62</definedName>
    <definedName name="mgmt_nsxt_global_mgrc_hostname">'Value Reference Tables'!$C$43</definedName>
    <definedName name="mgmt_nsxt_global_mgrc_ip">'Value Reference Tables'!$C$24</definedName>
    <definedName name="mgmt_nsxt_gm_fingerprint">'Value Reference Tables'!$L$30</definedName>
    <definedName name="mgmt_nsxt_gm_hostname">'Value Reference Tables'!$C$40</definedName>
    <definedName name="mgmt_nsxt_gm_ip">'Value Reference Tables'!$C$21</definedName>
    <definedName name="mgmt_nsxt_gm_vip_fqdn">'Value Reference Tables'!$C$59</definedName>
    <definedName name="mgmt_nsxt_hostname">'Value Reference Tables'!$C$36</definedName>
    <definedName name="mgmt_nsxt_ip">'Value Reference Tables'!$C$17</definedName>
    <definedName name="mgmt_nsxt_lm_fingerprint">'Value Reference Tables'!$L$29</definedName>
    <definedName name="mgmt_nsxt_mgr_formfactor">'Value Reference Tables'!$L$17</definedName>
    <definedName name="mgmt_nsxt_mgra_fqdn">'Value Reference Tables'!$C$56</definedName>
    <definedName name="mgmt_nsxt_mgra_hostname">'Value Reference Tables'!$C$37</definedName>
    <definedName name="mgmt_nsxt_mgra_ip">'Value Reference Tables'!$C$18</definedName>
    <definedName name="mgmt_nsxt_mgrb_fqdn">'Value Reference Tables'!$C$57</definedName>
    <definedName name="mgmt_nsxt_mgrb_hostname">'Value Reference Tables'!$C$38</definedName>
    <definedName name="mgmt_nsxt_mgrb_ip">'Value Reference Tables'!$C$19</definedName>
    <definedName name="mgmt_nsxt_mgrc_fqdn">'Value Reference Tables'!$C$58</definedName>
    <definedName name="mgmt_nsxt_mgrc_hostname">'Value Reference Tables'!$C$39</definedName>
    <definedName name="mgmt_nsxt_mgrc_ip">'Value Reference Tables'!$C$20</definedName>
    <definedName name="mgmt_nsxt_vip_fqdn">'Value Reference Tables'!$C$55</definedName>
    <definedName name="mgmt_nsxt_xreg_t1_name">'Value Reference Tables'!$L$31</definedName>
    <definedName name="mgmt_offline_depot_chosen">'Deployment Options'!$H$29</definedName>
    <definedName name="mgmt_offline_depot_hostname">'Value Reference Tables'!$L$69</definedName>
    <definedName name="mgmt_offline_depot_password">'Value Reference Tables'!$I$58</definedName>
    <definedName name="mgmt_offline_depot_port">'Value Reference Tables'!$L$70</definedName>
    <definedName name="mgmt_offline_depot_result">'Deployment Options'!$J$29</definedName>
    <definedName name="mgmt_offline_depot_user">'Value Reference Tables'!$I$57</definedName>
    <definedName name="mgmt_principal_storage_chosen">'Deployment Options'!$H$13</definedName>
    <definedName name="mgmt_principal_storage_result">'Deployment Options'!$J$13</definedName>
    <definedName name="mgmt_recovery_lb_creation_method">'Value Reference Tables'!$R$185</definedName>
    <definedName name="mgmt_rtep_overlay_pool_end_ip">'Value Reference Tables - MR'!$C$94</definedName>
    <definedName name="mgmt_rtep_overlay_pool_start_ip">'Value Reference Tables - MR'!$C$93</definedName>
    <definedName name="mgmt_rtep_overlay_vlan">'Value Reference Tables - MR'!$C$17</definedName>
    <definedName name="mgmt_sddc_domain">'Value Reference Tables'!$L$8</definedName>
    <definedName name="mgmt_signed_certs_chosen">'Deployment Options'!$H$23</definedName>
    <definedName name="mgmt_signed_certs_result">'Deployment Options'!$J$23</definedName>
    <definedName name="mgmt_srm_admin_email">'Value Reference Tables'!$R$198</definedName>
    <definedName name="mgmt_srm_admin_password">'Value Reference Tables'!$R$195</definedName>
    <definedName name="mgmt_srm_database_password">'Value Reference Tables'!$R$196</definedName>
    <definedName name="mgmt_srm_days">'Value Reference Tables'!$R$202</definedName>
    <definedName name="mgmt_srm_fqdn">'Value Reference Tables'!$O$151</definedName>
    <definedName name="mgmt_srm_hostname">'Value Reference Tables'!$O$141</definedName>
    <definedName name="mgmt_srm_instances_per_day">'Value Reference Tables'!$R$201</definedName>
    <definedName name="mgmt_srm_ip">'Value Reference Tables'!$O$129</definedName>
    <definedName name="mgmt_srm_p12_password">'Value Reference Tables'!$R$199</definedName>
    <definedName name="mgmt_srm_recovery_cluster">'Value Reference Tables'!$R$215</definedName>
    <definedName name="mgmt_srm_recovery_datastore">'Value Reference Tables'!$R$216</definedName>
    <definedName name="mgmt_srm_recovery_nsx_ec_name">'Value Reference Tables'!$R$214</definedName>
    <definedName name="mgmt_srm_recovery_nsx_location">'Value Reference Tables'!$R$213</definedName>
    <definedName name="mgmt_srm_recovery_sddc_manager_domain">'Value Reference Tables'!$R$212</definedName>
    <definedName name="mgmt_srm_recovery_sddc_manager_fqdn">'Value Reference Tables'!$R$173</definedName>
    <definedName name="mgmt_srm_recovery_sddc_manager_password">'Value Reference Tables'!$R$175</definedName>
    <definedName name="mgmt_srm_recovery_sddc_manager_username">'Value Reference Tables'!$R$174</definedName>
    <definedName name="mgmt_srm_recovery_t1_si_ip">'Value Reference Tables'!$O$130</definedName>
    <definedName name="mgmt_srm_recovery_vcenter_fqdn">'Value Reference Tables'!$R$209</definedName>
    <definedName name="mgmt_srm_recovery_vcenter_password">'Value Reference Tables'!$R$211</definedName>
    <definedName name="mgmt_srm_recovery_vcenter_username">'Value Reference Tables'!$R$210</definedName>
    <definedName name="mgmt_srm_root_password">'Value Reference Tables'!$R$194</definedName>
    <definedName name="mgmt_srm_rpo">'Value Reference Tables'!$R$200</definedName>
    <definedName name="mgmt_srm_site_name">'Value Reference Tables'!$R$197</definedName>
    <definedName name="mgmt_srm_sso_domain_membership">'Value Reference Tables'!$R$218</definedName>
    <definedName name="mgmt_srm_vm_folder">'Value Reference Tables'!$R$193</definedName>
    <definedName name="mgmt_srm_vra_pg">'Value Reference Tables'!$R$207</definedName>
    <definedName name="mgmt_srm_vra_rp">'Value Reference Tables'!$R$208</definedName>
    <definedName name="mgmt_srm_vrops_pg">'Value Reference Tables'!$R$205</definedName>
    <definedName name="mgmt_srm_vrops_rp">'Value Reference Tables'!$R$206</definedName>
    <definedName name="mgmt_srm_vrslcm_wsa_pg">'Value Reference Tables'!$R$203</definedName>
    <definedName name="mgmt_srm_vrslcm_wsa_rp">'Value Reference Tables'!$R$204</definedName>
    <definedName name="mgmt_stretched_cluster_chosen">'Deployment Options'!$H$26</definedName>
    <definedName name="mgmt_stretched_cluster_result">'Deployment Options'!$J$26</definedName>
    <definedName name="mgmt_tier0_name">'Value Reference Tables'!$L$21</definedName>
    <definedName name="mgmt_tier1_name">'Value Reference Tables'!$L$22</definedName>
    <definedName name="mgmt_user_edge_rp">'Value Reference Tables'!$C$82</definedName>
    <definedName name="mgmt_user_vm_rp">'Value Reference Tables'!$C$83</definedName>
    <definedName name="mgmt_vc_fqdn">'Value Reference Tables'!$C$54</definedName>
    <definedName name="mgmt_vc_hostname">'Value Reference Tables'!$C$35</definedName>
    <definedName name="mgmt_vc_ip">'Value Reference Tables'!$C$16</definedName>
    <definedName name="mgmt_vc_size">'Value Reference Tables'!$L$12</definedName>
    <definedName name="mgmt_vc_storage_size">'Value Reference Tables'!$L$13</definedName>
    <definedName name="mgmt_vlcm_model_chosen">'Deployment Options'!$H$14</definedName>
    <definedName name="mgmt_vlcm_model_result">'Deployment Options'!$J$14</definedName>
    <definedName name="mgmt_vns_chosen">'Deployment Options'!$H$24</definedName>
    <definedName name="mgmt_vns_result">'Deployment Options'!$J$24</definedName>
    <definedName name="mgmt_vrms_admin_email">'Value Reference Tables'!$R$190</definedName>
    <definedName name="mgmt_vrms_admin_password">'Value Reference Tables'!$R$188</definedName>
    <definedName name="mgmt_vrms_fqdn">'Value Reference Tables'!$O$150</definedName>
    <definedName name="mgmt_vrms_hostname">'Value Reference Tables'!$O$140</definedName>
    <definedName name="mgmt_vrms_mask">'Value Reference Tables'!$X$53</definedName>
    <definedName name="mgmt_vrms_mgmt_ip">'Value Reference Tables'!$O$127</definedName>
    <definedName name="mgmt_vrms_p12_password">'Value Reference Tables'!$R$192</definedName>
    <definedName name="mgmt_vrms_pg">'Value Reference Tables'!$R$191</definedName>
    <definedName name="mgmt_vrms_recovery_replication_cidr">'Value Reference Tables'!$R$217</definedName>
    <definedName name="mgmt_vrms_root_password">'Value Reference Tables'!$R$187</definedName>
    <definedName name="mgmt_vrms_site_name">'Value Reference Tables'!$R$189</definedName>
    <definedName name="mgmt_vrms_vlan">'Value Reference Tables - MR'!$C$18</definedName>
    <definedName name="mgmt_vrms_vm_folder">'Value Reference Tables'!$R$186</definedName>
    <definedName name="mgmt_vrms_vrms_ip">'Value Reference Tables'!$O$128</definedName>
    <definedName name="mgmt_witness_az_mgmt_mask">'Value Reference Tables'!$X$41</definedName>
    <definedName name="mgmt_witness_cluster">'Value Reference Tables'!$C$222</definedName>
    <definedName name="mgmt_witness_fqdn">'Value Reference Tables'!$C$73</definedName>
    <definedName name="mgmt_witness_hostname">'Value Reference Tables'!$C$207</definedName>
    <definedName name="mgmt_witness_mgmt_ip">'Value Reference Tables'!$C$228</definedName>
    <definedName name="mgmt_witness_mgmt_pg">'Value Reference Tables'!$U$44</definedName>
    <definedName name="mgmt_witness_root_password">'Value Reference Tables'!$I$54</definedName>
    <definedName name="mgmt_witness_sddc_domain">'Value Reference Tables'!$C$220</definedName>
    <definedName name="mgmt_witness_vc_fqdn">'Value Reference Tables'!$C$72</definedName>
    <definedName name="mgmt_witness_vcenter_hostname">'Value Reference Tables'!$C$206</definedName>
    <definedName name="mgmt_witness_vm_folder">'Value Reference Tables'!$C$223</definedName>
    <definedName name="mgmt_witness_vsan_datastore">'Value Reference Tables'!$C$221</definedName>
    <definedName name="mgmt_witness_zone_vc_ip">'Value Reference Tables'!$C$227</definedName>
    <definedName name="mgmt_witnessaz_cidr">'Value Reference Tables'!$U$48</definedName>
    <definedName name="mgmt_witnessaz_gateway_ip">'Value Reference Tables'!$U$52</definedName>
    <definedName name="mgmt_witnessaz_mgmt_mtu">'Value Reference Tables'!$U$56</definedName>
    <definedName name="mgmt_witnessaz_mgmt_vlan">'Value Reference Tables'!$U$40</definedName>
    <definedName name="multirack_host_count">'Static Reference Tables'!$B$559</definedName>
    <definedName name="navigation_dri_implementation">'Developer Ready Infrastructure'!$B$8</definedName>
    <definedName name="navigation_iam_implementation">'Identity &amp; Access Management'!$B$8</definedName>
    <definedName name="navigation_ila_implementation">'Intelligent Logging &amp; Analytics'!$B$8</definedName>
    <definedName name="navigation_ila_solution_interop">'Intelligent Logging &amp; Analytics'!$B$214</definedName>
    <definedName name="navigation_iom_connect_instance">'Intelligent Operations Mgmt'!$B$354</definedName>
    <definedName name="navigation_iom_initial_deployment">'Intelligent Operations Mgmt'!$B$8</definedName>
    <definedName name="navigation_iom_solution_interop">'Intelligent Operations Mgmt'!$B$468</definedName>
    <definedName name="navigation_pca_connect_instance">'Private Cloud Automation'!$B$254</definedName>
    <definedName name="navigation_pca_initial_deployment">'Private Cloud Automation'!$B$8</definedName>
    <definedName name="navigation_pca_solution_interop">'Private Cloud Automation'!$B$330</definedName>
    <definedName name="navigation_site_protection_mgmt">'Site Protection &amp; DR'!$B$8</definedName>
    <definedName name="navigation_site_protection_solution_interop">'Site Protection &amp; DR'!$B$786</definedName>
    <definedName name="navigation_site_protection_wld">'Site Protection &amp; DR'!$B$595</definedName>
    <definedName name="non_first_domain_mgmt_only_viable">'Value Reference Tables'!$X$101</definedName>
    <definedName name="non_first_domain_mgmt_vi_viable">'Value Reference Tables'!$X$102</definedName>
    <definedName name="nsxt_en_admin_password">'Value Reference Tables'!$I$34</definedName>
    <definedName name="nsxt_en_audit_password">'Value Reference Tables'!$I$35</definedName>
    <definedName name="nsxt_en_root_password">'Value Reference Tables'!$I$33</definedName>
    <definedName name="nsxt_gm_admin_password">'Value Reference Tables'!$I$37</definedName>
    <definedName name="nsxt_gm_audit_password">'Value Reference Tables'!$I$38</definedName>
    <definedName name="nsxt_gm_root_password">'Value Reference Tables'!$I$36</definedName>
    <definedName name="nsxt_license">'Value Reference Tables'!$I$12</definedName>
    <definedName name="nsxt_lm_admin_password">'Value Reference Tables'!$I$31</definedName>
    <definedName name="nsxt_lm_audit_password">'Value Reference Tables'!$I$32</definedName>
    <definedName name="nsxt_lm_root_password">'Value Reference Tables'!$I$30</definedName>
    <definedName name="nsxt_vsphere_role_name">'Value Reference Tables'!$R$15</definedName>
    <definedName name="orchestrator_product_name">'Value Reference Tables'!$R$63</definedName>
    <definedName name="other_instance">'Value Reference Tables'!$X$59</definedName>
    <definedName name="other_prefix_mgmt_stretched_cidr">'Value Reference Tables'!$X$84</definedName>
    <definedName name="other_prefix_wld_stretched_cidr">'Value Reference Tables'!$X$85</definedName>
    <definedName name="parent_ad_bind_dn">'Value Reference Tables'!$I$112</definedName>
    <definedName name="parent_ad_groups_ou">'Value Reference Tables'!$I$102</definedName>
    <definedName name="parent_ad_users_ou">'Value Reference Tables'!$I$107</definedName>
    <definedName name="parent_dns_zone">'Value Reference Tables'!$I$86</definedName>
    <definedName name="pca_ci_result">'Value Reference Tables'!$X$92</definedName>
    <definedName name="pca_id_result">'Value Reference Tables'!$X$91</definedName>
    <definedName name="pnp_version_history">'Version History Internal'!$B$4</definedName>
    <definedName name="prefix_mgmt_az1_cidr">'Value Reference Tables'!$X$62</definedName>
    <definedName name="prefix_mgmt_az1_vlan">'Value Reference Tables'!$X$61</definedName>
    <definedName name="prefix_mgmt_az2_cidr">'Value Reference Tables'!$X$64</definedName>
    <definedName name="prefix_mgmt_az2_vlan">'Value Reference Tables'!$X$63</definedName>
    <definedName name="prefix_mgmt_stretched_cidr">'Value Reference Tables'!$X$66</definedName>
    <definedName name="prefix_mgmt_stretched_vlan">'Value Reference Tables'!$X$65</definedName>
    <definedName name="prefix_mgmt_tor_asn">'Value Reference Tables'!$X$71</definedName>
    <definedName name="prefix_mgmt_witness_cidr">'Value Reference Tables'!$X$70</definedName>
    <definedName name="prefix_mgmt_witness_vlan">'Value Reference Tables'!$X$69</definedName>
    <definedName name="prefix_other_region_az1_cidr">'Value Reference Tables'!$X$82</definedName>
    <definedName name="prefix_portable_component">'Value Reference Tables'!$X$83</definedName>
    <definedName name="prefix_reg_cidr">'Value Reference Tables'!$X$67</definedName>
    <definedName name="prefix_wld_az1_cidr">'Value Reference Tables'!$X$73</definedName>
    <definedName name="prefix_wld_az1_rack_cidr">'Value Reference Tables - MR'!$AE$9</definedName>
    <definedName name="prefix_wld_az1_rack_vlan">'Value Reference Tables - MR'!$AE$7</definedName>
    <definedName name="prefix_wld_az1_vlan">'Value Reference Tables'!$X$72</definedName>
    <definedName name="prefix_wld_az2_cidr">'Value Reference Tables'!$X$75</definedName>
    <definedName name="prefix_wld_az2_rack_cidr">'Value Reference Tables - MR'!$AE$10</definedName>
    <definedName name="prefix_wld_az2_rack_vlan">'Value Reference Tables - MR'!$AE$8</definedName>
    <definedName name="prefix_wld_az2_vlan">'Value Reference Tables'!$X$74</definedName>
    <definedName name="prefix_wld_k8s_cidr">'Value Reference Tables'!$X$81</definedName>
    <definedName name="prefix_wld_stretched_cidr">'Value Reference Tables'!$X$77</definedName>
    <definedName name="prefix_wld_stretched_vlan">'Value Reference Tables'!$X$76</definedName>
    <definedName name="prefix_wld_tor_asn">'Value Reference Tables'!$X$80</definedName>
    <definedName name="prefix_wld_witness_cidr">'Value Reference Tables'!$X$79</definedName>
    <definedName name="prefix_wld_witness_vlan">'Value Reference Tables'!$X$78</definedName>
    <definedName name="prefix_xreg_cidr">'Value Reference Tables'!$X$68</definedName>
    <definedName name="private_cloud_chosen">'Deployment Options'!$H$72</definedName>
    <definedName name="private_cloud_result">'Deployment Options'!$J$72</definedName>
    <definedName name="protected_mgmt_result">'Value Reference Tables'!$X$96</definedName>
    <definedName name="protected_wld_result">'Value Reference Tables'!$X$98</definedName>
    <definedName name="quickstart_admin_local_password">'Value Reference Tables'!$I$46</definedName>
    <definedName name="quickstart_backup_password">'Value Reference Tables'!$I$42</definedName>
    <definedName name="quickstart_basic_auth_password">'Value Reference Tables'!$I$45</definedName>
    <definedName name="quickstart_fqdn">'Value Reference Tables'!$C$52</definedName>
    <definedName name="quickstart_hostname">'Value Reference Tables'!$C$33</definedName>
    <definedName name="quickstart_ip">'Value Reference Tables'!$C$14</definedName>
    <definedName name="quickstart_mode">'Value Reference Tables'!$C$118</definedName>
    <definedName name="quickstart_root_password">'Value Reference Tables'!$I$43</definedName>
    <definedName name="quickstart_vcf_password">'Value Reference Tables'!$I$44</definedName>
    <definedName name="recovery_mgmt_result">'Value Reference Tables'!$X$97</definedName>
    <definedName name="reg_seg01_cidr">'Value Reference Tables'!$U$13</definedName>
    <definedName name="reg_seg01_gateway_ip">'Value Reference Tables'!$U$18</definedName>
    <definedName name="reg_seg01_mask_overlay_backed">'Value Reference Tables'!$X$44</definedName>
    <definedName name="reg_seg01_mtu">'Value Reference Tables'!$U$23</definedName>
    <definedName name="reg_seg01_name">'Value Reference Tables'!$U$8</definedName>
    <definedName name="reg_seg01_vlan">'Value Reference Tables'!$AA$9</definedName>
    <definedName name="region_ad_child_fqdn">'Value Reference Tables'!$I$93</definedName>
    <definedName name="region_ad_child_netbios">'Value Reference Tables'!$I$98</definedName>
    <definedName name="region_ad_parent_fqdn">'Value Reference Tables'!$I$92</definedName>
    <definedName name="region_ad_parent_netbios">'Value Reference Tables'!$I$97</definedName>
    <definedName name="region_dns1_ip">'Value Reference Tables'!$I$71</definedName>
    <definedName name="region_dns2_ip">'Value Reference Tables'!$I$72</definedName>
    <definedName name="region_existing_remote_vrli_host">'Value Reference Tables'!$R$116</definedName>
    <definedName name="region_existing_remote_vrli_tag">'Value Reference Tables'!$R$117</definedName>
    <definedName name="region_ntp_servers_array">'Value Reference Tables'!$I$65:$I$66</definedName>
    <definedName name="region_ntp1_server">'Value Reference Tables'!$I$65</definedName>
    <definedName name="region_ntp2_server">'Value Reference Tables'!$I$66</definedName>
    <definedName name="region_vrli_admin_email">'Value Reference Tables'!$R$106</definedName>
    <definedName name="region_vrli_admin_password">'Value Reference Tables'!$R$98</definedName>
    <definedName name="region_vrli_admin_password_alias">'Value Reference Tables'!$R$97</definedName>
    <definedName name="region_vrli_admin_user">'Value Reference Tables'!$R$99</definedName>
    <definedName name="region_vrli_agent_group_photon">'Value Reference Tables'!$R$114</definedName>
    <definedName name="region_vrli_agent_group_wsa">'Value Reference Tables'!$R$113</definedName>
    <definedName name="region_vrli_appliance_size">'Value Reference Tables'!$R$96</definedName>
    <definedName name="region_vrli_archive_location">'Value Reference Tables'!$R$108</definedName>
    <definedName name="region_vrli_datastore_size">'Value Reference Tables'!$R$103</definedName>
    <definedName name="region_vrli_email_notification_target">'Value Reference Tables'!$R$109</definedName>
    <definedName name="region_vrli_log_retention_notification">'Value Reference Tables'!$R$107</definedName>
    <definedName name="region_vrli_log_retention_period">'Value Reference Tables'!$R$104</definedName>
    <definedName name="region_vrli_nfs_server">'Value Reference Tables'!$R$101</definedName>
    <definedName name="region_vrli_nfs_share">'Value Reference Tables'!$R$102</definedName>
    <definedName name="region_vrli_nodea_fqdn">'Value Reference Tables'!$O$94</definedName>
    <definedName name="region_vrli_nodea_hostname">'Value Reference Tables'!$O$87</definedName>
    <definedName name="region_vrli_nodea_ip">'Value Reference Tables'!$O$80</definedName>
    <definedName name="region_vrli_nodeb_fqdn">'Value Reference Tables'!$O$95</definedName>
    <definedName name="region_vrli_nodeb_hostname">'Value Reference Tables'!$O$88</definedName>
    <definedName name="region_vrli_nodeb_ip">'Value Reference Tables'!$O$81</definedName>
    <definedName name="region_vrli_nodec_fqdn">'Value Reference Tables'!$O$96</definedName>
    <definedName name="region_vrli_nodec_hostname">'Value Reference Tables'!$O$89</definedName>
    <definedName name="region_vrli_nodec_ip">'Value Reference Tables'!$O$82</definedName>
    <definedName name="region_vrli_tag">'Value Reference Tables'!$R$115</definedName>
    <definedName name="region_vrli_virtual_fqdn">'Value Reference Tables'!$O$93</definedName>
    <definedName name="region_vrli_virtual_hostname">'Value Reference Tables'!$O$86</definedName>
    <definedName name="region_vrli_virtual_ip">'Value Reference Tables'!$O$79</definedName>
    <definedName name="region_vrli_vm_folder">'Value Reference Tables'!$R$105</definedName>
    <definedName name="region_vrli_vsphere_role_name">'Value Reference Tables'!$R$112</definedName>
    <definedName name="region_vrni_collector_node_size">'Value Reference Tables'!$R$263</definedName>
    <definedName name="region_vrni_controller_anti_affinity">'Value Reference Tables'!$R$265</definedName>
    <definedName name="region_vrni_nodea_fqdn">'Value Reference Tables'!$O$171</definedName>
    <definedName name="region_vrni_nodea_hostname">'Value Reference Tables'!$O$166</definedName>
    <definedName name="region_vrni_nodea_ip">'Value Reference Tables'!$O$161</definedName>
    <definedName name="region_vrops_collector_group_name">'Value Reference Tables'!$R$137</definedName>
    <definedName name="region_vrops_collector_vm_folder">'Value Reference Tables'!$R$136</definedName>
    <definedName name="region_vrops_existing_rca_fqdn">'Value Reference Tables'!$R$168</definedName>
    <definedName name="region_vrops_existing_rca_hostname">'Value Reference Tables'!$R$162</definedName>
    <definedName name="region_vrops_existing_rcb_fqdn">'Value Reference Tables'!$R$169</definedName>
    <definedName name="region_vrops_existing_rcb_hostname">'Value Reference Tables'!$R$163</definedName>
    <definedName name="region_vropsca_fqdn">'Value Reference Tables'!$O$122</definedName>
    <definedName name="region_vropsca_hostname">'Value Reference Tables'!$O$113</definedName>
    <definedName name="region_vropsca_ip">'Value Reference Tables'!$O$104</definedName>
    <definedName name="region_vropscb_fqdn">'Value Reference Tables'!$O$123</definedName>
    <definedName name="region_vropscb_hostname">'Value Reference Tables'!$O$114</definedName>
    <definedName name="region_vropscb_ip">'Value Reference Tables'!$O$105</definedName>
    <definedName name="region_vropsrc_vm_group_name">'Value Reference Tables'!$R$143</definedName>
    <definedName name="sample_administrator_vsphere_local_password">'SDDC Inputs - Common'!$C$30</definedName>
    <definedName name="sample_air_GPU_network_operator_namespace">'SDDC Inputs - Common'!$C$420</definedName>
    <definedName name="sample_air_GPU_operator_namespace">'SDDC Inputs - Common'!$C$419</definedName>
    <definedName name="sample_air_GPU_VM_class">'SDDC Inputs - Common'!$C$418</definedName>
    <definedName name="sample_air_license">'SDDC Inputs - Common'!$C$417</definedName>
    <definedName name="sample_avilb_root_password">'SDDC Inputs - Common'!$C$49</definedName>
    <definedName name="sample_ca_administrator_password">'SDDC Inputs - Common'!$C$59</definedName>
    <definedName name="sample_ca_administrator_username">'SDDC Inputs - Common'!$C$58</definedName>
    <definedName name="sample_ca_algorithm">'SDDC Inputs - Common'!$C$150</definedName>
    <definedName name="sample_ca_country">'SDDC Inputs - Common'!$C$149</definedName>
    <definedName name="sample_ca_email_address">'SDDC Inputs - Common'!$C$152</definedName>
    <definedName name="sample_ca_key_size">'SDDC Inputs - Common'!$C$151</definedName>
    <definedName name="sample_ca_locality">'SDDC Inputs - Common'!$C$153</definedName>
    <definedName name="sample_ca_organization">'SDDC Inputs - Common'!$C$154</definedName>
    <definedName name="sample_ca_organization_unit">'SDDC Inputs - Common'!$C$155</definedName>
    <definedName name="sample_ca_state">'SDDC Inputs - Common'!$C$156</definedName>
    <definedName name="sample_ca_template_name">'SDDC Inputs - Common'!$C$148</definedName>
    <definedName name="sample_cbr_aria_logs_key">'SDDC Inputs - Common'!$C$624</definedName>
    <definedName name="sample_cbr_aria_logs_url">'SDDC Inputs - Common'!$C$623</definedName>
    <definedName name="sample_cbr_firewall_group">'SDDC Inputs - Common'!$C$611</definedName>
    <definedName name="sample_cbr_firewall_ip_addresses">'SDDC Inputs - Common'!$C$612</definedName>
    <definedName name="sample_cbr_firewall_rule_vcenter">'SDDC Inputs - Common'!$C$610</definedName>
    <definedName name="sample_cbr_recovery_host_count">'SDDC Inputs - Common'!$C$606</definedName>
    <definedName name="sample_cbr_recovery_host_type">'SDDC Inputs - Common'!$C$605</definedName>
    <definedName name="sample_cbr_recovery_management_subnet">'SDDC Inputs - Common'!$C$609</definedName>
    <definedName name="sample_cbr_recovery_region">'SDDC Inputs - Common'!$C$604</definedName>
    <definedName name="sample_cbr_recovery_sddc_name">'SDDC Inputs - Common'!$C$603</definedName>
    <definedName name="sample_cbr_recovery_subnet">'SDDC Inputs - Common'!$C$608</definedName>
    <definedName name="sample_cbr_recovery_vpc">'SDDC Inputs - Common'!$C$607</definedName>
    <definedName name="sample_cbr_vcdr_anti_affinity">'SDDC Inputs - Common'!$C$620</definedName>
    <definedName name="sample_cbr_vcdr_cdp1_hostname">'Name &amp; IP Address Inputs - VM'!$D$157</definedName>
    <definedName name="sample_cbr_vcdr_cdp1_ip">'Name &amp; IP Address Inputs - VM'!$F$157</definedName>
    <definedName name="sample_cbr_vcdr_cdp2_hostname">'Name &amp; IP Address Inputs - VM'!$D$158</definedName>
    <definedName name="sample_cbr_vcdr_cdp2_ip">'Name &amp; IP Address Inputs - VM'!$F$158</definedName>
    <definedName name="sample_cbr_vcdr_cloud_file_system">'SDDC Inputs - Common'!$C$613</definedName>
    <definedName name="sample_cbr_vcdr_email_recipient">'SDDC Inputs - Common'!$C$621</definedName>
    <definedName name="sample_cbr_vcdr_email_sender">'SDDC Inputs - Common'!$C$622</definedName>
    <definedName name="sample_cbr_vcdr_label">'SDDC Inputs - Common'!$C$619</definedName>
    <definedName name="sample_cbr_vcdr_orchestrator_fqdn">'SDDC Inputs - Common'!$C$617</definedName>
    <definedName name="sample_cbr_vcdr_ova">'SDDC Inputs - Common'!$C$616</definedName>
    <definedName name="sample_cbr_vcdr_passcode">'SDDC Inputs - Common'!$C$618</definedName>
    <definedName name="sample_cbr_vcdr_site_name">'SDDC Inputs - Common'!$C$614</definedName>
    <definedName name="sample_cbr_vcdr_timezone">'SDDC Inputs - Common'!$C$615</definedName>
    <definedName name="sample_cbr_vcdr_vsphere_role">'SDDC Inputs - Common'!$C$599</definedName>
    <definedName name="sample_cbr_vm_folder">'SDDC Inputs - Common'!$C$602</definedName>
    <definedName name="sample_ccm_aws_admin_password">'SDDC Inputs - Common'!$C$649</definedName>
    <definedName name="sample_ccm_aws_admin_ssouser">'SDDC Inputs - Common'!$C$648</definedName>
    <definedName name="sample_ccm_aws_host_count">'SDDC Inputs - Common'!$C$635</definedName>
    <definedName name="sample_ccm_aws_host_type">'SDDC Inputs - Common'!$C$634</definedName>
    <definedName name="sample_ccm_aws_management_subnet">'SDDC Inputs - Common'!$C$638</definedName>
    <definedName name="sample_ccm_aws_region">'SDDC Inputs - Common'!$C$633</definedName>
    <definedName name="sample_ccm_aws_sddc_name">'SDDC Inputs - Common'!$C$632</definedName>
    <definedName name="sample_ccm_aws_subnet">'SDDC Inputs - Common'!$C$637</definedName>
    <definedName name="sample_ccm_aws_vpc">'SDDC Inputs - Common'!$C$636</definedName>
    <definedName name="sample_ccm_firewall_group">'SDDC Inputs - Common'!$C$641</definedName>
    <definedName name="sample_ccm_firewall_ip_addresses">'SDDC Inputs - Common'!$C$642</definedName>
    <definedName name="sample_ccm_firewall_rule_hcx">'SDDC Inputs - Common'!$C$640</definedName>
    <definedName name="sample_ccm_firewall_rule_vcenter">'SDDC Inputs - Common'!$C$639</definedName>
    <definedName name="sample_ccm_hcx_admin_password">'SDDC Inputs - Common'!$C$645</definedName>
    <definedName name="sample_ccm_hcx_cdp_hostname">'Name &amp; IP Address Inputs - VM'!$D$150</definedName>
    <definedName name="sample_ccm_hcx_cdp_ip">'Name &amp; IP Address Inputs - VM'!$F$150</definedName>
    <definedName name="sample_ccm_hcx_compute_profile">'SDDC Inputs - Common'!$C$650</definedName>
    <definedName name="sample_ccm_hcx_dc_location">'SDDC Inputs - Common'!$C$644</definedName>
    <definedName name="sample_ccm_hcx_license">'SDDC Inputs - Common'!$C$643</definedName>
    <definedName name="sample_ccm_hcx_mgmt_network_ip_range">'Name &amp; IP Address Inputs - VM'!$D$152</definedName>
    <definedName name="sample_ccm_hcx_remote_url">'SDDC Inputs - Common'!$C$647</definedName>
    <definedName name="sample_ccm_hcx_resource_pool">'SDDC Inputs - Common'!$C$631</definedName>
    <definedName name="sample_ccm_hcx_root_password">'SDDC Inputs - Common'!$C$646</definedName>
    <definedName name="sample_ccm_hcx_service_mesh">'SDDC Inputs - Common'!$C$651</definedName>
    <definedName name="sample_ccm_hcx_vm_folder">'SDDC Inputs - Common'!$C$630</definedName>
    <definedName name="sample_ccm_hcx_vmotion_network_ip_range">'Name &amp; IP Address Inputs - VM'!$D$153</definedName>
    <definedName name="sample_ccm_hcx_vsphere_role">'SDDC Inputs - Common'!$C$628</definedName>
    <definedName name="sample_ccm_vm_folder">'SDDC Inputs - Common'!$C$629</definedName>
    <definedName name="sample_certificate_authority_fqdn">'Name &amp; IP Address Inputs - VM'!$C$29</definedName>
    <definedName name="sample_certificate_authority_name">'Name &amp; IP Address Inputs - VM'!$C$30</definedName>
    <definedName name="sample_child_ad_groups_ou">'Active Directory Inputs'!$D$11</definedName>
    <definedName name="sample_child_ad_users_ou">'Active Directory Inputs'!$F$11</definedName>
    <definedName name="sample_child_dns_zone">'Name &amp; IP Address Inputs - VM'!$C$18</definedName>
    <definedName name="sample_child_svc_nsx_ad_password">'Active Directory Inputs'!$F$23</definedName>
    <definedName name="sample_child_svc_nsx_ad_user">'Active Directory Inputs'!$D$23</definedName>
    <definedName name="sample_child_svc_vsphere_ad_password">'Active Directory Inputs'!$F$22</definedName>
    <definedName name="sample_child_svc_vsphere_ad_user">'Active Directory Inputs'!$D$22</definedName>
    <definedName name="sample_child_svc_wsa_ad_password">'Active Directory Inputs'!$F$19</definedName>
    <definedName name="sample_child_svc_wsa_ad_user">'Active Directory Inputs'!$D$19</definedName>
    <definedName name="sample_cloudbuilder_admin_password">'SDDC Inputs - Common'!$C$12</definedName>
    <definedName name="sample_cloudbuilder_admin_username">'SDDC Inputs - Common'!$C$11</definedName>
    <definedName name="sample_cloudbuilder_hostname">'Name &amp; IP Address Inputs - VM'!$D$38</definedName>
    <definedName name="sample_cloudbuilder_ip">'Name &amp; IP Address Inputs - VM'!$F$38</definedName>
    <definedName name="sample_cloudbuilder_root_password">'SDDC Inputs - Common'!$C$13</definedName>
    <definedName name="sample_cloudbuilder_target_datastore">'SDDC Inputs - Common'!$C$9</definedName>
    <definedName name="sample_cloudbuilder_target_fqdn">'SDDC Inputs - Common'!$C$8</definedName>
    <definedName name="sample_cloudbuilder_target_network">'SDDC Inputs - Common'!$C$10</definedName>
    <definedName name="sample_domain_controller_hostname">'Name &amp; IP Address Inputs - VM'!$C$28</definedName>
    <definedName name="sample_esx_k8s_license">'SDDC Inputs - Common'!$C$21</definedName>
    <definedName name="sample_esx_std_license">'SDDC Inputs - Common'!$C$18</definedName>
    <definedName name="sample_esxi_root_password">'SDDC Inputs - Common'!$C$28</definedName>
    <definedName name="sample_esxi_thumbprint_validation">'SDDC Inputs - Common'!$C$137</definedName>
    <definedName name="sample_gg_kub_admins_group">'Active Directory Inputs'!$D$79</definedName>
    <definedName name="sample_gg_kub_readonly_group">'Active Directory Inputs'!$D$80</definedName>
    <definedName name="sample_gg_nsx_auditors_group">'Active Directory Inputs'!$D$76</definedName>
    <definedName name="sample_gg_nsx_enterprise_admins_group">'Active Directory Inputs'!$D$74</definedName>
    <definedName name="sample_gg_nsx_network_admins_group">'Active Directory Inputs'!$D$75</definedName>
    <definedName name="sample_gg_sso_admins_group">'Active Directory Inputs'!$D$73</definedName>
    <definedName name="sample_gg_vc_admins_group">'Active Directory Inputs'!$D$71</definedName>
    <definedName name="sample_gg_vc_read_only_group">'Active Directory Inputs'!$D$72</definedName>
    <definedName name="sample_gg_vcf_admins_group">'Active Directory Inputs'!$D$68</definedName>
    <definedName name="sample_gg_vcf_operators_group">'Active Directory Inputs'!$D$69</definedName>
    <definedName name="sample_gg_vcf_viewers_group">'Active Directory Inputs'!$D$70</definedName>
    <definedName name="sample_gg_vra_cloud_assembly_admins_group">'Active Directory Inputs'!$D$99</definedName>
    <definedName name="sample_gg_vra_cloud_assembly_users_group">'Active Directory Inputs'!$D$100</definedName>
    <definedName name="sample_gg_vra_cloud_assembly_viewers_group">'Active Directory Inputs'!$D$101</definedName>
    <definedName name="sample_gg_vra_orchestrator_admins_group">'Active Directory Inputs'!$D$105</definedName>
    <definedName name="sample_gg_vra_orchestrator_designers_group">'Active Directory Inputs'!$D$106</definedName>
    <definedName name="sample_gg_vra_orchestrator_viewers_group">'Active Directory Inputs'!$D$107</definedName>
    <definedName name="sample_gg_vra_org_owners_group">'Active Directory Inputs'!$D$98</definedName>
    <definedName name="sample_gg_vra_project_admins_sample_group">'Active Directory Inputs'!$D$108</definedName>
    <definedName name="sample_gg_vra_project_users_sample_group">'Active Directory Inputs'!$D$109</definedName>
    <definedName name="sample_gg_vra_service_broker_admins_group">'Active Directory Inputs'!$D$102</definedName>
    <definedName name="sample_gg_vra_service_broker_users_group">'Active Directory Inputs'!$D$103</definedName>
    <definedName name="sample_gg_vra_service_broker_viewers_group">'Active Directory Inputs'!$D$104</definedName>
    <definedName name="sample_gg_vrli_admins_group">'Active Directory Inputs'!$D$83</definedName>
    <definedName name="sample_gg_vrli_users_group">'Active Directory Inputs'!$D$84</definedName>
    <definedName name="sample_gg_vrli_viewers_group">'Active Directory Inputs'!$D$85</definedName>
    <definedName name="sample_gg_vrni_admin_group">'Active Directory Inputs'!$D$93</definedName>
    <definedName name="sample_gg_vrni_auditor_group">'Active Directory Inputs'!$D$95</definedName>
    <definedName name="sample_gg_vrni_member_group">'Active Directory Inputs'!$D$94</definedName>
    <definedName name="sample_gg_vrops_admins_group">'Active Directory Inputs'!$D$88</definedName>
    <definedName name="sample_gg_vrops_content_admins_group">'Active Directory Inputs'!$D$89</definedName>
    <definedName name="sample_gg_vrops_read_only_group">'Active Directory Inputs'!$D$90</definedName>
    <definedName name="sample_gg_vrslcm_admins_group">'Active Directory Inputs'!$D$58</definedName>
    <definedName name="sample_gg_vrslcm_content_developers_group">'Active Directory Inputs'!$D$60</definedName>
    <definedName name="sample_gg_vrslcm_release_managers_group">'Active Directory Inputs'!$D$59</definedName>
    <definedName name="sample_global_env_admin_password">'SDDC Inputs - Common'!$C$386</definedName>
    <definedName name="sample_global_env_admin_password_alias">'SDDC Inputs - Common'!$C$385</definedName>
    <definedName name="sample_global_env_admin_username">'SDDC Inputs - Common'!$C$387</definedName>
    <definedName name="sample_hrm_notification_email">'SDDC Inputs - Common'!$C$595</definedName>
    <definedName name="sample_hrm_vm_administrator_password">'SDDC Inputs - Common'!$C$589</definedName>
    <definedName name="sample_hrm_vm_folder">'SDDC Inputs - Common'!$C$588</definedName>
    <definedName name="sample_hrm_vm_hostname">'Name &amp; IP Address Inputs - VM'!$D$162</definedName>
    <definedName name="sample_hrm_vm_ip">'Name &amp; IP Address Inputs - VM'!$F$162</definedName>
    <definedName name="sample_hrm_vm_root_password">'SDDC Inputs - Common'!$C$590</definedName>
    <definedName name="sample_hrm_vrops_role_description">'SDDC Inputs - Common'!$C$592</definedName>
    <definedName name="sample_hrm_vrops_role_name">'SDDC Inputs - Common'!$C$591</definedName>
    <definedName name="sample_hrm_vrops_scope_description">'SDDC Inputs - Common'!$C$594</definedName>
    <definedName name="sample_hrm_vrops_scope_name">'SDDC Inputs - Common'!$C$593</definedName>
    <definedName name="sample_iam_ad_connection_type">'SDDC Inputs - Common'!$C$401</definedName>
    <definedName name="sample_ila_github_token">'SDDC Inputs - Common'!$C$439</definedName>
    <definedName name="sample_inv_mgmt_nsxt_piuser">'SDDC Inputs - Common'!$C$477</definedName>
    <definedName name="sample_inv_vm_folder">'SDDC Inputs - Common'!$C$476</definedName>
    <definedName name="sample_inv_vsphere_role">'SDDC Inputs - Common'!$C$475</definedName>
    <definedName name="sample_inv_wld_nsxt_piuser">'SDDC Inputs - Common'!$C$478</definedName>
    <definedName name="sample_iom_mgmt_nsxt_piuser">'SDDC Inputs - Common'!$C$446</definedName>
    <definedName name="sample_iom_vsphere_role">'SDDC Inputs - Common'!$C$445</definedName>
    <definedName name="sample_iom_wld_nsxt_piuser">'SDDC Inputs - Common'!$C$447</definedName>
    <definedName name="sample_k8s_api_endpoint_hostname">'Name &amp; IP Address Inputs - VM'!$D$132</definedName>
    <definedName name="sample_k8s_api_endpoint_ip">'Name &amp; IP Address Inputs - VM'!$F$132</definedName>
    <definedName name="sample_k8s_cluster_name">'SDDC Inputs - Common'!$C$278</definedName>
    <definedName name="sample_k8s_egress_pool_cidr">'Network Inputs - VVS'!$C$14</definedName>
    <definedName name="sample_k8s_harbor_hostname">'Name &amp; IP Address Inputs - VM'!$D$133</definedName>
    <definedName name="sample_k8s_harbor_ip">'Name &amp; IP Address Inputs - VM'!$F$133</definedName>
    <definedName name="sample_k8s_ingress_pool_cidr">'Network Inputs - VVS'!$C$13</definedName>
    <definedName name="sample_k8s_ip_prefixlist">'SDDC Inputs - Common'!$C$406</definedName>
    <definedName name="sample_k8s_ip_routemap">'SDDC Inputs - Common'!$C$407</definedName>
    <definedName name="sample_k8s_kubectl_path">'SDDC Inputs - Common'!$C$412</definedName>
    <definedName name="sample_k8s_mgmt_pool_start_ip">'Name &amp; IP Address Inputs - VM'!$F$130</definedName>
    <definedName name="sample_k8s_mgmt_seg">'SDDC Inputs - Common'!$C$405</definedName>
    <definedName name="sample_k8s_namepsace">'SDDC Inputs - Common'!$C$277</definedName>
    <definedName name="sample_k8s_segment_cidr">'Network Inputs - VVS'!$E$9</definedName>
    <definedName name="sample_k8s_segment_gateway_ip">'Network Inputs - VVS'!$G$9</definedName>
    <definedName name="sample_k8s_supervisor_cluster_pod_pool_cidr">'Network Inputs - VVS'!$C$15</definedName>
    <definedName name="sample_k8s_supervisor_cluster_service_pool_cidr">'Network Inputs - VVS'!$C$16</definedName>
    <definedName name="sample_k8s_tanzu_k8s_cluster_pod_pool_cidr">'Network Inputs - VVS'!$C$17</definedName>
    <definedName name="sample_k8s_tanzu_k8s_cluster_service_pool_cidr">'Network Inputs - VVS'!$C$18</definedName>
    <definedName name="sample_k8s_vcenter_category">'SDDC Inputs - Common'!$C$408</definedName>
    <definedName name="sample_k8s_vcenter_content_library">'SDDC Inputs - Common'!$C$411</definedName>
    <definedName name="sample_k8s_vcenter_storage_policy">'SDDC Inputs - Common'!$C$410</definedName>
    <definedName name="sample_k8s_vcenter_tag">'SDDC Inputs - Common'!$C$409</definedName>
    <definedName name="sample_k8s_vm_class">'SDDC Inputs - Common'!$C$413</definedName>
    <definedName name="sample_local_admin_password">'SDDC Inputs - Common'!$C$389</definedName>
    <definedName name="sample_local_admin_password_alias">'SDDC Inputs - Common'!$C$388</definedName>
    <definedName name="sample_local_admin_username">'SDDC Inputs - Common'!$C$390</definedName>
    <definedName name="sample_local_configadmin_password">'SDDC Inputs - Common'!$C$392</definedName>
    <definedName name="sample_local_configadmin_password_alias">'SDDC Inputs - Common'!$C$391</definedName>
    <definedName name="sample_local_configadmin_username">'SDDC Inputs - Common'!$C$393</definedName>
    <definedName name="sample_local_vcf_aware_wsa_root_password">'SDDC Inputs - Common'!$C$395</definedName>
    <definedName name="sample_local_vcf_aware_wsa_root_password_alias">'SDDC Inputs - Common'!$C$394</definedName>
    <definedName name="sample_mgmt_avilb_cluster_name">'SDDC Inputs - Common'!$C$112</definedName>
    <definedName name="sample_mgmt_avilb_cluster_version">'SDDC Inputs - Common'!$C$113</definedName>
    <definedName name="sample_mgmt_avilb_hostname">'Name &amp; IP Address Inputs - VM'!$D$49</definedName>
    <definedName name="sample_mgmt_avilb_ip">'Name &amp; IP Address Inputs - VM'!$F$49</definedName>
    <definedName name="sample_mgmt_avilb_mgra_hostname">'Name &amp; IP Address Inputs - VM'!$D$50</definedName>
    <definedName name="sample_mgmt_avilb_mgra_ip">'Name &amp; IP Address Inputs - VM'!$F$50</definedName>
    <definedName name="sample_mgmt_avilb_mgrb_hostname">'Name &amp; IP Address Inputs - VM'!$D$51</definedName>
    <definedName name="sample_mgmt_avilb_mgrb_ip">'Name &amp; IP Address Inputs - VM'!$F$51</definedName>
    <definedName name="sample_mgmt_avilb_mgrc_hostname">'Name &amp; IP Address Inputs - VM'!$D$52</definedName>
    <definedName name="sample_mgmt_avilb_mgrc_ip">'Name &amp; IP Address Inputs - VM'!$F$52</definedName>
    <definedName name="sample_mgmt_az1_edge_overlay_cidr">'Network Inputs - Rack'!$E$17</definedName>
    <definedName name="sample_mgmt_az1_edge_overlay_gateway_ip">'Network Inputs - Rack'!$G$17</definedName>
    <definedName name="sample_mgmt_az1_edge_overlay_mtu">'Network Inputs - Rack'!$I$17</definedName>
    <definedName name="sample_mgmt_az1_edge_overlay_network_pool_name">'SDDC Inputs - Rack'!$C$14</definedName>
    <definedName name="sample_mgmt_az1_edge_overlay_vlan">'Network Inputs - Rack'!$C$17</definedName>
    <definedName name="sample_mgmt_az1_en1_edge_overlay_interface_ip_1_ip">'Name &amp; IP Address Inputs - Rack'!$E$46</definedName>
    <definedName name="sample_mgmt_az1_en1_edge_overlay_interface_ip_2_ip">'Name &amp; IP Address Inputs - Rack'!$E$47</definedName>
    <definedName name="sample_mgmt_az1_en1_hostname">'Name &amp; IP Address Inputs - Rack'!$C$43</definedName>
    <definedName name="sample_mgmt_az1_en1_mgmt_ip">'Name &amp; IP Address Inputs - Rack'!$E$43</definedName>
    <definedName name="sample_mgmt_az1_en1_uplink01_interface_ip">'Name &amp; IP Address Inputs - Rack'!$E$44</definedName>
    <definedName name="sample_mgmt_az1_en1_uplink02_interface_ip">'Name &amp; IP Address Inputs - Rack'!$E$45</definedName>
    <definedName name="sample_mgmt_az1_en2_edge_overlay_interface_ip_1_ip">'Name &amp; IP Address Inputs - Rack'!$E$51</definedName>
    <definedName name="sample_mgmt_az1_en2_edge_overlay_interface_ip_2_ip">'Name &amp; IP Address Inputs - Rack'!$E$52</definedName>
    <definedName name="sample_mgmt_az1_en2_hostname">'Name &amp; IP Address Inputs - Rack'!$C$48</definedName>
    <definedName name="sample_mgmt_az1_en2_mgmt_ip">'Name &amp; IP Address Inputs - Rack'!$E$48</definedName>
    <definedName name="sample_mgmt_az1_en2_uplink01_interface_ip">'Name &amp; IP Address Inputs - Rack'!$E$49</definedName>
    <definedName name="sample_mgmt_az1_en2_uplink02_interface_ip">'Name &amp; IP Address Inputs - Rack'!$E$50</definedName>
    <definedName name="sample_mgmt_az1_host_hostnames">'Name &amp; IP Address Inputs - Rack'!$C$9:$C$24</definedName>
    <definedName name="sample_mgmt_az1_host_overlay_cidr">'Network Inputs - Rack'!$E$13</definedName>
    <definedName name="sample_mgmt_az1_host_overlay_gateway_ip">'Network Inputs - Rack'!$G$13</definedName>
    <definedName name="sample_mgmt_az1_host_overlay_mtu">'Network Inputs - Rack'!$I$13</definedName>
    <definedName name="sample_mgmt_az1_host_overlay_network_pool_description">'SDDC Inputs - Rack'!$C$11</definedName>
    <definedName name="sample_mgmt_az1_host_overlay_network_pool_name">'SDDC Inputs - Rack'!$C$12</definedName>
    <definedName name="sample_mgmt_az1_host_overlay_network_profile_name">'SDDC Inputs - Rack'!$C$10</definedName>
    <definedName name="sample_mgmt_az1_host_overlay_pool_end_ip">'Name &amp; IP Address Inputs - Rack'!$E$60</definedName>
    <definedName name="sample_mgmt_az1_host_overlay_pool_start_ip">'Name &amp; IP Address Inputs - Rack'!$E$59</definedName>
    <definedName name="sample_mgmt_az1_host_overlay_uplink_profile_name">'SDDC Inputs - Rack'!$C$13</definedName>
    <definedName name="sample_mgmt_az1_host_overlay_vlan">'Network Inputs - Rack'!$C$13</definedName>
    <definedName name="sample_mgmt_az1_host1_hostname">'Name &amp; IP Address Inputs - Rack'!$C$9</definedName>
    <definedName name="sample_mgmt_az1_host1_mgmt_ip">'Name &amp; IP Address Inputs - Rack'!$E$9</definedName>
    <definedName name="sample_mgmt_az1_host1_vrms_ip">'Name &amp; IP Address Inputs - Rack'!$E$26</definedName>
    <definedName name="sample_mgmt_az1_host10_hostname">'Name &amp; IP Address Inputs - Rack'!$C$18</definedName>
    <definedName name="sample_mgmt_az1_host10_mgmt_ip">'Name &amp; IP Address Inputs - Rack'!$E$18</definedName>
    <definedName name="sample_mgmt_az1_host10_vrms_ip">'Name &amp; IP Address Inputs - Rack'!$E$35</definedName>
    <definedName name="sample_mgmt_az1_host11_hostname">'Name &amp; IP Address Inputs - Rack'!$C$19</definedName>
    <definedName name="sample_mgmt_az1_host11_mgmt_ip">'Name &amp; IP Address Inputs - Rack'!$E$19</definedName>
    <definedName name="sample_mgmt_az1_host11_vrms_ip">'Name &amp; IP Address Inputs - Rack'!$E$36</definedName>
    <definedName name="sample_mgmt_az1_host12_hostname">'Name &amp; IP Address Inputs - Rack'!$C$20</definedName>
    <definedName name="sample_mgmt_az1_host12_mgmt_ip">'Name &amp; IP Address Inputs - Rack'!$E$20</definedName>
    <definedName name="sample_mgmt_az1_host12_vrms_ip">'Name &amp; IP Address Inputs - Rack'!$E$37</definedName>
    <definedName name="sample_mgmt_az1_host13_hostname">'Name &amp; IP Address Inputs - Rack'!$C$21</definedName>
    <definedName name="sample_mgmt_az1_host13_mgmt_ip">'Name &amp; IP Address Inputs - Rack'!$E$21</definedName>
    <definedName name="sample_mgmt_az1_host13_vrms_ip">'Name &amp; IP Address Inputs - Rack'!$E$38</definedName>
    <definedName name="sample_mgmt_az1_host14_hostname">'Name &amp; IP Address Inputs - Rack'!$C$22</definedName>
    <definedName name="sample_mgmt_az1_host14_mgmt_ip">'Name &amp; IP Address Inputs - Rack'!$E$22</definedName>
    <definedName name="sample_mgmt_az1_host14_vrms_ip">'Name &amp; IP Address Inputs - Rack'!$E$39</definedName>
    <definedName name="sample_mgmt_az1_host15_hostname">'Name &amp; IP Address Inputs - Rack'!$C$23</definedName>
    <definedName name="sample_mgmt_az1_host15_mgmt_ip">'Name &amp; IP Address Inputs - Rack'!$E$23</definedName>
    <definedName name="sample_mgmt_az1_host15_vrms_ip">'Name &amp; IP Address Inputs - Rack'!$E$40</definedName>
    <definedName name="sample_mgmt_az1_host16_hostname">'Name &amp; IP Address Inputs - Rack'!$C$24</definedName>
    <definedName name="sample_mgmt_az1_host16_mgmt_ip">'Name &amp; IP Address Inputs - Rack'!$E$24</definedName>
    <definedName name="sample_mgmt_az1_host16_vrms_ip">'Name &amp; IP Address Inputs - Rack'!$E$41</definedName>
    <definedName name="sample_mgmt_az1_host2_hostname">'Name &amp; IP Address Inputs - Rack'!$C$10</definedName>
    <definedName name="sample_mgmt_az1_host2_mgmt_ip">'Name &amp; IP Address Inputs - Rack'!$E$10</definedName>
    <definedName name="sample_mgmt_az1_host2_vrms_ip">'Name &amp; IP Address Inputs - Rack'!$E$27</definedName>
    <definedName name="sample_mgmt_az1_host3_hostname">'Name &amp; IP Address Inputs - Rack'!$C$11</definedName>
    <definedName name="sample_mgmt_az1_host3_mgmt_ip">'Name &amp; IP Address Inputs - Rack'!$E$11</definedName>
    <definedName name="sample_mgmt_az1_host3_vrms_ip">'Name &amp; IP Address Inputs - Rack'!$E$28</definedName>
    <definedName name="sample_mgmt_az1_host4_hostname">'Name &amp; IP Address Inputs - Rack'!$C$12</definedName>
    <definedName name="sample_mgmt_az1_host4_mgmt_ip">'Name &amp; IP Address Inputs - Rack'!$E$12</definedName>
    <definedName name="sample_mgmt_az1_host4_vrms_ip">'Name &amp; IP Address Inputs - Rack'!$E$29</definedName>
    <definedName name="sample_mgmt_az1_host5_hostname">'Name &amp; IP Address Inputs - Rack'!$C$13</definedName>
    <definedName name="sample_mgmt_az1_host5_mgmt_ip">'Name &amp; IP Address Inputs - Rack'!$E$13</definedName>
    <definedName name="sample_mgmt_az1_host5_vrms_ip">'Name &amp; IP Address Inputs - Rack'!$E$30</definedName>
    <definedName name="sample_mgmt_az1_host6_hostname">'Name &amp; IP Address Inputs - Rack'!$C$14</definedName>
    <definedName name="sample_mgmt_az1_host6_mgmt_ip">'Name &amp; IP Address Inputs - Rack'!$E$14</definedName>
    <definedName name="sample_mgmt_az1_host6_vrms_ip">'Name &amp; IP Address Inputs - Rack'!$E$31</definedName>
    <definedName name="sample_mgmt_az1_host7_hostname">'Name &amp; IP Address Inputs - Rack'!$C$15</definedName>
    <definedName name="sample_mgmt_az1_host7_mgmt_ip">'Name &amp; IP Address Inputs - Rack'!$E$15</definedName>
    <definedName name="sample_mgmt_az1_host7_vrms_ip">'Name &amp; IP Address Inputs - Rack'!$E$32</definedName>
    <definedName name="sample_mgmt_az1_host8_hostname">'Name &amp; IP Address Inputs - Rack'!$C$16</definedName>
    <definedName name="sample_mgmt_az1_host8_mgmt_ip">'Name &amp; IP Address Inputs - Rack'!$E$16</definedName>
    <definedName name="sample_mgmt_az1_host8_vrms_ip">'Name &amp; IP Address Inputs - Rack'!$E$33</definedName>
    <definedName name="sample_mgmt_az1_host9_hostname">'Name &amp; IP Address Inputs - Rack'!$C$17</definedName>
    <definedName name="sample_mgmt_az1_host9_mgmt_ip">'Name &amp; IP Address Inputs - Rack'!$E$17</definedName>
    <definedName name="sample_mgmt_az1_host9_vrms_ip">'Name &amp; IP Address Inputs - Rack'!$E$34</definedName>
    <definedName name="sample_mgmt_az1_mgmt_cidr">'Network Inputs - Rack'!$E$10</definedName>
    <definedName name="sample_mgmt_az1_mgmt_gateway_ip">'Network Inputs - Rack'!$G$10</definedName>
    <definedName name="sample_mgmt_az1_mgmt_mtu">'Network Inputs - Rack'!$I$10</definedName>
    <definedName name="sample_mgmt_az1_mgmt_vlan">'Network Inputs - Rack'!$C$10</definedName>
    <definedName name="sample_mgmt_az1_mgmt_vm_cidr">'Network Inputs - Rack'!$E$9</definedName>
    <definedName name="sample_mgmt_az1_mgmt_vm_gateway_ip">'Network Inputs - Rack'!$G$9</definedName>
    <definedName name="sample_mgmt_az1_mgmt_vm_mtu">'Network Inputs - Rack'!$I$9</definedName>
    <definedName name="sample_mgmt_az1_mgmt_vm_vlan">'Network Inputs - Rack'!$C$9</definedName>
    <definedName name="sample_mgmt_az1_pool_name">'SDDC Inputs - Rack'!$C$9</definedName>
    <definedName name="sample_mgmt_az1_rtep_ip_pool_name">'SDDC Inputs - Rack'!$C$15</definedName>
    <definedName name="sample_mgmt_az1_rtep_overlay_cidr">'Network Inputs - Rack'!$E$18</definedName>
    <definedName name="sample_mgmt_az1_rtep_overlay_gateway_ip">'Network Inputs - Rack'!$G$18</definedName>
    <definedName name="sample_mgmt_az1_rtep_overlay_mtu">'Network Inputs - Rack'!$I$18</definedName>
    <definedName name="sample_mgmt_az1_rtep_overlay_vlan">'Network Inputs - Rack'!$C$18</definedName>
    <definedName name="sample_mgmt_az1_tor1_peer_asn">'Network Inputs - Rack'!$C$28</definedName>
    <definedName name="sample_mgmt_az1_tor1_peer_bgp_password">'Network Inputs - Rack'!$C$29</definedName>
    <definedName name="sample_mgmt_az1_tor1_peer_ip">'Network Inputs - Rack'!$C$27</definedName>
    <definedName name="sample_mgmt_az1_tor2_peer_asn">'Network Inputs - Rack'!$C$31</definedName>
    <definedName name="sample_mgmt_az1_tor2_peer_bgp_password">'Network Inputs - Rack'!$C$32</definedName>
    <definedName name="sample_mgmt_az1_tor2_peer_ip">'Network Inputs - Rack'!$C$30</definedName>
    <definedName name="sample_mgmt_az1_uplink01_cidr">'Network Inputs - Rack'!$E$15</definedName>
    <definedName name="sample_mgmt_az1_uplink01_gateway_ip">'Network Inputs - Rack'!$G$15</definedName>
    <definedName name="sample_mgmt_az1_uplink01_mtu">'Network Inputs - Rack'!$I$15</definedName>
    <definedName name="sample_mgmt_az1_uplink01_vlan">'Network Inputs - Rack'!$C$15</definedName>
    <definedName name="sample_mgmt_az1_uplink02_cidr">'Network Inputs - Rack'!$E$16</definedName>
    <definedName name="sample_mgmt_az1_uplink02_gateway_ip">'Network Inputs - Rack'!$G$16</definedName>
    <definedName name="sample_mgmt_az1_uplink02_mtu">'Network Inputs - Rack'!$I$16</definedName>
    <definedName name="sample_mgmt_az1_uplink02_vlan">'Network Inputs - Rack'!$C$16</definedName>
    <definedName name="sample_mgmt_az1_vm_group_name">'SDDC Inputs - Common'!$C$134</definedName>
    <definedName name="sample_mgmt_az1_vmotion_cidr">'Network Inputs - Rack'!$E$11</definedName>
    <definedName name="sample_mgmt_az1_vmotion_gateway_ip">'Network Inputs - Rack'!$G$11</definedName>
    <definedName name="sample_mgmt_az1_vmotion_mtu">'Network Inputs - Rack'!$I$11</definedName>
    <definedName name="sample_mgmt_az1_vmotion_pool_end_ip">'Name &amp; IP Address Inputs - Rack'!$E$56</definedName>
    <definedName name="sample_mgmt_az1_vmotion_pool_start_ip">'Name &amp; IP Address Inputs - Rack'!$E$55</definedName>
    <definedName name="sample_mgmt_az1_vmotion_vlan">'Network Inputs - Rack'!$C$11</definedName>
    <definedName name="sample_mgmt_az1_vrms_cidr">'Network Inputs - Rack'!$E$14</definedName>
    <definedName name="sample_mgmt_az1_vrms_gateway_ip">'Network Inputs - Rack'!$G$14</definedName>
    <definedName name="sample_mgmt_az1_vrms_mtu">'Network Inputs - Rack'!$I$14</definedName>
    <definedName name="sample_mgmt_az1_vrms_vlan">'Network Inputs - Rack'!$C$14</definedName>
    <definedName name="sample_mgmt_az1_vsan_cidr">'Network Inputs - Rack'!$E$12</definedName>
    <definedName name="sample_mgmt_az1_vsan_gateway_ip">'Network Inputs - Rack'!$G$12</definedName>
    <definedName name="sample_mgmt_az1_vsan_mtu">'Network Inputs - Rack'!$I$12</definedName>
    <definedName name="sample_mgmt_az1_vsan_pool_end_ip">'Name &amp; IP Address Inputs - Rack'!$E$58</definedName>
    <definedName name="sample_mgmt_az1_vsan_pool_start_ip">'Name &amp; IP Address Inputs - Rack'!$E$57</definedName>
    <definedName name="sample_mgmt_az1_vsan_vlan">'Network Inputs - Rack'!$C$12</definedName>
    <definedName name="sample_mgmt_az2_edge_overlay_cidr">'Network Inputs - Rack'!$E$44</definedName>
    <definedName name="sample_mgmt_az2_edge_overlay_gateway_ip">'Network Inputs - Rack'!$G$44</definedName>
    <definedName name="sample_mgmt_az2_edge_overlay_mtu">'Network Inputs - Rack'!$I$44</definedName>
    <definedName name="sample_mgmt_az2_edge_overlay_vlan">'Network Inputs - Rack'!$C$44</definedName>
    <definedName name="sample_mgmt_az2_host_hostnames">'Name &amp; IP Address Inputs - Rack'!$C$67:$C$82</definedName>
    <definedName name="sample_mgmt_az2_host_overlay_cidr">'Network Inputs - Rack'!$E$40</definedName>
    <definedName name="sample_mgmt_az2_host_overlay_gateway_ip">'Network Inputs - Rack'!$G$40</definedName>
    <definedName name="sample_mgmt_az2_host_overlay_mtu">'Network Inputs - Rack'!$I$40</definedName>
    <definedName name="sample_mgmt_az2_host_overlay_network_pool_name">'SDDC Inputs - Rack'!$C$40</definedName>
    <definedName name="sample_mgmt_az2_host_overlay_network_profile_name">'SDDC Inputs - Rack'!$C$39</definedName>
    <definedName name="sample_mgmt_az2_host_overlay_pool_end_ip">'Name &amp; IP Address Inputs - Rack'!$E$107</definedName>
    <definedName name="sample_mgmt_az2_host_overlay_pool_start_ip">'Name &amp; IP Address Inputs - Rack'!$E$106</definedName>
    <definedName name="sample_mgmt_az2_host_overlay_uplink_profile_name">'SDDC Inputs - Rack'!$C$41</definedName>
    <definedName name="sample_mgmt_az2_host_overlay_vlan">'Network Inputs - Rack'!$C$40</definedName>
    <definedName name="sample_mgmt_az2_host1_hostname">'Name &amp; IP Address Inputs - Rack'!$C$67</definedName>
    <definedName name="sample_mgmt_az2_host1_mgmt_ip">'Name &amp; IP Address Inputs - Rack'!$E$67</definedName>
    <definedName name="sample_mgmt_az2_host1_sddc_id">'SDDC Inputs - Common'!$C$178</definedName>
    <definedName name="sample_mgmt_az2_host1_vrms_ip">'Name &amp; IP Address Inputs - Rack'!$E$84</definedName>
    <definedName name="sample_mgmt_az2_host10_hostname">'Name &amp; IP Address Inputs - Rack'!$C$76</definedName>
    <definedName name="sample_mgmt_az2_host10_mgmt_ip">'Name &amp; IP Address Inputs - Rack'!$E$76</definedName>
    <definedName name="sample_mgmt_az2_host10_vrms_ip">'Name &amp; IP Address Inputs - Rack'!$E$93</definedName>
    <definedName name="sample_mgmt_az2_host11_hostname">'Name &amp; IP Address Inputs - Rack'!$C$77</definedName>
    <definedName name="sample_mgmt_az2_host11_mgmt_ip">'Name &amp; IP Address Inputs - Rack'!$E$77</definedName>
    <definedName name="sample_mgmt_az2_host11_vrms_ip">'Name &amp; IP Address Inputs - Rack'!$E$94</definedName>
    <definedName name="sample_mgmt_az2_host12_hostname">'Name &amp; IP Address Inputs - Rack'!$C$78</definedName>
    <definedName name="sample_mgmt_az2_host12_mgmt_ip">'Name &amp; IP Address Inputs - Rack'!$E$78</definedName>
    <definedName name="sample_mgmt_az2_host12_vrms_ip">'Name &amp; IP Address Inputs - Rack'!$E$95</definedName>
    <definedName name="sample_mgmt_az2_host13_hostname">'Name &amp; IP Address Inputs - Rack'!$C$79</definedName>
    <definedName name="sample_mgmt_az2_host13_mgmt_ip">'Name &amp; IP Address Inputs - Rack'!$E$79</definedName>
    <definedName name="sample_mgmt_az2_host13_vrms_ip">'Name &amp; IP Address Inputs - Rack'!$E$96</definedName>
    <definedName name="sample_mgmt_az2_host14_hostname">'Name &amp; IP Address Inputs - Rack'!$C$80</definedName>
    <definedName name="sample_mgmt_az2_host14_mgmt_ip">'Name &amp; IP Address Inputs - Rack'!$E$80</definedName>
    <definedName name="sample_mgmt_az2_host14_vrms_ip">'Name &amp; IP Address Inputs - Rack'!$E$97</definedName>
    <definedName name="sample_mgmt_az2_host15_hostname">'Name &amp; IP Address Inputs - Rack'!$C$81</definedName>
    <definedName name="sample_mgmt_az2_host15_mgmt_ip">'Name &amp; IP Address Inputs - Rack'!$E$81</definedName>
    <definedName name="sample_mgmt_az2_host15_vrms_ip">'Name &amp; IP Address Inputs - Rack'!$E$98</definedName>
    <definedName name="sample_mgmt_az2_host16_hostname">'Name &amp; IP Address Inputs - Rack'!$C$82</definedName>
    <definedName name="sample_mgmt_az2_host16_mgmt_ip">'Name &amp; IP Address Inputs - Rack'!$E$82</definedName>
    <definedName name="sample_mgmt_az2_host16_vrms_ip">'Name &amp; IP Address Inputs - Rack'!$E$99</definedName>
    <definedName name="sample_mgmt_az2_host2_hostname">'Name &amp; IP Address Inputs - Rack'!$C$68</definedName>
    <definedName name="sample_mgmt_az2_host2_mgmt_ip">'Name &amp; IP Address Inputs - Rack'!$E$68</definedName>
    <definedName name="sample_mgmt_az2_host2_sddc_id">'SDDC Inputs - Common'!$C$179</definedName>
    <definedName name="sample_mgmt_az2_host2_vrms_ip">'Name &amp; IP Address Inputs - Rack'!$E$85</definedName>
    <definedName name="sample_mgmt_az2_host3_hostname">'Name &amp; IP Address Inputs - Rack'!$C$69</definedName>
    <definedName name="sample_mgmt_az2_host3_mgmt_ip">'Name &amp; IP Address Inputs - Rack'!$E$69</definedName>
    <definedName name="sample_mgmt_az2_host3_sddc_id">'SDDC Inputs - Common'!$C$180</definedName>
    <definedName name="sample_mgmt_az2_host3_vrms_ip">'Name &amp; IP Address Inputs - Rack'!$E$86</definedName>
    <definedName name="sample_mgmt_az2_host4_hostname">'Name &amp; IP Address Inputs - Rack'!$C$70</definedName>
    <definedName name="sample_mgmt_az2_host4_mgmt_ip">'Name &amp; IP Address Inputs - Rack'!$E$70</definedName>
    <definedName name="sample_mgmt_az2_host4_sddc_id">'SDDC Inputs - Common'!$C$181</definedName>
    <definedName name="sample_mgmt_az2_host4_vrms_ip">'Name &amp; IP Address Inputs - Rack'!$E$87</definedName>
    <definedName name="sample_mgmt_az2_host5_hostname">'Name &amp; IP Address Inputs - Rack'!$C$71</definedName>
    <definedName name="sample_mgmt_az2_host5_mgmt_ip">'Name &amp; IP Address Inputs - Rack'!$E$71</definedName>
    <definedName name="sample_mgmt_az2_host5_vrms_ip">'Name &amp; IP Address Inputs - Rack'!$E$88</definedName>
    <definedName name="sample_mgmt_az2_host6_hostname">'Name &amp; IP Address Inputs - Rack'!$C$72</definedName>
    <definedName name="sample_mgmt_az2_host6_mgmt_ip">'Name &amp; IP Address Inputs - Rack'!$E$72</definedName>
    <definedName name="sample_mgmt_az2_host6_vrms_ip">'Name &amp; IP Address Inputs - Rack'!$E$89</definedName>
    <definedName name="sample_mgmt_az2_host7_hostname">'Name &amp; IP Address Inputs - Rack'!$C$73</definedName>
    <definedName name="sample_mgmt_az2_host7_mgmt_ip">'Name &amp; IP Address Inputs - Rack'!$E$73</definedName>
    <definedName name="sample_mgmt_az2_host7_vrms_ip">'Name &amp; IP Address Inputs - Rack'!$E$90</definedName>
    <definedName name="sample_mgmt_az2_host8_hostname">'Name &amp; IP Address Inputs - Rack'!$C$74</definedName>
    <definedName name="sample_mgmt_az2_host8_mgmt_ip">'Name &amp; IP Address Inputs - Rack'!$E$74</definedName>
    <definedName name="sample_mgmt_az2_host8_vrms_ip">'Name &amp; IP Address Inputs - Rack'!$E$91</definedName>
    <definedName name="sample_mgmt_az2_host9_hostname">'Name &amp; IP Address Inputs - Rack'!$C$75</definedName>
    <definedName name="sample_mgmt_az2_host9_mgmt_ip">'Name &amp; IP Address Inputs - Rack'!$E$75</definedName>
    <definedName name="sample_mgmt_az2_host9_vrms_ip">'Name &amp; IP Address Inputs - Rack'!$E$92</definedName>
    <definedName name="sample_mgmt_az2_mgmt_cidr">'Network Inputs - Rack'!$E$37</definedName>
    <definedName name="sample_mgmt_az2_mgmt_gateway_ip">'Network Inputs - Rack'!$G$37</definedName>
    <definedName name="sample_mgmt_az2_mgmt_mtu">'Network Inputs - Rack'!$I$37</definedName>
    <definedName name="sample_mgmt_az2_mgmt_vlan">'Network Inputs - Rack'!$C$37</definedName>
    <definedName name="sample_mgmt_az2_pool_name">'SDDC Inputs - Rack'!$C$38</definedName>
    <definedName name="sample_mgmt_az2_rtep_overlay_cidr">'Network Inputs - Rack'!$E$45</definedName>
    <definedName name="sample_mgmt_az2_rtep_overlay_gateway_ip">'Network Inputs - Rack'!$G$45</definedName>
    <definedName name="sample_mgmt_az2_rtep_overlay_mtu">'Network Inputs - Rack'!$I$45</definedName>
    <definedName name="sample_mgmt_az2_rtep_overlay_vlan">'Network Inputs - Rack'!$C$45</definedName>
    <definedName name="sample_mgmt_az2_tor1_peer_asn">'Network Inputs - Rack'!$C$54</definedName>
    <definedName name="sample_mgmt_az2_tor1_peer_bgp_password">'Network Inputs - Rack'!$C$55</definedName>
    <definedName name="sample_mgmt_az2_tor1_peer_ip">'Network Inputs - Rack'!$C$53</definedName>
    <definedName name="sample_mgmt_az2_tor2_peer_asn">'Network Inputs - Rack'!$C$57</definedName>
    <definedName name="sample_mgmt_az2_tor2_peer_bgp_password">'Network Inputs - Rack'!$C$58</definedName>
    <definedName name="sample_mgmt_az2_tor2_peer_ip">'Network Inputs - Rack'!$C$56</definedName>
    <definedName name="sample_mgmt_az2_uplink01_cidr">'Network Inputs - Rack'!$E$42</definedName>
    <definedName name="sample_mgmt_az2_uplink01_gateway_ip">'Network Inputs - Rack'!$G$42</definedName>
    <definedName name="sample_mgmt_az2_uplink01_mtu">'Network Inputs - Rack'!$I$42</definedName>
    <definedName name="sample_mgmt_az2_uplink01_vlan">'Network Inputs - Rack'!$C$42</definedName>
    <definedName name="sample_mgmt_az2_uplink02_cidr">'Network Inputs - Rack'!$E$43</definedName>
    <definedName name="sample_mgmt_az2_uplink02_gateway_ip">'Network Inputs - Rack'!$G$43</definedName>
    <definedName name="sample_mgmt_az2_uplink02_mtu">'Network Inputs - Rack'!$I$43</definedName>
    <definedName name="sample_mgmt_az2_uplink02_vlan">'Network Inputs - Rack'!$C$43</definedName>
    <definedName name="sample_mgmt_az2_vmotion_cidr">'Network Inputs - Rack'!$E$38</definedName>
    <definedName name="sample_mgmt_az2_vmotion_gateway_ip">'Network Inputs - Rack'!$G$38</definedName>
    <definedName name="sample_mgmt_az2_vmotion_mtu">'Network Inputs - Rack'!$I$38</definedName>
    <definedName name="sample_mgmt_az2_vmotion_pool_end_ip">'Name &amp; IP Address Inputs - Rack'!$E$103</definedName>
    <definedName name="sample_mgmt_az2_vmotion_pool_start_ip">'Name &amp; IP Address Inputs - Rack'!$E$102</definedName>
    <definedName name="sample_mgmt_az2_vmotion_vlan">'Network Inputs - Rack'!$C$38</definedName>
    <definedName name="sample_mgmt_az2_vrms_cidr">'Network Inputs - Rack'!$E$41</definedName>
    <definedName name="sample_mgmt_az2_vrms_gateway_ip">'Network Inputs - Rack'!$G$41</definedName>
    <definedName name="sample_mgmt_az2_vrms_mtu">'Network Inputs - Rack'!$I$41</definedName>
    <definedName name="sample_mgmt_az2_vrms_vlan">'Network Inputs - Rack'!$C$41</definedName>
    <definedName name="sample_mgmt_az2_vsan_cidr">'Network Inputs - Rack'!$E$39</definedName>
    <definedName name="sample_mgmt_az2_vsan_gateway_ip">'Network Inputs - Rack'!$G$39</definedName>
    <definedName name="sample_mgmt_az2_vsan_mtu">'Network Inputs - Rack'!$I$39</definedName>
    <definedName name="sample_mgmt_az2_vsan_pool_end_ip">'Name &amp; IP Address Inputs - Rack'!$E$105</definedName>
    <definedName name="sample_mgmt_az2_vsan_pool_start_ip">'Name &amp; IP Address Inputs - Rack'!$E$104</definedName>
    <definedName name="sample_mgmt_az2_vsan_vlan">'Network Inputs - Rack'!$C$39</definedName>
    <definedName name="sample_mgmt_ceip_status">'SDDC Inputs - Common'!$C$74</definedName>
    <definedName name="sample_mgmt_cl01_az1_mgmt_pg">'SDDC Inputs - Common'!$C$87</definedName>
    <definedName name="sample_mgmt_cl01_az1_mgmt_vm_pg">'SDDC Inputs - Common'!$C$86</definedName>
    <definedName name="sample_mgmt_cl01_az1_uplink01_pg">'SDDC Inputs - Common'!$C$90</definedName>
    <definedName name="sample_mgmt_cl01_az1_uplink02_pg">'SDDC Inputs - Common'!$C$91</definedName>
    <definedName name="sample_mgmt_cl01_az1_vmotion_pg">'SDDC Inputs - Common'!$C$88</definedName>
    <definedName name="sample_mgmt_cl01_az1_vsan_pg">'SDDC Inputs - Common'!$C$89</definedName>
    <definedName name="sample_mgmt_cl01_cluster">'SDDC Inputs - Common'!$C$124</definedName>
    <definedName name="sample_mgmt_cl01_cluster_sddc_id">'SDDC Inputs - Common'!$C$182</definedName>
    <definedName name="sample_mgmt_cl01_evc_mode">'SDDC Inputs - Common'!$C$125</definedName>
    <definedName name="sample_mgmt_cl01_vds_profile">'SDDC Inputs - Common'!$C$82</definedName>
    <definedName name="sample_mgmt_cl01_vds01_mtu">'SDDC Inputs - Common'!$C$81</definedName>
    <definedName name="sample_mgmt_cl01_vds01_name">'SDDC Inputs - Common'!$C$79</definedName>
    <definedName name="sample_mgmt_cl01_vds01_pnics">'SDDC Inputs - Common'!$C$80</definedName>
    <definedName name="sample_mgmt_cl01_vds02_mtu">'SDDC Inputs - Common'!$C$85</definedName>
    <definedName name="sample_mgmt_cl01_vds02_name">'SDDC Inputs - Common'!$C$83</definedName>
    <definedName name="sample_mgmt_cl01_vds02_pnics">'SDDC Inputs - Common'!$C$84</definedName>
    <definedName name="sample_mgmt_cl01_vsan_datastore">'SDDC Inputs - Common'!$C$116</definedName>
    <definedName name="sample_mgmt_cl01_vsan_dedupe_compression">'SDDC Inputs - Common'!$C$118</definedName>
    <definedName name="sample_mgmt_cl01_vsan_ftt">'SDDC Inputs - Common'!$C$117</definedName>
    <definedName name="sample_mgmt_cl01_vss_switch">'SDDC Inputs - Common'!$C$78</definedName>
    <definedName name="sample_mgmt_cluster">'SDDC Inputs - Common'!$C$124</definedName>
    <definedName name="sample_mgmt_datacenter">'SDDC Inputs - Common'!$C$121</definedName>
    <definedName name="sample_mgmt_ec_name">'SDDC Inputs - Common'!$C$92</definedName>
    <definedName name="sample_mgmt_ec_profile_type">'SDDC Inputs - Common'!$C$93</definedName>
    <definedName name="sample_mgmt_en_asn">'Network Inputs - Rack'!$C$26</definedName>
    <definedName name="sample_mgmt_existing_active_nsx_gm">'SDDC Inputs - Common'!$C$108</definedName>
    <definedName name="sample_mgmt_existing_cross_instance_t0_name">'SDDC Inputs - Common'!$C$109</definedName>
    <definedName name="sample_mgmt_existing_vc_fqdn">'SDDC Inputs - Common'!$C$458</definedName>
    <definedName name="sample_mgmt_fips_status">'SDDC Inputs - Common'!$C$75</definedName>
    <definedName name="sample_mgmt_host1_sshfingerprint">'SDDC Inputs - Common'!$C$138</definedName>
    <definedName name="sample_mgmt_host1_thumbprint">'SDDC Inputs - Common'!$C$139</definedName>
    <definedName name="sample_mgmt_host2_sshfingerprint">'SDDC Inputs - Common'!$C$140</definedName>
    <definedName name="sample_mgmt_host2_thumbprint">'SDDC Inputs - Common'!$C$141</definedName>
    <definedName name="sample_mgmt_host3_sshfingerprint">'SDDC Inputs - Common'!$C$142</definedName>
    <definedName name="sample_mgmt_host3_thumbprint">'SDDC Inputs - Common'!$C$143</definedName>
    <definedName name="sample_mgmt_host4_sshfingerprint">'SDDC Inputs - Common'!$C$144</definedName>
    <definedName name="sample_mgmt_host4_thumbprint">'SDDC Inputs - Common'!$C$145</definedName>
    <definedName name="sample_mgmt_internet_proxy_address">'SDDC Inputs - Common'!$C$167</definedName>
    <definedName name="sample_mgmt_internet_proxy_auth">'SDDC Inputs - Common'!$C$169</definedName>
    <definedName name="sample_mgmt_internet_proxy_password">'SDDC Inputs - Common'!$C$53</definedName>
    <definedName name="sample_mgmt_internet_proxy_port">'SDDC Inputs - Common'!$C$168</definedName>
    <definedName name="sample_mgmt_internet_proxy_type">'SDDC Inputs - Common'!$C$166</definedName>
    <definedName name="sample_mgmt_internet_proxy_user">'SDDC Inputs - Common'!$C$52</definedName>
    <definedName name="sample_mgmt_mgmt_rp">'SDDC Inputs - Common'!$C$128</definedName>
    <definedName name="sample_mgmt_nsx_rp">'SDDC Inputs - Common'!$C$129</definedName>
    <definedName name="sample_mgmt_nsxt_federation_global_manager_name">'SDDC Inputs - Common'!$C$104</definedName>
    <definedName name="sample_mgmt_nsxt_federation_location_name">'SDDC Inputs - Common'!$C$105</definedName>
    <definedName name="sample_mgmt_nsxt_global_mgr_anti_affinity_rule_name">'SDDC Inputs - Common'!$C$102</definedName>
    <definedName name="sample_mgmt_nsxt_global_mgr_certificate_id">'SDDC Inputs - Common'!$C$103</definedName>
    <definedName name="sample_mgmt_nsxt_global_mgr_cluster_id">'SDDC Inputs - Common'!$C$100</definedName>
    <definedName name="sample_mgmt_nsxt_global_mgr_vmca_signed_thumbprint">'SDDC Inputs - Common'!$C$101</definedName>
    <definedName name="sample_mgmt_nsxt_global_mgra_hostname">'Name &amp; IP Address Inputs - VM'!$D$46</definedName>
    <definedName name="sample_mgmt_nsxt_global_mgra_ip">'Name &amp; IP Address Inputs - VM'!$F$46</definedName>
    <definedName name="sample_mgmt_nsxt_global_mgrb_hostname">'Name &amp; IP Address Inputs - VM'!$D$47</definedName>
    <definedName name="sample_mgmt_nsxt_global_mgrb_ip">'Name &amp; IP Address Inputs - VM'!$F$47</definedName>
    <definedName name="sample_mgmt_nsxt_global_mgrc_hostname">'Name &amp; IP Address Inputs - VM'!$D$48</definedName>
    <definedName name="sample_mgmt_nsxt_global_mgrc_ip">'Name &amp; IP Address Inputs - VM'!$F$48</definedName>
    <definedName name="sample_mgmt_nsxt_gm_fingerprint">'SDDC Inputs - Common'!$C$107</definedName>
    <definedName name="sample_mgmt_nsxt_gm_hostname">'Name &amp; IP Address Inputs - VM'!$D$45</definedName>
    <definedName name="sample_mgmt_nsxt_gm_ip">'Name &amp; IP Address Inputs - VM'!$F$45</definedName>
    <definedName name="sample_mgmt_nsxt_hostname">'Name &amp; IP Address Inputs - VM'!$D$41</definedName>
    <definedName name="sample_mgmt_nsxt_ip">'Name &amp; IP Address Inputs - VM'!$F$41</definedName>
    <definedName name="sample_mgmt_nsxt_lm_fingerprint">'SDDC Inputs - Common'!$C$99</definedName>
    <definedName name="sample_mgmt_nsxt_mgra_hostname">'Name &amp; IP Address Inputs - VM'!$D$42</definedName>
    <definedName name="sample_mgmt_nsxt_mgra_ip">'Name &amp; IP Address Inputs - VM'!$F$42</definedName>
    <definedName name="sample_mgmt_nsxt_mgrb_hostname">'Name &amp; IP Address Inputs - VM'!$D$43</definedName>
    <definedName name="sample_mgmt_nsxt_mgrb_ip">'Name &amp; IP Address Inputs - VM'!$F$43</definedName>
    <definedName name="sample_mgmt_nsxt_mgrc_hostname">'Name &amp; IP Address Inputs - VM'!$D$44</definedName>
    <definedName name="sample_mgmt_nsxt_mgrc_ip">'Name &amp; IP Address Inputs - VM'!$F$44</definedName>
    <definedName name="sample_mgmt_nsxt_xreg_t1_name">'SDDC Inputs - Common'!$C$106</definedName>
    <definedName name="sample_mgmt_offline_depot_hostname">'SDDC Inputs - Common'!$C$172</definedName>
    <definedName name="sample_mgmt_offline_depot_password">'SDDC Inputs - Common'!$C$51</definedName>
    <definedName name="sample_mgmt_offline_depot_port">'SDDC Inputs - Common'!$C$173</definedName>
    <definedName name="sample_mgmt_offline_depot_user">'SDDC Inputs - Common'!$C$50</definedName>
    <definedName name="sample_mgmt_recovery_lb_creation_method">'SDDC Inputs - Common'!$C$548</definedName>
    <definedName name="sample_mgmt_rtep_overlay_pool_end_ip">'Name &amp; IP Address Inputs - Rack'!$E$62</definedName>
    <definedName name="sample_mgmt_rtep_overlay_pool_start_ip">'Name &amp; IP Address Inputs - Rack'!$E$61</definedName>
    <definedName name="sample_mgmt_sddc_domain">'SDDC Inputs - Common'!$C$70</definedName>
    <definedName name="sample_mgmt_srm_admin_email">'SDDC Inputs - Common'!$C$536</definedName>
    <definedName name="sample_mgmt_srm_admin_password">'SDDC Inputs - Common'!$C$533</definedName>
    <definedName name="sample_mgmt_srm_database_password">'SDDC Inputs - Common'!$C$534</definedName>
    <definedName name="sample_mgmt_srm_days">'SDDC Inputs - Common'!$C$540</definedName>
    <definedName name="sample_mgmt_srm_hostname">'Name &amp; IP Address Inputs - VM'!$D$140</definedName>
    <definedName name="sample_mgmt_srm_instances_per_day">'SDDC Inputs - Common'!$C$539</definedName>
    <definedName name="sample_mgmt_srm_ip">'Name &amp; IP Address Inputs - VM'!$F$140</definedName>
    <definedName name="sample_mgmt_srm_p12_password">'SDDC Inputs - Common'!$C$537</definedName>
    <definedName name="sample_mgmt_srm_recovery_cluster">'SDDC Inputs - Common'!$C$556</definedName>
    <definedName name="sample_mgmt_srm_recovery_datastore">'SDDC Inputs - Common'!$C$557</definedName>
    <definedName name="sample_mgmt_srm_recovery_nsx_ec_name">'SDDC Inputs - Common'!$C$555</definedName>
    <definedName name="sample_mgmt_srm_recovery_nsx_location">'SDDC Inputs - Common'!$C$554</definedName>
    <definedName name="sample_mgmt_srm_recovery_sddc_manager_domain">'SDDC Inputs - Common'!$C$553</definedName>
    <definedName name="sample_mgmt_srm_recovery_sddc_manager_fqdn">'SDDC Inputs - Common'!$C$512</definedName>
    <definedName name="sample_mgmt_srm_recovery_sddc_manager_password">'SDDC Inputs - Common'!$C$514</definedName>
    <definedName name="sample_mgmt_srm_recovery_sddc_manager_username">'SDDC Inputs - Common'!$C$513</definedName>
    <definedName name="sample_mgmt_srm_recovery_t1_si_ip">'Name &amp; IP Address Inputs - VM'!$F$141</definedName>
    <definedName name="sample_mgmt_srm_recovery_vcenter_fqdn">'SDDC Inputs - Common'!$C$550</definedName>
    <definedName name="sample_mgmt_srm_recovery_vcenter_password">'SDDC Inputs - Common'!$C$552</definedName>
    <definedName name="sample_mgmt_srm_recovery_vcenter_username">'SDDC Inputs - Common'!$C$551</definedName>
    <definedName name="sample_mgmt_srm_root_password">'SDDC Inputs - Common'!$C$532</definedName>
    <definedName name="sample_mgmt_srm_rpo">'SDDC Inputs - Common'!$C$538</definedName>
    <definedName name="sample_mgmt_srm_site_name">'SDDC Inputs - Common'!$C$535</definedName>
    <definedName name="sample_mgmt_srm_sso_domain_membership">'SDDC Inputs - Common'!$C$559</definedName>
    <definedName name="sample_mgmt_srm_vm_folder">'SDDC Inputs - Common'!$C$531</definedName>
    <definedName name="sample_mgmt_srm_vm_size">'Management Domain Sizing Inputs'!$D$70</definedName>
    <definedName name="sample_mgmt_srm_vra_pg">'SDDC Inputs - Common'!$C$545</definedName>
    <definedName name="sample_mgmt_srm_vra_rp">'SDDC Inputs - Common'!$C$546</definedName>
    <definedName name="sample_mgmt_srm_vrops_pg">'SDDC Inputs - Common'!$C$543</definedName>
    <definedName name="sample_mgmt_srm_vrops_rp">'SDDC Inputs - Common'!$C$544</definedName>
    <definedName name="sample_mgmt_srm_vrslcm_wsa_pg">'SDDC Inputs - Common'!$C$541</definedName>
    <definedName name="sample_mgmt_srm_vrslcm_wsa_rp">'SDDC Inputs - Common'!$C$542</definedName>
    <definedName name="sample_mgmt_tier0_name">'SDDC Inputs - Common'!$C$96</definedName>
    <definedName name="sample_mgmt_tier1_name">'SDDC Inputs - Common'!$C$97</definedName>
    <definedName name="sample_mgmt_user_edge_rp">'SDDC Inputs - Common'!$C$130</definedName>
    <definedName name="sample_mgmt_user_vm_rp">'SDDC Inputs - Common'!$C$131</definedName>
    <definedName name="sample_mgmt_vc_hostname">'Name &amp; IP Address Inputs - VM'!$D$40</definedName>
    <definedName name="sample_mgmt_vc_ip">'Name &amp; IP Address Inputs - VM'!$F$40</definedName>
    <definedName name="sample_mgmt_vrms_admin_email">'SDDC Inputs - Common'!$C$527</definedName>
    <definedName name="sample_mgmt_vrms_admin_password">'SDDC Inputs - Common'!$C$525</definedName>
    <definedName name="sample_mgmt_vrms_hostname">'Name &amp; IP Address Inputs - VM'!$D$138</definedName>
    <definedName name="sample_mgmt_vrms_mgmt_ip">'Name &amp; IP Address Inputs - VM'!$F$138</definedName>
    <definedName name="sample_mgmt_vrms_p12_password">'SDDC Inputs - Common'!$C$529</definedName>
    <definedName name="sample_mgmt_vrms_pg">'SDDC Inputs - Common'!$C$528</definedName>
    <definedName name="sample_mgmt_vrms_recovery_replication_cidr">'SDDC Inputs - Common'!$C$558</definedName>
    <definedName name="sample_mgmt_vrms_root_password">'SDDC Inputs - Common'!$C$524</definedName>
    <definedName name="sample_mgmt_vrms_site_name">'SDDC Inputs - Common'!$C$526</definedName>
    <definedName name="sample_mgmt_vrms_vm_folder">'SDDC Inputs - Common'!$C$523</definedName>
    <definedName name="sample_mgmt_vrms_vm_size">'Management Domain Sizing Inputs'!$D$69</definedName>
    <definedName name="sample_mgmt_vrms_vrms_ip">'Name &amp; IP Address Inputs - VM'!$F$139</definedName>
    <definedName name="sample_mgmt_vsan_datastore">'SDDC Inputs - Common'!$C$116</definedName>
    <definedName name="sample_mgmt_witness_cluster">'SDDC Inputs - Common'!$C$187</definedName>
    <definedName name="sample_mgmt_witness_hostname">'Name &amp; IP Address Inputs - VM'!$D$58</definedName>
    <definedName name="sample_mgmt_witness_ip">'Name &amp; IP Address Inputs - VM'!$F$58</definedName>
    <definedName name="sample_mgmt_witness_mgmt_pg">'SDDC Inputs - Common'!$C$189</definedName>
    <definedName name="sample_mgmt_witness_root_password">'SDDC Inputs - Common'!$C$64</definedName>
    <definedName name="sample_mgmt_witness_sddc_domain">'SDDC Inputs - Common'!$C$185</definedName>
    <definedName name="sample_mgmt_witness_vm_folder">'SDDC Inputs - Common'!$C$188</definedName>
    <definedName name="sample_mgmt_witness_vsan_datastore">'SDDC Inputs - Common'!$C$186</definedName>
    <definedName name="sample_mgmt_witness_zone_vc_hostname">'Name &amp; IP Address Inputs - VM'!$D$57</definedName>
    <definedName name="sample_mgmt_witness_zone_vc_ip">'Name &amp; IP Address Inputs - VM'!$F$57</definedName>
    <definedName name="sample_mgmt_witnessaz_cidr">'Network Inputs - Rack'!$E$63</definedName>
    <definedName name="sample_mgmt_witnessaz_gateway_ip">'Network Inputs - Rack'!$G$63</definedName>
    <definedName name="sample_mgmt_witnessaz_mgmt_cidr">'Network Inputs - Rack'!$E$63</definedName>
    <definedName name="sample_mgmt_witnessaz_mgmt_gateway_ip">'Network Inputs - Rack'!$G$63</definedName>
    <definedName name="sample_mgmt_witnessaz_mgmt_mtu">'Network Inputs - Rack'!$I$63</definedName>
    <definedName name="sample_mgmt_witnessaz_mgmt_vlan">'Network Inputs - Rack'!$C$63</definedName>
    <definedName name="sample_mgmt_witnessaz_mtu">'Network Inputs - Rack'!$I$63</definedName>
    <definedName name="sample_mgmt_witnessaz_vlan">'Network Inputs - Rack'!$C$63</definedName>
    <definedName name="sample_nsxt_en_admin_password">'SDDC Inputs - Common'!$C$37</definedName>
    <definedName name="sample_nsxt_en_audit_password">'SDDC Inputs - Common'!$C$38</definedName>
    <definedName name="sample_nsxt_en_root_password">'SDDC Inputs - Common'!$C$36</definedName>
    <definedName name="sample_nsxt_gm_admin_password">'SDDC Inputs - Common'!$C$40</definedName>
    <definedName name="sample_nsxt_gm_audit_password">'SDDC Inputs - Common'!$C$41</definedName>
    <definedName name="sample_nsxt_gm_root_password">'SDDC Inputs - Common'!$C$39</definedName>
    <definedName name="sample_nsxt_license">'SDDC Inputs - Common'!$C$20</definedName>
    <definedName name="sample_nsxt_lm_admin_password">'SDDC Inputs - Common'!$C$34</definedName>
    <definedName name="sample_nsxt_lm_audit_password">'SDDC Inputs - Common'!$C$35</definedName>
    <definedName name="sample_nsxt_lm_root_password">'SDDC Inputs - Common'!$C$33</definedName>
    <definedName name="sample_nsxt_vsphere_role_name">'SDDC Inputs - Common'!$C$400</definedName>
    <definedName name="sample_parent_ad_groups_ou">'Active Directory Inputs'!$D$10</definedName>
    <definedName name="sample_parent_ad_users_ou">'Active Directory Inputs'!$F$10</definedName>
    <definedName name="sample_parent_dns_zone">'Name &amp; IP Address Inputs - VM'!$C$17</definedName>
    <definedName name="sample_parent_gg_wsa_admins_group">'Active Directory Inputs'!$D$63</definedName>
    <definedName name="sample_parent_gg_wsa_directory_admins_group">'Active Directory Inputs'!$D$64</definedName>
    <definedName name="sample_parent_gg_wsa_read_only_group">'Active Directory Inputs'!$D$65</definedName>
    <definedName name="sample_primary_vds_name">'SDDC Inputs - Common'!$C$79</definedName>
    <definedName name="sample_quickstart_hostname">#REF!</definedName>
    <definedName name="sample_quickstart_ip">#REF!</definedName>
    <definedName name="sample_reg_seg01_cidr">'Network Inputs - Rack'!$E$21</definedName>
    <definedName name="sample_reg_seg01_gateway_ip">'Network Inputs - Rack'!$G$21</definedName>
    <definedName name="sample_reg_seg01_mtu">'Network Inputs - Rack'!$I$21</definedName>
    <definedName name="sample_reg_seg01_name">'SDDC Inputs - Common'!$C$94</definedName>
    <definedName name="sample_reg_seg01_vlan">'Network Inputs - Rack'!$C$21</definedName>
    <definedName name="sample_region_ad_child_fqdn">'Active Directory Inputs'!$D$9</definedName>
    <definedName name="sample_region_ad_child_netbios">'Active Directory Inputs'!$F$9</definedName>
    <definedName name="sample_region_ad_parent_fqdn">'Active Directory Inputs'!$D$8</definedName>
    <definedName name="sample_region_ad_parent_netbios">'Active Directory Inputs'!$F$8</definedName>
    <definedName name="sample_region_dns1_ip">'Name &amp; IP Address Inputs - VM'!$C$20</definedName>
    <definedName name="sample_region_dns2_ip">'Name &amp; IP Address Inputs - VM'!$C$21</definedName>
    <definedName name="sample_region_existing_remote_vrli_host">'SDDC Inputs - Common'!$C$437</definedName>
    <definedName name="sample_region_existing_remote_vrli_tag">'SDDC Inputs - Common'!$C$438</definedName>
    <definedName name="sample_region_ntp1_server">'Name &amp; IP Address Inputs - VM'!$C$9</definedName>
    <definedName name="sample_region_ntp2_server">'Name &amp; IP Address Inputs - VM'!$C$10</definedName>
    <definedName name="sample_region_vrli_admin_email">'SDDC Inputs - Common'!$C$429</definedName>
    <definedName name="sample_region_vrli_admin_password">'SDDC Inputs - Common'!$C$427</definedName>
    <definedName name="sample_region_vrli_admin_password_alias">'SDDC Inputs - Common'!$C$426</definedName>
    <definedName name="sample_region_vrli_appliance_size">'Management Domain Sizing Inputs'!$D$59</definedName>
    <definedName name="sample_region_vrli_datastore_size">'SDDC Inputs - Common'!$C$434</definedName>
    <definedName name="sample_region_vrli_email_notification_target">'SDDC Inputs - Common'!$C$431</definedName>
    <definedName name="sample_region_vrli_log_retention_notification">'SDDC Inputs - Common'!$C$430</definedName>
    <definedName name="sample_region_vrli_log_retention_period">'SDDC Inputs - Common'!$C$435</definedName>
    <definedName name="sample_region_vrli_nfs_server">'SDDC Inputs - Common'!$C$432</definedName>
    <definedName name="sample_region_vrli_nfs_share">'SDDC Inputs - Common'!$C$433</definedName>
    <definedName name="sample_region_vrli_nodea_hostname">'Name &amp; IP Address Inputs - VM'!$D$102</definedName>
    <definedName name="sample_region_vrli_nodea_ip">'Name &amp; IP Address Inputs - VM'!$F$102</definedName>
    <definedName name="sample_region_vrli_nodeb_hostname">'Name &amp; IP Address Inputs - VM'!$D$103</definedName>
    <definedName name="sample_region_vrli_nodeb_ip">'Name &amp; IP Address Inputs - VM'!$F$103</definedName>
    <definedName name="sample_region_vrli_nodec_hostname">'Name &amp; IP Address Inputs - VM'!$D$104</definedName>
    <definedName name="sample_region_vrli_nodec_ip">'Name &amp; IP Address Inputs - VM'!$F$104</definedName>
    <definedName name="sample_region_vrli_tag">'SDDC Inputs - Common'!$C$436</definedName>
    <definedName name="sample_region_vrli_virtual_hostname">'Name &amp; IP Address Inputs - VM'!$D$101</definedName>
    <definedName name="sample_region_vrli_virtual_ip">'Name &amp; IP Address Inputs - VM'!$F$101</definedName>
    <definedName name="sample_region_vrni_collector_node_size">'Management Domain Sizing Inputs'!$D$65</definedName>
    <definedName name="sample_region_vrni_nodea_hostname">'Name &amp; IP Address Inputs - VM'!$D$118</definedName>
    <definedName name="sample_region_vrni_nodea_ip">'Name &amp; IP Address Inputs - VM'!$F$118</definedName>
    <definedName name="sample_region_vrops_existing_rca_hostname">'SDDC Inputs - Common'!$C$466</definedName>
    <definedName name="sample_region_vrops_existing_rcb_hostname">'SDDC Inputs - Common'!$C$468</definedName>
    <definedName name="sample_region_vropsca_hostname">'Name &amp; IP Address Inputs - VM'!$D$112</definedName>
    <definedName name="sample_region_vropsca_ip">'Name &amp; IP Address Inputs - VM'!$F$112</definedName>
    <definedName name="sample_region_vropscb_hostname">'Name &amp; IP Address Inputs - VM'!$D$113</definedName>
    <definedName name="sample_region_vropscb_ip">'Name &amp; IP Address Inputs - VM'!$F$113</definedName>
    <definedName name="sample_sddc_mgr_admin_local_password">'SDDC Inputs - Common'!$C$45</definedName>
    <definedName name="sample_sddc_mgr_hostname">'Name &amp; IP Address Inputs - VM'!$D$39</definedName>
    <definedName name="sample_sddc_mgr_ip">'Name &amp; IP Address Inputs - VM'!$F$39</definedName>
    <definedName name="sample_sddc_mgr_root_password">'SDDC Inputs - Common'!$C$43</definedName>
    <definedName name="sample_sddc_mgr_vcf_password">'SDDC Inputs - Common'!$C$44</definedName>
    <definedName name="sample_sddc_mgr_vcf_username">'SDDC Inputs - Common'!$B$44</definedName>
    <definedName name="sample_sftp_server">'Name &amp; IP Address Inputs - VM'!$C$31</definedName>
    <definedName name="sample_sftp_server_backup_dir">'SDDC Inputs - Common'!$C$161</definedName>
    <definedName name="sample_sftp_server_passphrase">'SDDC Inputs - Common'!$C$163</definedName>
    <definedName name="sample_sftp_server_port">'SDDC Inputs - Common'!$C$159</definedName>
    <definedName name="sample_sftp_server_protocol">'SDDC Inputs - Common'!$C$160</definedName>
    <definedName name="sample_sftp_server_sshfingerprint">'SDDC Inputs - Common'!$C$162</definedName>
    <definedName name="sample_smtp_sender_password">'SDDC Inputs - Common'!$C$62</definedName>
    <definedName name="sample_smtp_sender_username">'SDDC Inputs - Common'!$C$61</definedName>
    <definedName name="sample_smtp_server">'Name &amp; IP Address Inputs - VM'!$C$32</definedName>
    <definedName name="sample_smtp_server_port">'Name &amp; IP Address Inputs - VM'!$C$33</definedName>
    <definedName name="sample_srm_license">'SDDC Inputs - Common'!$C$23</definedName>
    <definedName name="sample_svc_cbr_vcdr_vsphere_password">'SDDC Inputs - Common'!$C$601</definedName>
    <definedName name="sample_svc_cbr_vcdr_vsphere_user">'SDDC Inputs - Common'!$C$600</definedName>
    <definedName name="sample_svc_ccm_hcx_nsx_password">'Active Directory Inputs'!$F$53</definedName>
    <definedName name="sample_svc_ccm_hcx_nsx_user">'Active Directory Inputs'!$D$53</definedName>
    <definedName name="sample_svc_ccm_hcx_vsphere_password">'Active Directory Inputs'!$F$52</definedName>
    <definedName name="sample_svc_ccm_hcx_vsphere_user">'Active Directory Inputs'!$D$52</definedName>
    <definedName name="sample_svc_hrm_vcf_password">'Active Directory Inputs'!$F$48</definedName>
    <definedName name="sample_svc_hrm_vcf_user">'Active Directory Inputs'!$D$48</definedName>
    <definedName name="sample_svc_hrm_vrops_password">'Active Directory Inputs'!$F$49</definedName>
    <definedName name="sample_svc_hrm_vrops_user">'Active Directory Inputs'!$D$49</definedName>
    <definedName name="sample_svc_ila_ad_password">'Active Directory Inputs'!$F$28</definedName>
    <definedName name="sample_svc_ila_ad_user">'Active Directory Inputs'!$D$28</definedName>
    <definedName name="sample_svc_inv_ad_password">'Active Directory Inputs'!$F$36</definedName>
    <definedName name="sample_svc_inv_ad_user">'Active Directory Inputs'!$D$36</definedName>
    <definedName name="sample_svc_inv_vrops_password">'Active Directory Inputs'!$F$38</definedName>
    <definedName name="sample_svc_inv_vrops_user">'Active Directory Inputs'!$D$38</definedName>
    <definedName name="sample_svc_inv_vsphere_password">'Active Directory Inputs'!$F$37</definedName>
    <definedName name="sample_svc_inv_vsphere_user">'Active Directory Inputs'!$D$37</definedName>
    <definedName name="sample_svc_iom_vcf_password">'Active Directory Inputs'!$F$31</definedName>
    <definedName name="sample_svc_iom_vcf_user">'Active Directory Inputs'!$D$31</definedName>
    <definedName name="sample_svc_iom_vsphere_password">'Active Directory Inputs'!$F$32</definedName>
    <definedName name="sample_svc_iom_vsphere_user">'Active Directory Inputs'!$D$32</definedName>
    <definedName name="sample_svc_my_vmware_logon">'SDDC Inputs - Common'!$C$46</definedName>
    <definedName name="sample_svc_my_vmware_password">'SDDC Inputs - Common'!$C$47</definedName>
    <definedName name="sample_svc_vcf_bck_password">'SDDC Inputs - Common'!$C$56</definedName>
    <definedName name="sample_svc_vcf_bck_user">'SDDC Inputs - Common'!$C$55</definedName>
    <definedName name="sample_svc_vcf_ca_vcf_user">'SDDC Inputs - Common'!$C$71</definedName>
    <definedName name="sample_svc_vcf_ca_vvd_password">'Active Directory Inputs'!$F$16</definedName>
    <definedName name="sample_svc_vcf_ca_vvd_user">'Active Directory Inputs'!$D$16</definedName>
    <definedName name="sample_svc_vra_nsx_password">'Active Directory Inputs'!$F$42</definedName>
    <definedName name="sample_svc_vra_nsx_user">'Active Directory Inputs'!$D$42</definedName>
    <definedName name="sample_svc_vra_vcf_password">'Active Directory Inputs'!$F$43</definedName>
    <definedName name="sample_svc_vra_vcf_user">'Active Directory Inputs'!$D$43</definedName>
    <definedName name="sample_svc_vra_vrops_password">'Active Directory Inputs'!$F$45</definedName>
    <definedName name="sample_svc_vra_vrops_user">'Active Directory Inputs'!$D$45</definedName>
    <definedName name="sample_svc_vra_vsphere_password">'Active Directory Inputs'!$F$41</definedName>
    <definedName name="sample_svc_vra_vsphere_user">'Active Directory Inputs'!$D$41</definedName>
    <definedName name="sample_svc_vro_vsphere_password">'Active Directory Inputs'!$F$44</definedName>
    <definedName name="sample_svc_vro_vsphere_user">'Active Directory Inputs'!$D$44</definedName>
    <definedName name="sample_svc_vrops_vra_password">'Active Directory Inputs'!$F$33</definedName>
    <definedName name="sample_svc_vrops_vra_user">'Active Directory Inputs'!$D$33</definedName>
    <definedName name="sample_vc_license">'SDDC Inputs - Common'!$C$17</definedName>
    <definedName name="sample_vcenter_root_password">'SDDC Inputs - Common'!$C$31</definedName>
    <definedName name="sample_vcfadmin_local_password">'SDDC Inputs - Common'!$C$365</definedName>
    <definedName name="sample_vlcm_image_cluster_moref">'SDDC Inputs - Common'!$C$196</definedName>
    <definedName name="sample_vlcm_image_cluster_name">'SDDC Inputs - Common'!$C$195</definedName>
    <definedName name="sample_vlcm_image_name">'SDDC Inputs - Common'!$C$197</definedName>
    <definedName name="sample_vlcm_image_vc_hostname">'SDDC Inputs - Common'!$C$194</definedName>
    <definedName name="sample_vra_license">'SDDC Inputs - Common'!$C$490</definedName>
    <definedName name="sample_vra_license_alias">'SDDC Inputs - Common'!$C$489</definedName>
    <definedName name="sample_vra_sddc_mgr_integration_name">'SDDC Inputs - Common'!$C$496</definedName>
    <definedName name="sample_vrli_license">'SDDC Inputs - Common'!$C$425</definedName>
    <definedName name="sample_vrli_license_alias">'SDDC Inputs - Common'!$C$424</definedName>
    <definedName name="sample_vrni_license">'SDDC Inputs - Common'!$C$474</definedName>
    <definedName name="sample_vrni_license_alias">'SDDC Inputs - Common'!$C$473</definedName>
    <definedName name="sample_vrops_license">'SDDC Inputs - Common'!$C$444</definedName>
    <definedName name="sample_vrops_license_alias">'SDDC Inputs - Common'!$C$443</definedName>
    <definedName name="sample_vrs_license">'SDDC Inputs - Common'!$C$22</definedName>
    <definedName name="sample_vrs_t1_lb_si_ip">'Name &amp; IP Address Inputs - VM'!$F$86</definedName>
    <definedName name="sample_vrs_t1_lb_si_name">'Name &amp; IP Address Inputs - VM'!$D$86</definedName>
    <definedName name="sample_vrslcm_bespoke_svc_vrslcm_vsphere_password">'SDDC Inputs - Common'!$C$375</definedName>
    <definedName name="sample_vrslcm_reg_dc">'SDDC Inputs - Common'!$C$368</definedName>
    <definedName name="sample_vrslcm_reg_env">'SDDC Inputs - Common'!$C$428</definedName>
    <definedName name="sample_vrslcm_root_password">'SDDC Inputs - Common'!$C$366</definedName>
    <definedName name="sample_vrslcm_xreg_admin_username">'SDDC Inputs - Common'!$C$374</definedName>
    <definedName name="sample_vrslcm_xreg_dc">'SDDC Inputs - Common'!$C$370</definedName>
    <definedName name="sample_vrslcm_xreg_env">'SDDC Inputs - Common'!$C$369</definedName>
    <definedName name="sample_vrslcm_xreg_env_password">'SDDC Inputs - Common'!$C$373</definedName>
    <definedName name="sample_vrslcm_xreg_env_password_alias">'SDDC Inputs - Common'!$C$372</definedName>
    <definedName name="sample_vrslcm_xreg_location">'SDDC Inputs - Common'!$C$371</definedName>
    <definedName name="sample_vrslcm_xreg_vm_folder">'SDDC Inputs - Common'!$C$367</definedName>
    <definedName name="sample_vsan_license">'SDDC Inputs - Common'!$C$19</definedName>
    <definedName name="sample_witness_dns_zone">'Name &amp; IP Address Inputs - VM'!$C$19</definedName>
    <definedName name="sample_witness_dns1_ip">'Name &amp; IP Address Inputs - VM'!$C$24</definedName>
    <definedName name="sample_witness_dns2_ip">'Name &amp; IP Address Inputs - VM'!$C$25</definedName>
    <definedName name="sample_witness_ntp1_server">'Name &amp; IP Address Inputs - VM'!$C$13</definedName>
    <definedName name="sample_witness_ntp2_server">'Name &amp; IP Address Inputs - VM'!$C$14</definedName>
    <definedName name="sample_wld_avilb_cluster_name">'SDDC Inputs - Common'!$C$258</definedName>
    <definedName name="sample_wld_avilb_cluster_version">'SDDC Inputs - Common'!$C$259</definedName>
    <definedName name="sample_wld_avilb_hostname">'Name &amp; IP Address Inputs - VM'!$D$72</definedName>
    <definedName name="sample_wld_avilb_ip">'Name &amp; IP Address Inputs - VM'!$F$72</definedName>
    <definedName name="sample_wld_avilb_mgra_hostname">'Name &amp; IP Address Inputs - VM'!$D$73</definedName>
    <definedName name="sample_wld_avilb_mgra_ip">'Name &amp; IP Address Inputs - VM'!$F$73</definedName>
    <definedName name="sample_wld_avilb_mgrb_hostname">'Name &amp; IP Address Inputs - VM'!$D$74</definedName>
    <definedName name="sample_wld_avilb_mgrb_ip">'Name &amp; IP Address Inputs - VM'!$F$74</definedName>
    <definedName name="sample_wld_avilb_mgrc_hostname">'Name &amp; IP Address Inputs - VM'!$D$75</definedName>
    <definedName name="sample_wld_avilb_mgrc_ip">'Name &amp; IP Address Inputs - VM'!$F$75</definedName>
    <definedName name="sample_wld_az1_child_dns_zone">'Name &amp; IP Address Inputs - Rack'!$D$111</definedName>
    <definedName name="sample_wld_az1_edge_overlay_cidr">'Network Inputs - Rack'!$E$77</definedName>
    <definedName name="sample_wld_az1_edge_overlay_gateway_ip">'Network Inputs - Rack'!$G$77</definedName>
    <definedName name="sample_wld_az1_edge_overlay_mtu">'Network Inputs - Rack'!$I$77</definedName>
    <definedName name="sample_wld_az1_edge_overlay_network_pool_name">'SDDC Inputs - Rack'!$C$68</definedName>
    <definedName name="sample_wld_az1_edge_overlay_pool_end_ip">'Name &amp; IP Address Inputs - Rack'!$E$169</definedName>
    <definedName name="sample_wld_az1_edge_overlay_pool_start_ip">'Name &amp; IP Address Inputs - Rack'!$E$168</definedName>
    <definedName name="sample_wld_az1_edge_overlay_vlan">'Network Inputs - Rack'!$C$77</definedName>
    <definedName name="sample_wld_az1_en1_edge_overlay_interface_ip_1_ip">'Name &amp; IP Address Inputs - Rack'!$E$151</definedName>
    <definedName name="sample_wld_az1_en1_edge_overlay_interface_ip_2_ip">'Name &amp; IP Address Inputs - Rack'!$E$152</definedName>
    <definedName name="sample_wld_az1_en1_hostname">'Name &amp; IP Address Inputs - Rack'!$C$148</definedName>
    <definedName name="sample_wld_az1_en1_mgmt_ip">'Name &amp; IP Address Inputs - Rack'!$E$148</definedName>
    <definedName name="sample_wld_az1_en1_uplink01_interface_ip">'Name &amp; IP Address Inputs - Rack'!$E$149</definedName>
    <definedName name="sample_wld_az1_en1_uplink02_interface_ip">'Name &amp; IP Address Inputs - Rack'!$E$150</definedName>
    <definedName name="sample_wld_az1_en2_edge_overlay_interface_ip_1_ip">'Name &amp; IP Address Inputs - Rack'!$E$156</definedName>
    <definedName name="sample_wld_az1_en2_edge_overlay_interface_ip_2_ip">'Name &amp; IP Address Inputs - Rack'!$E$157</definedName>
    <definedName name="sample_wld_az1_en2_hostname">'Name &amp; IP Address Inputs - Rack'!$C$153</definedName>
    <definedName name="sample_wld_az1_en2_mgmt_ip">'Name &amp; IP Address Inputs - Rack'!$E$153</definedName>
    <definedName name="sample_wld_az1_en2_uplink01_interface_ip">'Name &amp; IP Address Inputs - Rack'!$E$154</definedName>
    <definedName name="sample_wld_az1_en2_uplink02_interface_ip">'Name &amp; IP Address Inputs - Rack'!$E$155</definedName>
    <definedName name="sample_wld_az1_host_hostnames">'Name &amp; IP Address Inputs - Rack'!$C$114:$C$129</definedName>
    <definedName name="sample_wld_az1_host_mgmt_ips">'Name &amp; IP Address Inputs - Rack'!$E$114:$E$129</definedName>
    <definedName name="sample_wld_az1_host_overlay_cidr">'Network Inputs - Rack'!$E$72</definedName>
    <definedName name="sample_wld_az1_host_overlay_gateway_ip">'Network Inputs - Rack'!$G$72</definedName>
    <definedName name="sample_wld_az1_host_overlay_mtu">'Network Inputs - Rack'!$I$72</definedName>
    <definedName name="sample_wld_az1_host_overlay_network_pool_name">'SDDC Inputs - Rack'!$C$66</definedName>
    <definedName name="sample_wld_az1_host_overlay_network_profile_name">'SDDC Inputs - Rack'!$C$65</definedName>
    <definedName name="sample_wld_az1_host_overlay_pool_end_ip">'Name &amp; IP Address Inputs - Rack'!$E$165</definedName>
    <definedName name="sample_wld_az1_host_overlay_pool_start_ip">'Name &amp; IP Address Inputs - Rack'!$E$164</definedName>
    <definedName name="sample_wld_az1_host_overlay_uplink_profile_name">'SDDC Inputs - Rack'!$C$67</definedName>
    <definedName name="sample_wld_az1_host_overlay_vlan">'Network Inputs - Rack'!$C$72</definedName>
    <definedName name="sample_wld_az1_host1_function">'SDDC Inputs - Rack'!$C$75</definedName>
    <definedName name="sample_wld_az1_host1_hostname">'Name &amp; IP Address Inputs - Rack'!$C$114</definedName>
    <definedName name="sample_wld_az1_host1_mgmt_ip">'Name &amp; IP Address Inputs - Rack'!$E$114</definedName>
    <definedName name="sample_wld_az1_host1_sddc_id">'SDDC Inputs - Common'!$C$204</definedName>
    <definedName name="sample_wld_az1_host1_vrms_ip">'Name &amp; IP Address Inputs - Rack'!$E$131</definedName>
    <definedName name="sample_wld_az1_host10_function">'SDDC Inputs - Rack'!$C$84</definedName>
    <definedName name="sample_wld_az1_host10_hostname">'Name &amp; IP Address Inputs - Rack'!$C$123</definedName>
    <definedName name="sample_wld_az1_host10_mgmt_ip">'Name &amp; IP Address Inputs - Rack'!$E$123</definedName>
    <definedName name="sample_wld_az1_host10_vrms_ip">'Name &amp; IP Address Inputs - Rack'!$E$140</definedName>
    <definedName name="sample_wld_az1_host11_function">'SDDC Inputs - Rack'!$C$85</definedName>
    <definedName name="sample_wld_az1_host11_hostname">'Name &amp; IP Address Inputs - Rack'!$C$124</definedName>
    <definedName name="sample_wld_az1_host11_mgmt_ip">'Name &amp; IP Address Inputs - Rack'!$E$124</definedName>
    <definedName name="sample_wld_az1_host11_vrms_ip">'Name &amp; IP Address Inputs - Rack'!$E$141</definedName>
    <definedName name="sample_wld_az1_host12_function">'SDDC Inputs - Rack'!$C$86</definedName>
    <definedName name="sample_wld_az1_host12_hostname">'Name &amp; IP Address Inputs - Rack'!$C$125</definedName>
    <definedName name="sample_wld_az1_host12_mgmt_ip">'Name &amp; IP Address Inputs - Rack'!$E$125</definedName>
    <definedName name="sample_wld_az1_host12_vrms_ip">'Name &amp; IP Address Inputs - Rack'!$E$142</definedName>
    <definedName name="sample_wld_az1_host13_function">'SDDC Inputs - Rack'!$C$87</definedName>
    <definedName name="sample_wld_az1_host13_hostname">'Name &amp; IP Address Inputs - Rack'!$C$126</definedName>
    <definedName name="sample_wld_az1_host13_mgmt_ip">'Name &amp; IP Address Inputs - Rack'!$E$126</definedName>
    <definedName name="sample_wld_az1_host13_vrms_ip">'Name &amp; IP Address Inputs - Rack'!$E$143</definedName>
    <definedName name="sample_wld_az1_host14_function">'SDDC Inputs - Rack'!$C$88</definedName>
    <definedName name="sample_wld_az1_host14_hostname">'Name &amp; IP Address Inputs - Rack'!$C$127</definedName>
    <definedName name="sample_wld_az1_host14_mgmt_ip">'Name &amp; IP Address Inputs - Rack'!$E$127</definedName>
    <definedName name="sample_wld_az1_host14_vrms_ip">'Name &amp; IP Address Inputs - Rack'!$E$144</definedName>
    <definedName name="sample_wld_az1_host15_function">'SDDC Inputs - Rack'!$C$89</definedName>
    <definedName name="sample_wld_az1_host15_hostname">'Name &amp; IP Address Inputs - Rack'!$C$128</definedName>
    <definedName name="sample_wld_az1_host15_mgmt_ip">'Name &amp; IP Address Inputs - Rack'!$E$128</definedName>
    <definedName name="sample_wld_az1_host15_vrms_ip">'Name &amp; IP Address Inputs - Rack'!$E$145</definedName>
    <definedName name="sample_wld_az1_host16_function">'SDDC Inputs - Rack'!$C$90</definedName>
    <definedName name="sample_wld_az1_host16_hostname">'Name &amp; IP Address Inputs - Rack'!$C$129</definedName>
    <definedName name="sample_wld_az1_host16_mgmt_ip">'Name &amp; IP Address Inputs - Rack'!$E$129</definedName>
    <definedName name="sample_wld_az1_host16_vrms_ip">'Name &amp; IP Address Inputs - Rack'!$E$146</definedName>
    <definedName name="sample_wld_az1_host2_function">'SDDC Inputs - Rack'!$C$76</definedName>
    <definedName name="sample_wld_az1_host2_hostname">'Name &amp; IP Address Inputs - Rack'!$C$115</definedName>
    <definedName name="sample_wld_az1_host2_mgmt_ip">'Name &amp; IP Address Inputs - Rack'!$E$115</definedName>
    <definedName name="sample_wld_az1_host2_sddc_id">'SDDC Inputs - Common'!$C$205</definedName>
    <definedName name="sample_wld_az1_host2_vrms_ip">'Name &amp; IP Address Inputs - Rack'!$E$132</definedName>
    <definedName name="sample_wld_az1_host3_function">'SDDC Inputs - Rack'!$C$77</definedName>
    <definedName name="sample_wld_az1_host3_hostname">'Name &amp; IP Address Inputs - Rack'!$C$116</definedName>
    <definedName name="sample_wld_az1_host3_mgmt_ip">'Name &amp; IP Address Inputs - Rack'!$E$116</definedName>
    <definedName name="sample_wld_az1_host3_sddc_id">'SDDC Inputs - Common'!$C$206</definedName>
    <definedName name="sample_wld_az1_host3_vrms_ip">'Name &amp; IP Address Inputs - Rack'!$E$133</definedName>
    <definedName name="sample_wld_az1_host4_function">'SDDC Inputs - Rack'!$C$78</definedName>
    <definedName name="sample_wld_az1_host4_hostname">'Name &amp; IP Address Inputs - Rack'!$C$117</definedName>
    <definedName name="sample_wld_az1_host4_mgmt_ip">'Name &amp; IP Address Inputs - Rack'!$E$117</definedName>
    <definedName name="sample_wld_az1_host4_sddc_id">'SDDC Inputs - Common'!$C$207</definedName>
    <definedName name="sample_wld_az1_host4_vrms_ip">'Name &amp; IP Address Inputs - Rack'!$E$134</definedName>
    <definedName name="sample_wld_az1_host5_function">'SDDC Inputs - Rack'!$C$79</definedName>
    <definedName name="sample_wld_az1_host5_hostname">'Name &amp; IP Address Inputs - Rack'!$C$118</definedName>
    <definedName name="sample_wld_az1_host5_mgmt_ip">'Name &amp; IP Address Inputs - Rack'!$E$118</definedName>
    <definedName name="sample_wld_az1_host5_vrms_ip">'Name &amp; IP Address Inputs - Rack'!$E$135</definedName>
    <definedName name="sample_wld_az1_host6_function">'SDDC Inputs - Rack'!$C$80</definedName>
    <definedName name="sample_wld_az1_host6_hostname">'Name &amp; IP Address Inputs - Rack'!$C$119</definedName>
    <definedName name="sample_wld_az1_host6_mgmt_ip">'Name &amp; IP Address Inputs - Rack'!$E$119</definedName>
    <definedName name="sample_wld_az1_host6_vrms_ip">'Name &amp; IP Address Inputs - Rack'!$E$136</definedName>
    <definedName name="sample_wld_az1_host7_function">'SDDC Inputs - Rack'!$C$81</definedName>
    <definedName name="sample_wld_az1_host7_hostname">'Name &amp; IP Address Inputs - Rack'!$C$120</definedName>
    <definedName name="sample_wld_az1_host7_mgmt_ip">'Name &amp; IP Address Inputs - Rack'!$E$120</definedName>
    <definedName name="sample_wld_az1_host7_vrms_ip">'Name &amp; IP Address Inputs - Rack'!$E$137</definedName>
    <definedName name="sample_wld_az1_host8_function">'SDDC Inputs - Rack'!$C$82</definedName>
    <definedName name="sample_wld_az1_host8_hostname">'Name &amp; IP Address Inputs - Rack'!$C$121</definedName>
    <definedName name="sample_wld_az1_host8_mgmt_ip">'Name &amp; IP Address Inputs - Rack'!$E$121</definedName>
    <definedName name="sample_wld_az1_host8_vrms_ip">'Name &amp; IP Address Inputs - Rack'!$E$138</definedName>
    <definedName name="sample_wld_az1_host9_function">'SDDC Inputs - Rack'!$C$83</definedName>
    <definedName name="sample_wld_az1_host9_hostname">'Name &amp; IP Address Inputs - Rack'!$C$122</definedName>
    <definedName name="sample_wld_az1_host9_mgmt_ip">'Name &amp; IP Address Inputs - Rack'!$E$122</definedName>
    <definedName name="sample_wld_az1_host9_vrms_ip">'Name &amp; IP Address Inputs - Rack'!$E$139</definedName>
    <definedName name="sample_wld_az1_mgmt_cidr">'Network Inputs - Rack'!$E$69</definedName>
    <definedName name="sample_wld_az1_mgmt_gateway_ip">'Network Inputs - Rack'!$G$69</definedName>
    <definedName name="sample_wld_az1_mgmt_mtu">'Network Inputs - Rack'!$I$69</definedName>
    <definedName name="sample_wld_az1_mgmt_vlan">'Network Inputs - Rack'!$C$69</definedName>
    <definedName name="sample_wld_az1_mgmt_vm_cidr">'Network Inputs - Rack'!$E$68</definedName>
    <definedName name="sample_wld_az1_mgmt_vm_gateway_ip">'Network Inputs - Rack'!$G$68</definedName>
    <definedName name="sample_wld_az1_mgmt_vm_mtu">'Network Inputs - Rack'!$I$68</definedName>
    <definedName name="sample_wld_az1_mgmt_vm_vlan">'Network Inputs - Rack'!$C$68</definedName>
    <definedName name="sample_wld_az1_pool_name">'SDDC Inputs - Rack'!$C$64</definedName>
    <definedName name="sample_wld_az1_principal_storage_cidr">'Network Inputs - Rack'!$E$71</definedName>
    <definedName name="sample_wld_az1_principal_storage_gateway_ip">'Network Inputs - Rack'!$G$71</definedName>
    <definedName name="sample_wld_az1_principal_storage_mtu">'Network Inputs - Rack'!$I$71</definedName>
    <definedName name="sample_wld_az1_principal_storage_pool_end_ip">'Name &amp; IP Address Inputs - Rack'!$E$163</definedName>
    <definedName name="sample_wld_az1_principal_storage_pool_start_ip">'Name &amp; IP Address Inputs - Rack'!$E$162</definedName>
    <definedName name="sample_wld_az1_principal_storage_vlan">'Network Inputs - Rack'!$C$71</definedName>
    <definedName name="sample_wld_az1_rack1_vsan_fault_domain">'SDDC Inputs - Rack'!$C$72</definedName>
    <definedName name="sample_wld_az1_rack2_child_dns_zone">'Name &amp; IP Address Inputs - Rack'!$D$222</definedName>
    <definedName name="sample_wld_az1_rack2_edge_overlay_cidr">'Network Inputs - Rack'!$E$130</definedName>
    <definedName name="sample_wld_az1_rack2_edge_overlay_gateway_ip">'Network Inputs - Rack'!$G$130</definedName>
    <definedName name="sample_wld_az1_rack2_edge_overlay_mtu">'Network Inputs - Rack'!$I$130</definedName>
    <definedName name="sample_wld_az1_rack2_edge_overlay_network_pool_name">'SDDC Inputs - Rack'!$C$127</definedName>
    <definedName name="sample_wld_az1_rack2_edge_overlay_pool_end_ip">'Name &amp; IP Address Inputs - Rack'!$E$276</definedName>
    <definedName name="sample_wld_az1_rack2_edge_overlay_pool_start_ip">'Name &amp; IP Address Inputs - Rack'!$E$275</definedName>
    <definedName name="sample_wld_az1_rack2_edge_overlay_vlan">'Network Inputs - Rack'!$C$130</definedName>
    <definedName name="sample_wld_az1_rack2_en1_hostname">'Name &amp; IP Address Inputs - Rack'!$C$259</definedName>
    <definedName name="sample_wld_az1_rack2_en1_mgmt_ip">'Name &amp; IP Address Inputs - Rack'!$E$259</definedName>
    <definedName name="sample_wld_az1_rack2_en1_uplink01_interface_ip">'Name &amp; IP Address Inputs - Rack'!$E$260</definedName>
    <definedName name="sample_wld_az1_rack2_en1_uplink02_interface_ip">'Name &amp; IP Address Inputs - Rack'!$E$261</definedName>
    <definedName name="sample_wld_az1_rack2_en2_hostname">'Name &amp; IP Address Inputs - Rack'!$C$262</definedName>
    <definedName name="sample_wld_az1_rack2_en2_mgmt_ip">'Name &amp; IP Address Inputs - Rack'!$E$262</definedName>
    <definedName name="sample_wld_az1_rack2_en2_uplink01_interface_ip">'Name &amp; IP Address Inputs - Rack'!$E$263</definedName>
    <definedName name="sample_wld_az1_rack2_en2_uplink02_interface_ip">'Name &amp; IP Address Inputs - Rack'!$E$264</definedName>
    <definedName name="sample_wld_az1_rack2_host_hostnames">'Name &amp; IP Address Inputs - Rack'!$C$225:$C$240</definedName>
    <definedName name="sample_wld_az1_rack2_host_mgmt_ips">'Name &amp; IP Address Inputs - Rack'!$E$225:$E$240</definedName>
    <definedName name="sample_wld_az1_rack2_host_overlay_cidr">'Network Inputs - Rack'!$E$125</definedName>
    <definedName name="sample_wld_az1_rack2_host_overlay_gateway_ip">'Network Inputs - Rack'!$G$125</definedName>
    <definedName name="sample_wld_az1_rack2_host_overlay_mtu">'Network Inputs - Rack'!$I$125</definedName>
    <definedName name="sample_wld_az1_rack2_host_overlay_network_pool_name">'SDDC Inputs - Rack'!$C$125</definedName>
    <definedName name="sample_wld_az1_rack2_host_overlay_network_profile_name">'SDDC Inputs - Rack'!$C$124</definedName>
    <definedName name="sample_wld_az1_rack2_host_overlay_pool_end_ip">'Name &amp; IP Address Inputs - Rack'!$E$272</definedName>
    <definedName name="sample_wld_az1_rack2_host_overlay_pool_start_ip">'Name &amp; IP Address Inputs - Rack'!$E$271</definedName>
    <definedName name="sample_wld_az1_rack2_host_overlay_uplink_profile_name">'SDDC Inputs - Rack'!$C$126</definedName>
    <definedName name="sample_wld_az1_rack2_host_overlay_vlan">'Network Inputs - Rack'!$C$125</definedName>
    <definedName name="sample_wld_az1_rack2_host1_function">'SDDC Inputs - Rack'!$C$134</definedName>
    <definedName name="sample_wld_az1_rack2_host1_hostname">'Name &amp; IP Address Inputs - Rack'!$C$225</definedName>
    <definedName name="sample_wld_az1_rack2_host1_mgmt_ip">'Name &amp; IP Address Inputs - Rack'!$E$225</definedName>
    <definedName name="sample_wld_az1_rack2_host1_vrms_ip">'Name &amp; IP Address Inputs - Rack'!$E$242</definedName>
    <definedName name="sample_wld_az1_rack2_host10_function">'SDDC Inputs - Rack'!$C$143</definedName>
    <definedName name="sample_wld_az1_rack2_host10_hostname">'Name &amp; IP Address Inputs - Rack'!$C$234</definedName>
    <definedName name="sample_wld_az1_rack2_host10_mgmt_ip">'Name &amp; IP Address Inputs - Rack'!$E$234</definedName>
    <definedName name="sample_wld_az1_rack2_host10_vrms_ip">'Name &amp; IP Address Inputs - Rack'!$E$251</definedName>
    <definedName name="sample_wld_az1_rack2_host11_function">'SDDC Inputs - Rack'!$C$144</definedName>
    <definedName name="sample_wld_az1_rack2_host11_hostname">'Name &amp; IP Address Inputs - Rack'!$C$235</definedName>
    <definedName name="sample_wld_az1_rack2_host11_mgmt_ip">'Name &amp; IP Address Inputs - Rack'!$E$235</definedName>
    <definedName name="sample_wld_az1_rack2_host11_vrms_ip">'Name &amp; IP Address Inputs - Rack'!$E$252</definedName>
    <definedName name="sample_wld_az1_rack2_host12_function">'SDDC Inputs - Rack'!$C$145</definedName>
    <definedName name="sample_wld_az1_rack2_host12_hostname">'Name &amp; IP Address Inputs - Rack'!$C$236</definedName>
    <definedName name="sample_wld_az1_rack2_host12_mgmt_ip">'Name &amp; IP Address Inputs - Rack'!$E$236</definedName>
    <definedName name="sample_wld_az1_rack2_host12_vrms_ip">'Name &amp; IP Address Inputs - Rack'!$E$253</definedName>
    <definedName name="sample_wld_az1_rack2_host13_function">'SDDC Inputs - Rack'!$C$146</definedName>
    <definedName name="sample_wld_az1_rack2_host13_hostname">'Name &amp; IP Address Inputs - Rack'!$C$237</definedName>
    <definedName name="sample_wld_az1_rack2_host13_mgmt_ip">'Name &amp; IP Address Inputs - Rack'!$E$237</definedName>
    <definedName name="sample_wld_az1_rack2_host13_vrms_ip">'Name &amp; IP Address Inputs - Rack'!$E$254</definedName>
    <definedName name="sample_wld_az1_rack2_host14_function">'SDDC Inputs - Rack'!$C$147</definedName>
    <definedName name="sample_wld_az1_rack2_host14_hostname">'Name &amp; IP Address Inputs - Rack'!$C$238</definedName>
    <definedName name="sample_wld_az1_rack2_host14_mgmt_ip">'Name &amp; IP Address Inputs - Rack'!$E$238</definedName>
    <definedName name="sample_wld_az1_rack2_host14_vrms_ip">'Name &amp; IP Address Inputs - Rack'!$E$255</definedName>
    <definedName name="sample_wld_az1_rack2_host15_function">'SDDC Inputs - Rack'!$C$148</definedName>
    <definedName name="sample_wld_az1_rack2_host15_hostname">'Name &amp; IP Address Inputs - Rack'!$C$239</definedName>
    <definedName name="sample_wld_az1_rack2_host15_mgmt_ip">'Name &amp; IP Address Inputs - Rack'!$E$239</definedName>
    <definedName name="sample_wld_az1_rack2_host15_vrms_ip">'Name &amp; IP Address Inputs - Rack'!$E$256</definedName>
    <definedName name="sample_wld_az1_rack2_host16_function">'SDDC Inputs - Rack'!$C$149</definedName>
    <definedName name="sample_wld_az1_rack2_host16_hostname">'Name &amp; IP Address Inputs - Rack'!$C$240</definedName>
    <definedName name="sample_wld_az1_rack2_host16_mgmt_ip">'Name &amp; IP Address Inputs - Rack'!$E$240</definedName>
    <definedName name="sample_wld_az1_rack2_host16_vrms_ip">'Name &amp; IP Address Inputs - Rack'!$E$257</definedName>
    <definedName name="sample_wld_az1_rack2_host2_function">'SDDC Inputs - Rack'!$C$135</definedName>
    <definedName name="sample_wld_az1_rack2_host2_hostname">'Name &amp; IP Address Inputs - Rack'!$C$226</definedName>
    <definedName name="sample_wld_az1_rack2_host2_mgmt_ip">'Name &amp; IP Address Inputs - Rack'!$E$226</definedName>
    <definedName name="sample_wld_az1_rack2_host2_vrms_ip">'Name &amp; IP Address Inputs - Rack'!$E$243</definedName>
    <definedName name="sample_wld_az1_rack2_host3_function">'SDDC Inputs - Rack'!$C$136</definedName>
    <definedName name="sample_wld_az1_rack2_host3_hostname">'Name &amp; IP Address Inputs - Rack'!$C$227</definedName>
    <definedName name="sample_wld_az1_rack2_host3_mgmt_ip">'Name &amp; IP Address Inputs - Rack'!$E$227</definedName>
    <definedName name="sample_wld_az1_rack2_host3_vrms_ip">'Name &amp; IP Address Inputs - Rack'!$E$244</definedName>
    <definedName name="sample_wld_az1_rack2_host4_function">'SDDC Inputs - Rack'!$C$137</definedName>
    <definedName name="sample_wld_az1_rack2_host4_hostname">'Name &amp; IP Address Inputs - Rack'!$C$228</definedName>
    <definedName name="sample_wld_az1_rack2_host4_mgmt_ip">'Name &amp; IP Address Inputs - Rack'!$E$228</definedName>
    <definedName name="sample_wld_az1_rack2_host4_vrms_ip">'Name &amp; IP Address Inputs - Rack'!$E$245</definedName>
    <definedName name="sample_wld_az1_rack2_host5_function">'SDDC Inputs - Rack'!$C$138</definedName>
    <definedName name="sample_wld_az1_rack2_host5_hostname">'Name &amp; IP Address Inputs - Rack'!$C$229</definedName>
    <definedName name="sample_wld_az1_rack2_host5_mgmt_ip">'Name &amp; IP Address Inputs - Rack'!$E$229</definedName>
    <definedName name="sample_wld_az1_rack2_host5_vrms_ip">'Name &amp; IP Address Inputs - Rack'!$E$246</definedName>
    <definedName name="sample_wld_az1_rack2_host6_function">'SDDC Inputs - Rack'!$C$139</definedName>
    <definedName name="sample_wld_az1_rack2_host6_hostname">'Name &amp; IP Address Inputs - Rack'!$C$230</definedName>
    <definedName name="sample_wld_az1_rack2_host6_mgmt_ip">'Name &amp; IP Address Inputs - Rack'!$E$230</definedName>
    <definedName name="sample_wld_az1_rack2_host6_vrms_ip">'Name &amp; IP Address Inputs - Rack'!$E$247</definedName>
    <definedName name="sample_wld_az1_rack2_host7_function">'SDDC Inputs - Rack'!$C$140</definedName>
    <definedName name="sample_wld_az1_rack2_host7_hostname">'Name &amp; IP Address Inputs - Rack'!$C$231</definedName>
    <definedName name="sample_wld_az1_rack2_host7_mgmt_ip">'Name &amp; IP Address Inputs - Rack'!$E$231</definedName>
    <definedName name="sample_wld_az1_rack2_host7_vrms_ip">'Name &amp; IP Address Inputs - Rack'!$E$248</definedName>
    <definedName name="sample_wld_az1_rack2_host8_function">'SDDC Inputs - Rack'!$C$141</definedName>
    <definedName name="sample_wld_az1_rack2_host8_hostname">'Name &amp; IP Address Inputs - Rack'!$C$232</definedName>
    <definedName name="sample_wld_az1_rack2_host8_mgmt_ip">'Name &amp; IP Address Inputs - Rack'!$E$232</definedName>
    <definedName name="sample_wld_az1_rack2_host8_vrms_ip">'Name &amp; IP Address Inputs - Rack'!$E$249</definedName>
    <definedName name="sample_wld_az1_rack2_host9_function">'SDDC Inputs - Rack'!$C$142</definedName>
    <definedName name="sample_wld_az1_rack2_host9_hostname">'Name &amp; IP Address Inputs - Rack'!$C$233</definedName>
    <definedName name="sample_wld_az1_rack2_host9_mgmt_ip">'Name &amp; IP Address Inputs - Rack'!$E$233</definedName>
    <definedName name="sample_wld_az1_rack2_host9_vrms_ip">'Name &amp; IP Address Inputs - Rack'!$E$250</definedName>
    <definedName name="sample_wld_az1_rack2_mgmt_cidr">'Network Inputs - Rack'!$E$122</definedName>
    <definedName name="sample_wld_az1_rack2_mgmt_gateway_ip">'Network Inputs - Rack'!$G$122</definedName>
    <definedName name="sample_wld_az1_rack2_mgmt_mtu">'Network Inputs - Rack'!$I$122</definedName>
    <definedName name="sample_wld_az1_rack2_mgmt_vlan">'Network Inputs - Rack'!$C$122</definedName>
    <definedName name="sample_wld_az1_rack2_mgmt_vm_cidr">'Network Inputs - Rack'!$E$121</definedName>
    <definedName name="sample_wld_az1_rack2_mgmt_vm_gateway_ip">'Network Inputs - Rack'!$G$121</definedName>
    <definedName name="sample_wld_az1_rack2_mgmt_vm_mtu">'Network Inputs - Rack'!$I$121</definedName>
    <definedName name="sample_wld_az1_rack2_mgmt_vm_vlan">'Network Inputs - Rack'!$C$121</definedName>
    <definedName name="sample_wld_az1_rack2_pool_name">'SDDC Inputs - Rack'!$C$123</definedName>
    <definedName name="sample_wld_az1_rack2_principal_storage_cidr">'Network Inputs - Rack'!$E$124</definedName>
    <definedName name="sample_wld_az1_rack2_principal_storage_gateway_ip">'Network Inputs - Rack'!$G$124</definedName>
    <definedName name="sample_wld_az1_rack2_principal_storage_mtu">'Network Inputs - Rack'!$I$124</definedName>
    <definedName name="sample_wld_az1_rack2_principal_storage_pool_end_ip">'Name &amp; IP Address Inputs - Rack'!$E$270</definedName>
    <definedName name="sample_wld_az1_rack2_principal_storage_pool_start_ip">'Name &amp; IP Address Inputs - Rack'!$E$269</definedName>
    <definedName name="sample_wld_az1_rack2_principal_storage_vlan">'Network Inputs - Rack'!$C$124</definedName>
    <definedName name="sample_wld_az1_rack2_rtep_ip_pool_name">'SDDC Inputs - Rack'!$C$128</definedName>
    <definedName name="sample_wld_az1_rack2_rtep_overlay_cidr">'Network Inputs - Rack'!$E$131</definedName>
    <definedName name="sample_wld_az1_rack2_rtep_overlay_gateway_ip">'Network Inputs - Rack'!$G$131</definedName>
    <definedName name="sample_wld_az1_rack2_rtep_overlay_mtu">'Network Inputs - Rack'!$I$131</definedName>
    <definedName name="sample_wld_az1_rack2_rtep_overlay_pool_end_ip">'Name &amp; IP Address Inputs - Rack'!$E$278</definedName>
    <definedName name="sample_wld_az1_rack2_rtep_overlay_pool_start_ip">'Name &amp; IP Address Inputs - Rack'!$E$277</definedName>
    <definedName name="sample_wld_az1_rack2_rtep_overlay_vlan">'Network Inputs - Rack'!$C$131</definedName>
    <definedName name="sample_wld_az1_rack2_secondary_storage_cidr">'Network Inputs - Rack'!$E$126</definedName>
    <definedName name="sample_wld_az1_rack2_secondary_storage_gateway_ip">'Network Inputs - Rack'!$G$126</definedName>
    <definedName name="sample_wld_az1_rack2_secondary_storage_mtu">'Network Inputs - Rack'!$I$126</definedName>
    <definedName name="sample_wld_az1_rack2_secondary_storage_pool_end_ip">'Name &amp; IP Address Inputs - Rack'!$E$274</definedName>
    <definedName name="sample_wld_az1_rack2_secondary_storage_pool_start_ip">'Name &amp; IP Address Inputs - Rack'!$E$273</definedName>
    <definedName name="sample_wld_az1_rack2_secondary_storage_vlan">'Network Inputs - Rack'!$C$126</definedName>
    <definedName name="sample_wld_az1_rack2_tor1_peer_asn">'Network Inputs - Rack'!$C$137</definedName>
    <definedName name="sample_wld_az1_rack2_tor1_peer_bgp_password">'Network Inputs - Rack'!$C$138</definedName>
    <definedName name="sample_wld_az1_rack2_tor1_peer_ip">'Network Inputs - Rack'!$C$136</definedName>
    <definedName name="sample_wld_az1_rack2_tor2_peer_asn">'Network Inputs - Rack'!$C$140</definedName>
    <definedName name="sample_wld_az1_rack2_tor2_peer_bgp_password">'Network Inputs - Rack'!$C$141</definedName>
    <definedName name="sample_wld_az1_rack2_tor2_peer_ip">'Network Inputs - Rack'!$C$139</definedName>
    <definedName name="sample_wld_az1_rack2_uplink01_cidr">'Network Inputs - Rack'!$E$128</definedName>
    <definedName name="sample_wld_az1_rack2_uplink01_gateway_ip">'Network Inputs - Rack'!$G$128</definedName>
    <definedName name="sample_wld_az1_rack2_uplink01_mtu">'Network Inputs - Rack'!$I$128</definedName>
    <definedName name="sample_wld_az1_rack2_uplink01_pg">'SDDC Inputs - Rack'!$C$121</definedName>
    <definedName name="sample_wld_az1_rack2_uplink01_vlan">'Network Inputs - Rack'!$C$128</definedName>
    <definedName name="sample_wld_az1_rack2_uplink02_cidr">'Network Inputs - Rack'!$E$129</definedName>
    <definedName name="sample_wld_az1_rack2_uplink02_gateway_ip">'Network Inputs - Rack'!$G$129</definedName>
    <definedName name="sample_wld_az1_rack2_uplink02_mtu">'Network Inputs - Rack'!$I$129</definedName>
    <definedName name="sample_wld_az1_rack2_uplink02_pg">'SDDC Inputs - Rack'!$C$122</definedName>
    <definedName name="sample_wld_az1_rack2_uplink02_vlan">'Network Inputs - Rack'!$C$129</definedName>
    <definedName name="sample_wld_az1_rack2_vmotion_cidr">'Network Inputs - Rack'!$E$123</definedName>
    <definedName name="sample_wld_az1_rack2_vmotion_gateway_ip">'Network Inputs - Rack'!$G$123</definedName>
    <definedName name="sample_wld_az1_rack2_vmotion_mtu">'Network Inputs - Rack'!$I$123</definedName>
    <definedName name="sample_wld_az1_rack2_vmotion_pool_end_ip">'Name &amp; IP Address Inputs - Rack'!$E$268</definedName>
    <definedName name="sample_wld_az1_rack2_vmotion_pool_start_ip">'Name &amp; IP Address Inputs - Rack'!$E$267</definedName>
    <definedName name="sample_wld_az1_rack2_vmotion_vlan">'Network Inputs - Rack'!$C$123</definedName>
    <definedName name="sample_wld_az1_rack2_vrms_cidr">'Network Inputs - Rack'!$E$127</definedName>
    <definedName name="sample_wld_az1_rack2_vrms_gateway_ip">'Network Inputs - Rack'!$G$127</definedName>
    <definedName name="sample_wld_az1_rack2_vrms_mtu">'Network Inputs - Rack'!$I$127</definedName>
    <definedName name="sample_wld_az1_rack2_vrms_vlan">'Network Inputs - Rack'!$C$127</definedName>
    <definedName name="sample_wld_az1_rack2_vsan_fault_domain">'SDDC Inputs - Rack'!$C$131</definedName>
    <definedName name="sample_wld_az1_rack3_child_dns_zone">'Name &amp; IP Address Inputs - Rack'!$D$282</definedName>
    <definedName name="sample_wld_az1_rack3_edge_overlay_cidr">'Network Inputs - Rack'!$E$155</definedName>
    <definedName name="sample_wld_az1_rack3_edge_overlay_gateway_ip">'Network Inputs - Rack'!$G$155</definedName>
    <definedName name="sample_wld_az1_rack3_edge_overlay_mtu">'Network Inputs - Rack'!$I$155</definedName>
    <definedName name="sample_wld_az1_rack3_edge_overlay_network_pool_name">'SDDC Inputs - Rack'!$C$160</definedName>
    <definedName name="sample_wld_az1_rack3_edge_overlay_pool_end_ip">'Name &amp; IP Address Inputs - Rack'!$E$336</definedName>
    <definedName name="sample_wld_az1_rack3_edge_overlay_pool_start_ip">'Name &amp; IP Address Inputs - Rack'!$E$335</definedName>
    <definedName name="sample_wld_az1_rack3_edge_overlay_vlan">'Network Inputs - Rack'!$C$155</definedName>
    <definedName name="sample_wld_az1_rack3_en1_hostname">'Name &amp; IP Address Inputs - Rack'!$C$319</definedName>
    <definedName name="sample_wld_az1_rack3_en1_mgmt_ip">'Name &amp; IP Address Inputs - Rack'!$E$319</definedName>
    <definedName name="sample_wld_az1_rack3_en1_uplink01_interface_ip">'Name &amp; IP Address Inputs - Rack'!$E$320</definedName>
    <definedName name="sample_wld_az1_rack3_en1_uplink02_interface_ip">'Name &amp; IP Address Inputs - Rack'!$E$321</definedName>
    <definedName name="sample_wld_az1_rack3_en2_hostname">'Name &amp; IP Address Inputs - Rack'!$C$322</definedName>
    <definedName name="sample_wld_az1_rack3_en2_mgmt_ip">'Name &amp; IP Address Inputs - Rack'!$E$322</definedName>
    <definedName name="sample_wld_az1_rack3_en2_uplink01_interface_ip">'Name &amp; IP Address Inputs - Rack'!$E$323</definedName>
    <definedName name="sample_wld_az1_rack3_en2_uplink02_interface_ip">'Name &amp; IP Address Inputs - Rack'!$E$324</definedName>
    <definedName name="sample_wld_az1_rack3_host_hostnames">'Name &amp; IP Address Inputs - Rack'!$C$285:$C$300</definedName>
    <definedName name="sample_wld_az1_rack3_host_mgmt_ips">'Name &amp; IP Address Inputs - Rack'!$E$285:$E$300</definedName>
    <definedName name="sample_wld_az1_rack3_host_overlay_cidr">'Network Inputs - Rack'!$E$150</definedName>
    <definedName name="sample_wld_az1_rack3_host_overlay_gateway_ip">'Network Inputs - Rack'!$G$150</definedName>
    <definedName name="sample_wld_az1_rack3_host_overlay_mtu">'Network Inputs - Rack'!$I$150</definedName>
    <definedName name="sample_wld_az1_rack3_host_overlay_network_pool_name">'SDDC Inputs - Rack'!$C$158</definedName>
    <definedName name="sample_wld_az1_rack3_host_overlay_network_profile_name">'SDDC Inputs - Rack'!$C$157</definedName>
    <definedName name="sample_wld_az1_rack3_host_overlay_pool_end_ip">'Name &amp; IP Address Inputs - Rack'!$E$332</definedName>
    <definedName name="sample_wld_az1_rack3_host_overlay_pool_start_ip">'Name &amp; IP Address Inputs - Rack'!$E$331</definedName>
    <definedName name="sample_wld_az1_rack3_host_overlay_uplink_profile_name">'SDDC Inputs - Rack'!$C$159</definedName>
    <definedName name="sample_wld_az1_rack3_host_overlay_vlan">'Network Inputs - Rack'!$C$150</definedName>
    <definedName name="sample_wld_az1_rack3_host1_function">'SDDC Inputs - Rack'!$C$167</definedName>
    <definedName name="sample_wld_az1_rack3_host1_hostname">'Name &amp; IP Address Inputs - Rack'!$C$285</definedName>
    <definedName name="sample_wld_az1_rack3_host1_mgmt_ip">'Name &amp; IP Address Inputs - Rack'!$E$285</definedName>
    <definedName name="sample_wld_az1_rack3_host1_vrms_ip">'Name &amp; IP Address Inputs - Rack'!$E$302</definedName>
    <definedName name="sample_wld_az1_rack3_host10_function">'SDDC Inputs - Rack'!$C$176</definedName>
    <definedName name="sample_wld_az1_rack3_host10_hostname">'Name &amp; IP Address Inputs - Rack'!$C$294</definedName>
    <definedName name="sample_wld_az1_rack3_host10_mgmt_ip">'Name &amp; IP Address Inputs - Rack'!$E$294</definedName>
    <definedName name="sample_wld_az1_rack3_host10_vrms_ip">'Name &amp; IP Address Inputs - Rack'!$E$311</definedName>
    <definedName name="sample_wld_az1_rack3_host11_function">'SDDC Inputs - Rack'!$C$177</definedName>
    <definedName name="sample_wld_az1_rack3_host11_hostname">'Name &amp; IP Address Inputs - Rack'!$C$295</definedName>
    <definedName name="sample_wld_az1_rack3_host11_mgmt_ip">'Name &amp; IP Address Inputs - Rack'!$E$295</definedName>
    <definedName name="sample_wld_az1_rack3_host11_vrms_ip">'Name &amp; IP Address Inputs - Rack'!$E$312</definedName>
    <definedName name="sample_wld_az1_rack3_host12_function">'SDDC Inputs - Rack'!$C$178</definedName>
    <definedName name="sample_wld_az1_rack3_host12_hostname">'Name &amp; IP Address Inputs - Rack'!$C$296</definedName>
    <definedName name="sample_wld_az1_rack3_host12_mgmt_ip">'Name &amp; IP Address Inputs - Rack'!$E$296</definedName>
    <definedName name="sample_wld_az1_rack3_host12_vrms_ip">'Name &amp; IP Address Inputs - Rack'!$E$313</definedName>
    <definedName name="sample_wld_az1_rack3_host13_function">'SDDC Inputs - Rack'!$C$179</definedName>
    <definedName name="sample_wld_az1_rack3_host13_hostname">'Name &amp; IP Address Inputs - Rack'!$C$297</definedName>
    <definedName name="sample_wld_az1_rack3_host13_mgmt_ip">'Name &amp; IP Address Inputs - Rack'!$E$297</definedName>
    <definedName name="sample_wld_az1_rack3_host13_vrms_ip">'Name &amp; IP Address Inputs - Rack'!$E$314</definedName>
    <definedName name="sample_wld_az1_rack3_host14_function">'SDDC Inputs - Rack'!$C$180</definedName>
    <definedName name="sample_wld_az1_rack3_host14_hostname">'Name &amp; IP Address Inputs - Rack'!$C$298</definedName>
    <definedName name="sample_wld_az1_rack3_host14_mgmt_ip">'Name &amp; IP Address Inputs - Rack'!$E$298</definedName>
    <definedName name="sample_wld_az1_rack3_host14_vrms_ip">'Name &amp; IP Address Inputs - Rack'!$E$315</definedName>
    <definedName name="sample_wld_az1_rack3_host15_function">'SDDC Inputs - Rack'!$C$181</definedName>
    <definedName name="sample_wld_az1_rack3_host15_hostname">'Name &amp; IP Address Inputs - Rack'!$C$299</definedName>
    <definedName name="sample_wld_az1_rack3_host15_mgmt_ip">'Name &amp; IP Address Inputs - Rack'!$E$299</definedName>
    <definedName name="sample_wld_az1_rack3_host15_vrms_ip">'Name &amp; IP Address Inputs - Rack'!$E$316</definedName>
    <definedName name="sample_wld_az1_rack3_host16_function">'SDDC Inputs - Rack'!$C$182</definedName>
    <definedName name="sample_wld_az1_rack3_host16_hostname">'Name &amp; IP Address Inputs - Rack'!$C$300</definedName>
    <definedName name="sample_wld_az1_rack3_host16_mgmt_ip">'Name &amp; IP Address Inputs - Rack'!$E$300</definedName>
    <definedName name="sample_wld_az1_rack3_host16_vrms_ip">'Name &amp; IP Address Inputs - Rack'!$E$317</definedName>
    <definedName name="sample_wld_az1_rack3_host2_function">'SDDC Inputs - Rack'!$C$168</definedName>
    <definedName name="sample_wld_az1_rack3_host2_hostname">'Name &amp; IP Address Inputs - Rack'!$C$286</definedName>
    <definedName name="sample_wld_az1_rack3_host2_mgmt_ip">'Name &amp; IP Address Inputs - Rack'!$E$286</definedName>
    <definedName name="sample_wld_az1_rack3_host2_vrms_ip">'Name &amp; IP Address Inputs - Rack'!$E$303</definedName>
    <definedName name="sample_wld_az1_rack3_host3_function">'SDDC Inputs - Rack'!$C$169</definedName>
    <definedName name="sample_wld_az1_rack3_host3_hostname">'Name &amp; IP Address Inputs - Rack'!$C$287</definedName>
    <definedName name="sample_wld_az1_rack3_host3_mgmt_ip">'Name &amp; IP Address Inputs - Rack'!$E$287</definedName>
    <definedName name="sample_wld_az1_rack3_host3_vrms_ip">'Name &amp; IP Address Inputs - Rack'!$E$304</definedName>
    <definedName name="sample_wld_az1_rack3_host4_function">'SDDC Inputs - Rack'!$C$170</definedName>
    <definedName name="sample_wld_az1_rack3_host4_hostname">'Name &amp; IP Address Inputs - Rack'!$C$288</definedName>
    <definedName name="sample_wld_az1_rack3_host4_mgmt_ip">'Name &amp; IP Address Inputs - Rack'!$E$288</definedName>
    <definedName name="sample_wld_az1_rack3_host4_vrms_ip">'Name &amp; IP Address Inputs - Rack'!$E$305</definedName>
    <definedName name="sample_wld_az1_rack3_host5_function">'SDDC Inputs - Rack'!$C$171</definedName>
    <definedName name="sample_wld_az1_rack3_host5_hostname">'Name &amp; IP Address Inputs - Rack'!$C$289</definedName>
    <definedName name="sample_wld_az1_rack3_host5_mgmt_ip">'Name &amp; IP Address Inputs - Rack'!$E$289</definedName>
    <definedName name="sample_wld_az1_rack3_host5_vrms_ip">'Name &amp; IP Address Inputs - Rack'!$E$306</definedName>
    <definedName name="sample_wld_az1_rack3_host6_function">'SDDC Inputs - Rack'!$C$172</definedName>
    <definedName name="sample_wld_az1_rack3_host6_hostname">'Name &amp; IP Address Inputs - Rack'!$C$290</definedName>
    <definedName name="sample_wld_az1_rack3_host6_mgmt_ip">'Name &amp; IP Address Inputs - Rack'!$E$290</definedName>
    <definedName name="sample_wld_az1_rack3_host6_vrms_ip">'Name &amp; IP Address Inputs - Rack'!$E$307</definedName>
    <definedName name="sample_wld_az1_rack3_host7_function">'SDDC Inputs - Rack'!$C$173</definedName>
    <definedName name="sample_wld_az1_rack3_host7_hostname">'Name &amp; IP Address Inputs - Rack'!$C$291</definedName>
    <definedName name="sample_wld_az1_rack3_host7_mgmt_ip">'Name &amp; IP Address Inputs - Rack'!$E$291</definedName>
    <definedName name="sample_wld_az1_rack3_host7_vrms_ip">'Name &amp; IP Address Inputs - Rack'!$E$308</definedName>
    <definedName name="sample_wld_az1_rack3_host8_function">'SDDC Inputs - Rack'!$C$174</definedName>
    <definedName name="sample_wld_az1_rack3_host8_hostname">'Name &amp; IP Address Inputs - Rack'!$C$292</definedName>
    <definedName name="sample_wld_az1_rack3_host8_mgmt_ip">'Name &amp; IP Address Inputs - Rack'!$E$292</definedName>
    <definedName name="sample_wld_az1_rack3_host8_vrms_ip">'Name &amp; IP Address Inputs - Rack'!$E$309</definedName>
    <definedName name="sample_wld_az1_rack3_host9_function">'SDDC Inputs - Rack'!$C$175</definedName>
    <definedName name="sample_wld_az1_rack3_host9_hostname">'Name &amp; IP Address Inputs - Rack'!$C$293</definedName>
    <definedName name="sample_wld_az1_rack3_host9_mgmt_ip">'Name &amp; IP Address Inputs - Rack'!$E$293</definedName>
    <definedName name="sample_wld_az1_rack3_host9_vrms_ip">'Name &amp; IP Address Inputs - Rack'!$E$310</definedName>
    <definedName name="sample_wld_az1_rack3_mgmt_cidr">'Network Inputs - Rack'!$E$147</definedName>
    <definedName name="sample_wld_az1_rack3_mgmt_gateway_ip">'Network Inputs - Rack'!$G$147</definedName>
    <definedName name="sample_wld_az1_rack3_mgmt_mtu">'Network Inputs - Rack'!$I$147</definedName>
    <definedName name="sample_wld_az1_rack3_mgmt_vlan">'Network Inputs - Rack'!$C$147</definedName>
    <definedName name="sample_wld_az1_rack3_mgmt_vm_cidr">'Network Inputs - Rack'!$E$146</definedName>
    <definedName name="sample_wld_az1_rack3_mgmt_vm_gateway_ip">'Network Inputs - Rack'!$G$146</definedName>
    <definedName name="sample_wld_az1_rack3_mgmt_vm_mtu">'Network Inputs - Rack'!$I$146</definedName>
    <definedName name="sample_wld_az1_rack3_mgmt_vm_vlan">'Network Inputs - Rack'!$C$146</definedName>
    <definedName name="sample_wld_az1_rack3_pool_name">'SDDC Inputs - Rack'!$C$156</definedName>
    <definedName name="sample_wld_az1_rack3_principal_storage_cidr">'Network Inputs - Rack'!$E$149</definedName>
    <definedName name="sample_wld_az1_rack3_principal_storage_gateway_ip">'Network Inputs - Rack'!$G$149</definedName>
    <definedName name="sample_wld_az1_rack3_principal_storage_mtu">'Network Inputs - Rack'!$I$149</definedName>
    <definedName name="sample_wld_az1_rack3_principal_storage_pool_end_ip">'Name &amp; IP Address Inputs - Rack'!$E$330</definedName>
    <definedName name="sample_wld_az1_rack3_principal_storage_pool_start_ip">'Name &amp; IP Address Inputs - Rack'!$E$329</definedName>
    <definedName name="sample_wld_az1_rack3_principal_storage_vlan">'Network Inputs - Rack'!$C$149</definedName>
    <definedName name="sample_wld_az1_rack3_rtep_ip_pool_name">'SDDC Inputs - Rack'!$C$161</definedName>
    <definedName name="sample_wld_az1_rack3_rtep_overlay_cidr">'Network Inputs - Rack'!$E$156</definedName>
    <definedName name="sample_wld_az1_rack3_rtep_overlay_gateway_ip">'Network Inputs - Rack'!$G$156</definedName>
    <definedName name="sample_wld_az1_rack3_rtep_overlay_mtu">'Network Inputs - Rack'!$I$156</definedName>
    <definedName name="sample_wld_az1_rack3_rtep_overlay_pool_end_ip">'Name &amp; IP Address Inputs - Rack'!$E$338</definedName>
    <definedName name="sample_wld_az1_rack3_rtep_overlay_pool_start_ip">'Name &amp; IP Address Inputs - Rack'!$E$337</definedName>
    <definedName name="sample_wld_az1_rack3_rtep_overlay_vlan">'Network Inputs - Rack'!$C$156</definedName>
    <definedName name="sample_wld_az1_rack3_secondary_storage_cidr">'Network Inputs - Rack'!$E$151</definedName>
    <definedName name="sample_wld_az1_rack3_secondary_storage_gateway_ip">'Network Inputs - Rack'!$G$151</definedName>
    <definedName name="sample_wld_az1_rack3_secondary_storage_mtu">'Network Inputs - Rack'!$I$151</definedName>
    <definedName name="sample_wld_az1_rack3_secondary_storage_pool_end_ip">'Name &amp; IP Address Inputs - Rack'!$E$334</definedName>
    <definedName name="sample_wld_az1_rack3_secondary_storage_pool_start_ip">'Name &amp; IP Address Inputs - Rack'!$E$333</definedName>
    <definedName name="sample_wld_az1_rack3_secondary_storage_vlan">'Network Inputs - Rack'!$C$151</definedName>
    <definedName name="sample_wld_az1_rack3_tor1_peer_asn">'Network Inputs - Rack'!$C$162</definedName>
    <definedName name="sample_wld_az1_rack3_tor1_peer_bgp_password">'Network Inputs - Rack'!$C$163</definedName>
    <definedName name="sample_wld_az1_rack3_tor1_peer_ip">'Network Inputs - Rack'!$C$161</definedName>
    <definedName name="sample_wld_az1_rack3_tor2_peer_asn">'Network Inputs - Rack'!$C$165</definedName>
    <definedName name="sample_wld_az1_rack3_tor2_peer_bgp_password">'Network Inputs - Rack'!$C$166</definedName>
    <definedName name="sample_wld_az1_rack3_tor2_peer_ip">'Network Inputs - Rack'!$C$164</definedName>
    <definedName name="sample_wld_az1_rack3_uplink01_cidr">'Network Inputs - Rack'!$E$153</definedName>
    <definedName name="sample_wld_az1_rack3_uplink01_gateway_ip">'Network Inputs - Rack'!$G$153</definedName>
    <definedName name="sample_wld_az1_rack3_uplink01_mtu">'Network Inputs - Rack'!$I$153</definedName>
    <definedName name="sample_wld_az1_rack3_uplink01_pg">'SDDC Inputs - Rack'!$C$154</definedName>
    <definedName name="sample_wld_az1_rack3_uplink01_vlan">'Network Inputs - Rack'!$C$153</definedName>
    <definedName name="sample_wld_az1_rack3_uplink02_cidr">'Network Inputs - Rack'!$E$154</definedName>
    <definedName name="sample_wld_az1_rack3_uplink02_gateway_ip">'Network Inputs - Rack'!$G$154</definedName>
    <definedName name="sample_wld_az1_rack3_uplink02_mtu">'Network Inputs - Rack'!$I$154</definedName>
    <definedName name="sample_wld_az1_rack3_uplink02_pg">'SDDC Inputs - Rack'!$C$155</definedName>
    <definedName name="sample_wld_az1_rack3_uplink02_vlan">'Network Inputs - Rack'!$C$154</definedName>
    <definedName name="sample_wld_az1_rack3_vmotion_cidr">'Network Inputs - Rack'!$E$148</definedName>
    <definedName name="sample_wld_az1_rack3_vmotion_gateway_ip">'Network Inputs - Rack'!$G$148</definedName>
    <definedName name="sample_wld_az1_rack3_vmotion_mtu">'Network Inputs - Rack'!$I$148</definedName>
    <definedName name="sample_wld_az1_rack3_vmotion_pool_end_ip">'Name &amp; IP Address Inputs - Rack'!$E$328</definedName>
    <definedName name="sample_wld_az1_rack3_vmotion_pool_start_ip">'Name &amp; IP Address Inputs - Rack'!$E$327</definedName>
    <definedName name="sample_wld_az1_rack3_vmotion_vlan">'Network Inputs - Rack'!$C$148</definedName>
    <definedName name="sample_wld_az1_rack3_vrms_cidr">'Network Inputs - Rack'!$E$152</definedName>
    <definedName name="sample_wld_az1_rack3_vrms_gateway_ip">'Network Inputs - Rack'!$G$152</definedName>
    <definedName name="sample_wld_az1_rack3_vrms_mtu">'Network Inputs - Rack'!$I$152</definedName>
    <definedName name="sample_wld_az1_rack3_vrms_vlan">'Network Inputs - Rack'!$C$152</definedName>
    <definedName name="sample_wld_az1_rack3_vsan_fault_domain">'SDDC Inputs - Rack'!$C$164</definedName>
    <definedName name="sample_wld_az1_rack4_child_dns_zone">'Name &amp; IP Address Inputs - Rack'!$D$342</definedName>
    <definedName name="sample_wld_az1_rack4_edge_overlay_cidr">'Network Inputs - Rack'!$E$180</definedName>
    <definedName name="sample_wld_az1_rack4_edge_overlay_gateway_ip">'Network Inputs - Rack'!$G$180</definedName>
    <definedName name="sample_wld_az1_rack4_edge_overlay_mtu">'Network Inputs - Rack'!$I$180</definedName>
    <definedName name="sample_wld_az1_rack4_edge_overlay_network_pool_name">'SDDC Inputs - Rack'!$C$193</definedName>
    <definedName name="sample_wld_az1_rack4_edge_overlay_pool_end_ip">'Name &amp; IP Address Inputs - Rack'!$E$396</definedName>
    <definedName name="sample_wld_az1_rack4_edge_overlay_pool_start_ip">'Name &amp; IP Address Inputs - Rack'!$E$395</definedName>
    <definedName name="sample_wld_az1_rack4_edge_overlay_vlan">'Network Inputs - Rack'!$C$180</definedName>
    <definedName name="sample_wld_az1_rack4_en1_hostname">'Name &amp; IP Address Inputs - Rack'!$C$379</definedName>
    <definedName name="sample_wld_az1_rack4_en1_mgmt_ip">'Name &amp; IP Address Inputs - Rack'!$E$379</definedName>
    <definedName name="sample_wld_az1_rack4_en1_uplink01_interface_ip">'Name &amp; IP Address Inputs - Rack'!$E$380</definedName>
    <definedName name="sample_wld_az1_rack4_en1_uplink02_interface_ip">'Name &amp; IP Address Inputs - Rack'!$E$381</definedName>
    <definedName name="sample_wld_az1_rack4_en2_hostname">'Name &amp; IP Address Inputs - Rack'!$C$382</definedName>
    <definedName name="sample_wld_az1_rack4_en2_mgmt_ip">'Name &amp; IP Address Inputs - Rack'!$E$382</definedName>
    <definedName name="sample_wld_az1_rack4_en2_uplink01_interface_ip">'Name &amp; IP Address Inputs - Rack'!$E$383</definedName>
    <definedName name="sample_wld_az1_rack4_en2_uplink02_interface_ip">'Name &amp; IP Address Inputs - Rack'!$E$384</definedName>
    <definedName name="sample_wld_az1_rack4_host_hostnames">'Name &amp; IP Address Inputs - Rack'!$C$345:$C$360</definedName>
    <definedName name="sample_wld_az1_rack4_host_mgmt_ips">'Name &amp; IP Address Inputs - Rack'!$E$345:$E$360</definedName>
    <definedName name="sample_wld_az1_rack4_host_overlay_cidr">'Network Inputs - Rack'!$E$175</definedName>
    <definedName name="sample_wld_az1_rack4_host_overlay_gateway_ip">'Network Inputs - Rack'!$G$175</definedName>
    <definedName name="sample_wld_az1_rack4_host_overlay_mtu">'Network Inputs - Rack'!$I$175</definedName>
    <definedName name="sample_wld_az1_rack4_host_overlay_network_pool_name">'SDDC Inputs - Rack'!$C$191</definedName>
    <definedName name="sample_wld_az1_rack4_host_overlay_network_profile_name">'SDDC Inputs - Rack'!$C$190</definedName>
    <definedName name="sample_wld_az1_rack4_host_overlay_pool_end_ip">'Name &amp; IP Address Inputs - Rack'!$E$392</definedName>
    <definedName name="sample_wld_az1_rack4_host_overlay_pool_start_ip">'Name &amp; IP Address Inputs - Rack'!$E$391</definedName>
    <definedName name="sample_wld_az1_rack4_host_overlay_uplink_profile_name">'SDDC Inputs - Rack'!$C$192</definedName>
    <definedName name="sample_wld_az1_rack4_host_overlay_vlan">'Network Inputs - Rack'!$C$175</definedName>
    <definedName name="sample_wld_az1_rack4_host1_function">'SDDC Inputs - Rack'!$C$200</definedName>
    <definedName name="sample_wld_az1_rack4_host1_hostname">'Name &amp; IP Address Inputs - Rack'!$C$345</definedName>
    <definedName name="sample_wld_az1_rack4_host1_mgmt_ip">'Name &amp; IP Address Inputs - Rack'!$E$345</definedName>
    <definedName name="sample_wld_az1_rack4_host1_vrms_ip">'Name &amp; IP Address Inputs - Rack'!$E$362</definedName>
    <definedName name="sample_wld_az1_rack4_host10_function">'SDDC Inputs - Rack'!$C$209</definedName>
    <definedName name="sample_wld_az1_rack4_host10_hostname">'Name &amp; IP Address Inputs - Rack'!$C$354</definedName>
    <definedName name="sample_wld_az1_rack4_host10_mgmt_ip">'Name &amp; IP Address Inputs - Rack'!$E$354</definedName>
    <definedName name="sample_wld_az1_rack4_host10_vrms_ip">'Name &amp; IP Address Inputs - Rack'!$E$371</definedName>
    <definedName name="sample_wld_az1_rack4_host11_function">'SDDC Inputs - Rack'!$C$210</definedName>
    <definedName name="sample_wld_az1_rack4_host11_hostname">'Name &amp; IP Address Inputs - Rack'!$C$355</definedName>
    <definedName name="sample_wld_az1_rack4_host11_mgmt_ip">'Name &amp; IP Address Inputs - Rack'!$E$355</definedName>
    <definedName name="sample_wld_az1_rack4_host11_vrms_ip">'Name &amp; IP Address Inputs - Rack'!$E$372</definedName>
    <definedName name="sample_wld_az1_rack4_host12_function">'SDDC Inputs - Rack'!$C$211</definedName>
    <definedName name="sample_wld_az1_rack4_host12_hostname">'Name &amp; IP Address Inputs - Rack'!$C$356</definedName>
    <definedName name="sample_wld_az1_rack4_host12_mgmt_ip">'Name &amp; IP Address Inputs - Rack'!$E$356</definedName>
    <definedName name="sample_wld_az1_rack4_host12_vrms_ip">'Name &amp; IP Address Inputs - Rack'!$E$373</definedName>
    <definedName name="sample_wld_az1_rack4_host13_function">'SDDC Inputs - Rack'!$C$212</definedName>
    <definedName name="sample_wld_az1_rack4_host13_hostname">'Name &amp; IP Address Inputs - Rack'!$C$357</definedName>
    <definedName name="sample_wld_az1_rack4_host13_mgmt_ip">'Name &amp; IP Address Inputs - Rack'!$E$357</definedName>
    <definedName name="sample_wld_az1_rack4_host13_vrms_ip">'Name &amp; IP Address Inputs - Rack'!$E$374</definedName>
    <definedName name="sample_wld_az1_rack4_host14_function">'SDDC Inputs - Rack'!$C$213</definedName>
    <definedName name="sample_wld_az1_rack4_host14_hostname">'Name &amp; IP Address Inputs - Rack'!$C$358</definedName>
    <definedName name="sample_wld_az1_rack4_host14_mgmt_ip">'Name &amp; IP Address Inputs - Rack'!$E$358</definedName>
    <definedName name="sample_wld_az1_rack4_host14_vrms_ip">'Name &amp; IP Address Inputs - Rack'!$E$375</definedName>
    <definedName name="sample_wld_az1_rack4_host15_function">'SDDC Inputs - Rack'!$C$214</definedName>
    <definedName name="sample_wld_az1_rack4_host15_hostname">'Name &amp; IP Address Inputs - Rack'!$C$359</definedName>
    <definedName name="sample_wld_az1_rack4_host15_mgmt_ip">'Name &amp; IP Address Inputs - Rack'!$E$359</definedName>
    <definedName name="sample_wld_az1_rack4_host15_vrms_ip">'Name &amp; IP Address Inputs - Rack'!$E$376</definedName>
    <definedName name="sample_wld_az1_rack4_host16_function">'SDDC Inputs - Rack'!$C$215</definedName>
    <definedName name="sample_wld_az1_rack4_host16_hostname">'Name &amp; IP Address Inputs - Rack'!$C$360</definedName>
    <definedName name="sample_wld_az1_rack4_host16_mgmt_ip">'Name &amp; IP Address Inputs - Rack'!$E$360</definedName>
    <definedName name="sample_wld_az1_rack4_host16_vrms_ip">'Name &amp; IP Address Inputs - Rack'!$E$377</definedName>
    <definedName name="sample_wld_az1_rack4_host2_function">'SDDC Inputs - Rack'!$C$201</definedName>
    <definedName name="sample_wld_az1_rack4_host2_hostname">'Name &amp; IP Address Inputs - Rack'!$C$346</definedName>
    <definedName name="sample_wld_az1_rack4_host2_mgmt_ip">'Name &amp; IP Address Inputs - Rack'!$E$346</definedName>
    <definedName name="sample_wld_az1_rack4_host2_vrms_ip">'Name &amp; IP Address Inputs - Rack'!$E$363</definedName>
    <definedName name="sample_wld_az1_rack4_host3_function">'SDDC Inputs - Rack'!$C$202</definedName>
    <definedName name="sample_wld_az1_rack4_host3_hostname">'Name &amp; IP Address Inputs - Rack'!$C$347</definedName>
    <definedName name="sample_wld_az1_rack4_host3_mgmt_ip">'Name &amp; IP Address Inputs - Rack'!$E$347</definedName>
    <definedName name="sample_wld_az1_rack4_host3_vrms_ip">'Name &amp; IP Address Inputs - Rack'!$E$364</definedName>
    <definedName name="sample_wld_az1_rack4_host4_function">'SDDC Inputs - Rack'!$C$203</definedName>
    <definedName name="sample_wld_az1_rack4_host4_hostname">'Name &amp; IP Address Inputs - Rack'!$C$348</definedName>
    <definedName name="sample_wld_az1_rack4_host4_mgmt_ip">'Name &amp; IP Address Inputs - Rack'!$E$348</definedName>
    <definedName name="sample_wld_az1_rack4_host4_vrms_ip">'Name &amp; IP Address Inputs - Rack'!$E$365</definedName>
    <definedName name="sample_wld_az1_rack4_host5_function">'SDDC Inputs - Rack'!$C$204</definedName>
    <definedName name="sample_wld_az1_rack4_host5_hostname">'Name &amp; IP Address Inputs - Rack'!$C$349</definedName>
    <definedName name="sample_wld_az1_rack4_host5_mgmt_ip">'Name &amp; IP Address Inputs - Rack'!$E$349</definedName>
    <definedName name="sample_wld_az1_rack4_host5_vrms_ip">'Name &amp; IP Address Inputs - Rack'!$E$366</definedName>
    <definedName name="sample_wld_az1_rack4_host6_function">'SDDC Inputs - Rack'!$C$205</definedName>
    <definedName name="sample_wld_az1_rack4_host6_hostname">'Name &amp; IP Address Inputs - Rack'!$C$350</definedName>
    <definedName name="sample_wld_az1_rack4_host6_mgmt_ip">'Name &amp; IP Address Inputs - Rack'!$E$350</definedName>
    <definedName name="sample_wld_az1_rack4_host6_vrms_ip">'Name &amp; IP Address Inputs - Rack'!$E$367</definedName>
    <definedName name="sample_wld_az1_rack4_host7_function">'SDDC Inputs - Rack'!$C$206</definedName>
    <definedName name="sample_wld_az1_rack4_host7_hostname">'Name &amp; IP Address Inputs - Rack'!$C$351</definedName>
    <definedName name="sample_wld_az1_rack4_host7_mgmt_ip">'Name &amp; IP Address Inputs - Rack'!$E$351</definedName>
    <definedName name="sample_wld_az1_rack4_host7_vrms_ip">'Name &amp; IP Address Inputs - Rack'!$E$368</definedName>
    <definedName name="sample_wld_az1_rack4_host8_function">'SDDC Inputs - Rack'!$C$207</definedName>
    <definedName name="sample_wld_az1_rack4_host8_hostname">'Name &amp; IP Address Inputs - Rack'!$C$352</definedName>
    <definedName name="sample_wld_az1_rack4_host8_mgmt_ip">'Name &amp; IP Address Inputs - Rack'!$E$352</definedName>
    <definedName name="sample_wld_az1_rack4_host8_vrms_ip">'Name &amp; IP Address Inputs - Rack'!$E$369</definedName>
    <definedName name="sample_wld_az1_rack4_host9_function">'SDDC Inputs - Rack'!$C$208</definedName>
    <definedName name="sample_wld_az1_rack4_host9_hostname">'Name &amp; IP Address Inputs - Rack'!$C$353</definedName>
    <definedName name="sample_wld_az1_rack4_host9_mgmt_ip">'Name &amp; IP Address Inputs - Rack'!$E$353</definedName>
    <definedName name="sample_wld_az1_rack4_host9_vrms_ip">'Name &amp; IP Address Inputs - Rack'!$E$370</definedName>
    <definedName name="sample_wld_az1_rack4_mgmt_cidr">'Network Inputs - Rack'!$E$172</definedName>
    <definedName name="sample_wld_az1_rack4_mgmt_gateway_ip">'Network Inputs - Rack'!$G$172</definedName>
    <definedName name="sample_wld_az1_rack4_mgmt_mtu">'Network Inputs - Rack'!$I$172</definedName>
    <definedName name="sample_wld_az1_rack4_mgmt_vlan">'Network Inputs - Rack'!$C$172</definedName>
    <definedName name="sample_wld_az1_rack4_mgmt_vm_cidr">'Network Inputs - Rack'!$E$171</definedName>
    <definedName name="sample_wld_az1_rack4_mgmt_vm_gateway_ip">'Network Inputs - Rack'!$G$171</definedName>
    <definedName name="sample_wld_az1_rack4_mgmt_vm_mtu">'Network Inputs - Rack'!$I$171</definedName>
    <definedName name="sample_wld_az1_rack4_mgmt_vm_vlan">'Network Inputs - Rack'!$C$171</definedName>
    <definedName name="sample_wld_az1_rack4_pool_name">'SDDC Inputs - Rack'!$C$189</definedName>
    <definedName name="sample_wld_az1_rack4_principal_storage_cidr">'Network Inputs - Rack'!$E$174</definedName>
    <definedName name="sample_wld_az1_rack4_principal_storage_gateway_ip">'Network Inputs - Rack'!$G$174</definedName>
    <definedName name="sample_wld_az1_rack4_principal_storage_mtu">'Network Inputs - Rack'!$I$174</definedName>
    <definedName name="sample_wld_az1_rack4_principal_storage_pool_end_ip">'Name &amp; IP Address Inputs - Rack'!$E$390</definedName>
    <definedName name="sample_wld_az1_rack4_principal_storage_pool_start_ip">'Name &amp; IP Address Inputs - Rack'!$E$389</definedName>
    <definedName name="sample_wld_az1_rack4_principal_storage_vlan">'Network Inputs - Rack'!$C$174</definedName>
    <definedName name="sample_wld_az1_rack4_rtep_ip_pool_name">'SDDC Inputs - Rack'!$C$194</definedName>
    <definedName name="sample_wld_az1_rack4_rtep_overlay_cidr">'Network Inputs - Rack'!$E$181</definedName>
    <definedName name="sample_wld_az1_rack4_rtep_overlay_gateway_ip">'Network Inputs - Rack'!$G$181</definedName>
    <definedName name="sample_wld_az1_rack4_rtep_overlay_mtu">'Network Inputs - Rack'!$I$181</definedName>
    <definedName name="sample_wld_az1_rack4_rtep_overlay_pool_end_ip">'Name &amp; IP Address Inputs - Rack'!$E$398</definedName>
    <definedName name="sample_wld_az1_rack4_rtep_overlay_pool_start_ip">'Name &amp; IP Address Inputs - Rack'!$E$397</definedName>
    <definedName name="sample_wld_az1_rack4_rtep_overlay_vlan">'Network Inputs - Rack'!$C$181</definedName>
    <definedName name="sample_wld_az1_rack4_secondary_storage_cidr">'Network Inputs - Rack'!$E$176</definedName>
    <definedName name="sample_wld_az1_rack4_secondary_storage_gateway_ip">'Network Inputs - Rack'!$G$176</definedName>
    <definedName name="sample_wld_az1_rack4_secondary_storage_mtu">'Network Inputs - Rack'!$I$176</definedName>
    <definedName name="sample_wld_az1_rack4_secondary_storage_pool_end_ip">'Name &amp; IP Address Inputs - Rack'!$E$394</definedName>
    <definedName name="sample_wld_az1_rack4_secondary_storage_pool_start_ip">'Name &amp; IP Address Inputs - Rack'!$E$393</definedName>
    <definedName name="sample_wld_az1_rack4_secondary_storage_vlan">'Network Inputs - Rack'!$C$176</definedName>
    <definedName name="sample_wld_az1_rack4_tor1_peer_asn">'Network Inputs - Rack'!$C$187</definedName>
    <definedName name="sample_wld_az1_rack4_tor1_peer_bgp_password">'Network Inputs - Rack'!$C$188</definedName>
    <definedName name="sample_wld_az1_rack4_tor1_peer_ip">'Network Inputs - Rack'!$C$186</definedName>
    <definedName name="sample_wld_az1_rack4_tor2_peer_asn">'Network Inputs - Rack'!$C$190</definedName>
    <definedName name="sample_wld_az1_rack4_tor2_peer_bgp_password">'Network Inputs - Rack'!$C$191</definedName>
    <definedName name="sample_wld_az1_rack4_tor2_peer_ip">'Network Inputs - Rack'!$C$189</definedName>
    <definedName name="sample_wld_az1_rack4_uplink01_cidr">'Network Inputs - Rack'!$E$178</definedName>
    <definedName name="sample_wld_az1_rack4_uplink01_gateway_ip">'Network Inputs - Rack'!$G$178</definedName>
    <definedName name="sample_wld_az1_rack4_uplink01_mtu">'Network Inputs - Rack'!$I$178</definedName>
    <definedName name="sample_wld_az1_rack4_uplink01_pg">'SDDC Inputs - Rack'!$C$187</definedName>
    <definedName name="sample_wld_az1_rack4_uplink01_vlan">'Network Inputs - Rack'!$C$178</definedName>
    <definedName name="sample_wld_az1_rack4_uplink02_cidr">'Network Inputs - Rack'!$E$179</definedName>
    <definedName name="sample_wld_az1_rack4_uplink02_gateway_ip">'Network Inputs - Rack'!$G$179</definedName>
    <definedName name="sample_wld_az1_rack4_uplink02_mtu">'Network Inputs - Rack'!$I$179</definedName>
    <definedName name="sample_wld_az1_rack4_uplink02_pg">'SDDC Inputs - Rack'!$C$188</definedName>
    <definedName name="sample_wld_az1_rack4_uplink02_vlan">'Network Inputs - Rack'!$C$179</definedName>
    <definedName name="sample_wld_az1_rack4_vmotion_cidr">'Network Inputs - Rack'!$E$173</definedName>
    <definedName name="sample_wld_az1_rack4_vmotion_gateway_ip">'Network Inputs - Rack'!$G$173</definedName>
    <definedName name="sample_wld_az1_rack4_vmotion_mtu">'Network Inputs - Rack'!$I$173</definedName>
    <definedName name="sample_wld_az1_rack4_vmotion_pool_end_ip">'Name &amp; IP Address Inputs - Rack'!$E$388</definedName>
    <definedName name="sample_wld_az1_rack4_vmotion_pool_start_ip">'Name &amp; IP Address Inputs - Rack'!$E$387</definedName>
    <definedName name="sample_wld_az1_rack4_vmotion_vlan">'Network Inputs - Rack'!$C$173</definedName>
    <definedName name="sample_wld_az1_rack4_vrms_cidr">'Network Inputs - Rack'!$E$177</definedName>
    <definedName name="sample_wld_az1_rack4_vrms_gateway_ip">'Network Inputs - Rack'!$G$177</definedName>
    <definedName name="sample_wld_az1_rack4_vrms_mtu">'Network Inputs - Rack'!$I$177</definedName>
    <definedName name="sample_wld_az1_rack4_vrms_vlan">'Network Inputs - Rack'!$C$177</definedName>
    <definedName name="sample_wld_az1_rack4_vsan_fault_domain">'SDDC Inputs - Rack'!$C$197</definedName>
    <definedName name="sample_wld_az1_rack5_child_dns_zone">'Name &amp; IP Address Inputs - Rack'!$D$402</definedName>
    <definedName name="sample_wld_az1_rack5_edge_overlay_cidr">'Network Inputs - Rack'!$E$205</definedName>
    <definedName name="sample_wld_az1_rack5_edge_overlay_gateway_ip">'Network Inputs - Rack'!$G$205</definedName>
    <definedName name="sample_wld_az1_rack5_edge_overlay_mtu">'Network Inputs - Rack'!$I$205</definedName>
    <definedName name="sample_wld_az1_rack5_edge_overlay_network_pool_name">'SDDC Inputs - Rack'!$C$226</definedName>
    <definedName name="sample_wld_az1_rack5_edge_overlay_pool_end_ip">'Name &amp; IP Address Inputs - Rack'!$E$456</definedName>
    <definedName name="sample_wld_az1_rack5_edge_overlay_pool_start_ip">'Name &amp; IP Address Inputs - Rack'!$E$455</definedName>
    <definedName name="sample_wld_az1_rack5_edge_overlay_vlan">'Network Inputs - Rack'!$C$205</definedName>
    <definedName name="sample_wld_az1_rack5_en1_hostname">'Name &amp; IP Address Inputs - Rack'!$C$439</definedName>
    <definedName name="sample_wld_az1_rack5_en1_mgmt_ip">'Name &amp; IP Address Inputs - Rack'!$E$439</definedName>
    <definedName name="sample_wld_az1_rack5_en1_uplink01_interface_ip">'Name &amp; IP Address Inputs - Rack'!$E$440</definedName>
    <definedName name="sample_wld_az1_rack5_en1_uplink02_interface_ip">'Name &amp; IP Address Inputs - Rack'!$E$441</definedName>
    <definedName name="sample_wld_az1_rack5_en2_hostname">'Name &amp; IP Address Inputs - Rack'!$C$442</definedName>
    <definedName name="sample_wld_az1_rack5_en2_mgmt_ip">'Name &amp; IP Address Inputs - Rack'!$E$442</definedName>
    <definedName name="sample_wld_az1_rack5_en2_uplink01_interface_ip">'Name &amp; IP Address Inputs - Rack'!$E$443</definedName>
    <definedName name="sample_wld_az1_rack5_en2_uplink02_interface_ip">'Name &amp; IP Address Inputs - Rack'!$E$444</definedName>
    <definedName name="sample_wld_az1_rack5_host_hostnames">'Name &amp; IP Address Inputs - Rack'!$C$405:$C$420</definedName>
    <definedName name="sample_wld_az1_rack5_host_mgmt_ips">'Name &amp; IP Address Inputs - Rack'!$E$405:$E$420</definedName>
    <definedName name="sample_wld_az1_rack5_host_overlay_cidr">'Network Inputs - Rack'!$E$200</definedName>
    <definedName name="sample_wld_az1_rack5_host_overlay_gateway_ip">'Network Inputs - Rack'!$G$200</definedName>
    <definedName name="sample_wld_az1_rack5_host_overlay_mtu">'Network Inputs - Rack'!$I$200</definedName>
    <definedName name="sample_wld_az1_rack5_host_overlay_network_pool_name">'SDDC Inputs - Rack'!$C$224</definedName>
    <definedName name="sample_wld_az1_rack5_host_overlay_network_profile_name">'SDDC Inputs - Rack'!$C$223</definedName>
    <definedName name="sample_wld_az1_rack5_host_overlay_pool_end_ip">'Name &amp; IP Address Inputs - Rack'!$E$452</definedName>
    <definedName name="sample_wld_az1_rack5_host_overlay_pool_start_ip">'Name &amp; IP Address Inputs - Rack'!$E$451</definedName>
    <definedName name="sample_wld_az1_rack5_host_overlay_uplink_profile_name">'SDDC Inputs - Rack'!$C$225</definedName>
    <definedName name="sample_wld_az1_rack5_host_overlay_vlan">'Network Inputs - Rack'!$C$200</definedName>
    <definedName name="sample_wld_az1_rack5_host1_function">'SDDC Inputs - Rack'!$C$233</definedName>
    <definedName name="sample_wld_az1_rack5_host1_hostname">'Name &amp; IP Address Inputs - Rack'!$C$405</definedName>
    <definedName name="sample_wld_az1_rack5_host1_mgmt_ip">'Name &amp; IP Address Inputs - Rack'!$E$405</definedName>
    <definedName name="sample_wld_az1_rack5_host1_vrms_ip">'Name &amp; IP Address Inputs - Rack'!$E$422</definedName>
    <definedName name="sample_wld_az1_rack5_host10_function">'SDDC Inputs - Rack'!$C$242</definedName>
    <definedName name="sample_wld_az1_rack5_host10_hostname">'Name &amp; IP Address Inputs - Rack'!$C$414</definedName>
    <definedName name="sample_wld_az1_rack5_host10_mgmt_ip">'Name &amp; IP Address Inputs - Rack'!$E$414</definedName>
    <definedName name="sample_wld_az1_rack5_host10_vrms_ip">'Name &amp; IP Address Inputs - Rack'!$E$431</definedName>
    <definedName name="sample_wld_az1_rack5_host11_function">'SDDC Inputs - Rack'!$C$243</definedName>
    <definedName name="sample_wld_az1_rack5_host11_hostname">'Name &amp; IP Address Inputs - Rack'!$C$415</definedName>
    <definedName name="sample_wld_az1_rack5_host11_mgmt_ip">'Name &amp; IP Address Inputs - Rack'!$E$415</definedName>
    <definedName name="sample_wld_az1_rack5_host11_vrms_ip">'Name &amp; IP Address Inputs - Rack'!$E$432</definedName>
    <definedName name="sample_wld_az1_rack5_host12_function">'SDDC Inputs - Rack'!$C$244</definedName>
    <definedName name="sample_wld_az1_rack5_host12_hostname">'Name &amp; IP Address Inputs - Rack'!$C$416</definedName>
    <definedName name="sample_wld_az1_rack5_host12_mgmt_ip">'Name &amp; IP Address Inputs - Rack'!$E$416</definedName>
    <definedName name="sample_wld_az1_rack5_host12_vrms_ip">'Name &amp; IP Address Inputs - Rack'!$E$433</definedName>
    <definedName name="sample_wld_az1_rack5_host13_function">'SDDC Inputs - Rack'!$C$245</definedName>
    <definedName name="sample_wld_az1_rack5_host13_hostname">'Name &amp; IP Address Inputs - Rack'!$C$417</definedName>
    <definedName name="sample_wld_az1_rack5_host13_mgmt_ip">'Name &amp; IP Address Inputs - Rack'!$E$417</definedName>
    <definedName name="sample_wld_az1_rack5_host13_vrms_ip">'Name &amp; IP Address Inputs - Rack'!$E$434</definedName>
    <definedName name="sample_wld_az1_rack5_host14_function">'SDDC Inputs - Rack'!$C$246</definedName>
    <definedName name="sample_wld_az1_rack5_host14_hostname">'Name &amp; IP Address Inputs - Rack'!$C$418</definedName>
    <definedName name="sample_wld_az1_rack5_host14_mgmt_ip">'Name &amp; IP Address Inputs - Rack'!$E$418</definedName>
    <definedName name="sample_wld_az1_rack5_host14_vrms_ip">'Name &amp; IP Address Inputs - Rack'!$E$435</definedName>
    <definedName name="sample_wld_az1_rack5_host15_function">'SDDC Inputs - Rack'!$C$247</definedName>
    <definedName name="sample_wld_az1_rack5_host15_hostname">'Name &amp; IP Address Inputs - Rack'!$C$419</definedName>
    <definedName name="sample_wld_az1_rack5_host15_mgmt_ip">'Name &amp; IP Address Inputs - Rack'!$E$419</definedName>
    <definedName name="sample_wld_az1_rack5_host15_vrms_ip">'Name &amp; IP Address Inputs - Rack'!$E$436</definedName>
    <definedName name="sample_wld_az1_rack5_host16_function">'SDDC Inputs - Rack'!$C$248</definedName>
    <definedName name="sample_wld_az1_rack5_host16_hostname">'Name &amp; IP Address Inputs - Rack'!$C$420</definedName>
    <definedName name="sample_wld_az1_rack5_host16_mgmt_ip">'Name &amp; IP Address Inputs - Rack'!$E$420</definedName>
    <definedName name="sample_wld_az1_rack5_host16_vrms_ip">'Name &amp; IP Address Inputs - Rack'!$E$437</definedName>
    <definedName name="sample_wld_az1_rack5_host2_function">'SDDC Inputs - Rack'!$C$234</definedName>
    <definedName name="sample_wld_az1_rack5_host2_hostname">'Name &amp; IP Address Inputs - Rack'!$C$406</definedName>
    <definedName name="sample_wld_az1_rack5_host2_mgmt_ip">'Name &amp; IP Address Inputs - Rack'!$E$406</definedName>
    <definedName name="sample_wld_az1_rack5_host2_vrms_ip">'Name &amp; IP Address Inputs - Rack'!$E$423</definedName>
    <definedName name="sample_wld_az1_rack5_host3_function">'SDDC Inputs - Rack'!$C$235</definedName>
    <definedName name="sample_wld_az1_rack5_host3_hostname">'Name &amp; IP Address Inputs - Rack'!$C$407</definedName>
    <definedName name="sample_wld_az1_rack5_host3_mgmt_ip">'Name &amp; IP Address Inputs - Rack'!$E$407</definedName>
    <definedName name="sample_wld_az1_rack5_host3_vrms_ip">'Name &amp; IP Address Inputs - Rack'!$E$424</definedName>
    <definedName name="sample_wld_az1_rack5_host4_function">'SDDC Inputs - Rack'!$C$236</definedName>
    <definedName name="sample_wld_az1_rack5_host4_hostname">'Name &amp; IP Address Inputs - Rack'!$C$408</definedName>
    <definedName name="sample_wld_az1_rack5_host4_mgmt_ip">'Name &amp; IP Address Inputs - Rack'!$E$408</definedName>
    <definedName name="sample_wld_az1_rack5_host4_vrms_ip">'Name &amp; IP Address Inputs - Rack'!$E$425</definedName>
    <definedName name="sample_wld_az1_rack5_host5_function">'SDDC Inputs - Rack'!$C$237</definedName>
    <definedName name="sample_wld_az1_rack5_host5_hostname">'Name &amp; IP Address Inputs - Rack'!$C$409</definedName>
    <definedName name="sample_wld_az1_rack5_host5_mgmt_ip">'Name &amp; IP Address Inputs - Rack'!$E$409</definedName>
    <definedName name="sample_wld_az1_rack5_host5_vrms_ip">'Name &amp; IP Address Inputs - Rack'!$E$426</definedName>
    <definedName name="sample_wld_az1_rack5_host6_function">'SDDC Inputs - Rack'!$C$238</definedName>
    <definedName name="sample_wld_az1_rack5_host6_hostname">'Name &amp; IP Address Inputs - Rack'!$C$410</definedName>
    <definedName name="sample_wld_az1_rack5_host6_mgmt_ip">'Name &amp; IP Address Inputs - Rack'!$E$410</definedName>
    <definedName name="sample_wld_az1_rack5_host6_vrms_ip">'Name &amp; IP Address Inputs - Rack'!$E$427</definedName>
    <definedName name="sample_wld_az1_rack5_host7_function">'SDDC Inputs - Rack'!$C$239</definedName>
    <definedName name="sample_wld_az1_rack5_host7_hostname">'Name &amp; IP Address Inputs - Rack'!$C$411</definedName>
    <definedName name="sample_wld_az1_rack5_host7_mgmt_ip">'Name &amp; IP Address Inputs - Rack'!$E$411</definedName>
    <definedName name="sample_wld_az1_rack5_host7_vrms_ip">'Name &amp; IP Address Inputs - Rack'!$E$428</definedName>
    <definedName name="sample_wld_az1_rack5_host8_function">'SDDC Inputs - Rack'!$C$240</definedName>
    <definedName name="sample_wld_az1_rack5_host8_hostname">'Name &amp; IP Address Inputs - Rack'!$C$412</definedName>
    <definedName name="sample_wld_az1_rack5_host8_mgmt_ip">'Name &amp; IP Address Inputs - Rack'!$E$412</definedName>
    <definedName name="sample_wld_az1_rack5_host8_vrms_ip">'Name &amp; IP Address Inputs - Rack'!$E$429</definedName>
    <definedName name="sample_wld_az1_rack5_host9_function">'SDDC Inputs - Rack'!$C$241</definedName>
    <definedName name="sample_wld_az1_rack5_host9_hostname">'Name &amp; IP Address Inputs - Rack'!$C$413</definedName>
    <definedName name="sample_wld_az1_rack5_host9_mgmt_ip">'Name &amp; IP Address Inputs - Rack'!$E$413</definedName>
    <definedName name="sample_wld_az1_rack5_host9_vrms_ip">'Name &amp; IP Address Inputs - Rack'!$E$430</definedName>
    <definedName name="sample_wld_az1_rack5_mgmt_cidr">'Network Inputs - Rack'!$E$197</definedName>
    <definedName name="sample_wld_az1_rack5_mgmt_gateway_ip">'Network Inputs - Rack'!$G$197</definedName>
    <definedName name="sample_wld_az1_rack5_mgmt_mtu">'Network Inputs - Rack'!$I$197</definedName>
    <definedName name="sample_wld_az1_rack5_mgmt_vlan">'Network Inputs - Rack'!$C$197</definedName>
    <definedName name="sample_wld_az1_rack5_mgmt_vm_cidr">'Network Inputs - Rack'!$E$196</definedName>
    <definedName name="sample_wld_az1_rack5_mgmt_vm_gateway_ip">'Network Inputs - Rack'!$G$196</definedName>
    <definedName name="sample_wld_az1_rack5_mgmt_vm_mtu">'Network Inputs - Rack'!$I$196</definedName>
    <definedName name="sample_wld_az1_rack5_mgmt_vm_vlan">'Network Inputs - Rack'!$C$196</definedName>
    <definedName name="sample_wld_az1_rack5_pool_name">'SDDC Inputs - Rack'!$C$222</definedName>
    <definedName name="sample_wld_az1_rack5_principal_storage_cidr">'Network Inputs - Rack'!$E$199</definedName>
    <definedName name="sample_wld_az1_rack5_principal_storage_gateway_ip">'Network Inputs - Rack'!$G$199</definedName>
    <definedName name="sample_wld_az1_rack5_principal_storage_mtu">'Network Inputs - Rack'!$I$199</definedName>
    <definedName name="sample_wld_az1_rack5_principal_storage_pool_end_ip">'Name &amp; IP Address Inputs - Rack'!$E$450</definedName>
    <definedName name="sample_wld_az1_rack5_principal_storage_pool_start_ip">'Name &amp; IP Address Inputs - Rack'!$E$449</definedName>
    <definedName name="sample_wld_az1_rack5_principal_storage_vlan">'Network Inputs - Rack'!$C$199</definedName>
    <definedName name="sample_wld_az1_rack5_rtep_ip_pool_name">'SDDC Inputs - Rack'!$C$227</definedName>
    <definedName name="sample_wld_az1_rack5_rtep_overlay_cidr">'Network Inputs - Rack'!$E$206</definedName>
    <definedName name="sample_wld_az1_rack5_rtep_overlay_gateway_ip">'Network Inputs - Rack'!$G$206</definedName>
    <definedName name="sample_wld_az1_rack5_rtep_overlay_mtu">'Network Inputs - Rack'!$I$206</definedName>
    <definedName name="sample_wld_az1_rack5_rtep_overlay_pool_end_ip">'Name &amp; IP Address Inputs - Rack'!$E$458</definedName>
    <definedName name="sample_wld_az1_rack5_rtep_overlay_pool_start_ip">'Name &amp; IP Address Inputs - Rack'!$E$457</definedName>
    <definedName name="sample_wld_az1_rack5_rtep_overlay_vlan">'Network Inputs - Rack'!$C$206</definedName>
    <definedName name="sample_wld_az1_rack5_secondary_storage_cidr">'Network Inputs - Rack'!$E$201</definedName>
    <definedName name="sample_wld_az1_rack5_secondary_storage_gateway_ip">'Network Inputs - Rack'!$G$201</definedName>
    <definedName name="sample_wld_az1_rack5_secondary_storage_mtu">'Network Inputs - Rack'!$I$201</definedName>
    <definedName name="sample_wld_az1_rack5_secondary_storage_pool_end_ip">'Name &amp; IP Address Inputs - Rack'!$E$454</definedName>
    <definedName name="sample_wld_az1_rack5_secondary_storage_pool_start_ip">'Name &amp; IP Address Inputs - Rack'!$E$453</definedName>
    <definedName name="sample_wld_az1_rack5_secondary_storage_vlan">'Network Inputs - Rack'!$C$201</definedName>
    <definedName name="sample_wld_az1_rack5_tor1_peer_asn">'Network Inputs - Rack'!$C$212</definedName>
    <definedName name="sample_wld_az1_rack5_tor1_peer_bgp_password">'Network Inputs - Rack'!$C$213</definedName>
    <definedName name="sample_wld_az1_rack5_tor1_peer_ip">'Network Inputs - Rack'!$C$211</definedName>
    <definedName name="sample_wld_az1_rack5_tor2_peer_asn">'Network Inputs - Rack'!$C$215</definedName>
    <definedName name="sample_wld_az1_rack5_tor2_peer_bgp_password">'Network Inputs - Rack'!$C$216</definedName>
    <definedName name="sample_wld_az1_rack5_tor2_peer_ip">'Network Inputs - Rack'!$C$214</definedName>
    <definedName name="sample_wld_az1_rack5_uplink01_cidr">'Network Inputs - Rack'!$E$203</definedName>
    <definedName name="sample_wld_az1_rack5_uplink01_gateway_ip">'Network Inputs - Rack'!$G$203</definedName>
    <definedName name="sample_wld_az1_rack5_uplink01_mtu">'Network Inputs - Rack'!$I$203</definedName>
    <definedName name="sample_wld_az1_rack5_uplink01_pg">'SDDC Inputs - Rack'!$C$220</definedName>
    <definedName name="sample_wld_az1_rack5_uplink01_vlan">'Network Inputs - Rack'!$C$203</definedName>
    <definedName name="sample_wld_az1_rack5_uplink02_cidr">'Network Inputs - Rack'!$E$204</definedName>
    <definedName name="sample_wld_az1_rack5_uplink02_gateway_ip">'Network Inputs - Rack'!$G$204</definedName>
    <definedName name="sample_wld_az1_rack5_uplink02_mtu">'Network Inputs - Rack'!$I$204</definedName>
    <definedName name="sample_wld_az1_rack5_uplink02_pg">'SDDC Inputs - Rack'!$C$221</definedName>
    <definedName name="sample_wld_az1_rack5_uplink02_vlan">'Network Inputs - Rack'!$C$204</definedName>
    <definedName name="sample_wld_az1_rack5_vmotion_cidr">'Network Inputs - Rack'!$E$198</definedName>
    <definedName name="sample_wld_az1_rack5_vmotion_gateway_ip">'Network Inputs - Rack'!$G$198</definedName>
    <definedName name="sample_wld_az1_rack5_vmotion_mtu">'Network Inputs - Rack'!$I$198</definedName>
    <definedName name="sample_wld_az1_rack5_vmotion_pool_end_ip">'Name &amp; IP Address Inputs - Rack'!$E$448</definedName>
    <definedName name="sample_wld_az1_rack5_vmotion_pool_start_ip">'Name &amp; IP Address Inputs - Rack'!$E$447</definedName>
    <definedName name="sample_wld_az1_rack5_vmotion_vlan">'Network Inputs - Rack'!$C$198</definedName>
    <definedName name="sample_wld_az1_rack5_vrms_cidr">'Network Inputs - Rack'!$E$202</definedName>
    <definedName name="sample_wld_az1_rack5_vrms_gateway_ip">'Network Inputs - Rack'!$G$202</definedName>
    <definedName name="sample_wld_az1_rack5_vrms_mtu">'Network Inputs - Rack'!$I$202</definedName>
    <definedName name="sample_wld_az1_rack5_vrms_vlan">'Network Inputs - Rack'!$C$202</definedName>
    <definedName name="sample_wld_az1_rack5_vsan_fault_domain">'SDDC Inputs - Rack'!$C$230</definedName>
    <definedName name="sample_wld_az1_rack6_child_dns_zone">'Name &amp; IP Address Inputs - Rack'!$D$462</definedName>
    <definedName name="sample_wld_az1_rack6_edge_overlay_cidr">'Network Inputs - Rack'!$E$230</definedName>
    <definedName name="sample_wld_az1_rack6_edge_overlay_gateway_ip">'Network Inputs - Rack'!$G$230</definedName>
    <definedName name="sample_wld_az1_rack6_edge_overlay_mtu">'Network Inputs - Rack'!$I$230</definedName>
    <definedName name="sample_wld_az1_rack6_edge_overlay_network_pool_name">'SDDC Inputs - Rack'!$C$259</definedName>
    <definedName name="sample_wld_az1_rack6_edge_overlay_pool_end_ip">'Name &amp; IP Address Inputs - Rack'!$E$515</definedName>
    <definedName name="sample_wld_az1_rack6_edge_overlay_pool_start_ip">'Name &amp; IP Address Inputs - Rack'!$E$514</definedName>
    <definedName name="sample_wld_az1_rack6_edge_overlay_vlan">'Network Inputs - Rack'!$C$230</definedName>
    <definedName name="sample_wld_az1_rack6_en1_hostname">'Name &amp; IP Address Inputs - Rack'!$C$499</definedName>
    <definedName name="sample_wld_az1_rack6_en1_mgmt_ip">'Name &amp; IP Address Inputs - Rack'!$E$499</definedName>
    <definedName name="sample_wld_az1_rack6_en1_uplink01_interface_ip">'Name &amp; IP Address Inputs - Rack'!$E$500</definedName>
    <definedName name="sample_wld_az1_rack6_en1_uplink02_interface_ip">'Name &amp; IP Address Inputs - Rack'!$E$501</definedName>
    <definedName name="sample_wld_az1_rack6_en2_hostname">'Name &amp; IP Address Inputs - Rack'!$C$502</definedName>
    <definedName name="sample_wld_az1_rack6_en2_mgmt_ip">'Name &amp; IP Address Inputs - Rack'!$E$502</definedName>
    <definedName name="sample_wld_az1_rack6_en2_uplink01_interface_ip">'Name &amp; IP Address Inputs - Rack'!$E$503</definedName>
    <definedName name="sample_wld_az1_rack6_en2_uplink02_interface_ip">'Name &amp; IP Address Inputs - Rack'!$E$504</definedName>
    <definedName name="sample_wld_az1_rack6_host_hostnames">'Name &amp; IP Address Inputs - Rack'!$C$465:$C$480</definedName>
    <definedName name="sample_wld_az1_rack6_host_mgmt_ips">'Name &amp; IP Address Inputs - Rack'!$E$465:$E$480</definedName>
    <definedName name="sample_wld_az1_rack6_host_overlay_cidr">'Network Inputs - Rack'!$E$225</definedName>
    <definedName name="sample_wld_az1_rack6_host_overlay_gateway_ip">'Network Inputs - Rack'!$G$225</definedName>
    <definedName name="sample_wld_az1_rack6_host_overlay_mtu">'Network Inputs - Rack'!$I$225</definedName>
    <definedName name="sample_wld_az1_rack6_host_overlay_network_pool_name">'SDDC Inputs - Rack'!$C$257</definedName>
    <definedName name="sample_wld_az1_rack6_host_overlay_network_profile_name">'SDDC Inputs - Rack'!$C$256</definedName>
    <definedName name="sample_wld_az1_rack6_host_overlay_pool_end_ip">'Name &amp; IP Address Inputs - Rack'!$E$511</definedName>
    <definedName name="sample_wld_az1_rack6_host_overlay_pool_start_ip">'Name &amp; IP Address Inputs - Rack'!$E$510</definedName>
    <definedName name="sample_wld_az1_rack6_host_overlay_uplink_profile_name">'SDDC Inputs - Rack'!$C$258</definedName>
    <definedName name="sample_wld_az1_rack6_host_overlay_vlan">'Network Inputs - Rack'!$C$225</definedName>
    <definedName name="sample_wld_az1_rack6_host1_function">'SDDC Inputs - Rack'!$C$266</definedName>
    <definedName name="sample_wld_az1_rack6_host1_hostname">'Name &amp; IP Address Inputs - Rack'!$C$465</definedName>
    <definedName name="sample_wld_az1_rack6_host1_mgmt_ip">'Name &amp; IP Address Inputs - Rack'!$E$465</definedName>
    <definedName name="sample_wld_az1_rack6_host1_vrms_ip">'Name &amp; IP Address Inputs - Rack'!$E$482</definedName>
    <definedName name="sample_wld_az1_rack6_host10_function">'SDDC Inputs - Rack'!$C$275</definedName>
    <definedName name="sample_wld_az1_rack6_host10_hostname">'Name &amp; IP Address Inputs - Rack'!$C$474</definedName>
    <definedName name="sample_wld_az1_rack6_host10_mgmt_ip">'Name &amp; IP Address Inputs - Rack'!$E$474</definedName>
    <definedName name="sample_wld_az1_rack6_host10_vrms_ip">'Name &amp; IP Address Inputs - Rack'!$E$491</definedName>
    <definedName name="sample_wld_az1_rack6_host11_function">'SDDC Inputs - Rack'!$C$276</definedName>
    <definedName name="sample_wld_az1_rack6_host11_hostname">'Name &amp; IP Address Inputs - Rack'!$C$475</definedName>
    <definedName name="sample_wld_az1_rack6_host11_mgmt_ip">'Name &amp; IP Address Inputs - Rack'!$E$475</definedName>
    <definedName name="sample_wld_az1_rack6_host11_vrms_ip">'Name &amp; IP Address Inputs - Rack'!$E$492</definedName>
    <definedName name="sample_wld_az1_rack6_host12_function">'SDDC Inputs - Rack'!$C$277</definedName>
    <definedName name="sample_wld_az1_rack6_host12_hostname">'Name &amp; IP Address Inputs - Rack'!$C$476</definedName>
    <definedName name="sample_wld_az1_rack6_host12_mgmt_ip">'Name &amp; IP Address Inputs - Rack'!$E$476</definedName>
    <definedName name="sample_wld_az1_rack6_host12_vrms_ip">'Name &amp; IP Address Inputs - Rack'!$E$493</definedName>
    <definedName name="sample_wld_az1_rack6_host13_function">'SDDC Inputs - Rack'!$C$278</definedName>
    <definedName name="sample_wld_az1_rack6_host13_hostname">'Name &amp; IP Address Inputs - Rack'!$C$477</definedName>
    <definedName name="sample_wld_az1_rack6_host13_mgmt_ip">'Name &amp; IP Address Inputs - Rack'!$E$477</definedName>
    <definedName name="sample_wld_az1_rack6_host13_vrms_ip">'Name &amp; IP Address Inputs - Rack'!$E$494</definedName>
    <definedName name="sample_wld_az1_rack6_host14_function">'SDDC Inputs - Rack'!$C$279</definedName>
    <definedName name="sample_wld_az1_rack6_host14_hostname">'Name &amp; IP Address Inputs - Rack'!$C$478</definedName>
    <definedName name="sample_wld_az1_rack6_host14_mgmt_ip">'Name &amp; IP Address Inputs - Rack'!$E$478</definedName>
    <definedName name="sample_wld_az1_rack6_host14_vrms_ip">'Name &amp; IP Address Inputs - Rack'!$E$495</definedName>
    <definedName name="sample_wld_az1_rack6_host15_function">'SDDC Inputs - Rack'!$C$280</definedName>
    <definedName name="sample_wld_az1_rack6_host15_hostname">'Name &amp; IP Address Inputs - Rack'!$C$479</definedName>
    <definedName name="sample_wld_az1_rack6_host15_mgmt_ip">'Name &amp; IP Address Inputs - Rack'!$E$479</definedName>
    <definedName name="sample_wld_az1_rack6_host15_vrms_ip">'Name &amp; IP Address Inputs - Rack'!$E$496</definedName>
    <definedName name="sample_wld_az1_rack6_host16_function">'SDDC Inputs - Rack'!$C$281</definedName>
    <definedName name="sample_wld_az1_rack6_host16_hostname">'Name &amp; IP Address Inputs - Rack'!$C$480</definedName>
    <definedName name="sample_wld_az1_rack6_host16_mgmt_ip">'Name &amp; IP Address Inputs - Rack'!$E$480</definedName>
    <definedName name="sample_wld_az1_rack6_host16_vrms_ip">'Name &amp; IP Address Inputs - Rack'!$E$497</definedName>
    <definedName name="sample_wld_az1_rack6_host2_function">'SDDC Inputs - Rack'!$C$267</definedName>
    <definedName name="sample_wld_az1_rack6_host2_hostname">'Name &amp; IP Address Inputs - Rack'!$C$466</definedName>
    <definedName name="sample_wld_az1_rack6_host2_mgmt_ip">'Name &amp; IP Address Inputs - Rack'!$E$466</definedName>
    <definedName name="sample_wld_az1_rack6_host2_vrms_ip">'Name &amp; IP Address Inputs - Rack'!$E$483</definedName>
    <definedName name="sample_wld_az1_rack6_host3_function">'SDDC Inputs - Rack'!$C$268</definedName>
    <definedName name="sample_wld_az1_rack6_host3_hostname">'Name &amp; IP Address Inputs - Rack'!$C$467</definedName>
    <definedName name="sample_wld_az1_rack6_host3_mgmt_ip">'Name &amp; IP Address Inputs - Rack'!$E$467</definedName>
    <definedName name="sample_wld_az1_rack6_host3_vrms_ip">'Name &amp; IP Address Inputs - Rack'!$E$484</definedName>
    <definedName name="sample_wld_az1_rack6_host4_function">'SDDC Inputs - Rack'!$C$269</definedName>
    <definedName name="sample_wld_az1_rack6_host4_hostname">'Name &amp; IP Address Inputs - Rack'!$C$468</definedName>
    <definedName name="sample_wld_az1_rack6_host4_mgmt_ip">'Name &amp; IP Address Inputs - Rack'!$E$468</definedName>
    <definedName name="sample_wld_az1_rack6_host4_vrms_ip">'Name &amp; IP Address Inputs - Rack'!$E$485</definedName>
    <definedName name="sample_wld_az1_rack6_host5_function">'SDDC Inputs - Rack'!$C$270</definedName>
    <definedName name="sample_wld_az1_rack6_host5_hostname">'Name &amp; IP Address Inputs - Rack'!$C$469</definedName>
    <definedName name="sample_wld_az1_rack6_host5_mgmt_ip">'Name &amp; IP Address Inputs - Rack'!$E$469</definedName>
    <definedName name="sample_wld_az1_rack6_host5_vrms_ip">'Name &amp; IP Address Inputs - Rack'!$E$486</definedName>
    <definedName name="sample_wld_az1_rack6_host6_function">'SDDC Inputs - Rack'!$C$271</definedName>
    <definedName name="sample_wld_az1_rack6_host6_hostname">'Name &amp; IP Address Inputs - Rack'!$C$470</definedName>
    <definedName name="sample_wld_az1_rack6_host6_mgmt_ip">'Name &amp; IP Address Inputs - Rack'!$E$470</definedName>
    <definedName name="sample_wld_az1_rack6_host6_vrms_ip">'Name &amp; IP Address Inputs - Rack'!$E$487</definedName>
    <definedName name="sample_wld_az1_rack6_host7_function">'SDDC Inputs - Rack'!$C$272</definedName>
    <definedName name="sample_wld_az1_rack6_host7_hostname">'Name &amp; IP Address Inputs - Rack'!$C$471</definedName>
    <definedName name="sample_wld_az1_rack6_host7_mgmt_ip">'Name &amp; IP Address Inputs - Rack'!$E$471</definedName>
    <definedName name="sample_wld_az1_rack6_host7_vrms_ip">'Name &amp; IP Address Inputs - Rack'!$E$488</definedName>
    <definedName name="sample_wld_az1_rack6_host8_function">'SDDC Inputs - Rack'!$C$273</definedName>
    <definedName name="sample_wld_az1_rack6_host8_hostname">'Name &amp; IP Address Inputs - Rack'!$C$472</definedName>
    <definedName name="sample_wld_az1_rack6_host8_mgmt_ip">'Name &amp; IP Address Inputs - Rack'!$E$472</definedName>
    <definedName name="sample_wld_az1_rack6_host8_vrms_ip">'Name &amp; IP Address Inputs - Rack'!$E$489</definedName>
    <definedName name="sample_wld_az1_rack6_host9_function">'SDDC Inputs - Rack'!$C$274</definedName>
    <definedName name="sample_wld_az1_rack6_host9_hostname">'Name &amp; IP Address Inputs - Rack'!$C$473</definedName>
    <definedName name="sample_wld_az1_rack6_host9_mgmt_ip">'Name &amp; IP Address Inputs - Rack'!$E$473</definedName>
    <definedName name="sample_wld_az1_rack6_host9_vrms_ip">'Name &amp; IP Address Inputs - Rack'!$E$490</definedName>
    <definedName name="sample_wld_az1_rack6_mgmt_cidr">'Network Inputs - Rack'!$E$222</definedName>
    <definedName name="sample_wld_az1_rack6_mgmt_gateway_ip">'Network Inputs - Rack'!$G$222</definedName>
    <definedName name="sample_wld_az1_rack6_mgmt_mtu">'Network Inputs - Rack'!$I$222</definedName>
    <definedName name="sample_wld_az1_rack6_mgmt_vlan">'Network Inputs - Rack'!$C$222</definedName>
    <definedName name="sample_wld_az1_rack6_mgmt_vm_cidr">'Network Inputs - Rack'!$E$221</definedName>
    <definedName name="sample_wld_az1_rack6_mgmt_vm_gateway_ip">'Network Inputs - Rack'!$G$221</definedName>
    <definedName name="sample_wld_az1_rack6_mgmt_vm_mtu">'Network Inputs - Rack'!$I$221</definedName>
    <definedName name="sample_wld_az1_rack6_mgmt_vm_vlan">'Network Inputs - Rack'!$C$221</definedName>
    <definedName name="sample_wld_az1_rack6_pool_name">'SDDC Inputs - Rack'!$C$255</definedName>
    <definedName name="sample_wld_az1_rack6_principal_storage_cidr">'Network Inputs - Rack'!$E$224</definedName>
    <definedName name="sample_wld_az1_rack6_principal_storage_gateway_ip">'Network Inputs - Rack'!$G$224</definedName>
    <definedName name="sample_wld_az1_rack6_principal_storage_mtu">'Network Inputs - Rack'!$I$224</definedName>
    <definedName name="sample_wld_az1_rack6_principal_storage_pool_end_ip">'Name &amp; IP Address Inputs - Rack'!$E$509</definedName>
    <definedName name="sample_wld_az1_rack6_principal_storage_pool_start_ip">'Name &amp; IP Address Inputs - Rack'!$E$508</definedName>
    <definedName name="sample_wld_az1_rack6_principal_storage_vlan">'Network Inputs - Rack'!$C$224</definedName>
    <definedName name="sample_wld_az1_rack6_rtep_ip_pool_name">'SDDC Inputs - Rack'!$C$260</definedName>
    <definedName name="sample_wld_az1_rack6_rtep_overlay_cidr">'Network Inputs - Rack'!$E$231</definedName>
    <definedName name="sample_wld_az1_rack6_rtep_overlay_gateway_ip">'Network Inputs - Rack'!$G$231</definedName>
    <definedName name="sample_wld_az1_rack6_rtep_overlay_mtu">'Network Inputs - Rack'!$I$231</definedName>
    <definedName name="sample_wld_az1_rack6_rtep_overlay_pool_end_ip">'Name &amp; IP Address Inputs - Rack'!$E$517</definedName>
    <definedName name="sample_wld_az1_rack6_rtep_overlay_pool_start_ip">'Name &amp; IP Address Inputs - Rack'!$E$516</definedName>
    <definedName name="sample_wld_az1_rack6_rtep_overlay_vlan">'Network Inputs - Rack'!$C$231</definedName>
    <definedName name="sample_wld_az1_rack6_secondary_storage_cidr">'Network Inputs - Rack'!$E$226</definedName>
    <definedName name="sample_wld_az1_rack6_secondary_storage_gateway_ip">'Network Inputs - Rack'!$G$226</definedName>
    <definedName name="sample_wld_az1_rack6_secondary_storage_mtu">'Network Inputs - Rack'!$I$226</definedName>
    <definedName name="sample_wld_az1_rack6_secondary_storage_pool_end_ip">'Name &amp; IP Address Inputs - Rack'!$E$513</definedName>
    <definedName name="sample_wld_az1_rack6_secondary_storage_pool_start_ip">'Name &amp; IP Address Inputs - Rack'!$E$512</definedName>
    <definedName name="sample_wld_az1_rack6_secondary_storage_vlan">'Network Inputs - Rack'!$C$226</definedName>
    <definedName name="sample_wld_az1_rack6_tor1_peer_asn">'Network Inputs - Rack'!$C$237</definedName>
    <definedName name="sample_wld_az1_rack6_tor1_peer_bgp_password">'Network Inputs - Rack'!$C$238</definedName>
    <definedName name="sample_wld_az1_rack6_tor1_peer_ip">'Network Inputs - Rack'!$C$236</definedName>
    <definedName name="sample_wld_az1_rack6_tor2_peer_asn">'Network Inputs - Rack'!$C$240</definedName>
    <definedName name="sample_wld_az1_rack6_tor2_peer_bgp_password">'Network Inputs - Rack'!$C$241</definedName>
    <definedName name="sample_wld_az1_rack6_tor2_peer_ip">'Network Inputs - Rack'!$C$239</definedName>
    <definedName name="sample_wld_az1_rack6_uplink01_cidr">'Network Inputs - Rack'!$E$228</definedName>
    <definedName name="sample_wld_az1_rack6_uplink01_gateway_ip">'Network Inputs - Rack'!$G$228</definedName>
    <definedName name="sample_wld_az1_rack6_uplink01_mtu">'Network Inputs - Rack'!$I$228</definedName>
    <definedName name="sample_wld_az1_rack6_uplink01_pg">'SDDC Inputs - Rack'!$C$253</definedName>
    <definedName name="sample_wld_az1_rack6_uplink01_vlan">'Network Inputs - Rack'!$C$228</definedName>
    <definedName name="sample_wld_az1_rack6_uplink02_cidr">'Network Inputs - Rack'!$E$229</definedName>
    <definedName name="sample_wld_az1_rack6_uplink02_gateway_ip">'Network Inputs - Rack'!$G$229</definedName>
    <definedName name="sample_wld_az1_rack6_uplink02_mtu">'Network Inputs - Rack'!$I$229</definedName>
    <definedName name="sample_wld_az1_rack6_uplink02_pg">'SDDC Inputs - Rack'!$C$254</definedName>
    <definedName name="sample_wld_az1_rack6_uplink02_vlan">'Network Inputs - Rack'!$C$229</definedName>
    <definedName name="sample_wld_az1_rack6_vmotion_cidr">'Network Inputs - Rack'!$E$223</definedName>
    <definedName name="sample_wld_az1_rack6_vmotion_gateway_ip">'Network Inputs - Rack'!$G$223</definedName>
    <definedName name="sample_wld_az1_rack6_vmotion_mtu">'Network Inputs - Rack'!$I$223</definedName>
    <definedName name="sample_wld_az1_rack6_vmotion_pool_end_ip">'Name &amp; IP Address Inputs - Rack'!$E$507</definedName>
    <definedName name="sample_wld_az1_rack6_vmotion_pool_start_ip">'Name &amp; IP Address Inputs - Rack'!$E$506</definedName>
    <definedName name="sample_wld_az1_rack6_vmotion_vlan">'Network Inputs - Rack'!$C$223</definedName>
    <definedName name="sample_wld_az1_rack6_vrms_cidr">'Network Inputs - Rack'!$E$227</definedName>
    <definedName name="sample_wld_az1_rack6_vrms_gateway_ip">'Network Inputs - Rack'!$G$227</definedName>
    <definedName name="sample_wld_az1_rack6_vrms_mtu">'Network Inputs - Rack'!$I$227</definedName>
    <definedName name="sample_wld_az1_rack6_vrms_vlan">'Network Inputs - Rack'!$C$227</definedName>
    <definedName name="sample_wld_az1_rack6_vsan_fault_domain">'SDDC Inputs - Rack'!$C$263</definedName>
    <definedName name="sample_wld_az1_rack7_child_dns_zone">'Name &amp; IP Address Inputs - Rack'!$D$521</definedName>
    <definedName name="sample_wld_az1_rack7_edge_overlay_cidr">'Network Inputs - Rack'!$E$255</definedName>
    <definedName name="sample_wld_az1_rack7_edge_overlay_gateway_ip">'Network Inputs - Rack'!$G$255</definedName>
    <definedName name="sample_wld_az1_rack7_edge_overlay_mtu">'Network Inputs - Rack'!$I$255</definedName>
    <definedName name="sample_wld_az1_rack7_edge_overlay_network_pool_name">'SDDC Inputs - Rack'!$C$292</definedName>
    <definedName name="sample_wld_az1_rack7_edge_overlay_pool_end_ip">'Name &amp; IP Address Inputs - Rack'!$E$575</definedName>
    <definedName name="sample_wld_az1_rack7_edge_overlay_pool_start_ip">'Name &amp; IP Address Inputs - Rack'!$E$574</definedName>
    <definedName name="sample_wld_az1_rack7_edge_overlay_vlan">'Network Inputs - Rack'!$C$255</definedName>
    <definedName name="sample_wld_az1_rack7_en1_hostname">'Name &amp; IP Address Inputs - Rack'!$C$558</definedName>
    <definedName name="sample_wld_az1_rack7_en1_mgmt_ip">'Name &amp; IP Address Inputs - Rack'!$E$558</definedName>
    <definedName name="sample_wld_az1_rack7_en1_uplink01_interface_ip">'Name &amp; IP Address Inputs - Rack'!$E$559</definedName>
    <definedName name="sample_wld_az1_rack7_en1_uplink02_interface_ip">'Name &amp; IP Address Inputs - Rack'!$E$560</definedName>
    <definedName name="sample_wld_az1_rack7_en2_hostname">'Name &amp; IP Address Inputs - Rack'!$C$561</definedName>
    <definedName name="sample_wld_az1_rack7_en2_mgmt_ip">'Name &amp; IP Address Inputs - Rack'!$E$561</definedName>
    <definedName name="sample_wld_az1_rack7_en2_uplink01_interface_ip">'Name &amp; IP Address Inputs - Rack'!$E$562</definedName>
    <definedName name="sample_wld_az1_rack7_en2_uplink02_interface_ip">'Name &amp; IP Address Inputs - Rack'!$E$563</definedName>
    <definedName name="sample_wld_az1_rack7_host_hostnames">'Name &amp; IP Address Inputs - Rack'!$C$524:$C$539</definedName>
    <definedName name="sample_wld_az1_rack7_host_mgmt_ips">'Name &amp; IP Address Inputs - Rack'!$E$524:$E$539</definedName>
    <definedName name="sample_wld_az1_rack7_host_overlay_cidr">'Network Inputs - Rack'!$E$250</definedName>
    <definedName name="sample_wld_az1_rack7_host_overlay_gateway_ip">'Network Inputs - Rack'!$G$250</definedName>
    <definedName name="sample_wld_az1_rack7_host_overlay_mtu">'Network Inputs - Rack'!$I$250</definedName>
    <definedName name="sample_wld_az1_rack7_host_overlay_network_pool_name">'SDDC Inputs - Rack'!$C$290</definedName>
    <definedName name="sample_wld_az1_rack7_host_overlay_network_profile_name">'SDDC Inputs - Rack'!$C$289</definedName>
    <definedName name="sample_wld_az1_rack7_host_overlay_pool_end_ip">'Name &amp; IP Address Inputs - Rack'!$E$571</definedName>
    <definedName name="sample_wld_az1_rack7_host_overlay_pool_start_ip">'Name &amp; IP Address Inputs - Rack'!$E$570</definedName>
    <definedName name="sample_wld_az1_rack7_host_overlay_uplink_profile_name">'SDDC Inputs - Rack'!$C$291</definedName>
    <definedName name="sample_wld_az1_rack7_host_overlay_vlan">'Network Inputs - Rack'!$C$250</definedName>
    <definedName name="sample_wld_az1_rack7_host1_function">'SDDC Inputs - Rack'!$C$299</definedName>
    <definedName name="sample_wld_az1_rack7_host1_hostname">'Name &amp; IP Address Inputs - Rack'!$C$524</definedName>
    <definedName name="sample_wld_az1_rack7_host1_mgmt_ip">'Name &amp; IP Address Inputs - Rack'!$E$524</definedName>
    <definedName name="sample_wld_az1_rack7_host1_vrms_ip">'Name &amp; IP Address Inputs - Rack'!$E$541</definedName>
    <definedName name="sample_wld_az1_rack7_host10_function">'SDDC Inputs - Rack'!$C$308</definedName>
    <definedName name="sample_wld_az1_rack7_host10_hostname">'Name &amp; IP Address Inputs - Rack'!$C$533</definedName>
    <definedName name="sample_wld_az1_rack7_host10_mgmt_ip">'Name &amp; IP Address Inputs - Rack'!$E$533</definedName>
    <definedName name="sample_wld_az1_rack7_host10_vrms_ip">'Name &amp; IP Address Inputs - Rack'!$E$550</definedName>
    <definedName name="sample_wld_az1_rack7_host11_function">'SDDC Inputs - Rack'!$C$309</definedName>
    <definedName name="sample_wld_az1_rack7_host11_hostname">'Name &amp; IP Address Inputs - Rack'!$C$534</definedName>
    <definedName name="sample_wld_az1_rack7_host11_mgmt_ip">'Name &amp; IP Address Inputs - Rack'!$E$534</definedName>
    <definedName name="sample_wld_az1_rack7_host11_vrms_ip">'Name &amp; IP Address Inputs - Rack'!$E$551</definedName>
    <definedName name="sample_wld_az1_rack7_host12_function">'SDDC Inputs - Rack'!$C$310</definedName>
    <definedName name="sample_wld_az1_rack7_host12_hostname">'Name &amp; IP Address Inputs - Rack'!$C$535</definedName>
    <definedName name="sample_wld_az1_rack7_host12_mgmt_ip">'Name &amp; IP Address Inputs - Rack'!$E$535</definedName>
    <definedName name="sample_wld_az1_rack7_host12_vrms_ip">'Name &amp; IP Address Inputs - Rack'!$E$552</definedName>
    <definedName name="sample_wld_az1_rack7_host13_function">'SDDC Inputs - Rack'!$C$311</definedName>
    <definedName name="sample_wld_az1_rack7_host13_hostname">'Name &amp; IP Address Inputs - Rack'!$C$536</definedName>
    <definedName name="sample_wld_az1_rack7_host13_mgmt_ip">'Name &amp; IP Address Inputs - Rack'!$E$536</definedName>
    <definedName name="sample_wld_az1_rack7_host13_vrms_ip">'Name &amp; IP Address Inputs - Rack'!$E$553</definedName>
    <definedName name="sample_wld_az1_rack7_host14_function">'SDDC Inputs - Rack'!$C$312</definedName>
    <definedName name="sample_wld_az1_rack7_host14_hostname">'Name &amp; IP Address Inputs - Rack'!$C$537</definedName>
    <definedName name="sample_wld_az1_rack7_host14_mgmt_ip">'Name &amp; IP Address Inputs - Rack'!$E$537</definedName>
    <definedName name="sample_wld_az1_rack7_host14_vrms_ip">'Name &amp; IP Address Inputs - Rack'!$E$554</definedName>
    <definedName name="sample_wld_az1_rack7_host15_function">'SDDC Inputs - Rack'!$C$313</definedName>
    <definedName name="sample_wld_az1_rack7_host15_hostname">'Name &amp; IP Address Inputs - Rack'!$C$538</definedName>
    <definedName name="sample_wld_az1_rack7_host15_mgmt_ip">'Name &amp; IP Address Inputs - Rack'!$E$538</definedName>
    <definedName name="sample_wld_az1_rack7_host15_vrms_ip">'Name &amp; IP Address Inputs - Rack'!$E$555</definedName>
    <definedName name="sample_wld_az1_rack7_host16_function">'SDDC Inputs - Rack'!$C$314</definedName>
    <definedName name="sample_wld_az1_rack7_host16_hostname">'Name &amp; IP Address Inputs - Rack'!$C$539</definedName>
    <definedName name="sample_wld_az1_rack7_host16_mgmt_ip">'Name &amp; IP Address Inputs - Rack'!$E$539</definedName>
    <definedName name="sample_wld_az1_rack7_host16_vrms_ip">'Name &amp; IP Address Inputs - Rack'!$E$556</definedName>
    <definedName name="sample_wld_az1_rack7_host2_function">'SDDC Inputs - Rack'!$C$300</definedName>
    <definedName name="sample_wld_az1_rack7_host2_hostname">'Name &amp; IP Address Inputs - Rack'!$C$525</definedName>
    <definedName name="sample_wld_az1_rack7_host2_mgmt_ip">'Name &amp; IP Address Inputs - Rack'!$E$525</definedName>
    <definedName name="sample_wld_az1_rack7_host2_vrms_ip">'Name &amp; IP Address Inputs - Rack'!$E$542</definedName>
    <definedName name="sample_wld_az1_rack7_host3_function">'SDDC Inputs - Rack'!$C$301</definedName>
    <definedName name="sample_wld_az1_rack7_host3_hostname">'Name &amp; IP Address Inputs - Rack'!$C$526</definedName>
    <definedName name="sample_wld_az1_rack7_host3_mgmt_ip">'Name &amp; IP Address Inputs - Rack'!$E$526</definedName>
    <definedName name="sample_wld_az1_rack7_host3_vrms_ip">'Name &amp; IP Address Inputs - Rack'!$E$543</definedName>
    <definedName name="sample_wld_az1_rack7_host4_function">'SDDC Inputs - Rack'!$C$302</definedName>
    <definedName name="sample_wld_az1_rack7_host4_hostname">'Name &amp; IP Address Inputs - Rack'!$C$527</definedName>
    <definedName name="sample_wld_az1_rack7_host4_mgmt_ip">'Name &amp; IP Address Inputs - Rack'!$E$527</definedName>
    <definedName name="sample_wld_az1_rack7_host4_vrms_ip">'Name &amp; IP Address Inputs - Rack'!$E$544</definedName>
    <definedName name="sample_wld_az1_rack7_host5_function">'SDDC Inputs - Rack'!$C$303</definedName>
    <definedName name="sample_wld_az1_rack7_host5_hostname">'Name &amp; IP Address Inputs - Rack'!$C$528</definedName>
    <definedName name="sample_wld_az1_rack7_host5_mgmt_ip">'Name &amp; IP Address Inputs - Rack'!$E$528</definedName>
    <definedName name="sample_wld_az1_rack7_host5_vrms_ip">'Name &amp; IP Address Inputs - Rack'!$E$545</definedName>
    <definedName name="sample_wld_az1_rack7_host6_function">'SDDC Inputs - Rack'!$C$304</definedName>
    <definedName name="sample_wld_az1_rack7_host6_hostname">'Name &amp; IP Address Inputs - Rack'!$C$529</definedName>
    <definedName name="sample_wld_az1_rack7_host6_mgmt_ip">'Name &amp; IP Address Inputs - Rack'!$E$529</definedName>
    <definedName name="sample_wld_az1_rack7_host6_vrms_ip">'Name &amp; IP Address Inputs - Rack'!$E$546</definedName>
    <definedName name="sample_wld_az1_rack7_host7_function">'SDDC Inputs - Rack'!$C$305</definedName>
    <definedName name="sample_wld_az1_rack7_host7_hostname">'Name &amp; IP Address Inputs - Rack'!$C$530</definedName>
    <definedName name="sample_wld_az1_rack7_host7_mgmt_ip">'Name &amp; IP Address Inputs - Rack'!$E$530</definedName>
    <definedName name="sample_wld_az1_rack7_host7_vrms_ip">'Name &amp; IP Address Inputs - Rack'!$E$547</definedName>
    <definedName name="sample_wld_az1_rack7_host8_function">'SDDC Inputs - Rack'!$C$306</definedName>
    <definedName name="sample_wld_az1_rack7_host8_hostname">'Name &amp; IP Address Inputs - Rack'!$C$531</definedName>
    <definedName name="sample_wld_az1_rack7_host8_mgmt_ip">'Name &amp; IP Address Inputs - Rack'!$E$531</definedName>
    <definedName name="sample_wld_az1_rack7_host8_vrms_ip">'Name &amp; IP Address Inputs - Rack'!$E$548</definedName>
    <definedName name="sample_wld_az1_rack7_host9_function">'SDDC Inputs - Rack'!$C$307</definedName>
    <definedName name="sample_wld_az1_rack7_host9_hostname">'Name &amp; IP Address Inputs - Rack'!$C$532</definedName>
    <definedName name="sample_wld_az1_rack7_host9_mgmt_ip">'Name &amp; IP Address Inputs - Rack'!$E$532</definedName>
    <definedName name="sample_wld_az1_rack7_host9_vrms_ip">'Name &amp; IP Address Inputs - Rack'!$E$549</definedName>
    <definedName name="sample_wld_az1_rack7_mgmt_cidr">'Network Inputs - Rack'!$E$247</definedName>
    <definedName name="sample_wld_az1_rack7_mgmt_gateway_ip">'Network Inputs - Rack'!$G$247</definedName>
    <definedName name="sample_wld_az1_rack7_mgmt_mtu">'Network Inputs - Rack'!$I$247</definedName>
    <definedName name="sample_wld_az1_rack7_mgmt_vlan">'Network Inputs - Rack'!$C$247</definedName>
    <definedName name="sample_wld_az1_rack7_mgmt_vm_cidr">'Network Inputs - Rack'!$E$246</definedName>
    <definedName name="sample_wld_az1_rack7_mgmt_vm_gateway_ip">'Network Inputs - Rack'!$G$246</definedName>
    <definedName name="sample_wld_az1_rack7_mgmt_vm_mtu">'Network Inputs - Rack'!$I$246</definedName>
    <definedName name="sample_wld_az1_rack7_mgmt_vm_vlan">'Network Inputs - Rack'!$C$246</definedName>
    <definedName name="sample_wld_az1_rack7_pool_name">'SDDC Inputs - Rack'!$C$288</definedName>
    <definedName name="sample_wld_az1_rack7_principal_storage_cidr">'Network Inputs - Rack'!$E$249</definedName>
    <definedName name="sample_wld_az1_rack7_principal_storage_gateway_ip">'Network Inputs - Rack'!$G$249</definedName>
    <definedName name="sample_wld_az1_rack7_principal_storage_mtu">'Network Inputs - Rack'!$I$249</definedName>
    <definedName name="sample_wld_az1_rack7_principal_storage_pool_end_ip">'Name &amp; IP Address Inputs - Rack'!$E$569</definedName>
    <definedName name="sample_wld_az1_rack7_principal_storage_pool_start_ip">'Name &amp; IP Address Inputs - Rack'!$E$568</definedName>
    <definedName name="sample_wld_az1_rack7_principal_storage_vlan">'Network Inputs - Rack'!$C$249</definedName>
    <definedName name="sample_wld_az1_rack7_rtep_ip_pool_name">'SDDC Inputs - Rack'!$C$293</definedName>
    <definedName name="sample_wld_az1_rack7_rtep_overlay_cidr">'Network Inputs - Rack'!$E$256</definedName>
    <definedName name="sample_wld_az1_rack7_rtep_overlay_gateway_ip">'Network Inputs - Rack'!$G$256</definedName>
    <definedName name="sample_wld_az1_rack7_rtep_overlay_mtu">'Network Inputs - Rack'!$I$256</definedName>
    <definedName name="sample_wld_az1_rack7_rtep_overlay_pool_end_ip">'Name &amp; IP Address Inputs - Rack'!$E$577</definedName>
    <definedName name="sample_wld_az1_rack7_rtep_overlay_pool_start_ip">'Name &amp; IP Address Inputs - Rack'!$E$576</definedName>
    <definedName name="sample_wld_az1_rack7_rtep_overlay_vlan">'Network Inputs - Rack'!$C$256</definedName>
    <definedName name="sample_wld_az1_rack7_secondary_storage_cidr">'Network Inputs - Rack'!$E$251</definedName>
    <definedName name="sample_wld_az1_rack7_secondary_storage_gateway_ip">'Network Inputs - Rack'!$G$251</definedName>
    <definedName name="sample_wld_az1_rack7_secondary_storage_mtu">'Network Inputs - Rack'!$I$251</definedName>
    <definedName name="sample_wld_az1_rack7_secondary_storage_pool_end_ip">'Name &amp; IP Address Inputs - Rack'!$E$573</definedName>
    <definedName name="sample_wld_az1_rack7_secondary_storage_pool_start_ip">'Name &amp; IP Address Inputs - Rack'!$E$572</definedName>
    <definedName name="sample_wld_az1_rack7_secondary_storage_vlan">'Network Inputs - Rack'!$C$251</definedName>
    <definedName name="sample_wld_az1_rack7_tor1_peer_asn">'Network Inputs - Rack'!$C$262</definedName>
    <definedName name="sample_wld_az1_rack7_tor1_peer_bgp_password">'Network Inputs - Rack'!$C$263</definedName>
    <definedName name="sample_wld_az1_rack7_tor1_peer_ip">'Network Inputs - Rack'!$C$261</definedName>
    <definedName name="sample_wld_az1_rack7_tor2_peer_asn">'Network Inputs - Rack'!$C$265</definedName>
    <definedName name="sample_wld_az1_rack7_tor2_peer_bgp_password">'Network Inputs - Rack'!$C$266</definedName>
    <definedName name="sample_wld_az1_rack7_tor2_peer_ip">'Network Inputs - Rack'!$C$264</definedName>
    <definedName name="sample_wld_az1_rack7_uplink01_cidr">'Network Inputs - Rack'!$E$253</definedName>
    <definedName name="sample_wld_az1_rack7_uplink01_gateway_ip">'Network Inputs - Rack'!$G$253</definedName>
    <definedName name="sample_wld_az1_rack7_uplink01_mtu">'Network Inputs - Rack'!$I$253</definedName>
    <definedName name="sample_wld_az1_rack7_uplink01_pg">'SDDC Inputs - Rack'!$C$286</definedName>
    <definedName name="sample_wld_az1_rack7_uplink01_vlan">'Network Inputs - Rack'!$C$253</definedName>
    <definedName name="sample_wld_az1_rack7_uplink02_cidr">'Network Inputs - Rack'!$E$254</definedName>
    <definedName name="sample_wld_az1_rack7_uplink02_gateway_ip">'Network Inputs - Rack'!$G$254</definedName>
    <definedName name="sample_wld_az1_rack7_uplink02_mtu">'Network Inputs - Rack'!$I$254</definedName>
    <definedName name="sample_wld_az1_rack7_uplink02_pg">'SDDC Inputs - Rack'!$C$287</definedName>
    <definedName name="sample_wld_az1_rack7_uplink02_vlan">'Network Inputs - Rack'!$C$254</definedName>
    <definedName name="sample_wld_az1_rack7_vmotion_cidr">'Network Inputs - Rack'!$E$248</definedName>
    <definedName name="sample_wld_az1_rack7_vmotion_gateway_ip">'Network Inputs - Rack'!$G$248</definedName>
    <definedName name="sample_wld_az1_rack7_vmotion_mtu">'Network Inputs - Rack'!$I$248</definedName>
    <definedName name="sample_wld_az1_rack7_vmotion_pool_end_ip">'Name &amp; IP Address Inputs - Rack'!$E$567</definedName>
    <definedName name="sample_wld_az1_rack7_vmotion_pool_start_ip">'Name &amp; IP Address Inputs - Rack'!$E$566</definedName>
    <definedName name="sample_wld_az1_rack7_vmotion_vlan">'Network Inputs - Rack'!$C$248</definedName>
    <definedName name="sample_wld_az1_rack7_vrms_cidr">'Network Inputs - Rack'!$E$252</definedName>
    <definedName name="sample_wld_az1_rack7_vrms_gateway_ip">'Network Inputs - Rack'!$G$252</definedName>
    <definedName name="sample_wld_az1_rack7_vrms_mtu">'Network Inputs - Rack'!$I$252</definedName>
    <definedName name="sample_wld_az1_rack7_vrms_vlan">'Network Inputs - Rack'!$C$252</definedName>
    <definedName name="sample_wld_az1_rack7_vsan_fault_domain">'SDDC Inputs - Rack'!$C$296</definedName>
    <definedName name="sample_wld_az1_rack8_child_dns_zone">'Name &amp; IP Address Inputs - Rack'!$D$581</definedName>
    <definedName name="sample_wld_az1_rack8_edge_overlay_cidr">'Network Inputs - Rack'!$E$280</definedName>
    <definedName name="sample_wld_az1_rack8_edge_overlay_gateway_ip">'Network Inputs - Rack'!$G$280</definedName>
    <definedName name="sample_wld_az1_rack8_edge_overlay_mtu">'Network Inputs - Rack'!$I$280</definedName>
    <definedName name="sample_wld_az1_rack8_edge_overlay_network_pool_name">'SDDC Inputs - Rack'!$C$324</definedName>
    <definedName name="sample_wld_az1_rack8_edge_overlay_pool_end_ip">'Name &amp; IP Address Inputs - Rack'!$E$635</definedName>
    <definedName name="sample_wld_az1_rack8_edge_overlay_pool_start_ip">'Name &amp; IP Address Inputs - Rack'!$E$634</definedName>
    <definedName name="sample_wld_az1_rack8_edge_overlay_vlan">'Network Inputs - Rack'!$C$280</definedName>
    <definedName name="sample_wld_az1_rack8_en1_hostname">'Name &amp; IP Address Inputs - Rack'!$C$618</definedName>
    <definedName name="sample_wld_az1_rack8_en1_mgmt_ip">'Name &amp; IP Address Inputs - Rack'!$E$618</definedName>
    <definedName name="sample_wld_az1_rack8_en1_uplink01_interface_ip">'Name &amp; IP Address Inputs - Rack'!$E$619</definedName>
    <definedName name="sample_wld_az1_rack8_en1_uplink02_interface_ip">'Name &amp; IP Address Inputs - Rack'!$E$620</definedName>
    <definedName name="sample_wld_az1_rack8_en2_hostname">'Name &amp; IP Address Inputs - Rack'!$C$621</definedName>
    <definedName name="sample_wld_az1_rack8_en2_mgmt_ip">'Name &amp; IP Address Inputs - Rack'!$E$621</definedName>
    <definedName name="sample_wld_az1_rack8_en2_uplink01_interface_ip">'Name &amp; IP Address Inputs - Rack'!$E$622</definedName>
    <definedName name="sample_wld_az1_rack8_en2_uplink02_interface_ip">'Name &amp; IP Address Inputs - Rack'!$E$623</definedName>
    <definedName name="sample_wld_az1_rack8_host_hostnames">'Name &amp; IP Address Inputs - Rack'!$C$584:$C$599</definedName>
    <definedName name="sample_wld_az1_rack8_host_mgmt_ips">'Name &amp; IP Address Inputs - Rack'!$E$584:$E$599</definedName>
    <definedName name="sample_wld_az1_rack8_host_overlay_cidr">'Network Inputs - Rack'!$E$275</definedName>
    <definedName name="sample_wld_az1_rack8_host_overlay_gateway_ip">'Network Inputs - Rack'!$G$275</definedName>
    <definedName name="sample_wld_az1_rack8_host_overlay_mtu">'Network Inputs - Rack'!$I$275</definedName>
    <definedName name="sample_wld_az1_rack8_host_overlay_network_pool_name">'SDDC Inputs - Rack'!$C$322</definedName>
    <definedName name="sample_wld_az1_rack8_host_overlay_network_profile_name">'SDDC Inputs - Rack'!$C$321</definedName>
    <definedName name="sample_wld_az1_rack8_host_overlay_pool_end_ip">'Name &amp; IP Address Inputs - Rack'!$E$631</definedName>
    <definedName name="sample_wld_az1_rack8_host_overlay_pool_start_ip">'Name &amp; IP Address Inputs - Rack'!$E$630</definedName>
    <definedName name="sample_wld_az1_rack8_host_overlay_uplink_profile_name">'SDDC Inputs - Rack'!$C$323</definedName>
    <definedName name="sample_wld_az1_rack8_host_overlay_vlan">'Network Inputs - Rack'!$C$275</definedName>
    <definedName name="sample_wld_az1_rack8_host1_function">'SDDC Inputs - Rack'!$C$331</definedName>
    <definedName name="sample_wld_az1_rack8_host1_hostname">'Name &amp; IP Address Inputs - Rack'!$C$584</definedName>
    <definedName name="sample_wld_az1_rack8_host1_mgmt_ip">'Name &amp; IP Address Inputs - Rack'!$E$584</definedName>
    <definedName name="sample_wld_az1_rack8_host1_vrms_ip">'Name &amp; IP Address Inputs - Rack'!$E$601</definedName>
    <definedName name="sample_wld_az1_rack8_host10_function">'SDDC Inputs - Rack'!$C$340</definedName>
    <definedName name="sample_wld_az1_rack8_host10_hostname">'Name &amp; IP Address Inputs - Rack'!$C$593</definedName>
    <definedName name="sample_wld_az1_rack8_host10_mgmt_ip">'Name &amp; IP Address Inputs - Rack'!$E$593</definedName>
    <definedName name="sample_wld_az1_rack8_host10_vrms_ip">'Name &amp; IP Address Inputs - Rack'!$E$610</definedName>
    <definedName name="sample_wld_az1_rack8_host11_function">'SDDC Inputs - Rack'!$C$341</definedName>
    <definedName name="sample_wld_az1_rack8_host11_hostname">'Name &amp; IP Address Inputs - Rack'!$C$594</definedName>
    <definedName name="sample_wld_az1_rack8_host11_mgmt_ip">'Name &amp; IP Address Inputs - Rack'!$E$594</definedName>
    <definedName name="sample_wld_az1_rack8_host11_vrms_ip">'Name &amp; IP Address Inputs - Rack'!$E$611</definedName>
    <definedName name="sample_wld_az1_rack8_host12_function">'SDDC Inputs - Rack'!$C$342</definedName>
    <definedName name="sample_wld_az1_rack8_host12_hostname">'Name &amp; IP Address Inputs - Rack'!$C$595</definedName>
    <definedName name="sample_wld_az1_rack8_host12_mgmt_ip">'Name &amp; IP Address Inputs - Rack'!$E$595</definedName>
    <definedName name="sample_wld_az1_rack8_host12_vrms_ip">'Name &amp; IP Address Inputs - Rack'!$E$612</definedName>
    <definedName name="sample_wld_az1_rack8_host13_function">'SDDC Inputs - Rack'!$C$343</definedName>
    <definedName name="sample_wld_az1_rack8_host13_hostname">'Name &amp; IP Address Inputs - Rack'!$C$596</definedName>
    <definedName name="sample_wld_az1_rack8_host13_mgmt_ip">'Name &amp; IP Address Inputs - Rack'!$E$596</definedName>
    <definedName name="sample_wld_az1_rack8_host13_vrms_ip">'Name &amp; IP Address Inputs - Rack'!$E$613</definedName>
    <definedName name="sample_wld_az1_rack8_host14_function">'SDDC Inputs - Rack'!$C$344</definedName>
    <definedName name="sample_wld_az1_rack8_host14_hostname">'Name &amp; IP Address Inputs - Rack'!$C$597</definedName>
    <definedName name="sample_wld_az1_rack8_host14_mgmt_ip">'Name &amp; IP Address Inputs - Rack'!$E$597</definedName>
    <definedName name="sample_wld_az1_rack8_host14_vrms_ip">'Name &amp; IP Address Inputs - Rack'!$E$614</definedName>
    <definedName name="sample_wld_az1_rack8_host15_function">'SDDC Inputs - Rack'!$C$345</definedName>
    <definedName name="sample_wld_az1_rack8_host15_hostname">'Name &amp; IP Address Inputs - Rack'!$C$598</definedName>
    <definedName name="sample_wld_az1_rack8_host15_mgmt_ip">'Name &amp; IP Address Inputs - Rack'!$E$598</definedName>
    <definedName name="sample_wld_az1_rack8_host15_vrms_ip">'Name &amp; IP Address Inputs - Rack'!$E$615</definedName>
    <definedName name="sample_wld_az1_rack8_host16_function">'SDDC Inputs - Rack'!$C$346</definedName>
    <definedName name="sample_wld_az1_rack8_host16_hostname">'Name &amp; IP Address Inputs - Rack'!$C$599</definedName>
    <definedName name="sample_wld_az1_rack8_host16_mgmt_ip">'Name &amp; IP Address Inputs - Rack'!$E$599</definedName>
    <definedName name="sample_wld_az1_rack8_host16_vrms_ip">'Name &amp; IP Address Inputs - Rack'!$E$616</definedName>
    <definedName name="sample_wld_az1_rack8_host2_function">'SDDC Inputs - Rack'!$C$332</definedName>
    <definedName name="sample_wld_az1_rack8_host2_hostname">'Name &amp; IP Address Inputs - Rack'!$C$585</definedName>
    <definedName name="sample_wld_az1_rack8_host2_mgmt_ip">'Name &amp; IP Address Inputs - Rack'!$E$585</definedName>
    <definedName name="sample_wld_az1_rack8_host2_vrms_ip">'Name &amp; IP Address Inputs - Rack'!$E$602</definedName>
    <definedName name="sample_wld_az1_rack8_host3_function">'SDDC Inputs - Rack'!$C$333</definedName>
    <definedName name="sample_wld_az1_rack8_host3_hostname">'Name &amp; IP Address Inputs - Rack'!$C$586</definedName>
    <definedName name="sample_wld_az1_rack8_host3_mgmt_ip">'Name &amp; IP Address Inputs - Rack'!$E$586</definedName>
    <definedName name="sample_wld_az1_rack8_host3_vrms_ip">'Name &amp; IP Address Inputs - Rack'!$E$603</definedName>
    <definedName name="sample_wld_az1_rack8_host4_function">'SDDC Inputs - Rack'!$C$334</definedName>
    <definedName name="sample_wld_az1_rack8_host4_hostname">'Name &amp; IP Address Inputs - Rack'!$C$587</definedName>
    <definedName name="sample_wld_az1_rack8_host4_mgmt_ip">'Name &amp; IP Address Inputs - Rack'!$E$587</definedName>
    <definedName name="sample_wld_az1_rack8_host4_vrms_ip">'Name &amp; IP Address Inputs - Rack'!$E$604</definedName>
    <definedName name="sample_wld_az1_rack8_host5_function">'SDDC Inputs - Rack'!$C$335</definedName>
    <definedName name="sample_wld_az1_rack8_host5_hostname">'Name &amp; IP Address Inputs - Rack'!$C$588</definedName>
    <definedName name="sample_wld_az1_rack8_host5_mgmt_ip">'Name &amp; IP Address Inputs - Rack'!$E$588</definedName>
    <definedName name="sample_wld_az1_rack8_host5_vrms_ip">'Name &amp; IP Address Inputs - Rack'!$E$605</definedName>
    <definedName name="sample_wld_az1_rack8_host6_function">'SDDC Inputs - Rack'!$C$336</definedName>
    <definedName name="sample_wld_az1_rack8_host6_hostname">'Name &amp; IP Address Inputs - Rack'!$C$589</definedName>
    <definedName name="sample_wld_az1_rack8_host6_mgmt_ip">'Name &amp; IP Address Inputs - Rack'!$E$589</definedName>
    <definedName name="sample_wld_az1_rack8_host6_vrms_ip">'Name &amp; IP Address Inputs - Rack'!$E$606</definedName>
    <definedName name="sample_wld_az1_rack8_host7_function">'SDDC Inputs - Rack'!$C$337</definedName>
    <definedName name="sample_wld_az1_rack8_host7_hostname">'Name &amp; IP Address Inputs - Rack'!$C$590</definedName>
    <definedName name="sample_wld_az1_rack8_host7_mgmt_ip">'Name &amp; IP Address Inputs - Rack'!$E$590</definedName>
    <definedName name="sample_wld_az1_rack8_host7_vrms_ip">'Name &amp; IP Address Inputs - Rack'!$E$607</definedName>
    <definedName name="sample_wld_az1_rack8_host8_function">'SDDC Inputs - Rack'!$C$338</definedName>
    <definedName name="sample_wld_az1_rack8_host8_hostname">'Name &amp; IP Address Inputs - Rack'!$C$591</definedName>
    <definedName name="sample_wld_az1_rack8_host8_mgmt_ip">'Name &amp; IP Address Inputs - Rack'!$E$591</definedName>
    <definedName name="sample_wld_az1_rack8_host8_vrms_ip">'Name &amp; IP Address Inputs - Rack'!$E$608</definedName>
    <definedName name="sample_wld_az1_rack8_host9_function">'SDDC Inputs - Rack'!$C$339</definedName>
    <definedName name="sample_wld_az1_rack8_host9_hostname">'Name &amp; IP Address Inputs - Rack'!$C$592</definedName>
    <definedName name="sample_wld_az1_rack8_host9_mgmt_ip">'Name &amp; IP Address Inputs - Rack'!$E$592</definedName>
    <definedName name="sample_wld_az1_rack8_host9_vrms_ip">'Name &amp; IP Address Inputs - Rack'!$E$609</definedName>
    <definedName name="sample_wld_az1_rack8_mgmt_cidr">'Network Inputs - Rack'!$E$272</definedName>
    <definedName name="sample_wld_az1_rack8_mgmt_gateway_ip">'Network Inputs - Rack'!$G$272</definedName>
    <definedName name="sample_wld_az1_rack8_mgmt_mtu">'Network Inputs - Rack'!$I$272</definedName>
    <definedName name="sample_wld_az1_rack8_mgmt_vlan">'Network Inputs - Rack'!$C$272</definedName>
    <definedName name="sample_wld_az1_rack8_mgmt_vm_cidr">'Network Inputs - Rack'!$E$271</definedName>
    <definedName name="sample_wld_az1_rack8_mgmt_vm_gateway_ip">'Network Inputs - Rack'!$G$271</definedName>
    <definedName name="sample_wld_az1_rack8_mgmt_vm_mtu">'Network Inputs - Rack'!$I$271</definedName>
    <definedName name="sample_wld_az1_rack8_mgmt_vm_vlan">'Network Inputs - Rack'!$C$271</definedName>
    <definedName name="sample_wld_az1_rack8_pool_name">'SDDC Inputs - Rack'!$C$320</definedName>
    <definedName name="sample_wld_az1_rack8_principal_storage_cidr">'Network Inputs - Rack'!$E$274</definedName>
    <definedName name="sample_wld_az1_rack8_principal_storage_gateway_ip">'Network Inputs - Rack'!$G$274</definedName>
    <definedName name="sample_wld_az1_rack8_principal_storage_mtu">'Network Inputs - Rack'!$I$274</definedName>
    <definedName name="sample_wld_az1_rack8_principal_storage_pool_end_ip">'Name &amp; IP Address Inputs - Rack'!$E$629</definedName>
    <definedName name="sample_wld_az1_rack8_principal_storage_pool_start_ip">'Name &amp; IP Address Inputs - Rack'!$E$628</definedName>
    <definedName name="sample_wld_az1_rack8_principal_storage_vlan">'Network Inputs - Rack'!$C$274</definedName>
    <definedName name="sample_wld_az1_rack8_rtep_ip_pool_name">'SDDC Inputs - Rack'!$C$325</definedName>
    <definedName name="sample_wld_az1_rack8_rtep_overlay_cidr">'Network Inputs - Rack'!$E$281</definedName>
    <definedName name="sample_wld_az1_rack8_rtep_overlay_gateway_ip">'Network Inputs - Rack'!$G$281</definedName>
    <definedName name="sample_wld_az1_rack8_rtep_overlay_mtu">'Network Inputs - Rack'!$I$281</definedName>
    <definedName name="sample_wld_az1_rack8_rtep_overlay_pool_end_ip">'Name &amp; IP Address Inputs - Rack'!$E$637</definedName>
    <definedName name="sample_wld_az1_rack8_rtep_overlay_pool_start_ip">'Name &amp; IP Address Inputs - Rack'!$E$636</definedName>
    <definedName name="sample_wld_az1_rack8_rtep_overlay_vlan">'Network Inputs - Rack'!$C$281</definedName>
    <definedName name="sample_wld_az1_rack8_secondary_storage_cidr">'Network Inputs - Rack'!$E$276</definedName>
    <definedName name="sample_wld_az1_rack8_secondary_storage_gateway_ip">'Network Inputs - Rack'!$G$276</definedName>
    <definedName name="sample_wld_az1_rack8_secondary_storage_mtu">'Network Inputs - Rack'!$I$276</definedName>
    <definedName name="sample_wld_az1_rack8_secondary_storage_pool_end_ip">'Name &amp; IP Address Inputs - Rack'!$E$633</definedName>
    <definedName name="sample_wld_az1_rack8_secondary_storage_pool_start_ip">'Name &amp; IP Address Inputs - Rack'!$E$632</definedName>
    <definedName name="sample_wld_az1_rack8_secondary_storage_vlan">'Network Inputs - Rack'!$C$276</definedName>
    <definedName name="sample_wld_az1_rack8_tor1_peer_asn">'Network Inputs - Rack'!$C$287</definedName>
    <definedName name="sample_wld_az1_rack8_tor1_peer_bgp_password">'Network Inputs - Rack'!$C$288</definedName>
    <definedName name="sample_wld_az1_rack8_tor1_peer_ip">'Network Inputs - Rack'!$C$286</definedName>
    <definedName name="sample_wld_az1_rack8_tor2_peer_asn">'Network Inputs - Rack'!$C$290</definedName>
    <definedName name="sample_wld_az1_rack8_tor2_peer_bgp_password">'Network Inputs - Rack'!$C$291</definedName>
    <definedName name="sample_wld_az1_rack8_tor2_peer_ip">'Network Inputs - Rack'!$C$289</definedName>
    <definedName name="sample_wld_az1_rack8_uplink01_cidr">'Network Inputs - Rack'!$E$278</definedName>
    <definedName name="sample_wld_az1_rack8_uplink01_gateway_ip">'Network Inputs - Rack'!$G$278</definedName>
    <definedName name="sample_wld_az1_rack8_uplink01_mtu">'Network Inputs - Rack'!$I$278</definedName>
    <definedName name="sample_wld_az1_rack8_uplink01_pg">'SDDC Inputs - Rack'!$C$318</definedName>
    <definedName name="sample_wld_az1_rack8_uplink01_vlan">'Network Inputs - Rack'!$C$278</definedName>
    <definedName name="sample_wld_az1_rack8_uplink02_cidr">'Network Inputs - Rack'!$E$279</definedName>
    <definedName name="sample_wld_az1_rack8_uplink02_gateway_ip">'Network Inputs - Rack'!$G$279</definedName>
    <definedName name="sample_wld_az1_rack8_uplink02_mtu">'Network Inputs - Rack'!$I$279</definedName>
    <definedName name="sample_wld_az1_rack8_uplink02_pg">'SDDC Inputs - Rack'!$C$319</definedName>
    <definedName name="sample_wld_az1_rack8_uplink02_vlan">'Network Inputs - Rack'!$C$279</definedName>
    <definedName name="sample_wld_az1_rack8_vmotion_cidr">'Network Inputs - Rack'!$E$273</definedName>
    <definedName name="sample_wld_az1_rack8_vmotion_gateway_ip">'Network Inputs - Rack'!$G$273</definedName>
    <definedName name="sample_wld_az1_rack8_vmotion_mtu">'Network Inputs - Rack'!$I$273</definedName>
    <definedName name="sample_wld_az1_rack8_vmotion_pool_end_ip">'Name &amp; IP Address Inputs - Rack'!$E$627</definedName>
    <definedName name="sample_wld_az1_rack8_vmotion_pool_start_ip">'Name &amp; IP Address Inputs - Rack'!$E$626</definedName>
    <definedName name="sample_wld_az1_rack8_vmotion_vlan">'Network Inputs - Rack'!$C$273</definedName>
    <definedName name="sample_wld_az1_rack8_vrms_cidr">'Network Inputs - Rack'!$E$277</definedName>
    <definedName name="sample_wld_az1_rack8_vrms_gateway_ip">'Network Inputs - Rack'!$G$277</definedName>
    <definedName name="sample_wld_az1_rack8_vrms_mtu">'Network Inputs - Rack'!$I$277</definedName>
    <definedName name="sample_wld_az1_rack8_vrms_vlan">'Network Inputs - Rack'!$C$277</definedName>
    <definedName name="sample_wld_az1_rack8_vsan_fault_domain">'SDDC Inputs - Rack'!$C$328</definedName>
    <definedName name="sample_wld_az1_rtep_ip_pool_name">'SDDC Inputs - Rack'!$C$69</definedName>
    <definedName name="sample_wld_az1_rtep_overlay_cidr">'Network Inputs - Rack'!$E$78</definedName>
    <definedName name="sample_wld_az1_rtep_overlay_gateway_ip">'Network Inputs - Rack'!$G$78</definedName>
    <definedName name="sample_wld_az1_rtep_overlay_mtu">'Network Inputs - Rack'!$I$78</definedName>
    <definedName name="sample_wld_az1_rtep_overlay_vlan">'Network Inputs - Rack'!$C$78</definedName>
    <definedName name="sample_wld_az1_secondary_storage_cidr">'Network Inputs - Rack'!$E$73</definedName>
    <definedName name="sample_wld_az1_secondary_storage_gateway_ip">'Network Inputs - Rack'!$G$73</definedName>
    <definedName name="sample_wld_az1_secondary_storage_mtu">'Network Inputs - Rack'!$I$73</definedName>
    <definedName name="sample_wld_az1_secondary_storage_pool_end_ip">'Name &amp; IP Address Inputs - Rack'!$E$167</definedName>
    <definedName name="sample_wld_az1_secondary_storage_pool_start_ip">'Name &amp; IP Address Inputs - Rack'!$E$166</definedName>
    <definedName name="sample_wld_az1_secondary_storage_vlan">'Network Inputs - Rack'!$C$73</definedName>
    <definedName name="sample_wld_az1_sso_domain_administrator">'SDDC Inputs - Common'!$C$203</definedName>
    <definedName name="sample_wld_az1_sso_domain_name">'SDDC Inputs - Common'!$C$202</definedName>
    <definedName name="sample_wld_az1_tor1_peer_asn">'Network Inputs - Rack'!$C$84</definedName>
    <definedName name="sample_wld_az1_tor1_peer_bgp_password">'Network Inputs - Rack'!$C$85</definedName>
    <definedName name="sample_wld_az1_tor1_peer_ip">'Network Inputs - Rack'!$C$83</definedName>
    <definedName name="sample_wld_az1_tor2_peer_asn">'Network Inputs - Rack'!$C$87</definedName>
    <definedName name="sample_wld_az1_tor2_peer_bgp_password">'Network Inputs - Rack'!$C$88</definedName>
    <definedName name="sample_wld_az1_tor2_peer_ip">'Network Inputs - Rack'!$C$86</definedName>
    <definedName name="sample_wld_az1_uplink01_cidr">'Network Inputs - Rack'!$E$75</definedName>
    <definedName name="sample_wld_az1_uplink01_gateway_ip">'Network Inputs - Rack'!$G$75</definedName>
    <definedName name="sample_wld_az1_uplink01_mtu">'Network Inputs - Rack'!$I$75</definedName>
    <definedName name="sample_wld_az1_uplink01_vlan">'Network Inputs - Rack'!$C$75</definedName>
    <definedName name="sample_wld_az1_uplink02_cidr">'Network Inputs - Rack'!$E$76</definedName>
    <definedName name="sample_wld_az1_uplink02_gateway_ip">'Network Inputs - Rack'!$G$76</definedName>
    <definedName name="sample_wld_az1_uplink02_mtu">'Network Inputs - Rack'!$I$76</definedName>
    <definedName name="sample_wld_az1_uplink02_vlan">'Network Inputs - Rack'!$C$76</definedName>
    <definedName name="sample_wld_az1_vmotion_cidr">'Network Inputs - Rack'!$E$70</definedName>
    <definedName name="sample_wld_az1_vmotion_gateway_ip">'Network Inputs - Rack'!$G$70</definedName>
    <definedName name="sample_wld_az1_vmotion_mtu">'Network Inputs - Rack'!$I$70</definedName>
    <definedName name="sample_wld_az1_vmotion_pool_end_ip">'Name &amp; IP Address Inputs - Rack'!$E$161</definedName>
    <definedName name="sample_wld_az1_vmotion_pool_start_ip">'Name &amp; IP Address Inputs - Rack'!$E$160</definedName>
    <definedName name="sample_wld_az1_vmotion_vlan">'Network Inputs - Rack'!$C$70</definedName>
    <definedName name="sample_wld_az1_vrms_cidr">'Network Inputs - Rack'!$E$74</definedName>
    <definedName name="sample_wld_az1_vrms_gateway_ip">'Network Inputs - Rack'!$G$74</definedName>
    <definedName name="sample_wld_az1_vrms_mtu">'Network Inputs - Rack'!$I$74</definedName>
    <definedName name="sample_wld_az1_vrms_vlan">'Network Inputs - Rack'!$C$74</definedName>
    <definedName name="sample_wld_az2_edge_overlay_cidr">'Network Inputs - Rack'!$E$101</definedName>
    <definedName name="sample_wld_az2_edge_overlay_gateway_ip">'Network Inputs - Rack'!$G$101</definedName>
    <definedName name="sample_wld_az2_edge_overlay_mtu">'Network Inputs - Rack'!$I$101</definedName>
    <definedName name="sample_wld_az2_edge_overlay_vlan">'Network Inputs - Rack'!$C$101</definedName>
    <definedName name="sample_wld_az2_host_overlay_cidr">'Network Inputs - Rack'!$E$96</definedName>
    <definedName name="sample_wld_az2_host_overlay_gateway_ip">'Network Inputs - Rack'!$G$96</definedName>
    <definedName name="sample_wld_az2_host_overlay_mtu">'Network Inputs - Rack'!$I$96</definedName>
    <definedName name="sample_wld_az2_host_overlay_network_pool_name">'SDDC Inputs - Rack'!$C$97</definedName>
    <definedName name="sample_wld_az2_host_overlay_network_profile_name">'SDDC Inputs - Rack'!$C$96</definedName>
    <definedName name="sample_wld_az2_host_overlay_pool_end_ip">'Name &amp; IP Address Inputs - Rack'!$E$216</definedName>
    <definedName name="sample_wld_az2_host_overlay_pool_start_ip">'Name &amp; IP Address Inputs - Rack'!$E$215</definedName>
    <definedName name="sample_wld_az2_host_overlay_uplink_profile_name">'SDDC Inputs - Rack'!$C$98</definedName>
    <definedName name="sample_wld_az2_host_overlay_vlan">'Network Inputs - Rack'!$C$96</definedName>
    <definedName name="sample_wld_az2_host1_hostname">'Name &amp; IP Address Inputs - Rack'!$C$176</definedName>
    <definedName name="sample_wld_az2_host1_mgmt_ip">'Name &amp; IP Address Inputs - Rack'!$E$176</definedName>
    <definedName name="sample_wld_az2_host1_sddc_id">'SDDC Inputs - Common'!$C$286</definedName>
    <definedName name="sample_wld_az2_host1_vrms_ip">'Name &amp; IP Address Inputs - Rack'!$E$193</definedName>
    <definedName name="sample_wld_az2_host10_hostname">'Name &amp; IP Address Inputs - Rack'!$C$185</definedName>
    <definedName name="sample_wld_az2_host10_mgmt_ip">'Name &amp; IP Address Inputs - Rack'!$E$185</definedName>
    <definedName name="sample_wld_az2_host10_vrms_ip">'Name &amp; IP Address Inputs - Rack'!$E$202</definedName>
    <definedName name="sample_wld_az2_host11_hostname">'Name &amp; IP Address Inputs - Rack'!$C$186</definedName>
    <definedName name="sample_wld_az2_host11_mgmt_ip">'Name &amp; IP Address Inputs - Rack'!$E$186</definedName>
    <definedName name="sample_wld_az2_host11_vrms_ip">'Name &amp; IP Address Inputs - Rack'!$E$203</definedName>
    <definedName name="sample_wld_az2_host12_hostname">'Name &amp; IP Address Inputs - Rack'!$C$187</definedName>
    <definedName name="sample_wld_az2_host12_mgmt_ip">'Name &amp; IP Address Inputs - Rack'!$E$187</definedName>
    <definedName name="sample_wld_az2_host12_vrms_ip">'Name &amp; IP Address Inputs - Rack'!$E$204</definedName>
    <definedName name="sample_wld_az2_host13_hostname">'Name &amp; IP Address Inputs - Rack'!$C$188</definedName>
    <definedName name="sample_wld_az2_host13_mgmt_ip">'Name &amp; IP Address Inputs - Rack'!$E$188</definedName>
    <definedName name="sample_wld_az2_host13_vrms_ip">'Name &amp; IP Address Inputs - Rack'!$E$205</definedName>
    <definedName name="sample_wld_az2_host14_hostname">'Name &amp; IP Address Inputs - Rack'!$C$189</definedName>
    <definedName name="sample_wld_az2_host14_mgmt_ip">'Name &amp; IP Address Inputs - Rack'!$E$189</definedName>
    <definedName name="sample_wld_az2_host14_vrms_ip">'Name &amp; IP Address Inputs - Rack'!$E$206</definedName>
    <definedName name="sample_wld_az2_host15_hostname">'Name &amp; IP Address Inputs - Rack'!$C$190</definedName>
    <definedName name="sample_wld_az2_host15_mgmt_ip">'Name &amp; IP Address Inputs - Rack'!$E$190</definedName>
    <definedName name="sample_wld_az2_host15_vrms_ip">'Name &amp; IP Address Inputs - Rack'!$E$207</definedName>
    <definedName name="sample_wld_az2_host16_hostname">'Name &amp; IP Address Inputs - Rack'!$C$191</definedName>
    <definedName name="sample_wld_az2_host16_mgmt_ip">'Name &amp; IP Address Inputs - Rack'!$E$191</definedName>
    <definedName name="sample_wld_az2_host16_vrms_ip">'Name &amp; IP Address Inputs - Rack'!$E$208</definedName>
    <definedName name="sample_wld_az2_host2_hostname">'Name &amp; IP Address Inputs - Rack'!$C$177</definedName>
    <definedName name="sample_wld_az2_host2_mgmt_ip">'Name &amp; IP Address Inputs - Rack'!$E$177</definedName>
    <definedName name="sample_wld_az2_host2_sddc_id">'SDDC Inputs - Common'!$C$287</definedName>
    <definedName name="sample_wld_az2_host2_vrms_ip">'Name &amp; IP Address Inputs - Rack'!$E$194</definedName>
    <definedName name="sample_wld_az2_host3_hostname">'Name &amp; IP Address Inputs - Rack'!$C$178</definedName>
    <definedName name="sample_wld_az2_host3_mgmt_ip">'Name &amp; IP Address Inputs - Rack'!$E$178</definedName>
    <definedName name="sample_wld_az2_host3_sddc_id">'SDDC Inputs - Common'!$C$288</definedName>
    <definedName name="sample_wld_az2_host3_vrms_ip">'Name &amp; IP Address Inputs - Rack'!$E$195</definedName>
    <definedName name="sample_wld_az2_host4_hostname">'Name &amp; IP Address Inputs - Rack'!$C$179</definedName>
    <definedName name="sample_wld_az2_host4_mgmt_ip">'Name &amp; IP Address Inputs - Rack'!$E$179</definedName>
    <definedName name="sample_wld_az2_host4_sddc_id">'SDDC Inputs - Common'!$C$289</definedName>
    <definedName name="sample_wld_az2_host4_vrms_ip">'Name &amp; IP Address Inputs - Rack'!$E$196</definedName>
    <definedName name="sample_wld_az2_host5_hostname">'Name &amp; IP Address Inputs - Rack'!$C$180</definedName>
    <definedName name="sample_wld_az2_host5_mgmt_ip">'Name &amp; IP Address Inputs - Rack'!$E$180</definedName>
    <definedName name="sample_wld_az2_host5_vrms_ip">'Name &amp; IP Address Inputs - Rack'!$E$197</definedName>
    <definedName name="sample_wld_az2_host6_hostname">'Name &amp; IP Address Inputs - Rack'!$C$181</definedName>
    <definedName name="sample_wld_az2_host6_mgmt_ip">'Name &amp; IP Address Inputs - Rack'!$E$181</definedName>
    <definedName name="sample_wld_az2_host6_vrms_ip">'Name &amp; IP Address Inputs - Rack'!$E$198</definedName>
    <definedName name="sample_wld_az2_host7_hostname">'Name &amp; IP Address Inputs - Rack'!$C$182</definedName>
    <definedName name="sample_wld_az2_host7_mgmt_ip">'Name &amp; IP Address Inputs - Rack'!$E$182</definedName>
    <definedName name="sample_wld_az2_host7_vrms_ip">'Name &amp; IP Address Inputs - Rack'!$E$199</definedName>
    <definedName name="sample_wld_az2_host8_hostname">'Name &amp; IP Address Inputs - Rack'!$C$183</definedName>
    <definedName name="sample_wld_az2_host8_mgmt_ip">'Name &amp; IP Address Inputs - Rack'!$E$183</definedName>
    <definedName name="sample_wld_az2_host8_vrms_ip">'Name &amp; IP Address Inputs - Rack'!$E$200</definedName>
    <definedName name="sample_wld_az2_host9_hostname">'Name &amp; IP Address Inputs - Rack'!$C$184</definedName>
    <definedName name="sample_wld_az2_host9_mgmt_ip">'Name &amp; IP Address Inputs - Rack'!$E$184</definedName>
    <definedName name="sample_wld_az2_host9_vrms_ip">'Name &amp; IP Address Inputs - Rack'!$E$201</definedName>
    <definedName name="sample_wld_az2_mgmt_cidr">'Network Inputs - Rack'!$E$93</definedName>
    <definedName name="sample_wld_az2_mgmt_gateway_ip">'Network Inputs - Rack'!$G$93</definedName>
    <definedName name="sample_wld_az2_mgmt_mtu">'Network Inputs - Rack'!$I$93</definedName>
    <definedName name="sample_wld_az2_mgmt_vlan">'Network Inputs - Rack'!$C$93</definedName>
    <definedName name="sample_wld_az2_pool_name">'SDDC Inputs - Rack'!$C$95</definedName>
    <definedName name="sample_wld_az2_principal_storage_cidr">'Network Inputs - Rack'!$E$95</definedName>
    <definedName name="sample_wld_az2_principal_storage_gateway_ip">'Network Inputs - Rack'!$G$95</definedName>
    <definedName name="sample_wld_az2_principal_storage_mtu">'Network Inputs - Rack'!$I$95</definedName>
    <definedName name="sample_wld_az2_principal_storage_pool_end_ip">'Name &amp; IP Address Inputs - Rack'!$E$214</definedName>
    <definedName name="sample_wld_az2_principal_storage_pool_start_ip">'Name &amp; IP Address Inputs - Rack'!$E$213</definedName>
    <definedName name="sample_wld_az2_principal_storage_vlan">'Network Inputs - Rack'!$C$95</definedName>
    <definedName name="sample_wld_az2_rtep_overlay_cidr">'Network Inputs - Rack'!$E$102</definedName>
    <definedName name="sample_wld_az2_rtep_overlay_gateway_ip">'Network Inputs - Rack'!$G$102</definedName>
    <definedName name="sample_wld_az2_rtep_overlay_mtu">'Network Inputs - Rack'!$I$102</definedName>
    <definedName name="sample_wld_az2_rtep_overlay_vlan">'Network Inputs - Rack'!$C$102</definedName>
    <definedName name="sample_wld_az2_secondary_storage_cidr">'Network Inputs - Rack'!$E$97</definedName>
    <definedName name="sample_wld_az2_secondary_storage_gateway_ip">'Network Inputs - Rack'!$G$97</definedName>
    <definedName name="sample_wld_az2_secondary_storage_mtu">'Network Inputs - Rack'!$I$97</definedName>
    <definedName name="sample_wld_az2_secondary_storage_pool_end_ip">'Name &amp; IP Address Inputs - Rack'!$E$218</definedName>
    <definedName name="sample_wld_az2_secondary_storage_pool_start_ip">'Name &amp; IP Address Inputs - Rack'!$E$217</definedName>
    <definedName name="sample_wld_az2_secondary_storage_vlan">'Network Inputs - Rack'!$C$97</definedName>
    <definedName name="sample_wld_az2_tor1_peer_asn">'Network Inputs - Rack'!$C$107</definedName>
    <definedName name="sample_wld_az2_tor1_peer_bgp_password">'Network Inputs - Rack'!$C$108</definedName>
    <definedName name="sample_wld_az2_tor1_peer_ip">'Network Inputs - Rack'!$C$106</definedName>
    <definedName name="sample_wld_az2_tor2_peer_asn">'Network Inputs - Rack'!$C$110</definedName>
    <definedName name="sample_wld_az2_tor2_peer_bgp_password">'Network Inputs - Rack'!$C$111</definedName>
    <definedName name="sample_wld_az2_tor2_peer_ip">'Network Inputs - Rack'!$C$109</definedName>
    <definedName name="sample_wld_az2_uplink01_cidr">'Network Inputs - Rack'!$E$99</definedName>
    <definedName name="sample_wld_az2_uplink01_gateway_ip">'Network Inputs - Rack'!$G$99</definedName>
    <definedName name="sample_wld_az2_uplink01_mtu">'Network Inputs - Rack'!$I$99</definedName>
    <definedName name="sample_wld_az2_uplink01_vlan">'Network Inputs - Rack'!$C$99</definedName>
    <definedName name="sample_wld_az2_uplink02_cidr">'Network Inputs - Rack'!$E$100</definedName>
    <definedName name="sample_wld_az2_uplink02_gateway_ip">'Network Inputs - Rack'!$G$100</definedName>
    <definedName name="sample_wld_az2_uplink02_mtu">'Network Inputs - Rack'!$I$100</definedName>
    <definedName name="sample_wld_az2_uplink02_vlan">'Network Inputs - Rack'!$C$100</definedName>
    <definedName name="sample_wld_az2_vmotion_cidr">'Network Inputs - Rack'!$E$94</definedName>
    <definedName name="sample_wld_az2_vmotion_gateway_ip">'Network Inputs - Rack'!$G$94</definedName>
    <definedName name="sample_wld_az2_vmotion_mtu">'Network Inputs - Rack'!$I$94</definedName>
    <definedName name="sample_wld_az2_vmotion_pool_end_ip">'Name &amp; IP Address Inputs - Rack'!$E$212</definedName>
    <definedName name="sample_wld_az2_vmotion_pool_start_ip">'Name &amp; IP Address Inputs - Rack'!$E$211</definedName>
    <definedName name="sample_wld_az2_vmotion_vlan">'Network Inputs - Rack'!$C$94</definedName>
    <definedName name="sample_wld_az2_vrms_cidr">'Network Inputs - Rack'!$E$98</definedName>
    <definedName name="sample_wld_az2_vrms_gateway_ip">'Network Inputs - Rack'!$G$98</definedName>
    <definedName name="sample_wld_az2_vrms_mtu">'Network Inputs - Rack'!$I$98</definedName>
    <definedName name="sample_wld_az2_vrms_vlan">'Network Inputs - Rack'!$C$98</definedName>
    <definedName name="sample_wld_cl01_az1_mgmt_pg">'SDDC Inputs - Common'!$C$229</definedName>
    <definedName name="sample_wld_cl01_az1_mgmt_vm_pg">'SDDC Inputs - Common'!$C$228</definedName>
    <definedName name="sample_wld_cl01_az1_principal_storage_pg">'SDDC Inputs - Common'!$C$231</definedName>
    <definedName name="sample_wld_cl01_az1_uplink01_pg">'SDDC Inputs - Common'!$C$232</definedName>
    <definedName name="sample_wld_cl01_az1_uplink02_pg">'SDDC Inputs - Common'!$C$233</definedName>
    <definedName name="sample_wld_cl01_az1_vmotion_pg">'SDDC Inputs - Common'!$C$230</definedName>
    <definedName name="sample_wld_cl01_cluster">'SDDC Inputs - Common'!$C$214</definedName>
    <definedName name="sample_wld_cl01_cluster_sddc_id">'SDDC Inputs - Common'!$C$208</definedName>
    <definedName name="sample_wld_cl01_evc_mode">'SDDC Inputs - Common'!$C$215</definedName>
    <definedName name="sample_wld_cl01_nfs_datastore_name">'SDDC Inputs - Common'!$C$272</definedName>
    <definedName name="sample_wld_cl01_nfs_server_address">'SDDC Inputs - Common'!$C$274</definedName>
    <definedName name="sample_wld_cl01_nfs_share_path">'SDDC Inputs - Common'!$C$273</definedName>
    <definedName name="sample_wld_cl01_vds_profile">'SDDC Inputs - Common'!$C$218</definedName>
    <definedName name="sample_wld_cl01_vds01_mtu">'SDDC Inputs - Common'!$C$221</definedName>
    <definedName name="sample_wld_cl01_vds01_name">'SDDC Inputs - Common'!$C$219</definedName>
    <definedName name="sample_wld_cl01_vds01_pnics">'SDDC Inputs - Common'!$C$220</definedName>
    <definedName name="sample_wld_cl01_vds02_mtu">'SDDC Inputs - Common'!$C$224</definedName>
    <definedName name="sample_wld_cl01_vds02_name">'SDDC Inputs - Common'!$C$222</definedName>
    <definedName name="sample_wld_cl01_vds02_pnics">'SDDC Inputs - Common'!$C$223</definedName>
    <definedName name="sample_wld_cl01_vds03_mtu">'SDDC Inputs - Common'!$C$227</definedName>
    <definedName name="sample_wld_cl01_vds03_name">'SDDC Inputs - Common'!$C$225</definedName>
    <definedName name="sample_wld_cl01_vds03_pnics">'SDDC Inputs - Common'!$C$226</definedName>
    <definedName name="sample_wld_cl01_vmfs_datastore_name">'SDDC Inputs - Common'!$C$265</definedName>
    <definedName name="sample_wld_cl01_vsan_datastore">'SDDC Inputs - Common'!$C$262</definedName>
    <definedName name="sample_wld_cl01_vsan_dedupe_compression">'SDDC Inputs - Common'!$C$264</definedName>
    <definedName name="sample_wld_cl01_vsan_ftt">'SDDC Inputs - Common'!$C$263</definedName>
    <definedName name="sample_wld_cl01_vvols_datastore_name">'SDDC Inputs - Common'!$C$266</definedName>
    <definedName name="sample_wld_cl02_az1_mgmt_pg">'SDDC Inputs - Common'!$C$324</definedName>
    <definedName name="sample_wld_cl02_az1_mgmt_vm_pg">'SDDC Inputs - Common'!$C$323</definedName>
    <definedName name="sample_wld_cl02_az1_principal_storage_pg">'SDDC Inputs - Common'!$C$326</definedName>
    <definedName name="sample_wld_cl02_az1_uplink01_pg">'SDDC Inputs - Common'!$C$327</definedName>
    <definedName name="sample_wld_cl02_az1_uplink02_pg">'SDDC Inputs - Common'!$C$328</definedName>
    <definedName name="sample_wld_cl02_az1_vmotion_pg">'SDDC Inputs - Common'!$C$325</definedName>
    <definedName name="sample_wld_cl02_cluster">'SDDC Inputs - Common'!$C$301</definedName>
    <definedName name="sample_wld_cl02_evc_mode">'SDDC Inputs - Common'!$C$302</definedName>
    <definedName name="sample_wld_cl02_nfs_datastore_name">'SDDC Inputs - Common'!$C$308</definedName>
    <definedName name="sample_wld_cl02_nfs_server_address">'SDDC Inputs - Common'!$C$310</definedName>
    <definedName name="sample_wld_cl02_nfs_share_path">'SDDC Inputs - Common'!$C$309</definedName>
    <definedName name="sample_wld_cl02_vds_profile">'SDDC Inputs - Common'!$C$313</definedName>
    <definedName name="sample_wld_cl02_vds01_mtu">'SDDC Inputs - Common'!$C$316</definedName>
    <definedName name="sample_wld_cl02_vds01_name">'SDDC Inputs - Common'!$C$314</definedName>
    <definedName name="sample_wld_cl02_vds01_pnics">'SDDC Inputs - Common'!$C$315</definedName>
    <definedName name="sample_wld_cl02_vds02_mtu">'SDDC Inputs - Common'!$C$319</definedName>
    <definedName name="sample_wld_cl02_vds02_name">'SDDC Inputs - Common'!$C$317</definedName>
    <definedName name="sample_wld_cl02_vds02_pnics">'SDDC Inputs - Common'!$C$318</definedName>
    <definedName name="sample_wld_cl02_vds03_mtu">'SDDC Inputs - Common'!$C$322</definedName>
    <definedName name="sample_wld_cl02_vds03_name">'SDDC Inputs - Common'!$C$320</definedName>
    <definedName name="sample_wld_cl02_vds03_pnics">'SDDC Inputs - Common'!$C$321</definedName>
    <definedName name="sample_wld_cl02_vsan_datastore">'SDDC Inputs - Common'!$C$305</definedName>
    <definedName name="sample_wld_cl02_vsan_dedupe_compression">'SDDC Inputs - Common'!$C$307</definedName>
    <definedName name="sample_wld_cl02_vsan_ftt">'SDDC Inputs - Common'!$C$306</definedName>
    <definedName name="sample_wld_cl03_az1_mgmt_pg">'SDDC Inputs - Common'!$C$356</definedName>
    <definedName name="sample_wld_cl03_az1_mgmt_vm_pg">'SDDC Inputs - Common'!$C$355</definedName>
    <definedName name="sample_wld_cl03_az1_principal_storage_pg">'SDDC Inputs - Common'!$C$358</definedName>
    <definedName name="sample_wld_cl03_az1_uplink01_pg">'SDDC Inputs - Common'!$C$359</definedName>
    <definedName name="sample_wld_cl03_az1_uplink02_pg">'SDDC Inputs - Common'!$C$360</definedName>
    <definedName name="sample_wld_cl03_az1_vmotion_pg">'SDDC Inputs - Common'!$C$357</definedName>
    <definedName name="sample_wld_cl03_cluster">'SDDC Inputs - Common'!$C$333</definedName>
    <definedName name="sample_wld_cl03_evc_mode">'SDDC Inputs - Common'!$C$334</definedName>
    <definedName name="sample_wld_cl03_nfs_datastore_name">'SDDC Inputs - Common'!$C$340</definedName>
    <definedName name="sample_wld_cl03_nfs_server_address">'SDDC Inputs - Common'!$C$342</definedName>
    <definedName name="sample_wld_cl03_nfs_share_path">'SDDC Inputs - Common'!$C$341</definedName>
    <definedName name="sample_wld_cl03_vds_profile">'SDDC Inputs - Common'!$C$345</definedName>
    <definedName name="sample_wld_cl03_vds01_mtu">'SDDC Inputs - Common'!$C$348</definedName>
    <definedName name="sample_wld_cl03_vds01_name">'SDDC Inputs - Common'!$C$346</definedName>
    <definedName name="sample_wld_cl03_vds01_pnics">'SDDC Inputs - Common'!$C$347</definedName>
    <definedName name="sample_wld_cl03_vds02_mtu">'SDDC Inputs - Common'!$C$351</definedName>
    <definedName name="sample_wld_cl03_vds02_name">'SDDC Inputs - Common'!$C$349</definedName>
    <definedName name="sample_wld_cl03_vds02_pnics">'SDDC Inputs - Common'!$C$350</definedName>
    <definedName name="sample_wld_cl03_vds03_mtu">'SDDC Inputs - Common'!$C$354</definedName>
    <definedName name="sample_wld_cl03_vds03_name">'SDDC Inputs - Common'!$C$352</definedName>
    <definedName name="sample_wld_cl03_vds03_pnics">'SDDC Inputs - Common'!$C$353</definedName>
    <definedName name="sample_wld_cl03_vsan_datastore">'SDDC Inputs - Common'!$C$337</definedName>
    <definedName name="sample_wld_cl03_vsan_dedupe_compression">'SDDC Inputs - Common'!$C$339</definedName>
    <definedName name="sample_wld_cl03_vsan_ftt">'SDDC Inputs - Common'!$C$338</definedName>
    <definedName name="sample_wld_cloud_account_name">'SDDC Inputs - Common'!$C$497</definedName>
    <definedName name="sample_wld_cluster">'SDDC Inputs - Common'!$C$214</definedName>
    <definedName name="sample_wld_datacenter">'SDDC Inputs - Common'!$C$211</definedName>
    <definedName name="sample_wld_datacenter_moref">'SDDC Inputs - Common'!$C$503</definedName>
    <definedName name="sample_wld_ec_formfactor">'SDDC Inputs - Common'!$C$239</definedName>
    <definedName name="sample_wld_ec_name">'SDDC Inputs - Common'!$C$237</definedName>
    <definedName name="sample_wld_ec_profile_name">'SDDC Inputs - Common'!$C$236</definedName>
    <definedName name="sample_wld_ec_profile_type">'SDDC Inputs - Common'!$C$238</definedName>
    <definedName name="sample_wld_en_asn">'Network Inputs - Rack'!$C$82</definedName>
    <definedName name="sample_wld_existing_active_nsx_gm">'SDDC Inputs - Common'!$C$254</definedName>
    <definedName name="sample_wld_existing_cross_instance_t0_name">'SDDC Inputs - Common'!$C$255</definedName>
    <definedName name="sample_wld_nsxt_federation_global_manager_name">'SDDC Inputs - Common'!$C$250</definedName>
    <definedName name="sample_wld_nsxt_federation_location_name">'SDDC Inputs - Common'!$C$251</definedName>
    <definedName name="sample_wld_nsxt_global_mgr_anti_affinity_rule_name">'SDDC Inputs - Common'!$C$248</definedName>
    <definedName name="sample_wld_nsxt_global_mgr_certificate_id">'SDDC Inputs - Common'!$C$249</definedName>
    <definedName name="sample_wld_nsxt_global_mgr_cluster_id">'SDDC Inputs - Common'!$C$246</definedName>
    <definedName name="sample_wld_nsxt_global_mgr_vmca_signed_thumbprint">'SDDC Inputs - Common'!$C$247</definedName>
    <definedName name="sample_wld_nsxt_global_mgra_hostname">'Name &amp; IP Address Inputs - VM'!$D$69</definedName>
    <definedName name="sample_wld_nsxt_global_mgra_ip">'Name &amp; IP Address Inputs - VM'!$F$69</definedName>
    <definedName name="sample_wld_nsxt_global_mgrb_hostname">'Name &amp; IP Address Inputs - VM'!$D$70</definedName>
    <definedName name="sample_wld_nsxt_global_mgrb_ip">'Name &amp; IP Address Inputs - VM'!$F$70</definedName>
    <definedName name="sample_wld_nsxt_global_mgrc_hostname">'Name &amp; IP Address Inputs - VM'!$D$71</definedName>
    <definedName name="sample_wld_nsxt_global_mgrc_ip">'Name &amp; IP Address Inputs - VM'!$F$71</definedName>
    <definedName name="sample_wld_nsxt_gm_fingerprint">'SDDC Inputs - Common'!$C$253</definedName>
    <definedName name="sample_wld_nsxt_gm_hostname">'Name &amp; IP Address Inputs - VM'!$D$68</definedName>
    <definedName name="sample_wld_nsxt_gm_ip">'Name &amp; IP Address Inputs - VM'!$F$68</definedName>
    <definedName name="sample_wld_nsxt_hostname">'Name &amp; IP Address Inputs - VM'!$D$64</definedName>
    <definedName name="sample_wld_nsxt_ip">'Name &amp; IP Address Inputs - VM'!$F$64</definedName>
    <definedName name="sample_wld_nsxt_lm_fingerprint">'SDDC Inputs - Common'!$C$245</definedName>
    <definedName name="sample_wld_nsxt_mgra_hostname">'Name &amp; IP Address Inputs - VM'!$D$65</definedName>
    <definedName name="sample_wld_nsxt_mgra_ip">'Name &amp; IP Address Inputs - VM'!$F$65</definedName>
    <definedName name="sample_wld_nsxt_mgrb_hostname">'Name &amp; IP Address Inputs - VM'!$D$66</definedName>
    <definedName name="sample_wld_nsxt_mgrb_ip">'Name &amp; IP Address Inputs - VM'!$F$66</definedName>
    <definedName name="sample_wld_nsxt_mgrc_hostname">'Name &amp; IP Address Inputs - VM'!$D$67</definedName>
    <definedName name="sample_wld_nsxt_mgrc_ip">'Name &amp; IP Address Inputs - VM'!$F$67</definedName>
    <definedName name="sample_wld_nsxt_xreg_t1_name">'SDDC Inputs - Common'!$C$252</definedName>
    <definedName name="sample_wld_rack2_en_asn">'Network Inputs - Rack'!$C$135</definedName>
    <definedName name="sample_wld_rack3_en_asn">'Network Inputs - Rack'!$C$160</definedName>
    <definedName name="sample_wld_rack4_en_asn">'Network Inputs - Rack'!$C$185</definedName>
    <definedName name="sample_wld_rack5_en_asn">'Network Inputs - Rack'!$C$210</definedName>
    <definedName name="sample_wld_rack6_en_asn">'Network Inputs - Rack'!$C$235</definedName>
    <definedName name="sample_wld_rack7_en_asn">'Network Inputs - Rack'!$C$260</definedName>
    <definedName name="sample_wld_rack8_en_asn">'Network Inputs - Rack'!$C$285</definedName>
    <definedName name="sample_wld_rtep_ip_pool_name">'SDDC Inputs - Common'!$C$244</definedName>
    <definedName name="sample_wld_rtep_overlay_pool_end_ip">'Name &amp; IP Address Inputs - Rack'!$E$171</definedName>
    <definedName name="sample_wld_rtep_overlay_pool_start_ip">'Name &amp; IP Address Inputs - Rack'!$E$170</definedName>
    <definedName name="sample_wld_sddc_domain">'SDDC Inputs - Common'!$C$200</definedName>
    <definedName name="sample_wld_sddc_org">'SDDC Inputs - Common'!$C$201</definedName>
    <definedName name="sample_wld_srm_admin_email">'SDDC Inputs - Common'!$C$577</definedName>
    <definedName name="sample_wld_srm_admin_password">'SDDC Inputs - Common'!$C$574</definedName>
    <definedName name="sample_wld_srm_database_password">'SDDC Inputs - Common'!$C$575</definedName>
    <definedName name="sample_wld_srm_hostname">'Name &amp; IP Address Inputs - VM'!$D$146</definedName>
    <definedName name="sample_wld_srm_ip">'Name &amp; IP Address Inputs - VM'!$F$146</definedName>
    <definedName name="sample_wld_srm_p12_password">'SDDC Inputs - Common'!$C$578</definedName>
    <definedName name="sample_wld_srm_recovery_vcenter_fqdn">'SDDC Inputs - Common'!$C$580</definedName>
    <definedName name="sample_wld_srm_recovery_vcenter_password">'SDDC Inputs - Common'!$C$582</definedName>
    <definedName name="sample_wld_srm_recovery_vcenter_username">'SDDC Inputs - Common'!$C$581</definedName>
    <definedName name="sample_wld_srm_root_password">'SDDC Inputs - Common'!$C$573</definedName>
    <definedName name="sample_wld_srm_site_name">'SDDC Inputs - Common'!$C$576</definedName>
    <definedName name="sample_wld_srm_sso_domain_membership">'SDDC Inputs - Common'!$C$584</definedName>
    <definedName name="sample_wld_srm_vm_folder">'SDDC Inputs - Common'!$C$572</definedName>
    <definedName name="sample_wld_srm_vm_size">'Management Domain Sizing Inputs'!$D$71</definedName>
    <definedName name="sample_wld_tier0_name">'SDDC Inputs - Common'!$C$240</definedName>
    <definedName name="sample_wld_tier1_name">'SDDC Inputs - Common'!$C$241</definedName>
    <definedName name="sample_wld_user_vm_rp">'SDDC Inputs - Common'!$C$281</definedName>
    <definedName name="sample_wld_vc_hostname">'Name &amp; IP Address Inputs - VM'!$D$63</definedName>
    <definedName name="sample_wld_vc_ip">'Name &amp; IP Address Inputs - VM'!$F$63</definedName>
    <definedName name="sample_wld_vds_name">'SDDC Inputs - Common'!$C$219</definedName>
    <definedName name="sample_wld_vra_storage_folder">'SDDC Inputs - Common'!$C$500</definedName>
    <definedName name="sample_wld_vra_storage_readonly_folder">'SDDC Inputs - Common'!$C$501</definedName>
    <definedName name="sample_wld_vra_vm_folder">'SDDC Inputs - Common'!$C$498</definedName>
    <definedName name="sample_wld_vra_vm_rp">'SDDC Inputs - Common'!$C$499</definedName>
    <definedName name="sample_wld_vrms_admin_email">'SDDC Inputs - Common'!$C$568</definedName>
    <definedName name="sample_wld_vrms_admin_password">'SDDC Inputs - Common'!$C$566</definedName>
    <definedName name="sample_wld_vrms_hostname">'Name &amp; IP Address Inputs - VM'!$D$144</definedName>
    <definedName name="sample_wld_vrms_mgmt_ip">'Name &amp; IP Address Inputs - VM'!$F$144</definedName>
    <definedName name="sample_wld_vrms_p12_password">'SDDC Inputs - Common'!$C$570</definedName>
    <definedName name="sample_wld_vrms_pg">'SDDC Inputs - Common'!$C$569</definedName>
    <definedName name="sample_wld_vrms_recovery_replication_cidr">'SDDC Inputs - Common'!$C$583</definedName>
    <definedName name="sample_wld_vrms_root_password">'SDDC Inputs - Common'!$C$565</definedName>
    <definedName name="sample_wld_vrms_site_name">'SDDC Inputs - Common'!$C$567</definedName>
    <definedName name="sample_wld_vrms_vm_folder">'SDDC Inputs - Common'!$C$564</definedName>
    <definedName name="sample_wld_vrms_vrms_ip">'Name &amp; IP Address Inputs - VM'!$F$145</definedName>
    <definedName name="sample_wld_vsan_datastore">'SDDC Inputs - Common'!$C$262</definedName>
    <definedName name="sample_wld_vvols_vasa_provider_container_name">'SDDC Inputs - Common'!$C$271</definedName>
    <definedName name="sample_wld_vvols_vasa_provider_name">'SDDC Inputs - Common'!$C$267</definedName>
    <definedName name="sample_wld_vvols_vasa_provider_password">'SDDC Inputs - Common'!$C$270</definedName>
    <definedName name="sample_wld_vvols_vasa_provider_url">'SDDC Inputs - Common'!$C$268</definedName>
    <definedName name="sample_wld_vvols_vasa_provider_username">'SDDC Inputs - Common'!$C$269</definedName>
    <definedName name="sample_wld_witness_cluster">'SDDC Inputs - Common'!$C$294</definedName>
    <definedName name="sample_wld_witness_hostname">'Name &amp; IP Address Inputs - VM'!$D$81</definedName>
    <definedName name="sample_wld_witness_ip">'Name &amp; IP Address Inputs - VM'!$F$81</definedName>
    <definedName name="sample_wld_witness_mgmt_pg">'SDDC Inputs - Common'!$C$296</definedName>
    <definedName name="sample_wld_witness_root_password">'SDDC Inputs - Common'!$C$65</definedName>
    <definedName name="sample_wld_witness_sddc_domain">'SDDC Inputs - Common'!$C$292</definedName>
    <definedName name="sample_wld_witness_vm_folder">'SDDC Inputs - Common'!$C$295</definedName>
    <definedName name="sample_wld_witness_vsan_datastore">'SDDC Inputs - Common'!$C$293</definedName>
    <definedName name="sample_wld_witness_zone_vc_hostname">'Name &amp; IP Address Inputs - VM'!$D$80</definedName>
    <definedName name="sample_wld_witness_zone_vc_ip">'Name &amp; IP Address Inputs - VM'!$F$80</definedName>
    <definedName name="sample_wld_witnessaz_cidr">'VI Workload Domain'!$C$477</definedName>
    <definedName name="sample_wld_witnessaz_mgmt_cidr">'Network Inputs - Rack'!$E$116</definedName>
    <definedName name="sample_wld_witnessaz_mgmt_gateway_ip">'Network Inputs - Rack'!$G$116</definedName>
    <definedName name="sample_wld_witnessaz_mgmt_mtu">'Network Inputs - Rack'!$I$116</definedName>
    <definedName name="sample_wld_witnessaz_mgmt_vlan">'Network Inputs - Rack'!$C$116</definedName>
    <definedName name="sample_xreg_configadmin_email">'SDDC Inputs - Common'!$C$396</definedName>
    <definedName name="sample_xreg_customer_connect_email">'SDDC Inputs - Common'!$C$377</definedName>
    <definedName name="sample_xreg_customer_connect_password">'SDDC Inputs - Common'!$C$378</definedName>
    <definedName name="sample_xreg_existing_vrslcm_fqdn">'SDDC Inputs - Common'!$C$376</definedName>
    <definedName name="sample_xreg_seg01_cidr">'Network Inputs - Rack'!$E$22</definedName>
    <definedName name="sample_xreg_seg01_gateway_ip">'Network Inputs - Rack'!$G$22</definedName>
    <definedName name="sample_xreg_seg01_mtu">'Network Inputs - Rack'!$I$22</definedName>
    <definedName name="sample_xreg_seg01_name">'SDDC Inputs - Common'!$C$95</definedName>
    <definedName name="sample_xreg_seg01_vlan">'Network Inputs - Rack'!$C$22</definedName>
    <definedName name="sample_xreg_vra_anti_affinity_rule">'SDDC Inputs - Common'!$C$494</definedName>
    <definedName name="sample_xreg_vra_appliance_size">'Management Domain Sizing Inputs'!$D$67</definedName>
    <definedName name="sample_xreg_vra_cloud_account_cloud_capability_tag">'SDDC Inputs - Common'!$C$504</definedName>
    <definedName name="sample_xreg_vra_cloud_account_region_capability_tag">'SDDC Inputs - Common'!$C$505</definedName>
    <definedName name="sample_xreg_vra_k8s_cluster_cidr">'Network Inputs - VVS'!$C$22</definedName>
    <definedName name="sample_xreg_vra_k8s_service_cidr">'Network Inputs - VVS'!$C$23</definedName>
    <definedName name="sample_xreg_vra_nodea_hostname">'Name &amp; IP Address Inputs - VM'!$D$123</definedName>
    <definedName name="sample_xreg_vra_nodea_ip">'Name &amp; IP Address Inputs - VM'!$F$123</definedName>
    <definedName name="sample_xreg_vra_nodeb_hostname">'Name &amp; IP Address Inputs - VM'!$D$124</definedName>
    <definedName name="sample_xreg_vra_nodeb_ip">'Name &amp; IP Address Inputs - VM'!$F$124</definedName>
    <definedName name="sample_xreg_vra_nodec_hostname">'Name &amp; IP Address Inputs - VM'!$D$125</definedName>
    <definedName name="sample_xreg_vra_nodec_ip">'Name &amp; IP Address Inputs - VM'!$F$125</definedName>
    <definedName name="sample_xreg_vra_org_name">'SDDC Inputs - Common'!$C$502</definedName>
    <definedName name="sample_xreg_vra_root_password">'SDDC Inputs - Common'!$C$492</definedName>
    <definedName name="sample_xreg_vra_root_password_alias">'SDDC Inputs - Common'!$C$491</definedName>
    <definedName name="sample_xreg_vra_smtp_sender_email_address">'SDDC Inputs - Common'!$C$507</definedName>
    <definedName name="sample_xreg_vra_smtp_sender_name">'SDDC Inputs - Common'!$C$506</definedName>
    <definedName name="sample_xreg_vra_virtual_hostname">'Name &amp; IP Address Inputs - VM'!$D$122</definedName>
    <definedName name="sample_xreg_vra_virtual_ip">'Name &amp; IP Address Inputs - VM'!$F$122</definedName>
    <definedName name="sample_xreg_vra_vm_folder">'SDDC Inputs - Common'!$C$493</definedName>
    <definedName name="sample_xreg_vra_vm_vm_rule">'SDDC Inputs - Common'!$C$495</definedName>
    <definedName name="sample_xreg_vrni_consoleuser_password">'SDDC Inputs - Common'!$C$484</definedName>
    <definedName name="sample_xreg_vrni_consoleuser_password_alias">'SDDC Inputs - Common'!$C$483</definedName>
    <definedName name="sample_xreg_vrni_deployment_type">'SDDC Inputs - Common'!$C$485</definedName>
    <definedName name="sample_xreg_vrni_nodea_hostname">'Name &amp; IP Address Inputs - VM'!$D$117</definedName>
    <definedName name="sample_xreg_vrni_nodea_ip">'Name &amp; IP Address Inputs - VM'!$F$117</definedName>
    <definedName name="sample_xreg_vrni_platform_node_size">'Management Domain Sizing Inputs'!$D$64</definedName>
    <definedName name="sample_xreg_vrni_root_password">'SDDC Inputs - Common'!$C$480</definedName>
    <definedName name="sample_xreg_vrni_root_password_alias">'SDDC Inputs - Common'!$C$479</definedName>
    <definedName name="sample_xreg_vrni_support_password">'SDDC Inputs - Common'!$C$482</definedName>
    <definedName name="sample_xreg_vrni_support_password_alias">'SDDC Inputs - Common'!$C$481</definedName>
    <definedName name="sample_xreg_vrops_appliance_size">'Management Domain Sizing Inputs'!$D$61</definedName>
    <definedName name="sample_xreg_vrops_currency">'SDDC Inputs - Common'!$C$451</definedName>
    <definedName name="sample_xreg_vrops_nodea_hostname">'Name &amp; IP Address Inputs - VM'!$D$109</definedName>
    <definedName name="sample_xreg_vrops_nodea_ip">'Name &amp; IP Address Inputs - VM'!$F$109</definedName>
    <definedName name="sample_xreg_vrops_nodeb_hostname">'Name &amp; IP Address Inputs - VM'!$D$110</definedName>
    <definedName name="sample_xreg_vrops_nodeb_ip">'Name &amp; IP Address Inputs - VM'!$F$110</definedName>
    <definedName name="sample_xreg_vrops_nodec_hostname">'Name &amp; IP Address Inputs - VM'!$D$111</definedName>
    <definedName name="sample_xreg_vrops_nodec_ip">'Name &amp; IP Address Inputs - VM'!$F$111</definedName>
    <definedName name="sample_xreg_vrops_notification_delay">'SDDC Inputs - Common'!$C$457</definedName>
    <definedName name="sample_xreg_vrops_notification_interval">'SDDC Inputs - Common'!$C$455</definedName>
    <definedName name="sample_xreg_vrops_notification_max">'SDDC Inputs - Common'!$C$456</definedName>
    <definedName name="sample_xreg_vrops_rc_size">'Management Domain Sizing Inputs'!$D$62</definedName>
    <definedName name="sample_xreg_vrops_root_password">'SDDC Inputs - Common'!$C$449</definedName>
    <definedName name="sample_xreg_vrops_root_password_alias">'SDDC Inputs - Common'!$C$448</definedName>
    <definedName name="sample_xreg_vrops_smtp_receiver_email_address">'SDDC Inputs - Common'!$C$454</definedName>
    <definedName name="sample_xreg_vrops_smtp_sender_email_address">'SDDC Inputs - Common'!$C$453</definedName>
    <definedName name="sample_xreg_vrops_smtp_sender_name">'SDDC Inputs - Common'!$C$452</definedName>
    <definedName name="sample_xreg_vrops_srm_sso_password">'SDDC Inputs - Common'!$C$518</definedName>
    <definedName name="sample_xreg_vrops_srm_sso_username">'SDDC Inputs - Common'!$C$517</definedName>
    <definedName name="sample_xreg_vrops_virtual_hostname">'Name &amp; IP Address Inputs - VM'!$D$108</definedName>
    <definedName name="sample_xreg_vrops_virtual_ip">'Name &amp; IP Address Inputs - VM'!$F$108</definedName>
    <definedName name="sample_xreg_vrops_vm_folder">'SDDC Inputs - Common'!$C$450</definedName>
    <definedName name="sample_xreg_vrops_vrms_sso_password">'SDDC Inputs - Common'!$C$516</definedName>
    <definedName name="sample_xreg_vrops_vrms_sso_username">'SDDC Inputs - Common'!$C$515</definedName>
    <definedName name="sample_xreg_vrslcm_hostname">'Name &amp; IP Address Inputs - VM'!$D$89</definedName>
    <definedName name="sample_xreg_vrslcm_ip">'Name &amp; IP Address Inputs - VM'!$F$89</definedName>
    <definedName name="sample_xreg_wsa_cert_name">'SDDC Inputs - Common'!$C$383</definedName>
    <definedName name="sample_xreg_wsa_delegate_ip">'Name &amp; IP Address Inputs - VM'!$F$97</definedName>
    <definedName name="sample_xreg_wsa_node_size">'Management Domain Sizing Inputs'!$D$57</definedName>
    <definedName name="sample_xreg_wsa_nodea_hostname">'Name &amp; IP Address Inputs - VM'!$D$94</definedName>
    <definedName name="sample_xreg_wsa_nodea_ip">'Name &amp; IP Address Inputs - VM'!$F$94</definedName>
    <definedName name="sample_xreg_wsa_nodeb_hostname">'Name &amp; IP Address Inputs - VM'!$D$95</definedName>
    <definedName name="sample_xreg_wsa_nodeb_ip">'Name &amp; IP Address Inputs - VM'!$F$95</definedName>
    <definedName name="sample_xreg_wsa_nodec_hostname">'Name &amp; IP Address Inputs - VM'!$D$96</definedName>
    <definedName name="sample_xreg_wsa_nodec_ip">'Name &amp; IP Address Inputs - VM'!$F$96</definedName>
    <definedName name="sample_xreg_wsa_virtual_hostname">'Name &amp; IP Address Inputs - VM'!$D$93</definedName>
    <definedName name="sample_xreg_wsa_virtual_ip">'Name &amp; IP Address Inputs - VM'!$F$93</definedName>
    <definedName name="sample_xreg_wsa_vm_folder">'SDDC Inputs - Common'!$C$384</definedName>
    <definedName name="sample_xregion_dns1_ip">'Name &amp; IP Address Inputs - VM'!$C$22</definedName>
    <definedName name="sample_xregion_dns2_ip">'Name &amp; IP Address Inputs - VM'!$C$23</definedName>
    <definedName name="sample_xregion_ntp1_server">'Name &amp; IP Address Inputs - VM'!$C$11</definedName>
    <definedName name="sample_xregion_ntp2_server">'Name &amp; IP Address Inputs - VM'!$C$12</definedName>
    <definedName name="sddc_mgr_admin_local_password">'Value Reference Tables'!$I$41</definedName>
    <definedName name="sddc_mgr_fqdn">'Value Reference Tables'!$C$53</definedName>
    <definedName name="sddc_mgr_hostname">'Value Reference Tables'!$C$34</definedName>
    <definedName name="sddc_mgr_ip">'Value Reference Tables'!$C$15</definedName>
    <definedName name="sddc_mgr_root_password">'Value Reference Tables'!$I$39</definedName>
    <definedName name="sddc_mgr_vcf_password">'Value Reference Tables'!$I$40</definedName>
    <definedName name="sddc_mgr_vcf_username">'Value Reference Tables'!$H$39</definedName>
    <definedName name="sftp_server_backup_dir">'Value Reference Tables'!$L$60</definedName>
    <definedName name="sftp_server_ip">'Value Reference Tables'!$I$80</definedName>
    <definedName name="sftp_server_passphrase">'Value Reference Tables'!$L$62</definedName>
    <definedName name="sftp_server_port">'Value Reference Tables'!$L$57</definedName>
    <definedName name="sftp_server_protocol">'Value Reference Tables'!$L$58</definedName>
    <definedName name="sftp_server_sshfingerprint">'Value Reference Tables'!$L$61</definedName>
    <definedName name="shared_edge_and_compute">'Static Reference Tables'!$B$362</definedName>
    <definedName name="sizing_cbr_cpu">'Static Reference Tables'!$C$204</definedName>
    <definedName name="sizing_cbr_disk">'Static Reference Tables'!$C$206</definedName>
    <definedName name="sizing_cbr_ram">'Static Reference Tables'!$C$205</definedName>
    <definedName name="sizing_ccm_hcx_cpu">'Static Reference Tables'!$C$208</definedName>
    <definedName name="sizing_ccm_hcx_disk">'Static Reference Tables'!$C$210</definedName>
    <definedName name="sizing_ccm_hcx_ram">'Static Reference Tables'!$C$209</definedName>
    <definedName name="sizing_cpu_oversubscription">'Management Domain Sizing Inputs'!$C$15</definedName>
    <definedName name="sizing_disk_groups_per_host">'Management Domain Sizing Inputs'!$C$17</definedName>
    <definedName name="sizing_estimated_growth">'Management Domain Sizing Inputs'!$C$9</definedName>
    <definedName name="sizing_hrm_hvm_cpu">'Static Reference Tables'!$C$192</definedName>
    <definedName name="sizing_hrm_hvm_disk">'Static Reference Tables'!$C$194</definedName>
    <definedName name="sizing_hrm_hvm_ram">'Static Reference Tables'!$C$193</definedName>
    <definedName name="sizing_inv_cpu">'Static Reference Tables'!$C$200</definedName>
    <definedName name="sizing_inv_disk">'Static Reference Tables'!$C$202</definedName>
    <definedName name="sizing_inv_platform_node_cpu">'Static Reference Tables'!$C$196</definedName>
    <definedName name="sizing_inv_platform_node_disk">'Static Reference Tables'!$C$198</definedName>
    <definedName name="sizing_inv_platform_node_ram">'Static Reference Tables'!$C$197</definedName>
    <definedName name="sizing_inv_ram">'Static Reference Tables'!$C$201</definedName>
    <definedName name="sizing_m01_included">'Management Domain Sizing Inputs'!$C$25</definedName>
    <definedName name="sizing_m01_nsxt_appliance_size">'Management Domain Sizing Inputs'!$H$25</definedName>
    <definedName name="sizing_m01_nsxt_edge_size">'Management Domain Sizing Inputs'!$I$25</definedName>
    <definedName name="sizing_m01_nsxt_gm_appliance_size">'Management Domain Sizing Inputs'!$J$25</definedName>
    <definedName name="sizing_m01_nsxt_model">'Management Domain Sizing Inputs'!$G$25</definedName>
    <definedName name="sizing_m01_vcenter_appliance_size">'Management Domain Sizing Inputs'!$E$25</definedName>
    <definedName name="sizing_m01_vcenter_storage_size">'Management Domain Sizing Inputs'!$F$25</definedName>
    <definedName name="sizing_mgmt_avi_lb_appliance_size">'Management Domain Sizing Inputs'!$L$25</definedName>
    <definedName name="sizing_mgmt_cluster_host_core_count">'Management Domain Sizing Inputs'!$C$13</definedName>
    <definedName name="sizing_mgmt_cluster_host_ram_count">'Management Domain Sizing Inputs'!$C$14</definedName>
    <definedName name="sizing_nsxt_edge_sizing_list">'Static Reference Tables'!$C$21:$C$25</definedName>
    <definedName name="sizing_nsxt_manager_size_list">'Static Reference Tables'!$C$16:$C$20</definedName>
    <definedName name="sizing_ram_oversubscription">'Management Domain Sizing Inputs'!$C$16</definedName>
    <definedName name="sizing_sddc_manager_cpu">'Static Reference Tables'!$C$29</definedName>
    <definedName name="sizing_sddc_manager_disk">'Static Reference Tables'!$C$31</definedName>
    <definedName name="sizing_sddc_manager_ram">'Static Reference Tables'!$C$30</definedName>
    <definedName name="sizing_vcenter_appliance_size_list">'Static Reference Tables'!$C$8:$C$12</definedName>
    <definedName name="sizing_vcenter_storage_size_list">'Static Reference Tables'!$C$13:$C$15</definedName>
    <definedName name="sizing_vcls_cpu">'Static Reference Tables'!$C$107</definedName>
    <definedName name="sizing_vcls_disk">'Static Reference Tables'!$C$109</definedName>
    <definedName name="sizing_vcls_ram">'Static Reference Tables'!$C$108</definedName>
    <definedName name="sizing_virtual_machine_overhead">'Management Domain Sizing Inputs'!$C$8</definedName>
    <definedName name="sizing_vm_cpu_requirements">'Management Domain Sizing'!$D$18</definedName>
    <definedName name="sizing_vm_ram_requirements">'Management Domain Sizing'!$E$18</definedName>
    <definedName name="sizing_vm_storage_requirements">'Management Domain Sizing'!$F$18</definedName>
    <definedName name="sizing_vrslcm_cpu">'Static Reference Tables'!$C$103</definedName>
    <definedName name="sizing_vrslcm_disk">'Static Reference Tables'!$C$105</definedName>
    <definedName name="sizing_vrslcm_ram">'Static Reference Tables'!$C$104</definedName>
    <definedName name="sizing_w01_avi_appliance_size">'Management Domain Sizing Inputs'!$N$29</definedName>
    <definedName name="sizing_w01_avi_chosen">'Management Domain Sizing Inputs'!$M$29</definedName>
    <definedName name="sizing_w01_chosen">'Management Domain Sizing Inputs'!$C$29</definedName>
    <definedName name="sizing_w01_gm_chosen">'Management Domain Sizing Inputs'!$I$29</definedName>
    <definedName name="sizing_w01_gm_result">'Management Domain Sizing Inputs'!$J$29</definedName>
    <definedName name="sizing_w01_nsxt_appliance_size">'Management Domain Sizing Inputs'!$H$29</definedName>
    <definedName name="sizing_w01_nsxt_gm_appliance_size">'Management Domain Sizing Inputs'!$K$29</definedName>
    <definedName name="sizing_w01_nsxt_model">'Management Domain Sizing Inputs'!$G$29</definedName>
    <definedName name="sizing_w01_result">'Management Domain Sizing Inputs'!$D$29</definedName>
    <definedName name="sizing_w01_spr_chosen">'Management Domain Sizing Inputs'!$L$29</definedName>
    <definedName name="sizing_w01_vcenter_appliance_size">'Management Domain Sizing Inputs'!$E$29</definedName>
    <definedName name="sizing_w01_vcenter_storage_size">'Management Domain Sizing Inputs'!$F$29</definedName>
    <definedName name="sizing_w02_avi_appliance_size">'Management Domain Sizing Inputs'!$N$30</definedName>
    <definedName name="sizing_w02_avi_chosen">'Management Domain Sizing Inputs'!$M$30</definedName>
    <definedName name="sizing_w02_chosen">'Management Domain Sizing Inputs'!$C$30</definedName>
    <definedName name="sizing_w02_gm_chosen">'Management Domain Sizing Inputs'!$I$30</definedName>
    <definedName name="sizing_w02_gm_result">'Management Domain Sizing Inputs'!$J$30</definedName>
    <definedName name="sizing_w02_nsxt_appliance_size">'Management Domain Sizing Inputs'!$H$30</definedName>
    <definedName name="sizing_w02_nsxt_gm_appliance_size">'Management Domain Sizing Inputs'!$K$30</definedName>
    <definedName name="sizing_w02_nsxt_model">'Management Domain Sizing Inputs'!$G$30</definedName>
    <definedName name="sizing_w02_result">'Management Domain Sizing Inputs'!$D$30</definedName>
    <definedName name="sizing_w02_spr_chosen">'Management Domain Sizing Inputs'!$L$30</definedName>
    <definedName name="sizing_w02_vcenter_appliance_size">'Management Domain Sizing Inputs'!$E$30</definedName>
    <definedName name="sizing_w02_vcenter_storage_size">'Management Domain Sizing Inputs'!$F$30</definedName>
    <definedName name="sizing_w03_avi_appliance_size">'Management Domain Sizing Inputs'!$N$31</definedName>
    <definedName name="sizing_w03_avi_chosen">'Management Domain Sizing Inputs'!$M$31</definedName>
    <definedName name="sizing_w03_chosen">'Management Domain Sizing Inputs'!$C$31</definedName>
    <definedName name="sizing_w03_gm_chosen">'Management Domain Sizing Inputs'!$I$31</definedName>
    <definedName name="sizing_w03_gm_result">'Management Domain Sizing Inputs'!$J$31</definedName>
    <definedName name="sizing_w03_nsxt_appliance_size">'Management Domain Sizing Inputs'!$H$31</definedName>
    <definedName name="sizing_w03_nsxt_gm_appliance_size">'Management Domain Sizing Inputs'!$K$31</definedName>
    <definedName name="sizing_w03_nsxt_model">'Management Domain Sizing Inputs'!$G$31</definedName>
    <definedName name="sizing_w03_result">'Management Domain Sizing Inputs'!$D$31</definedName>
    <definedName name="sizing_w03_spr_chosen">'Management Domain Sizing Inputs'!$L$31</definedName>
    <definedName name="sizing_w03_vcenter_appliance_size">'Management Domain Sizing Inputs'!$E$31</definedName>
    <definedName name="sizing_w03_vcenter_storage_size">'Management Domain Sizing Inputs'!$F$31</definedName>
    <definedName name="sizing_w04_avi_appliance_size">'Management Domain Sizing Inputs'!$N$32</definedName>
    <definedName name="sizing_w04_avi_chosen">'Management Domain Sizing Inputs'!$M$32</definedName>
    <definedName name="sizing_w04_chosen">'Management Domain Sizing Inputs'!$C$32</definedName>
    <definedName name="sizing_w04_gm_chosen">'Management Domain Sizing Inputs'!$I$32</definedName>
    <definedName name="sizing_w04_gm_result">'Management Domain Sizing Inputs'!$J$32</definedName>
    <definedName name="sizing_w04_nsxt_appliance_size">'Management Domain Sizing Inputs'!$H$32</definedName>
    <definedName name="sizing_w04_nsxt_gm_appliance_size">'Management Domain Sizing Inputs'!$K$32</definedName>
    <definedName name="sizing_w04_nsxt_model">'Management Domain Sizing Inputs'!$G$32</definedName>
    <definedName name="sizing_w04_result">'Management Domain Sizing Inputs'!$D$32</definedName>
    <definedName name="sizing_w04_spr_chosen">'Management Domain Sizing Inputs'!$L$32</definedName>
    <definedName name="sizing_w04_vcenter_appliance_size">'Management Domain Sizing Inputs'!$E$32</definedName>
    <definedName name="sizing_w04_vcenter_storage_size">'Management Domain Sizing Inputs'!$F$32</definedName>
    <definedName name="sizing_w05_avi_appliance_size">'Management Domain Sizing Inputs'!$N$33</definedName>
    <definedName name="sizing_w05_avi_chosen">'Management Domain Sizing Inputs'!$M$33</definedName>
    <definedName name="sizing_w05_chosen">'Management Domain Sizing Inputs'!$C$33</definedName>
    <definedName name="sizing_w05_gm_chosen">'Management Domain Sizing Inputs'!$I$33</definedName>
    <definedName name="sizing_w05_gm_result">'Management Domain Sizing Inputs'!$J$33</definedName>
    <definedName name="sizing_w05_nsxt_appliance_size">'Management Domain Sizing Inputs'!$H$33</definedName>
    <definedName name="sizing_w05_nsxt_gm_appliance_size">'Management Domain Sizing Inputs'!$K$33</definedName>
    <definedName name="sizing_w05_nsxt_model">'Management Domain Sizing Inputs'!$G$33</definedName>
    <definedName name="sizing_w05_result">'Management Domain Sizing Inputs'!$D$33</definedName>
    <definedName name="sizing_w05_spr_chosen">'Management Domain Sizing Inputs'!$L$33</definedName>
    <definedName name="sizing_w05_vcenter_appliance_size">'Management Domain Sizing Inputs'!$E$33</definedName>
    <definedName name="sizing_w05_vcenter_storage_size">'Management Domain Sizing Inputs'!$F$33</definedName>
    <definedName name="sizing_w06_avi_appliance_size">'Management Domain Sizing Inputs'!$N$34</definedName>
    <definedName name="sizing_w06_avi_chosen">'Management Domain Sizing Inputs'!$M$34</definedName>
    <definedName name="sizing_w06_chosen">'Management Domain Sizing Inputs'!$C$34</definedName>
    <definedName name="sizing_w06_gm_chosen">'Management Domain Sizing Inputs'!$I$34</definedName>
    <definedName name="sizing_w06_gm_result">'Management Domain Sizing Inputs'!$J$34</definedName>
    <definedName name="sizing_w06_nsxt_appliance_size">'Management Domain Sizing Inputs'!$H$34</definedName>
    <definedName name="sizing_w06_nsxt_gm_appliance_size">'Management Domain Sizing Inputs'!$K$34</definedName>
    <definedName name="sizing_w06_nsxt_model">'Management Domain Sizing Inputs'!$G$34</definedName>
    <definedName name="sizing_w06_result">'Management Domain Sizing Inputs'!$D$34</definedName>
    <definedName name="sizing_w06_spr_chosen">'Management Domain Sizing Inputs'!$L$34</definedName>
    <definedName name="sizing_w06_vcenter_appliance_size">'Management Domain Sizing Inputs'!$E$34</definedName>
    <definedName name="sizing_w06_vcenter_storage_size">'Management Domain Sizing Inputs'!$F$34</definedName>
    <definedName name="sizing_w07_avi_appliance_size">'Management Domain Sizing Inputs'!$N$35</definedName>
    <definedName name="sizing_w07_avi_chosen">'Management Domain Sizing Inputs'!$M$35</definedName>
    <definedName name="sizing_w07_chosen">'Management Domain Sizing Inputs'!$C$35</definedName>
    <definedName name="sizing_w07_gm_chosen">'Management Domain Sizing Inputs'!$I$35</definedName>
    <definedName name="sizing_w07_gm_result">'Management Domain Sizing Inputs'!$J$35</definedName>
    <definedName name="sizing_w07_nsxt_appliance_size">'Management Domain Sizing Inputs'!$H$35</definedName>
    <definedName name="sizing_w07_nsxt_gm_appliance_size">'Management Domain Sizing Inputs'!$K$35</definedName>
    <definedName name="sizing_w07_nsxt_model">'Management Domain Sizing Inputs'!$G$35</definedName>
    <definedName name="sizing_w07_result">'Management Domain Sizing Inputs'!$D$35</definedName>
    <definedName name="sizing_w07_spr_chosen">'Management Domain Sizing Inputs'!$L$35</definedName>
    <definedName name="sizing_w07_vcenter_appliance_size">'Management Domain Sizing Inputs'!$E$35</definedName>
    <definedName name="sizing_w07_vcenter_storage_size">'Management Domain Sizing Inputs'!$F$35</definedName>
    <definedName name="sizing_w08_avi_appliance_size">'Management Domain Sizing Inputs'!$N$36</definedName>
    <definedName name="sizing_w08_avi_chosen">'Management Domain Sizing Inputs'!$M$36</definedName>
    <definedName name="sizing_w08_chosen">'Management Domain Sizing Inputs'!$C$36</definedName>
    <definedName name="sizing_w08_gm_chosen">'Management Domain Sizing Inputs'!$I$36</definedName>
    <definedName name="sizing_w08_gm_result">'Management Domain Sizing Inputs'!$J$36</definedName>
    <definedName name="sizing_w08_nsxt_appliance_size">'Management Domain Sizing Inputs'!$H$36</definedName>
    <definedName name="sizing_w08_nsxt_gm_appliance_size">'Management Domain Sizing Inputs'!$K$36</definedName>
    <definedName name="sizing_w08_nsxt_model">'Management Domain Sizing Inputs'!$G$36</definedName>
    <definedName name="sizing_w08_result">'Management Domain Sizing Inputs'!$D$36</definedName>
    <definedName name="sizing_w08_spr_chosen">'Management Domain Sizing Inputs'!$L$36</definedName>
    <definedName name="sizing_w08_vcenter_appliance_size">'Management Domain Sizing Inputs'!$E$36</definedName>
    <definedName name="sizing_w08_vcenter_storage_size">'Management Domain Sizing Inputs'!$F$36</definedName>
    <definedName name="sizing_w09_avi_appliance_size">'Management Domain Sizing Inputs'!$N$37</definedName>
    <definedName name="sizing_w09_avi_chosen">'Management Domain Sizing Inputs'!$M$37</definedName>
    <definedName name="sizing_w09_chosen">'Management Domain Sizing Inputs'!$C$37</definedName>
    <definedName name="sizing_w09_gm_chosen">'Management Domain Sizing Inputs'!$I$37</definedName>
    <definedName name="sizing_w09_gm_result">'Management Domain Sizing Inputs'!$J$37</definedName>
    <definedName name="sizing_w09_nsxt_appliance_size">'Management Domain Sizing Inputs'!$H$37</definedName>
    <definedName name="sizing_w09_nsxt_gm_appliance_size">'Management Domain Sizing Inputs'!$K$37</definedName>
    <definedName name="sizing_w09_nsxt_model">'Management Domain Sizing Inputs'!$G$37</definedName>
    <definedName name="sizing_w09_result">'Management Domain Sizing Inputs'!$D$37</definedName>
    <definedName name="sizing_w09_spr_chosen">'Management Domain Sizing Inputs'!$L$37</definedName>
    <definedName name="sizing_w09_vcenter_appliance_size">'Management Domain Sizing Inputs'!$E$37</definedName>
    <definedName name="sizing_w09_vcenter_storage_size">'Management Domain Sizing Inputs'!$F$37</definedName>
    <definedName name="sizing_w10_avi_appliance_size">'Management Domain Sizing Inputs'!$N$38</definedName>
    <definedName name="sizing_w10_avi_chosen">'Management Domain Sizing Inputs'!$M$38</definedName>
    <definedName name="sizing_w10_chosen">'Management Domain Sizing Inputs'!$C$38</definedName>
    <definedName name="sizing_w10_gm_chosen">'Management Domain Sizing Inputs'!$I$38</definedName>
    <definedName name="sizing_w10_gm_result">'Management Domain Sizing Inputs'!$J$38</definedName>
    <definedName name="sizing_w10_nsxt_appliance_size">'Management Domain Sizing Inputs'!$H$38</definedName>
    <definedName name="sizing_w10_nsxt_gm_appliance_size">'Management Domain Sizing Inputs'!$K$38</definedName>
    <definedName name="sizing_w10_nsxt_model">'Management Domain Sizing Inputs'!$G$38</definedName>
    <definedName name="sizing_w10_result">'Management Domain Sizing Inputs'!$D$38</definedName>
    <definedName name="sizing_w10_spr_chosen">'Management Domain Sizing Inputs'!$L$38</definedName>
    <definedName name="sizing_w10_vcenter_appliance_size">'Management Domain Sizing Inputs'!$E$38</definedName>
    <definedName name="sizing_w10_vcenter_storage_size">'Management Domain Sizing Inputs'!$F$38</definedName>
    <definedName name="sizing_w11_avi_appliance_size">'Management Domain Sizing Inputs'!$N$39</definedName>
    <definedName name="sizing_w11_avi_chosen">'Management Domain Sizing Inputs'!$M$39</definedName>
    <definedName name="sizing_w11_chosen">'Management Domain Sizing Inputs'!$C$39</definedName>
    <definedName name="sizing_w11_gm_chosen">'Management Domain Sizing Inputs'!$I$39</definedName>
    <definedName name="sizing_w11_gm_result">'Management Domain Sizing Inputs'!$J$39</definedName>
    <definedName name="sizing_w11_nsxt_appliance_size">'Management Domain Sizing Inputs'!$H$39</definedName>
    <definedName name="sizing_w11_nsxt_gm_appliance_size">'Management Domain Sizing Inputs'!$K$39</definedName>
    <definedName name="sizing_w11_nsxt_model">'Management Domain Sizing Inputs'!$G$39</definedName>
    <definedName name="sizing_w11_result">'Management Domain Sizing Inputs'!$D$39</definedName>
    <definedName name="sizing_w11_spr_chosen">'Management Domain Sizing Inputs'!$L$39</definedName>
    <definedName name="sizing_w11_vcenter_appliance_size">'Management Domain Sizing Inputs'!$E$39</definedName>
    <definedName name="sizing_w11_vcenter_storage_size">'Management Domain Sizing Inputs'!$F$39</definedName>
    <definedName name="sizing_w12_avi_appliance_size">'Management Domain Sizing Inputs'!$N$40</definedName>
    <definedName name="sizing_w12_avi_chosen">'Management Domain Sizing Inputs'!$M$40</definedName>
    <definedName name="sizing_w12_chosen">'Management Domain Sizing Inputs'!$C$40</definedName>
    <definedName name="sizing_w12_gm_chosen">'Management Domain Sizing Inputs'!$I$40</definedName>
    <definedName name="sizing_w12_gm_result">'Management Domain Sizing Inputs'!$J$40</definedName>
    <definedName name="sizing_w12_nsxt_appliance_size">'Management Domain Sizing Inputs'!$H$40</definedName>
    <definedName name="sizing_w12_nsxt_gm_appliance_size">'Management Domain Sizing Inputs'!$K$40</definedName>
    <definedName name="sizing_w12_nsxt_model">'Management Domain Sizing Inputs'!$G$40</definedName>
    <definedName name="sizing_w12_result">'Management Domain Sizing Inputs'!$D$40</definedName>
    <definedName name="sizing_w12_spr_chosen">'Management Domain Sizing Inputs'!$L$40</definedName>
    <definedName name="sizing_w12_vcenter_appliance_size">'Management Domain Sizing Inputs'!$E$40</definedName>
    <definedName name="sizing_w12_vcenter_storage_size">'Management Domain Sizing Inputs'!$F$40</definedName>
    <definedName name="sizing_w13_avi_appliance_size">'Management Domain Sizing Inputs'!$N$41</definedName>
    <definedName name="sizing_w13_avi_chosen">'Management Domain Sizing Inputs'!$M$41</definedName>
    <definedName name="sizing_w13_chosen">'Management Domain Sizing Inputs'!$C$41</definedName>
    <definedName name="sizing_w13_gm_chosen">'Management Domain Sizing Inputs'!$I$41</definedName>
    <definedName name="sizing_w13_gm_result">'Management Domain Sizing Inputs'!$J$41</definedName>
    <definedName name="sizing_w13_nsxt_appliance_size">'Management Domain Sizing Inputs'!$H$41</definedName>
    <definedName name="sizing_w13_nsxt_gm_appliance_size">'Management Domain Sizing Inputs'!$K$41</definedName>
    <definedName name="sizing_w13_nsxt_model">'Management Domain Sizing Inputs'!$G$41</definedName>
    <definedName name="sizing_w13_result">'Management Domain Sizing Inputs'!$D$41</definedName>
    <definedName name="sizing_w13_spr_chosen">'Management Domain Sizing Inputs'!$L$41</definedName>
    <definedName name="sizing_w13_vcenter_appliance_size">'Management Domain Sizing Inputs'!$E$41</definedName>
    <definedName name="sizing_w13_vcenter_storage_size">'Management Domain Sizing Inputs'!$F$41</definedName>
    <definedName name="sizing_w14_avi_appliance_size">'Management Domain Sizing Inputs'!$N$42</definedName>
    <definedName name="sizing_w14_avi_chosen">'Management Domain Sizing Inputs'!$M$42</definedName>
    <definedName name="sizing_w14_chosen">'Management Domain Sizing Inputs'!$C$42</definedName>
    <definedName name="sizing_w14_gm_chosen">'Management Domain Sizing Inputs'!$I$42</definedName>
    <definedName name="sizing_w14_gm_result">'Management Domain Sizing Inputs'!$J$42</definedName>
    <definedName name="sizing_w14_nsxt_appliance_size">'Management Domain Sizing Inputs'!$H$42</definedName>
    <definedName name="sizing_w14_nsxt_gm_appliance_size">'Management Domain Sizing Inputs'!$K$42</definedName>
    <definedName name="sizing_w14_nsxt_model">'Management Domain Sizing Inputs'!$G$42</definedName>
    <definedName name="sizing_w14_result">'Management Domain Sizing Inputs'!$D$42</definedName>
    <definedName name="sizing_w14_spr_chosen">'Management Domain Sizing Inputs'!$L$42</definedName>
    <definedName name="sizing_w14_vcenter_appliance_size">'Management Domain Sizing Inputs'!$E$42</definedName>
    <definedName name="sizing_w14_vcenter_storage_size">'Management Domain Sizing Inputs'!$F$42</definedName>
    <definedName name="sizing_w15_avi_appliance_size">'Management Domain Sizing Inputs'!$N$43</definedName>
    <definedName name="sizing_w15_avi_chosen">'Management Domain Sizing Inputs'!$M$43</definedName>
    <definedName name="sizing_w15_chosen">'Management Domain Sizing Inputs'!$C$43</definedName>
    <definedName name="sizing_w15_gm_chosen">'Management Domain Sizing Inputs'!$I$43</definedName>
    <definedName name="sizing_w15_gm_result">'Management Domain Sizing Inputs'!$J$43</definedName>
    <definedName name="sizing_w15_nsxt_appliance_size">'Management Domain Sizing Inputs'!$H$43</definedName>
    <definedName name="sizing_w15_nsxt_gm_appliance_size">'Management Domain Sizing Inputs'!$K$43</definedName>
    <definedName name="sizing_w15_nsxt_model">'Management Domain Sizing Inputs'!$G$43</definedName>
    <definedName name="sizing_w15_result">'Management Domain Sizing Inputs'!$D$43</definedName>
    <definedName name="sizing_w15_spr_chosen">'Management Domain Sizing Inputs'!$L$43</definedName>
    <definedName name="sizing_w15_vcenter_appliance_size">'Management Domain Sizing Inputs'!$E$43</definedName>
    <definedName name="sizing_w15_vcenter_storage_size">'Management Domain Sizing Inputs'!$F$43</definedName>
    <definedName name="sizing_w16_avi_appliance_size">'Management Domain Sizing Inputs'!$N$44</definedName>
    <definedName name="sizing_w16_avi_chosen">'Management Domain Sizing Inputs'!$M$44</definedName>
    <definedName name="sizing_w16_chosen">'Management Domain Sizing Inputs'!$C$44</definedName>
    <definedName name="sizing_w16_gm_chosen">'Management Domain Sizing Inputs'!$I$44</definedName>
    <definedName name="sizing_w16_gm_result">'Management Domain Sizing Inputs'!$J$44</definedName>
    <definedName name="sizing_w16_nsxt_appliance_size">'Management Domain Sizing Inputs'!$H$44</definedName>
    <definedName name="sizing_w16_nsxt_gm_appliance_size">'Management Domain Sizing Inputs'!$K$44</definedName>
    <definedName name="sizing_w16_nsxt_model">'Management Domain Sizing Inputs'!$G$44</definedName>
    <definedName name="sizing_w16_result">'Management Domain Sizing Inputs'!$D$44</definedName>
    <definedName name="sizing_w16_spr_chosen">'Management Domain Sizing Inputs'!$L$44</definedName>
    <definedName name="sizing_w16_vcenter_appliance_size">'Management Domain Sizing Inputs'!$E$44</definedName>
    <definedName name="sizing_w16_vcenter_storage_size">'Management Domain Sizing Inputs'!$F$44</definedName>
    <definedName name="sizing_w17_avi_appliance_size">'Management Domain Sizing Inputs'!$N$45</definedName>
    <definedName name="sizing_w17_avi_chosen">'Management Domain Sizing Inputs'!$M$45</definedName>
    <definedName name="sizing_w17_chosen">'Management Domain Sizing Inputs'!$C$45</definedName>
    <definedName name="sizing_w17_gm_chosen">'Management Domain Sizing Inputs'!$I$45</definedName>
    <definedName name="sizing_w17_gm_result">'Management Domain Sizing Inputs'!$J$45</definedName>
    <definedName name="sizing_w17_nsxt_appliance_size">'Management Domain Sizing Inputs'!$H$45</definedName>
    <definedName name="sizing_w17_nsxt_gm_appliance_size">'Management Domain Sizing Inputs'!$K$45</definedName>
    <definedName name="sizing_w17_nsxt_model">'Management Domain Sizing Inputs'!$G$45</definedName>
    <definedName name="sizing_w17_result">'Management Domain Sizing Inputs'!$D$45</definedName>
    <definedName name="sizing_w17_spr_chosen">'Management Domain Sizing Inputs'!$L$45</definedName>
    <definedName name="sizing_w17_vcenter_appliance_size">'Management Domain Sizing Inputs'!$E$45</definedName>
    <definedName name="sizing_w17_vcenter_storage_size">'Management Domain Sizing Inputs'!$F$45</definedName>
    <definedName name="sizing_w18_avi_appliance_size">'Management Domain Sizing Inputs'!$N$46</definedName>
    <definedName name="sizing_w18_avi_chosen">'Management Domain Sizing Inputs'!$M$46</definedName>
    <definedName name="sizing_w18_chosen">'Management Domain Sizing Inputs'!$C$46</definedName>
    <definedName name="sizing_w18_gm_chosen">'Management Domain Sizing Inputs'!$I$46</definedName>
    <definedName name="sizing_w18_gm_result">'Management Domain Sizing Inputs'!$J$46</definedName>
    <definedName name="sizing_w18_nsxt_appliance_size">'Management Domain Sizing Inputs'!$H$46</definedName>
    <definedName name="sizing_w18_nsxt_gm_appliance_size">'Management Domain Sizing Inputs'!$K$46</definedName>
    <definedName name="sizing_w18_nsxt_model">'Management Domain Sizing Inputs'!$G$46</definedName>
    <definedName name="sizing_w18_result">'Management Domain Sizing Inputs'!$D$46</definedName>
    <definedName name="sizing_w18_spr_chosen">'Management Domain Sizing Inputs'!$L$46</definedName>
    <definedName name="sizing_w18_vcenter_appliance_size">'Management Domain Sizing Inputs'!$E$46</definedName>
    <definedName name="sizing_w18_vcenter_storage_size">'Management Domain Sizing Inputs'!$F$46</definedName>
    <definedName name="sizing_w19_avi_appliance_size">'Management Domain Sizing Inputs'!$N$47</definedName>
    <definedName name="sizing_w19_avi_chosen">'Management Domain Sizing Inputs'!$M$47</definedName>
    <definedName name="sizing_w19_chosen">'Management Domain Sizing Inputs'!$C$47</definedName>
    <definedName name="sizing_w19_gm_chosen">'Management Domain Sizing Inputs'!$I$47</definedName>
    <definedName name="sizing_w19_gm_result">'Management Domain Sizing Inputs'!$J$47</definedName>
    <definedName name="sizing_w19_nsxt_appliance_size">'Management Domain Sizing Inputs'!$H$47</definedName>
    <definedName name="sizing_w19_nsxt_gm_appliance_size">'Management Domain Sizing Inputs'!$K$47</definedName>
    <definedName name="sizing_w19_nsxt_model">'Management Domain Sizing Inputs'!$G$47</definedName>
    <definedName name="sizing_w19_result">'Management Domain Sizing Inputs'!$D$47</definedName>
    <definedName name="sizing_w19_spr_chosen">'Management Domain Sizing Inputs'!$L$47</definedName>
    <definedName name="sizing_w19_vcenter_appliance_size">'Management Domain Sizing Inputs'!$E$47</definedName>
    <definedName name="sizing_w19_vcenter_storage_size">'Management Domain Sizing Inputs'!$F$47</definedName>
    <definedName name="sizing_w20_avi_appliance_size">'Management Domain Sizing Inputs'!$N$48</definedName>
    <definedName name="sizing_w20_avi_chosen">'Management Domain Sizing Inputs'!$M$48</definedName>
    <definedName name="sizing_w20_chosen">'Management Domain Sizing Inputs'!$C$48</definedName>
    <definedName name="sizing_w20_gm_chosen">'Management Domain Sizing Inputs'!$I$48</definedName>
    <definedName name="sizing_w20_gm_result">'Management Domain Sizing Inputs'!$J$48</definedName>
    <definedName name="sizing_w20_nsxt_appliance_size">'Management Domain Sizing Inputs'!$H$48</definedName>
    <definedName name="sizing_w20_nsxt_gm_appliance_size">'Management Domain Sizing Inputs'!$K$48</definedName>
    <definedName name="sizing_w20_nsxt_model">'Management Domain Sizing Inputs'!$G$48</definedName>
    <definedName name="sizing_w20_result">'Management Domain Sizing Inputs'!$D$48</definedName>
    <definedName name="sizing_w20_spr_chosen">'Management Domain Sizing Inputs'!$L$48</definedName>
    <definedName name="sizing_w20_vcenter_appliance_size">'Management Domain Sizing Inputs'!$E$48</definedName>
    <definedName name="sizing_w20_vcenter_storage_size">'Management Domain Sizing Inputs'!$F$48</definedName>
    <definedName name="sizing_w21_avi_appliance_size">'Management Domain Sizing Inputs'!$N$49</definedName>
    <definedName name="sizing_w21_avi_chosen">'Management Domain Sizing Inputs'!$M$49</definedName>
    <definedName name="sizing_w21_chosen">'Management Domain Sizing Inputs'!$C$49</definedName>
    <definedName name="sizing_w21_gm_chosen">'Management Domain Sizing Inputs'!$I$49</definedName>
    <definedName name="sizing_w21_gm_result">'Management Domain Sizing Inputs'!$J$49</definedName>
    <definedName name="sizing_w21_nsxt_appliance_size">'Management Domain Sizing Inputs'!$H$49</definedName>
    <definedName name="sizing_w21_nsxt_gm_appliance_size">'Management Domain Sizing Inputs'!$K$49</definedName>
    <definedName name="sizing_w21_nsxt_model">'Management Domain Sizing Inputs'!$G$49</definedName>
    <definedName name="sizing_w21_result">'Management Domain Sizing Inputs'!$D$49</definedName>
    <definedName name="sizing_w21_spr_chosen">'Management Domain Sizing Inputs'!$L$49</definedName>
    <definedName name="sizing_w21_vcenter_appliance_size">'Management Domain Sizing Inputs'!$E$49</definedName>
    <definedName name="sizing_w21_vcenter_storage_size">'Management Domain Sizing Inputs'!$F$49</definedName>
    <definedName name="sizing_w22_avi_appliance_size">'Management Domain Sizing Inputs'!$N$50</definedName>
    <definedName name="sizing_w22_avi_chosen">'Management Domain Sizing Inputs'!$M$50</definedName>
    <definedName name="sizing_w22_chosen">'Management Domain Sizing Inputs'!$C$50</definedName>
    <definedName name="sizing_w22_gm_chosen">'Management Domain Sizing Inputs'!$I$50</definedName>
    <definedName name="sizing_w22_gm_result">'Management Domain Sizing Inputs'!$J$50</definedName>
    <definedName name="sizing_w22_nsxt_appliance_size">'Management Domain Sizing Inputs'!$H$50</definedName>
    <definedName name="sizing_w22_nsxt_gm_appliance_size">'Management Domain Sizing Inputs'!$K$50</definedName>
    <definedName name="sizing_w22_nsxt_model">'Management Domain Sizing Inputs'!$G$50</definedName>
    <definedName name="sizing_w22_result">'Management Domain Sizing Inputs'!$D$50</definedName>
    <definedName name="sizing_w22_spr_chosen">'Management Domain Sizing Inputs'!$L$50</definedName>
    <definedName name="sizing_w22_vcenter_appliance_size">'Management Domain Sizing Inputs'!$E$50</definedName>
    <definedName name="sizing_w22_vcenter_storage_size">'Management Domain Sizing Inputs'!$F$50</definedName>
    <definedName name="sizing_w23_avi_appliance_size">'Management Domain Sizing Inputs'!$N$51</definedName>
    <definedName name="sizing_w23_avi_chosen">'Management Domain Sizing Inputs'!$M$51</definedName>
    <definedName name="sizing_w23_chosen">'Management Domain Sizing Inputs'!$C$51</definedName>
    <definedName name="sizing_w23_gm_chosen">'Management Domain Sizing Inputs'!$I$51</definedName>
    <definedName name="sizing_w23_gm_result">'Management Domain Sizing Inputs'!$J$51</definedName>
    <definedName name="sizing_w23_nsxt_appliance_size">'Management Domain Sizing Inputs'!$H$51</definedName>
    <definedName name="sizing_w23_nsxt_gm_appliance_size">'Management Domain Sizing Inputs'!$K$51</definedName>
    <definedName name="sizing_w23_nsxt_model">'Management Domain Sizing Inputs'!$G$51</definedName>
    <definedName name="sizing_w23_result">'Management Domain Sizing Inputs'!$D$51</definedName>
    <definedName name="sizing_w23_spr_chosen">'Management Domain Sizing Inputs'!$L$51</definedName>
    <definedName name="sizing_w23_vcenter_appliance_size">'Management Domain Sizing Inputs'!$E$51</definedName>
    <definedName name="sizing_w23_vcenter_storage_size">'Management Domain Sizing Inputs'!$F$51</definedName>
    <definedName name="sizing_w24_avi_appliance_size">'Management Domain Sizing Inputs'!$N$52</definedName>
    <definedName name="sizing_w24_avi_chosen">'Management Domain Sizing Inputs'!$M$52</definedName>
    <definedName name="sizing_w24_chosen">'Management Domain Sizing Inputs'!$C$52</definedName>
    <definedName name="sizing_w24_gm_chosen">'Management Domain Sizing Inputs'!$I$52</definedName>
    <definedName name="sizing_w24_gm_result">'Management Domain Sizing Inputs'!$J$52</definedName>
    <definedName name="sizing_w24_nsxt_appliance_size">'Management Domain Sizing Inputs'!$H$52</definedName>
    <definedName name="sizing_w24_nsxt_gm_appliance_size">'Management Domain Sizing Inputs'!$K$52</definedName>
    <definedName name="sizing_w24_nsxt_model">'Management Domain Sizing Inputs'!$G$52</definedName>
    <definedName name="sizing_w24_result">'Management Domain Sizing Inputs'!$D$52</definedName>
    <definedName name="sizing_w24_spr_chosen">'Management Domain Sizing Inputs'!$L$52</definedName>
    <definedName name="sizing_w24_vcenter_appliance_size">'Management Domain Sizing Inputs'!$E$52</definedName>
    <definedName name="sizing_w24_vcenter_storage_size">'Management Domain Sizing Inputs'!$F$52</definedName>
    <definedName name="smtp_sender_password">'Value Reference Tables'!$I$56</definedName>
    <definedName name="smtp_sender_username">'Value Reference Tables'!$I$21</definedName>
    <definedName name="smtp_server">'Value Reference Tables'!$I$81</definedName>
    <definedName name="smtp_server_port">'Value Reference Tables'!$I$82</definedName>
    <definedName name="spr_chosen">'Deployment Options'!$H$73</definedName>
    <definedName name="spr_mo_result">'Value Reference Tables'!$X$93</definedName>
    <definedName name="spr_mw_result">'Value Reference Tables'!$X$95</definedName>
    <definedName name="spr_result">'Deployment Options'!$J$73</definedName>
    <definedName name="spr_wo_result">'Value Reference Tables'!$X$94</definedName>
    <definedName name="srm_appliance_size">'Value Reference Tables'!$R$177</definedName>
    <definedName name="srm_license">'Value Reference Tables'!$I$14</definedName>
    <definedName name="sso_default_admin">'Value Reference Tables'!$L$63</definedName>
    <definedName name="storage_autopolicy">'Static Reference Tables'!$B$349</definedName>
    <definedName name="storage_ftt">'Static Reference Tables'!$B$346:$B$348</definedName>
    <definedName name="svc_cbr_vcdr_vsphere_password">'Value Reference Tables'!$R$283</definedName>
    <definedName name="svc_cbr_vcdr_vsphere_user">'Value Reference Tables'!$R$282</definedName>
    <definedName name="svc_hrm_vcf_password">'Value Reference Tables'!$R$362</definedName>
    <definedName name="svc_hrm_vcf_user">'Value Reference Tables'!$R$361</definedName>
    <definedName name="svc_hrm_vrops_password">'Value Reference Tables'!$R$364</definedName>
    <definedName name="svc_hrm_vrops_user">'Value Reference Tables'!$R$363</definedName>
    <definedName name="svc_ila_ad_password">'Value Reference Tables'!$R$111</definedName>
    <definedName name="svc_ila_ad_user">'Value Reference Tables'!$R$110</definedName>
    <definedName name="svc_inv_ad_password">'Value Reference Tables'!$R$268</definedName>
    <definedName name="svc_inv_ad_user_email">'Value Reference Tables'!$R$267</definedName>
    <definedName name="svc_inv_vrops_user">'Value Reference Tables'!$R$276</definedName>
    <definedName name="svc_my_vmware_password">'Value Reference Tables'!$I$47</definedName>
    <definedName name="svc_vcf_bck_password">'Value Reference Tables'!$I$50</definedName>
    <definedName name="svc_vcf_ca_vvd_password">'Value Reference Tables'!$I$133</definedName>
    <definedName name="svc_vra_nsx_password">'Value Reference Tables'!$I$143</definedName>
    <definedName name="svc_vra_vcf_password">'Value Reference Tables'!$I$144</definedName>
    <definedName name="svc_vra_vrops_password">'Value Reference Tables'!$I$145</definedName>
    <definedName name="svc_vra_vsphere_password">'Value Reference Tables'!$I$142</definedName>
    <definedName name="svc_vrli_vrops_password">'Value Reference Tables'!$I$141</definedName>
    <definedName name="svc_vro_vsphere_password">'Value Reference Tables'!$I$146</definedName>
    <definedName name="svc_vrops_nsx_password">'Value Reference Tables'!$I$139</definedName>
    <definedName name="svc_vrops_vra_password">'Value Reference Tables'!$I$140</definedName>
    <definedName name="svc_vrops_vsan_password">'Value Reference Tables'!$I$138</definedName>
    <definedName name="svc_vrops_vsphere_password">'Value Reference Tables'!$I$137</definedName>
    <definedName name="table_avi_lb_cpu">'Static Reference Tables'!$B$212:$C$214</definedName>
    <definedName name="table_avi_lb_disk">'Static Reference Tables'!$B$220:$C$222</definedName>
    <definedName name="table_avi_lb_ram">'Static Reference Tables'!$B$216:$C$218</definedName>
    <definedName name="table_cidr_to_mask">'Static Reference Tables'!$B$224:$C$256</definedName>
    <definedName name="table_nsxt_deployment_model">'Static Reference Tables'!$C$258:$C$259</definedName>
    <definedName name="table_nsxt_deployment_model_dedicated">'Static Reference Tables'!$C$259</definedName>
    <definedName name="table_nsxt_edge_cpu">'Static Reference Tables'!$B$88:$C$91</definedName>
    <definedName name="table_nsxt_edge_disk_gb">'Static Reference Tables'!$B$98:$C$101</definedName>
    <definedName name="table_nsxt_edge_ram">'Static Reference Tables'!$B$93:$C$96</definedName>
    <definedName name="table_nsxt_manager_cpu">'Static Reference Tables'!$B$70:$C$73</definedName>
    <definedName name="table_nsxt_manager_disk_gb">'Static Reference Tables'!$B$82:$C$85</definedName>
    <definedName name="table_nsxt_manager_ram">'Static Reference Tables'!$B$76:$C$79</definedName>
    <definedName name="table_srm_cpu">'Static Reference Tables'!$B$183:$C$184</definedName>
    <definedName name="table_srm_disk">'Static Reference Tables'!$B$189:$C$190</definedName>
    <definedName name="table_srm_ram">'Static Reference Tables'!$B$186:$C$187</definedName>
    <definedName name="table_vc_gateway_appliance_cpu">'Static Reference Tables'!$B$33:$C$34</definedName>
    <definedName name="table_vc_gateway_appliance_disk">'Static Reference Tables'!$B$39:$C$40</definedName>
    <definedName name="table_vc_gateway_appliance_ram">'Static Reference Tables'!$B$36:$C$37</definedName>
    <definedName name="table_vcenter_appliance_cpu">'Static Reference Tables'!$B$42:$C$46</definedName>
    <definedName name="table_vcenter_appliance_ram">'Static Reference Tables'!$B$48:$C$52</definedName>
    <definedName name="table_vcenter_disk_gb">'Static Reference Tables'!$B$54:$C$68</definedName>
    <definedName name="table_vcf_version4x_mgmt_vlcm_type">'Static Reference Tables'!$B$315</definedName>
    <definedName name="table_vcf_version4x_mgmt_vsan_type">'Static Reference Tables'!$B$293</definedName>
    <definedName name="table_vcf_version4x_wld_storage_type">'Static Reference Tables'!$B$303:$B$308</definedName>
    <definedName name="table_vcf_version5x_mgmt_vlcm_image">'Static Reference Tables'!$B$313</definedName>
    <definedName name="table_vcf_version5x_mgmt_vlcm_type">'Static Reference Tables'!$B$310:$B$311</definedName>
    <definedName name="table_vcf_version5x_mgmt_vsan_type">'Static Reference Tables'!$B$290:$B$291</definedName>
    <definedName name="table_vcf_version5x_wld_storage_type">'Static Reference Tables'!$B$295:$B$301</definedName>
    <definedName name="table_vi_domain_type">'Static Reference Tables'!$C$261:$C$263</definedName>
    <definedName name="table_vi_domain_type_exclude">'Static Reference Tables'!$C$263</definedName>
    <definedName name="table_vi_domain_type_isolated">'Static Reference Tables'!$C$262</definedName>
    <definedName name="table_vi_domain_type_vi">'Static Reference Tables'!$C$261</definedName>
    <definedName name="table_vi_domain_type_vi_iso_exclude">'Static Reference Tables'!$C$262:$C$263</definedName>
    <definedName name="table_vra_appliance_cpu">'Static Reference Tables'!$B$132:$C$133</definedName>
    <definedName name="table_vra_appliance_disk">'Static Reference Tables'!$B$138:$C$139</definedName>
    <definedName name="table_vra_appliance_ram">'Static Reference Tables'!$B$135:$C$136</definedName>
    <definedName name="table_vrli_appliance_cpu">'Static Reference Tables'!$B$141:$C$143</definedName>
    <definedName name="table_vrli_appliance_disk">'Static Reference Tables'!$B$149:$C$151</definedName>
    <definedName name="table_vrli_appliance_ram">'Static Reference Tables'!$B$145:$C$147</definedName>
    <definedName name="table_vrms_cpu">'Static Reference Tables'!$B$174:$C$175</definedName>
    <definedName name="table_vrms_disk">'Static Reference Tables'!$B$180:$C$181</definedName>
    <definedName name="table_vrms_ram">'Static Reference Tables'!$B$177:$C$178</definedName>
    <definedName name="table_vrops_appliance_cpu">'Static Reference Tables'!$B$153:$C$155</definedName>
    <definedName name="table_vrops_appliance_disk">'Static Reference Tables'!$B$161:$C$163</definedName>
    <definedName name="table_vrops_appliance_ram">'Static Reference Tables'!$B$157:$C$159</definedName>
    <definedName name="table_vrops_rc_cpu">'Static Reference Tables'!$B$165:$C$166</definedName>
    <definedName name="table_vrops_rc_disk">'Static Reference Tables'!$B$171:$C$172</definedName>
    <definedName name="table_vrops_rc_ram">'Static Reference Tables'!$B$168:$C$169</definedName>
    <definedName name="table_wsa_appliance_cpu">'Static Reference Tables'!$B$111:$C$116</definedName>
    <definedName name="table_wsa_appliance_disk">'Static Reference Tables'!$B$125:$C$130</definedName>
    <definedName name="table_wsa_appliance_ram">'Static Reference Tables'!$B$118:$C$123</definedName>
    <definedName name="this_instance">'Value Reference Tables'!$X$58</definedName>
    <definedName name="user_svc_my_vmware">'Value Reference Tables'!$L$11</definedName>
    <definedName name="user_svc_vcf_bck">'Value Reference Tables'!$L$59</definedName>
    <definedName name="user_svc_vcf_ca_vcf">'Value Reference Tables'!$L$10</definedName>
    <definedName name="user_svc_vcf_ca_vvd">'Value Reference Tables'!$I$117</definedName>
    <definedName name="user_svc_vra_nsx">'Value Reference Tables'!$I$126</definedName>
    <definedName name="user_svc_vra_vcf">'Value Reference Tables'!$I$127</definedName>
    <definedName name="user_svc_vra_vrops">'Value Reference Tables'!$I$129</definedName>
    <definedName name="user_svc_vra_vsphere">'Value Reference Tables'!$I$125</definedName>
    <definedName name="user_svc_vrli_vrops">'Value Reference Tables'!$I$124</definedName>
    <definedName name="user_svc_vrli_wsa">'Value Reference Tables'!$I$123</definedName>
    <definedName name="user_svc_vro_vsphere">'Value Reference Tables'!$I$128</definedName>
    <definedName name="user_svc_vrops_nsx">'Value Reference Tables'!$I$121</definedName>
    <definedName name="user_svc_vrops_vra">'Value Reference Tables'!$I$122</definedName>
    <definedName name="user_svc_vrops_vsan">'Value Reference Tables'!$I$120</definedName>
    <definedName name="user_svc_vrops_vsphere">'Value Reference Tables'!$I$119</definedName>
    <definedName name="valuevx">42.314159</definedName>
    <definedName name="vc_license">'Value Reference Tables'!$I$9</definedName>
    <definedName name="vcenter_root_password">'Value Reference Tables'!$I$29</definedName>
    <definedName name="vcf_aware_wsa_chosen">'Deployment Options'!$H$34</definedName>
    <definedName name="vcf_aware_wsa_result">'Deployment Options'!$J$34</definedName>
    <definedName name="vcf_currency_codes">'Static Reference Tables'!$E$7:$E$160</definedName>
    <definedName name="vcf_license_now_output">'Value Reference Tables'!$I$8</definedName>
    <definedName name="vcf_solution_license_chosen">'Deployment Options'!$H$15</definedName>
    <definedName name="vcf_solution_license_result">'Deployment Options'!$J$15</definedName>
    <definedName name="vcf_version">'Deployment Options'!$B$11</definedName>
    <definedName name="vcf_version_chosen">'Deployment Options'!$H$11</definedName>
    <definedName name="vcf_version_result">'Deployment Options'!$J$11</definedName>
    <definedName name="vcf_vi_isolated_domain_count">'Value Reference Tables'!$X$105</definedName>
    <definedName name="vcf_vi_wld_domain_count">'Value Reference Tables'!$X$104</definedName>
    <definedName name="vcfadmin_local_password">'Value Reference Tables'!$I$51</definedName>
    <definedName name="vi_only_viable">'Value Reference Tables'!$X$103</definedName>
    <definedName name="vlcm_image_cluster_moref">'Value Reference Tables'!$L$76</definedName>
    <definedName name="vlcm_image_cluster_name">'Value Reference Tables'!$L$75</definedName>
    <definedName name="vlcm_image_name">'Value Reference Tables'!$L$77</definedName>
    <definedName name="vlcm_image_vc_hostname">'Value Reference Tables'!$L$74</definedName>
    <definedName name="vra_license">'Value Reference Tables'!$R$66</definedName>
    <definedName name="vra_license_alias">'Value Reference Tables'!$R$65</definedName>
    <definedName name="vra_sddc_mgr_integration_name">'Value Reference Tables'!$R$89</definedName>
    <definedName name="vrli_license">'Value Reference Tables'!$R$95</definedName>
    <definedName name="vrli_license_alias">'Value Reference Tables'!$R$94</definedName>
    <definedName name="vrms_appliance_size">'Value Reference Tables'!$R$176</definedName>
    <definedName name="vrni_license">'Value Reference Tables'!$R$245</definedName>
    <definedName name="vrni_license_alias">'Value Reference Tables'!$R$244</definedName>
    <definedName name="vrops_license">'Value Reference Tables'!$R$123</definedName>
    <definedName name="vrops_license_alias">'Value Reference Tables'!$R$122</definedName>
    <definedName name="vrs_license">'Value Reference Tables'!$I$13</definedName>
    <definedName name="vrs_t1_lb_si_ip">'Value Reference Tables'!$O$12</definedName>
    <definedName name="vrs_t1_lb_si_name">'Value Reference Tables'!$O$8</definedName>
    <definedName name="vrslcm_bespoke_svc_vrslcm_vsphere_password">'Value Reference Tables'!$X$32</definedName>
    <definedName name="vrslcm_chosen">'Deployment Options'!$H$33</definedName>
    <definedName name="vrslcm_reg_dc">'Value Reference Tables'!$X$14</definedName>
    <definedName name="vrslcm_reg_env">'Value Reference Tables'!$R$100</definedName>
    <definedName name="vrslcm_result">'Deployment Options'!$J$33</definedName>
    <definedName name="vrslcm_root_password">'Value Reference Tables'!$I$52</definedName>
    <definedName name="vrslcm_xreg_admin_password">'Value Reference Tables'!$I$53</definedName>
    <definedName name="vrslcm_xreg_admin_username">'Value Reference Tables'!$I$20</definedName>
    <definedName name="vrslcm_xreg_content_library">'Value Reference Tables'!$X$34</definedName>
    <definedName name="vrslcm_xreg_dc">'Value Reference Tables'!$X$8</definedName>
    <definedName name="vrslcm_xreg_env">'Value Reference Tables'!$X$12</definedName>
    <definedName name="vrslcm_xreg_env_password">'Value Reference Tables'!$X$11</definedName>
    <definedName name="vrslcm_xreg_env_password_alias">'Value Reference Tables'!$X$10</definedName>
    <definedName name="vrslcm_xreg_location">'Value Reference Tables'!$X$9</definedName>
    <definedName name="vrslcm_xreg_vm_folder">'Value Reference Tables'!$X$13</definedName>
    <definedName name="vsan_license">'Value Reference Tables'!$I$11</definedName>
    <definedName name="vsphere_8u1_evc_table">'Static Reference Tables'!$B$265:$B$288</definedName>
    <definedName name="witness_dns_zone">'Value Reference Tables'!$I$88</definedName>
    <definedName name="witness_dns1_ip">'Value Reference Tables'!$I$75</definedName>
    <definedName name="witness_dns2_ip">'Value Reference Tables'!$I$76</definedName>
    <definedName name="witness_ntp1_server">'Value Reference Tables'!$I$69</definedName>
    <definedName name="witness_ntp2_server">'Value Reference Tables'!$I$70</definedName>
    <definedName name="wld_avi_loadbalancer_chosen">'Deployment Options'!$H$62</definedName>
    <definedName name="wld_avi_loadbalancer_result">'Deployment Options'!$J$62</definedName>
    <definedName name="wld_avilb_cluster_name">'Value Reference Tables'!$L$93</definedName>
    <definedName name="wld_avilb_cluster_version">'Value Reference Tables'!$L$94</definedName>
    <definedName name="wld_avilb_fqdn">'Value Reference Tables'!$F$59</definedName>
    <definedName name="wld_avilb_hostname">'Value Reference Tables'!$F$38</definedName>
    <definedName name="wld_avilb_ip">'Value Reference Tables'!$F$22</definedName>
    <definedName name="wld_avilb_mgra_fqdn">'Value Reference Tables'!$F$60</definedName>
    <definedName name="wld_avilb_mgra_hostname">'Value Reference Tables'!$F$39</definedName>
    <definedName name="wld_avilb_mgra_ip">'Value Reference Tables'!$F$23</definedName>
    <definedName name="wld_avilb_mgrb_fqdn">'Value Reference Tables'!$F$61</definedName>
    <definedName name="wld_avilb_mgrb_hostname">'Value Reference Tables'!$F$40</definedName>
    <definedName name="wld_avilb_mgrb_ip">'Value Reference Tables'!$F$24</definedName>
    <definedName name="wld_avilb_mgrc_fqdn">'Value Reference Tables'!$F$62</definedName>
    <definedName name="wld_avilb_mgrc_hostname">'Value Reference Tables'!$F$41</definedName>
    <definedName name="wld_avilb_mgrc_ip">'Value Reference Tables'!$F$25</definedName>
    <definedName name="wld_az_second_edge_rack_mgmt_vm_vlan">'Value Reference Tables - MR'!$O$237</definedName>
    <definedName name="wld_az1_child_dns_zone">'Value Reference Tables - MR'!$F$120</definedName>
    <definedName name="wld_az1_edge_overlay_cidr">'Value Reference Tables - MR'!$F$30</definedName>
    <definedName name="wld_az1_edge_overlay_gateway_ip">'Value Reference Tables - MR'!$F$44</definedName>
    <definedName name="wld_az1_edge_overlay_mtu">'Value Reference Tables - MR'!$F$58</definedName>
    <definedName name="wld_az1_edge_overlay_network_pool_name">'Value Reference Tables - MR'!$F$103</definedName>
    <definedName name="wld_az1_edge_overlay_pool_end_ip">'Value Reference Tables - MR'!$F$92</definedName>
    <definedName name="wld_az1_edge_overlay_pool_start_ip">'Value Reference Tables - MR'!$F$91</definedName>
    <definedName name="wld_az1_edge_overlay_vlan">'Value Reference Tables - MR'!$F$16</definedName>
    <definedName name="wld_az1_en1_edge_overlay_interface_ip_1_ip">'Value Reference Tables - MR'!$F$201</definedName>
    <definedName name="wld_az1_en1_edge_overlay_interface_ip_2_ip">'Value Reference Tables - MR'!$F$202</definedName>
    <definedName name="wld_az1_en1_fqdn">'Value Reference Tables'!$F$57</definedName>
    <definedName name="wld_az1_en1_hostname">'Value Reference Tables - MR'!$F$196</definedName>
    <definedName name="wld_az1_en1_mgmt_ip">'Value Reference Tables - MR'!$F$198</definedName>
    <definedName name="wld_az1_en1_uplink01_interface_ip">'Value Reference Tables - MR'!$F$199</definedName>
    <definedName name="wld_az1_en1_uplink02_interface_ip">'Value Reference Tables - MR'!$F$200</definedName>
    <definedName name="wld_az1_en2_edge_overlay_interface_ip_1_ip">'Value Reference Tables - MR'!$F$210</definedName>
    <definedName name="wld_az1_en2_edge_overlay_interface_ip_2_ip">'Value Reference Tables - MR'!$F$211</definedName>
    <definedName name="wld_az1_en2_fqdn">'Value Reference Tables'!$F$58</definedName>
    <definedName name="wld_az1_en2_hostname">'Value Reference Tables - MR'!$F$205</definedName>
    <definedName name="wld_az1_en2_mgmt_ip">'Value Reference Tables - MR'!$F$207</definedName>
    <definedName name="wld_az1_en2_uplink01_interface_ip">'Value Reference Tables - MR'!$F$208</definedName>
    <definedName name="wld_az1_en2_uplink02_interface_ip">'Value Reference Tables - MR'!$F$209</definedName>
    <definedName name="wld_az1_first_compute_rack_host_01_output">'Static Reference Tables'!$F$431</definedName>
    <definedName name="wld_az1_first_compute_rack_host_overlay_cidr_output">'Static Reference Tables'!$M$431</definedName>
    <definedName name="wld_az1_first_compute_rack_host_overlay_end_ip_output">'Static Reference Tables'!$K$431</definedName>
    <definedName name="wld_az1_first_compute_rack_host_overlay_gateway_output">'Static Reference Tables'!$N$431</definedName>
    <definedName name="wld_az1_first_compute_rack_host_overlay_start_ip_output">'Static Reference Tables'!$J$431</definedName>
    <definedName name="wld_az1_first_compute_rack_host_overlay_uplink_profile_name_output">'Static Reference Tables'!$I$431</definedName>
    <definedName name="wld_az1_first_compute_rack_host_overlay_vlan_output">'Static Reference Tables'!$L$431</definedName>
    <definedName name="wld_az1_first_compute_rack_overlay_network_pool_name_output">'Static Reference Tables'!$H$431</definedName>
    <definedName name="wld_az1_first_compute_rack_overlay_network_profile_name_output">'Static Reference Tables'!$G$431</definedName>
    <definedName name="wld_az1_first_edge_cluster_host_overlay_cidr_output">'Value Reference Tables - MR'!$L$258</definedName>
    <definedName name="wld_az1_first_edge_cluster_host_overlay_gateway_ip_output">'Value Reference Tables - MR'!$L$257</definedName>
    <definedName name="wld_az1_first_edge_cluster_host_overlay_network_pool_name_output">'Value Reference Tables - MR'!$L$254</definedName>
    <definedName name="wld_az1_first_edge_cluster_host_overlay_pool_end_ip_output">'Value Reference Tables - MR'!$L$256</definedName>
    <definedName name="wld_az1_first_edge_cluster_host_overlay_pool_start_ip_output">'Value Reference Tables - MR'!$L$255</definedName>
    <definedName name="wld_az1_first_edge_cluster_host_overlay_uplink_profile_name_output">'Value Reference Tables - MR'!$L$260</definedName>
    <definedName name="wld_az1_first_edge_cluster_host_overlay_vlan_output">'Value Reference Tables - MR'!$L$259</definedName>
    <definedName name="wld_az1_first_edge_rack_edge_overlay_cidr_output">'Value Reference Tables - MR'!$L$253</definedName>
    <definedName name="wld_az1_first_edge_rack_edge_overlay_gateway_ip_output">'Value Reference Tables - MR'!$L$238</definedName>
    <definedName name="wld_az1_first_edge_rack_edge_overlay_network_pool_name_output">'Value Reference Tables - MR'!$L$250</definedName>
    <definedName name="wld_az1_first_edge_rack_edge_overlay_pool_end_ip_output">'Value Reference Tables - MR'!$L$252</definedName>
    <definedName name="wld_az1_first_edge_rack_edge_overlay_pool_start_ip_output">'Value Reference Tables - MR'!$L$251</definedName>
    <definedName name="wld_az1_first_edge_rack_edge_overlay_vlan_output">'Value Reference Tables - MR'!$L$239</definedName>
    <definedName name="wld_az1_first_edge_rack_en01_fqdn_output">'Value Reference Tables - MR'!$L$234</definedName>
    <definedName name="wld_az1_first_edge_rack_en01_uplink01_interface_cidr_output">'Value Reference Tables - MR'!$L$241</definedName>
    <definedName name="wld_az1_first_edge_rack_en01_uplink02_interface_cidr_output">'Value Reference Tables - MR'!$L$246</definedName>
    <definedName name="wld_az1_first_edge_rack_en02_fqdn_output">'Value Reference Tables - MR'!$L$261</definedName>
    <definedName name="wld_az1_first_edge_rack_en02_uplink01_interface_cidr_output">'Value Reference Tables - MR'!$L$263</definedName>
    <definedName name="wld_az1_first_edge_rack_en02_uplink02_interface_cidr_output">'Value Reference Tables - MR'!$L$264</definedName>
    <definedName name="wld_az1_first_edge_rack_mgmt_en01_vm_cidr_output">'Value Reference Tables - MR'!$L$235</definedName>
    <definedName name="wld_az1_first_edge_rack_mgmt_en02_vm_cidr_output">'Value Reference Tables - MR'!$L$262</definedName>
    <definedName name="wld_az1_first_edge_rack_mgmt_vm_gateway_ip_output">'Value Reference Tables - MR'!$L$236</definedName>
    <definedName name="wld_az1_first_edge_rack_mgmt_vm_vlan_output">'Value Reference Tables - MR'!$L$237</definedName>
    <definedName name="wld_az1_first_edge_rack_tor1_peer_asn_output">'Value Reference Tables - MR'!$L$243</definedName>
    <definedName name="wld_az1_first_edge_rack_tor1_peer_bgp_password_output">'Value Reference Tables - MR'!$L$244</definedName>
    <definedName name="wld_az1_first_edge_rack_tor1_peer_cidr_output">'Value Reference Tables - MR'!$L$242</definedName>
    <definedName name="wld_az1_first_edge_rack_tor2_peer_asn_output">'Value Reference Tables - MR'!$L$248</definedName>
    <definedName name="wld_az1_first_edge_rack_tor2_peer_bgp_password_output">'Value Reference Tables - MR'!$L$249</definedName>
    <definedName name="wld_az1_first_edge_rack_tor2_peer_cidr_output">'Value Reference Tables - MR'!$L$247</definedName>
    <definedName name="wld_az1_first_edge_rack_uplink01_vlan_output">'Value Reference Tables - MR'!$L$240</definedName>
    <definedName name="wld_az1_first_edge_rack_uplink02_vlan_output">'Value Reference Tables - MR'!$L$245</definedName>
    <definedName name="wld_az1_fourth_compute_rack_host_01_output">'Static Reference Tables'!$F$434</definedName>
    <definedName name="wld_az1_fourth_compute_rack_host_overlay_cidr_output">'Static Reference Tables'!$M$434</definedName>
    <definedName name="wld_az1_fourth_compute_rack_host_overlay_end_ip_output">'Static Reference Tables'!$K$434</definedName>
    <definedName name="wld_az1_fourth_compute_rack_host_overlay_gateway_output">'Static Reference Tables'!$N$434</definedName>
    <definedName name="wld_az1_fourth_compute_rack_host_overlay_start_ip_output">'Static Reference Tables'!$J$434</definedName>
    <definedName name="wld_az1_fourth_compute_rack_host_overlay_uplink_profile_name_output">'Static Reference Tables'!$I$434</definedName>
    <definedName name="wld_az1_fourth_compute_rack_host_overlay_vlan_output">'Static Reference Tables'!$L$434</definedName>
    <definedName name="wld_az1_fourth_compute_rack_overlay_network_pool_name_output">'Static Reference Tables'!$H$434</definedName>
    <definedName name="wld_az1_fourth_compute_rack_overlay_network_profile_name_output">'Static Reference Tables'!$G$434</definedName>
    <definedName name="wld_az1_host_fqdns">'Value Reference Tables - MR'!$F$178:$F$193</definedName>
    <definedName name="wld_az1_host_function">'Value Reference Tables - MR'!$F$215</definedName>
    <definedName name="wld_az1_host_hostnames">'Value Reference Tables - MR'!$F$159:$F$174</definedName>
    <definedName name="wld_az1_host_mgmt_ips">'Value Reference Tables - MR'!$F$124:$F$139</definedName>
    <definedName name="wld_az1_host_overlay_cidr">'Value Reference Tables - MR'!$F$26</definedName>
    <definedName name="wld_az1_host_overlay_gateway_ip">'Value Reference Tables - MR'!$F$40</definedName>
    <definedName name="wld_az1_host_overlay_mtu">'Value Reference Tables - MR'!$F$54</definedName>
    <definedName name="wld_az1_host_overlay_network_pool_name">'Value Reference Tables - MR'!$F$101</definedName>
    <definedName name="wld_az1_host_overlay_network_profile_name">'Value Reference Tables - MR'!$F$99</definedName>
    <definedName name="wld_az1_host_overlay_pool_end_ip">'Value Reference Tables - MR'!$F$88</definedName>
    <definedName name="wld_az1_host_overlay_pool_start_ip">'Value Reference Tables - MR'!$F$87</definedName>
    <definedName name="wld_az1_host_overlay_uplink_profile_name">'Value Reference Tables - MR'!$F$102</definedName>
    <definedName name="wld_az1_host_overlay_vlan">'Value Reference Tables - MR'!$F$12</definedName>
    <definedName name="wld_az1_host_vrms_ips">'Value Reference Tables - MR'!$F$140:$F$155</definedName>
    <definedName name="wld_az1_host1_fqdn">'Value Reference Tables - MR'!$F$178</definedName>
    <definedName name="wld_az1_host1_function">'Value Reference Tables - MR'!$F$215</definedName>
    <definedName name="wld_az1_host1_hostname">'Value Reference Tables - MR'!$F$159</definedName>
    <definedName name="wld_az1_host1_mgmt_ip">'Value Reference Tables - MR'!$F$124</definedName>
    <definedName name="wld_az1_host1_sddc_id">'Value Reference Tables'!$L$80</definedName>
    <definedName name="wld_az1_host1_vrms_ip">'Value Reference Tables - MR'!$F$140</definedName>
    <definedName name="wld_az1_host10_fqdn">'Value Reference Tables - MR'!$F$187</definedName>
    <definedName name="wld_az1_host10_hostname">'Value Reference Tables - MR'!$F$168</definedName>
    <definedName name="wld_az1_host10_mgmt_ip">'Value Reference Tables - MR'!$F$133</definedName>
    <definedName name="wld_az1_host10_vrms_ip">'Value Reference Tables - MR'!$F$149</definedName>
    <definedName name="wld_az1_host11_fqdn">'Value Reference Tables - MR'!$F$188</definedName>
    <definedName name="wld_az1_host11_hostname">'Value Reference Tables - MR'!$F$169</definedName>
    <definedName name="wld_az1_host11_mgmt_ip">'Value Reference Tables - MR'!$F$134</definedName>
    <definedName name="wld_az1_host11_vrms_ip">'Value Reference Tables - MR'!$F$150</definedName>
    <definedName name="wld_az1_host12_fqdn">'Value Reference Tables - MR'!$F$189</definedName>
    <definedName name="wld_az1_host12_hostname">'Value Reference Tables - MR'!$F$170</definedName>
    <definedName name="wld_az1_host12_mgmt_ip">'Value Reference Tables - MR'!$F$135</definedName>
    <definedName name="wld_az1_host12_vrms_ip">'Value Reference Tables - MR'!$F$151</definedName>
    <definedName name="wld_az1_host13_fqdn">'Value Reference Tables - MR'!$F$190</definedName>
    <definedName name="wld_az1_host13_hostname">'Value Reference Tables - MR'!$F$171</definedName>
    <definedName name="wld_az1_host13_mgmt_ip">'Value Reference Tables - MR'!$F$136</definedName>
    <definedName name="wld_az1_host13_vrms_ip">'Value Reference Tables - MR'!$F$152</definedName>
    <definedName name="wld_az1_host14_fqdn">'Value Reference Tables - MR'!$F$191</definedName>
    <definedName name="wld_az1_host14_hostname">'Value Reference Tables - MR'!$F$172</definedName>
    <definedName name="wld_az1_host14_mgmt_ip">'Value Reference Tables - MR'!$F$137</definedName>
    <definedName name="wld_az1_host14_vrms_ip">'Value Reference Tables - MR'!$F$153</definedName>
    <definedName name="wld_az1_host15_fqdn">'Value Reference Tables - MR'!$F$192</definedName>
    <definedName name="wld_az1_host15_hostname">'Value Reference Tables - MR'!$F$173</definedName>
    <definedName name="wld_az1_host15_mgmt_ip">'Value Reference Tables - MR'!$F$138</definedName>
    <definedName name="wld_az1_host15_vrms_ip">'Value Reference Tables - MR'!$F$154</definedName>
    <definedName name="wld_az1_host16_fqdn">'Value Reference Tables - MR'!$F$193</definedName>
    <definedName name="wld_az1_host16_hostname">'Value Reference Tables - MR'!$F$174</definedName>
    <definedName name="wld_az1_host16_mgmt_ip">'Value Reference Tables - MR'!$F$139</definedName>
    <definedName name="wld_az1_host16_vrms_ip">'Value Reference Tables - MR'!$F$155</definedName>
    <definedName name="wld_az1_host2_fqdn">'Value Reference Tables - MR'!$F$179</definedName>
    <definedName name="wld_az1_host2_function">'Value Reference Tables - MR'!$F$216</definedName>
    <definedName name="wld_az1_host2_hostname">'Value Reference Tables - MR'!$F$160</definedName>
    <definedName name="wld_az1_host2_mgmt_ip">'Value Reference Tables - MR'!$F$125</definedName>
    <definedName name="wld_az1_host2_sddc_id">'Value Reference Tables'!$L$81</definedName>
    <definedName name="wld_az1_host2_vrms_ip">'Value Reference Tables - MR'!$F$141</definedName>
    <definedName name="wld_az1_host3_fqdn">'Value Reference Tables - MR'!$F$180</definedName>
    <definedName name="wld_az1_host3_function">'Value Reference Tables - MR'!$F$217</definedName>
    <definedName name="wld_az1_host3_hostname">'Value Reference Tables - MR'!$F$161</definedName>
    <definedName name="wld_az1_host3_mgmt_ip">'Value Reference Tables - MR'!$F$126</definedName>
    <definedName name="wld_az1_host3_sddc_id">'Value Reference Tables'!$L$82</definedName>
    <definedName name="wld_az1_host3_vrms_ip">'Value Reference Tables - MR'!$F$142</definedName>
    <definedName name="wld_az1_host4_fqdn">'Value Reference Tables - MR'!$F$181</definedName>
    <definedName name="wld_az1_host4_hostname">'Value Reference Tables - MR'!$F$162</definedName>
    <definedName name="wld_az1_host4_mgmt_ip">'Value Reference Tables - MR'!$F$127</definedName>
    <definedName name="wld_az1_host4_sddc_id">'Value Reference Tables'!$L$83</definedName>
    <definedName name="wld_az1_host4_vrms_ip">'Value Reference Tables - MR'!$F$143</definedName>
    <definedName name="wld_az1_host5_fqdn">'Value Reference Tables - MR'!$F$182</definedName>
    <definedName name="wld_az1_host5_hostname">'Value Reference Tables - MR'!$F$163</definedName>
    <definedName name="wld_az1_host5_mgmt_ip">'Value Reference Tables - MR'!$F$128</definedName>
    <definedName name="wld_az1_host5_vrms_ip">'Value Reference Tables - MR'!$F$144</definedName>
    <definedName name="wld_az1_host6_fqdn">'Value Reference Tables - MR'!$F$183</definedName>
    <definedName name="wld_az1_host6_hostname">'Value Reference Tables - MR'!$F$164</definedName>
    <definedName name="wld_az1_host6_mgmt_ip">'Value Reference Tables - MR'!$F$129</definedName>
    <definedName name="wld_az1_host6_vrms_ip">'Value Reference Tables - MR'!$F$145</definedName>
    <definedName name="wld_az1_host7_fqdn">'Value Reference Tables - MR'!$F$184</definedName>
    <definedName name="wld_az1_host7_hostname">'Value Reference Tables - MR'!$F$165</definedName>
    <definedName name="wld_az1_host7_mgmt_ip">'Value Reference Tables - MR'!$F$130</definedName>
    <definedName name="wld_az1_host7_vrms_ip">'Value Reference Tables - MR'!$F$146</definedName>
    <definedName name="wld_az1_host8_fqdn">'Value Reference Tables - MR'!$F$185</definedName>
    <definedName name="wld_az1_host8_hostname">'Value Reference Tables - MR'!$F$166</definedName>
    <definedName name="wld_az1_host8_mgmt_ip">'Value Reference Tables - MR'!$F$131</definedName>
    <definedName name="wld_az1_host8_vrms_ip">'Value Reference Tables - MR'!$F$147</definedName>
    <definedName name="wld_az1_host9_fqdn">'Value Reference Tables - MR'!$F$186</definedName>
    <definedName name="wld_az1_host9_hostname">'Value Reference Tables - MR'!$F$167</definedName>
    <definedName name="wld_az1_host9_mgmt_ip">'Value Reference Tables - MR'!$F$132</definedName>
    <definedName name="wld_az1_host9_vrms_ip">'Value Reference Tables - MR'!$F$148</definedName>
    <definedName name="wld_az1_mgmt_cidr">'Value Reference Tables - MR'!$F$23</definedName>
    <definedName name="wld_az1_mgmt_gateway_ip">'Value Reference Tables - MR'!$F$37</definedName>
    <definedName name="wld_az1_mgmt_mask">'Value Reference Tables - MR'!$F$110</definedName>
    <definedName name="wld_az1_mgmt_mtu">'Value Reference Tables - MR'!$F$51</definedName>
    <definedName name="wld_az1_mgmt_vlan">'Value Reference Tables - MR'!$F$9</definedName>
    <definedName name="wld_az1_mgmt_vm_cidr">'Value Reference Tables - MR'!$F$22</definedName>
    <definedName name="wld_az1_mgmt_vm_gateway_ip">'Value Reference Tables - MR'!$F$36</definedName>
    <definedName name="wld_az1_mgmt_vm_mask">'Value Reference Tables - MR'!$F$109</definedName>
    <definedName name="wld_az1_mgmt_vm_mtu">'Value Reference Tables - MR'!$F$50</definedName>
    <definedName name="wld_az1_mgmt_vm_vlan">'Value Reference Tables - MR'!$F$8</definedName>
    <definedName name="wld_az1_pool_name">'Value Reference Tables - MR'!$F$98</definedName>
    <definedName name="wld_az1_principal_storage_cidr">'Value Reference Tables - MR'!$F$25</definedName>
    <definedName name="wld_az1_principal_storage_gateway_ip">'Value Reference Tables - MR'!$F$39</definedName>
    <definedName name="wld_az1_principal_storage_mask">'Value Reference Tables - MR'!$F$112</definedName>
    <definedName name="wld_az1_principal_storage_mtu">'Value Reference Tables - MR'!$F$53</definedName>
    <definedName name="wld_az1_principal_storage_pool_end_ip">'Value Reference Tables - MR'!$F$86</definedName>
    <definedName name="wld_az1_principal_storage_pool_start_ip">'Value Reference Tables - MR'!$F$85</definedName>
    <definedName name="wld_az1_principal_storage_vlan">'Value Reference Tables - MR'!$F$11</definedName>
    <definedName name="wld_az1_rack2_child_dns_zone">'Value Reference Tables - MR'!$I$120</definedName>
    <definedName name="wld_az1_rack2_edge_overlay_cidr">'Value Reference Tables - MR'!$I$30</definedName>
    <definedName name="wld_az1_rack2_edge_overlay_gateway_ip">'Value Reference Tables - MR'!$I$44</definedName>
    <definedName name="wld_az1_rack2_edge_overlay_mtu">'Value Reference Tables - MR'!$I$58</definedName>
    <definedName name="wld_az1_rack2_edge_overlay_network_pool_name">'Value Reference Tables - MR'!$I$103</definedName>
    <definedName name="wld_az1_rack2_edge_overlay_pool_end_ip">'Value Reference Tables - MR'!$I$92</definedName>
    <definedName name="wld_az1_rack2_edge_overlay_pool_start_ip">'Value Reference Tables - MR'!$I$91</definedName>
    <definedName name="wld_az1_rack2_edge_overlay_vlan">'Value Reference Tables - MR'!$I$16</definedName>
    <definedName name="wld_az1_rack2_en1_edge_overlay_interface_ip_1_ip">'Value Reference Tables - MR'!$I$201</definedName>
    <definedName name="wld_az1_rack2_en1_edge_overlay_interface_ip_2_ip">'Value Reference Tables - MR'!$I$202</definedName>
    <definedName name="wld_az1_rack2_en1_fqdn">'Value Reference Tables - MR'!$I$197</definedName>
    <definedName name="wld_az1_rack2_en1_hostname">'Value Reference Tables - MR'!$I$196</definedName>
    <definedName name="wld_az1_rack2_en1_mgmt_ip">'Value Reference Tables - MR'!$I$198</definedName>
    <definedName name="wld_az1_rack2_en1_uplink01_interface_ip">'Value Reference Tables - MR'!$I$199</definedName>
    <definedName name="wld_az1_rack2_en1_uplink02_interface_ip">'Value Reference Tables - MR'!$I$200</definedName>
    <definedName name="wld_az1_rack2_en2_fqdn">'Value Reference Tables - MR'!$I$206</definedName>
    <definedName name="wld_az1_rack2_en2_hostname">'Value Reference Tables - MR'!$I$205</definedName>
    <definedName name="wld_az1_rack2_en2_mgmt_ip">'Value Reference Tables - MR'!$I$207</definedName>
    <definedName name="wld_az1_rack2_en2_uplink01_interface_ip">'Value Reference Tables - MR'!$I$208</definedName>
    <definedName name="wld_az1_rack2_en2_uplink02_interface_ip">'Value Reference Tables - MR'!$I$209</definedName>
    <definedName name="wld_az1_rack2_host_edge_count">'Value Reference Tables - MR'!$I$231</definedName>
    <definedName name="wld_az1_rack2_host_fqdns">'Value Reference Tables - MR'!$I$178:$I$193</definedName>
    <definedName name="wld_az1_rack2_host_hostnames">'Value Reference Tables - MR'!$I$159:$I$174</definedName>
    <definedName name="wld_az1_rack2_host_mgmt_ips">'Value Reference Tables - MR'!$I$124:$I$139</definedName>
    <definedName name="wld_az1_rack2_host_overlay_cidr">'Value Reference Tables - MR'!$I$26</definedName>
    <definedName name="wld_az1_rack2_host_overlay_gateway_ip">'Value Reference Tables - MR'!$I$40</definedName>
    <definedName name="wld_az1_rack2_host_overlay_mtu">'Value Reference Tables - MR'!$I$54</definedName>
    <definedName name="wld_az1_rack2_host_overlay_network_pool_name">'Value Reference Tables - MR'!$I$101</definedName>
    <definedName name="wld_az1_rack2_host_overlay_network_profile_name">'Value Reference Tables - MR'!$I$99</definedName>
    <definedName name="wld_az1_rack2_host_overlay_pool_end_ip">'Value Reference Tables - MR'!$I$88</definedName>
    <definedName name="wld_az1_rack2_host_overlay_pool_start_ip">'Value Reference Tables - MR'!$I$87</definedName>
    <definedName name="wld_az1_rack2_host_overlay_uplink_profile_name">'Value Reference Tables - MR'!$I$102</definedName>
    <definedName name="wld_az1_rack2_host_overlay_vlan">'Value Reference Tables - MR'!$I$12</definedName>
    <definedName name="wld_az1_rack2_host_vrms_ips">'Value Reference Tables - MR'!$I$140:$I$155</definedName>
    <definedName name="wld_az1_rack2_host1_fqdn">'Value Reference Tables - MR'!$I$178</definedName>
    <definedName name="wld_az1_rack2_host1_function">'Value Reference Tables - MR'!$I$215</definedName>
    <definedName name="wld_az1_rack2_host1_hostname">'Value Reference Tables - MR'!$I$159</definedName>
    <definedName name="wld_az1_rack2_host1_mgmt_ip">'Value Reference Tables - MR'!$I$124</definedName>
    <definedName name="wld_az1_rack2_host1_vrms_ip">'Value Reference Tables - MR'!$I$140</definedName>
    <definedName name="wld_az1_rack2_host10_fqdn">'Value Reference Tables - MR'!$I$187</definedName>
    <definedName name="wld_az1_rack2_host10_hostname">'Value Reference Tables - MR'!$I$168</definedName>
    <definedName name="wld_az1_rack2_host10_mgmt_ip">'Value Reference Tables - MR'!$I$133</definedName>
    <definedName name="wld_az1_rack2_host10_vrms_ip">'Value Reference Tables - MR'!$I$149</definedName>
    <definedName name="wld_az1_rack2_host11_fqdn">'Value Reference Tables - MR'!$I$188</definedName>
    <definedName name="wld_az1_rack2_host11_hostname">'Value Reference Tables - MR'!$I$169</definedName>
    <definedName name="wld_az1_rack2_host11_mgmt_ip">'Value Reference Tables - MR'!$I$134</definedName>
    <definedName name="wld_az1_rack2_host11_vrms_ip">'Value Reference Tables - MR'!$I$150</definedName>
    <definedName name="wld_az1_rack2_host12_fqdn">'Value Reference Tables - MR'!$I$189</definedName>
    <definedName name="wld_az1_rack2_host12_hostname">'Value Reference Tables - MR'!$I$170</definedName>
    <definedName name="wld_az1_rack2_host12_mgmt_ip">'Value Reference Tables - MR'!$I$135</definedName>
    <definedName name="wld_az1_rack2_host12_vrms_ip">'Value Reference Tables - MR'!$I$151</definedName>
    <definedName name="wld_az1_rack2_host13_fqdn">'Value Reference Tables - MR'!$I$190</definedName>
    <definedName name="wld_az1_rack2_host13_hostname">'Value Reference Tables - MR'!$I$171</definedName>
    <definedName name="wld_az1_rack2_host13_mgmt_ip">'Value Reference Tables - MR'!$I$136</definedName>
    <definedName name="wld_az1_rack2_host13_vrms_ip">'Value Reference Tables - MR'!$I$152</definedName>
    <definedName name="wld_az1_rack2_host14_fqdn">'Value Reference Tables - MR'!$I$191</definedName>
    <definedName name="wld_az1_rack2_host14_hostname">'Value Reference Tables - MR'!$I$172</definedName>
    <definedName name="wld_az1_rack2_host14_mgmt_ip">'Value Reference Tables - MR'!$I$137</definedName>
    <definedName name="wld_az1_rack2_host14_vrms_ip">'Value Reference Tables - MR'!$I$153</definedName>
    <definedName name="wld_az1_rack2_host15_fqdn">'Value Reference Tables - MR'!$I$192</definedName>
    <definedName name="wld_az1_rack2_host15_hostname">'Value Reference Tables - MR'!$I$173</definedName>
    <definedName name="wld_az1_rack2_host15_mgmt_ip">'Value Reference Tables - MR'!$I$138</definedName>
    <definedName name="wld_az1_rack2_host15_vrms_ip">'Value Reference Tables - MR'!$I$154</definedName>
    <definedName name="wld_az1_rack2_host16_fqdn">'Value Reference Tables - MR'!$I$193</definedName>
    <definedName name="wld_az1_rack2_host16_hostname">'Value Reference Tables - MR'!$I$174</definedName>
    <definedName name="wld_az1_rack2_host16_mgmt_ip">'Value Reference Tables - MR'!$I$139</definedName>
    <definedName name="wld_az1_rack2_host16_vrms_ip">'Value Reference Tables - MR'!$I$155</definedName>
    <definedName name="wld_az1_rack2_host2_fqdn">'Value Reference Tables - MR'!$I$179</definedName>
    <definedName name="wld_az1_rack2_host2_function">'Value Reference Tables - MR'!$I$216</definedName>
    <definedName name="wld_az1_rack2_host2_hostname">'Value Reference Tables - MR'!$I$160</definedName>
    <definedName name="wld_az1_rack2_host2_mgmt_ip">'Value Reference Tables - MR'!$I$125</definedName>
    <definedName name="wld_az1_rack2_host2_vrms_ip">'Value Reference Tables - MR'!$I$141</definedName>
    <definedName name="wld_az1_rack2_host3_fqdn">'Value Reference Tables - MR'!$I$180</definedName>
    <definedName name="wld_az1_rack2_host3_function">'Value Reference Tables - MR'!$I$217</definedName>
    <definedName name="wld_az1_rack2_host3_hostname">'Value Reference Tables - MR'!$I$161</definedName>
    <definedName name="wld_az1_rack2_host3_mgmt_ip">'Value Reference Tables - MR'!$I$126</definedName>
    <definedName name="wld_az1_rack2_host3_vrms_ip">'Value Reference Tables - MR'!$I$142</definedName>
    <definedName name="wld_az1_rack2_host4_fqdn">'Value Reference Tables - MR'!$I$181</definedName>
    <definedName name="wld_az1_rack2_host4_hostname">'Value Reference Tables - MR'!$I$162</definedName>
    <definedName name="wld_az1_rack2_host4_mgmt_ip">'Value Reference Tables - MR'!$I$127</definedName>
    <definedName name="wld_az1_rack2_host4_vrms_ip">'Value Reference Tables - MR'!$I$143</definedName>
    <definedName name="wld_az1_rack2_host5_fqdn">'Value Reference Tables - MR'!$I$182</definedName>
    <definedName name="wld_az1_rack2_host5_hostname">'Value Reference Tables - MR'!$I$163</definedName>
    <definedName name="wld_az1_rack2_host5_mgmt_ip">'Value Reference Tables - MR'!$I$128</definedName>
    <definedName name="wld_az1_rack2_host5_vrms_ip">'Value Reference Tables - MR'!$I$144</definedName>
    <definedName name="wld_az1_rack2_host6_fqdn">'Value Reference Tables - MR'!$I$183</definedName>
    <definedName name="wld_az1_rack2_host6_hostname">'Value Reference Tables - MR'!$I$164</definedName>
    <definedName name="wld_az1_rack2_host6_mgmt_ip">'Value Reference Tables - MR'!$I$129</definedName>
    <definedName name="wld_az1_rack2_host6_vrms_ip">'Value Reference Tables - MR'!$I$145</definedName>
    <definedName name="wld_az1_rack2_host7_fqdn">'Value Reference Tables - MR'!$I$184</definedName>
    <definedName name="wld_az1_rack2_host7_hostname">'Value Reference Tables - MR'!$I$165</definedName>
    <definedName name="wld_az1_rack2_host7_mgmt_ip">'Value Reference Tables - MR'!$I$130</definedName>
    <definedName name="wld_az1_rack2_host7_vrms_ip">'Value Reference Tables - MR'!$I$146</definedName>
    <definedName name="wld_az1_rack2_host8_fqdn">'Value Reference Tables - MR'!$I$185</definedName>
    <definedName name="wld_az1_rack2_host8_hostname">'Value Reference Tables - MR'!$I$166</definedName>
    <definedName name="wld_az1_rack2_host8_mgmt_ip">'Value Reference Tables - MR'!$I$131</definedName>
    <definedName name="wld_az1_rack2_host8_vrms_ip">'Value Reference Tables - MR'!$I$147</definedName>
    <definedName name="wld_az1_rack2_host9_fqdn">'Value Reference Tables - MR'!$I$186</definedName>
    <definedName name="wld_az1_rack2_host9_hostname">'Value Reference Tables - MR'!$I$167</definedName>
    <definedName name="wld_az1_rack2_host9_mgmt_ip">'Value Reference Tables - MR'!$I$132</definedName>
    <definedName name="wld_az1_rack2_host9_vrms_ip">'Value Reference Tables - MR'!$I$148</definedName>
    <definedName name="wld_az1_rack2_hostname">'Value Reference Tables - MR'!$I$161</definedName>
    <definedName name="wld_az1_rack2_mgmt_cidr">'Value Reference Tables - MR'!$I$23</definedName>
    <definedName name="wld_az1_rack2_mgmt_gateway_ip">'Value Reference Tables - MR'!$I$37</definedName>
    <definedName name="wld_az1_rack2_mgmt_mask">'Value Reference Tables - MR'!$I$110</definedName>
    <definedName name="wld_az1_rack2_mgmt_mtu">'Value Reference Tables - MR'!$I$51</definedName>
    <definedName name="wld_az1_rack2_mgmt_pg">'Value Reference Tables - MR'!$I$75</definedName>
    <definedName name="wld_az1_rack2_mgmt_vlan">'Value Reference Tables - MR'!$I$9</definedName>
    <definedName name="wld_az1_rack2_mgmt_vm_cidr">'Value Reference Tables - MR'!$I$22</definedName>
    <definedName name="wld_az1_rack2_mgmt_vm_gateway_ip">'Value Reference Tables - MR'!$I$36</definedName>
    <definedName name="wld_az1_rack2_mgmt_vm_mask">'Value Reference Tables - MR'!$I$109</definedName>
    <definedName name="wld_az1_rack2_mgmt_vm_mtu">'Value Reference Tables - MR'!$I$50</definedName>
    <definedName name="wld_az1_rack2_mgmt_vm_pg">'Value Reference Tables - MR'!$I$74</definedName>
    <definedName name="wld_az1_rack2_mgmt_vm_vlan">'Value Reference Tables - MR'!$I$8</definedName>
    <definedName name="wld_az1_rack2_pool_name">'Value Reference Tables - MR'!$I$98</definedName>
    <definedName name="wld_az1_rack2_principal_storage_cidr">'Value Reference Tables - MR'!$I$25</definedName>
    <definedName name="wld_az1_rack2_principal_storage_gateway_ip">'Value Reference Tables - MR'!$I$39</definedName>
    <definedName name="wld_az1_rack2_principal_storage_mask">'Value Reference Tables - MR'!$I$112</definedName>
    <definedName name="wld_az1_rack2_principal_storage_mtu">'Value Reference Tables - MR'!$I$53</definedName>
    <definedName name="wld_az1_rack2_principal_storage_pg">'Value Reference Tables - MR'!$I$77</definedName>
    <definedName name="wld_az1_rack2_principal_storage_pool_end_ip">'Value Reference Tables - MR'!$I$86</definedName>
    <definedName name="wld_az1_rack2_principal_storage_pool_start_ip">'Value Reference Tables - MR'!$I$85</definedName>
    <definedName name="wld_az1_rack2_principal_storage_vlan">'Value Reference Tables - MR'!$I$11</definedName>
    <definedName name="wld_az1_rack2_rtep_ip_pool_name">'Value Reference Tables - MR'!$I$104</definedName>
    <definedName name="wld_az1_rack2_rtep_overlay_cidr">'Value Reference Tables - MR'!$I$31</definedName>
    <definedName name="wld_az1_rack2_rtep_overlay_gateway_ip">'Value Reference Tables - MR'!$I$45</definedName>
    <definedName name="wld_az1_rack2_rtep_overlay_mtu">'Value Reference Tables - MR'!$I$59</definedName>
    <definedName name="wld_az1_rack2_rtep_overlay_pool_end_ip">'Value Reference Tables - MR'!$I$94</definedName>
    <definedName name="wld_az1_rack2_rtep_overlay_pool_start_ip">'Value Reference Tables - MR'!$I$93</definedName>
    <definedName name="wld_az1_rack2_rtep_overlay_vlan">'Value Reference Tables - MR'!$I$17</definedName>
    <definedName name="wld_az1_rack2_secondary_storage_cidr">'Value Reference Tables - MR'!$I$27</definedName>
    <definedName name="wld_az1_rack2_secondary_storage_gateway_ip">'Value Reference Tables - MR'!$I$41</definedName>
    <definedName name="wld_az1_rack2_secondary_storage_mtu">'Value Reference Tables - MR'!$I$55</definedName>
    <definedName name="wld_az1_rack2_secondary_storage_pool_end_ip">'Value Reference Tables - MR'!$I$90</definedName>
    <definedName name="wld_az1_rack2_secondary_storage_pool_start_ip">'Value Reference Tables - MR'!$I$89</definedName>
    <definedName name="wld_az1_rack2_secondary_storage_vlan">'Value Reference Tables - MR'!$I$13</definedName>
    <definedName name="wld_az1_rack2_tor1_peer_asn">'Value Reference Tables - MR'!$I$66</definedName>
    <definedName name="wld_az1_rack2_tor1_peer_bgp_password">'Value Reference Tables - MR'!$I$67</definedName>
    <definedName name="wld_az1_rack2_tor1_peer_ip">'Value Reference Tables - MR'!$I$65</definedName>
    <definedName name="wld_az1_rack2_tor2_peer_asn">'Value Reference Tables - MR'!$I$69</definedName>
    <definedName name="wld_az1_rack2_tor2_peer_bgp_password">'Value Reference Tables - MR'!$I$70</definedName>
    <definedName name="wld_az1_rack2_tor2_peer_ip">'Value Reference Tables - MR'!$I$68</definedName>
    <definedName name="wld_az1_rack2_uplink01_cidr">'Value Reference Tables - MR'!$I$28</definedName>
    <definedName name="wld_az1_rack2_uplink01_gateway_ip">'Value Reference Tables - MR'!$I$42</definedName>
    <definedName name="wld_az1_rack2_uplink01_mtu">'Value Reference Tables - MR'!$I$56</definedName>
    <definedName name="wld_az1_rack2_uplink01_pg">'Value Reference Tables - MR'!$I$78</definedName>
    <definedName name="wld_az1_rack2_uplink01_vlan">'Value Reference Tables - MR'!$I$14</definedName>
    <definedName name="wld_az1_rack2_uplink02_cidr">'Value Reference Tables - MR'!$I$29</definedName>
    <definedName name="wld_az1_rack2_uplink02_gateway_ip">'Value Reference Tables - MR'!$I$43</definedName>
    <definedName name="wld_az1_rack2_uplink02_mtu">'Value Reference Tables - MR'!$I$57</definedName>
    <definedName name="wld_az1_rack2_uplink02_pg">'Value Reference Tables - MR'!$I$79</definedName>
    <definedName name="wld_az1_rack2_uplink02_vlan">'Value Reference Tables - MR'!$I$15</definedName>
    <definedName name="wld_az1_rack2_vmotion_cidr">'Value Reference Tables - MR'!$I$24</definedName>
    <definedName name="wld_az1_rack2_vmotion_gateway_ip">'Value Reference Tables - MR'!$I$38</definedName>
    <definedName name="wld_az1_rack2_vmotion_mask">'Value Reference Tables - MR'!$I$111</definedName>
    <definedName name="wld_az1_rack2_vmotion_mtu">'Value Reference Tables - MR'!$I$52</definedName>
    <definedName name="wld_az1_rack2_vmotion_pg">'Value Reference Tables - MR'!$I$76</definedName>
    <definedName name="wld_az1_rack2_vmotion_pool_end_ip">'Value Reference Tables - MR'!$I$84</definedName>
    <definedName name="wld_az1_rack2_vmotion_pool_start_ip">'Value Reference Tables - MR'!$I$83</definedName>
    <definedName name="wld_az1_rack2_vmotion_vlan">'Value Reference Tables - MR'!$I$10</definedName>
    <definedName name="wld_az1_rack2_vrms_cidr">'Value Reference Tables - MR'!$I$32</definedName>
    <definedName name="wld_az1_rack2_vrms_gateway_ip">'Value Reference Tables - MR'!$I$46</definedName>
    <definedName name="wld_az1_rack2_vrms_mtu">'Value Reference Tables - MR'!$I$60</definedName>
    <definedName name="wld_az1_rack2_vrms_vlan">'Value Reference Tables - MR'!$I$18</definedName>
    <definedName name="wld_az1_rack2_vsan_fault_domain">'Value Reference Tables - MR'!$I$105</definedName>
    <definedName name="wld_az1_rack3_child_dns_zone">'Value Reference Tables - MR'!$L$120</definedName>
    <definedName name="wld_az1_rack3_edge_overlay_cidr">'Value Reference Tables - MR'!$L$30</definedName>
    <definedName name="wld_az1_rack3_edge_overlay_gateway_ip">'Value Reference Tables - MR'!$L$44</definedName>
    <definedName name="wld_az1_rack3_edge_overlay_mtu">'Value Reference Tables - MR'!$L$58</definedName>
    <definedName name="wld_az1_rack3_edge_overlay_network_pool_name">'Value Reference Tables - MR'!$L$103</definedName>
    <definedName name="wld_az1_rack3_edge_overlay_pool_end_ip">'Value Reference Tables - MR'!$L$92</definedName>
    <definedName name="wld_az1_rack3_edge_overlay_pool_start_ip">'Value Reference Tables - MR'!$L$91</definedName>
    <definedName name="wld_az1_rack3_edge_overlay_vlan">'Value Reference Tables - MR'!$L$16</definedName>
    <definedName name="wld_az1_rack3_en1_edge_overlay_interface_ip_1_ip">'Value Reference Tables - MR'!$L$201</definedName>
    <definedName name="wld_az1_rack3_en1_edge_overlay_interface_ip_2_ip">'Value Reference Tables - MR'!$L$202</definedName>
    <definedName name="wld_az1_rack3_en1_fqdn">'Value Reference Tables - MR'!$L$197</definedName>
    <definedName name="wld_az1_rack3_en1_hostname">'Value Reference Tables - MR'!$L$196</definedName>
    <definedName name="wld_az1_rack3_en1_mgmt_ip">'Value Reference Tables - MR'!$L$198</definedName>
    <definedName name="wld_az1_rack3_en1_uplink01_interface_ip">'Value Reference Tables - MR'!$L$199</definedName>
    <definedName name="wld_az1_rack3_en1_uplink02_interface_ip">'Value Reference Tables - MR'!$L$200</definedName>
    <definedName name="wld_az1_rack3_en2_fqdn">'Value Reference Tables - MR'!$L$206</definedName>
    <definedName name="wld_az1_rack3_en2_hostname">'Value Reference Tables - MR'!$L$205</definedName>
    <definedName name="wld_az1_rack3_en2_mgmt_ip">'Value Reference Tables - MR'!$L$207</definedName>
    <definedName name="wld_az1_rack3_en2_uplink01_interface_ip">'Value Reference Tables - MR'!$L$208</definedName>
    <definedName name="wld_az1_rack3_en2_uplink02_interface_ip">'Value Reference Tables - MR'!$L$209</definedName>
    <definedName name="wld_az1_rack3_host_edge_count">'Value Reference Tables - MR'!$L$231</definedName>
    <definedName name="wld_az1_rack3_host_fqdns">'Value Reference Tables - MR'!$L$178:$L$193</definedName>
    <definedName name="wld_az1_rack3_host_hostnames">'Value Reference Tables - MR'!$L$159:$L$174</definedName>
    <definedName name="wld_az1_rack3_host_mgmt_ips">'Value Reference Tables - MR'!$L$124:$L$139</definedName>
    <definedName name="wld_az1_rack3_host_overlay_cidr">'Value Reference Tables - MR'!$L$26</definedName>
    <definedName name="wld_az1_rack3_host_overlay_gateway_ip">'Value Reference Tables - MR'!$L$40</definedName>
    <definedName name="wld_az1_rack3_host_overlay_mtu">'Value Reference Tables - MR'!$L$54</definedName>
    <definedName name="wld_az1_rack3_host_overlay_network_pool_name">'Value Reference Tables - MR'!$L$101</definedName>
    <definedName name="wld_az1_rack3_host_overlay_network_profile_name">'Value Reference Tables - MR'!$L$99</definedName>
    <definedName name="wld_az1_rack3_host_overlay_pool_end_ip">'Value Reference Tables - MR'!$L$88</definedName>
    <definedName name="wld_az1_rack3_host_overlay_pool_start_ip">'Value Reference Tables - MR'!$L$87</definedName>
    <definedName name="wld_az1_rack3_host_overlay_uplink_profile_name">'Value Reference Tables - MR'!$L$102</definedName>
    <definedName name="wld_az1_rack3_host_overlay_vlan">'Value Reference Tables - MR'!$L$12</definedName>
    <definedName name="wld_az1_rack3_host_vrms_ips">'Value Reference Tables - MR'!$L$140:$L$155</definedName>
    <definedName name="wld_az1_rack3_host1_fqdn">'Value Reference Tables - MR'!$L$178</definedName>
    <definedName name="wld_az1_rack3_host1_function">'Value Reference Tables - MR'!$L$215</definedName>
    <definedName name="wld_az1_rack3_host1_hostname">'Value Reference Tables - MR'!$L$159</definedName>
    <definedName name="wld_az1_rack3_host1_mgmt_ip">'Value Reference Tables - MR'!$L$124</definedName>
    <definedName name="wld_az1_rack3_host1_vrms_ip">'Value Reference Tables - MR'!$L$140</definedName>
    <definedName name="wld_az1_rack3_host10_fqdn">'Value Reference Tables - MR'!$L$187</definedName>
    <definedName name="wld_az1_rack3_host10_hostname">'Value Reference Tables - MR'!$L$168</definedName>
    <definedName name="wld_az1_rack3_host10_mgmt_ip">'Value Reference Tables - MR'!$L$133</definedName>
    <definedName name="wld_az1_rack3_host10_vrms_ip">'Value Reference Tables - MR'!$L$149</definedName>
    <definedName name="wld_az1_rack3_host11_fqdn">'Value Reference Tables - MR'!$L$188</definedName>
    <definedName name="wld_az1_rack3_host11_hostname">'Value Reference Tables - MR'!$L$169</definedName>
    <definedName name="wld_az1_rack3_host11_mgmt_ip">'Value Reference Tables - MR'!$L$134</definedName>
    <definedName name="wld_az1_rack3_host11_vrms_ip">'Value Reference Tables - MR'!$L$150</definedName>
    <definedName name="wld_az1_rack3_host12_fqdn">'Value Reference Tables - MR'!$L$189</definedName>
    <definedName name="wld_az1_rack3_host12_hostname">'Value Reference Tables - MR'!$L$170</definedName>
    <definedName name="wld_az1_rack3_host12_mgmt_ip">'Value Reference Tables - MR'!$L$135</definedName>
    <definedName name="wld_az1_rack3_host12_vrms_ip">'Value Reference Tables - MR'!$L$151</definedName>
    <definedName name="wld_az1_rack3_host13_fqdn">'Value Reference Tables - MR'!$L$190</definedName>
    <definedName name="wld_az1_rack3_host13_hostname">'Value Reference Tables - MR'!$L$171</definedName>
    <definedName name="wld_az1_rack3_host13_mgmt_ip">'Value Reference Tables - MR'!$L$136</definedName>
    <definedName name="wld_az1_rack3_host13_vrms_ip">'Value Reference Tables - MR'!$L$152</definedName>
    <definedName name="wld_az1_rack3_host14_fqdn">'Value Reference Tables - MR'!$L$191</definedName>
    <definedName name="wld_az1_rack3_host14_hostname">'Value Reference Tables - MR'!$L$172</definedName>
    <definedName name="wld_az1_rack3_host14_mgmt_ip">'Value Reference Tables - MR'!$L$137</definedName>
    <definedName name="wld_az1_rack3_host14_vrms_ip">'Value Reference Tables - MR'!$L$153</definedName>
    <definedName name="wld_az1_rack3_host15_fqdn">'Value Reference Tables - MR'!$L$192</definedName>
    <definedName name="wld_az1_rack3_host15_hostname">'Value Reference Tables - MR'!$L$173</definedName>
    <definedName name="wld_az1_rack3_host15_mgmt_ip">'Value Reference Tables - MR'!$L$138</definedName>
    <definedName name="wld_az1_rack3_host15_vrms_ip">'Value Reference Tables - MR'!$L$154</definedName>
    <definedName name="wld_az1_rack3_host16_fqdn">'Value Reference Tables - MR'!$L$193</definedName>
    <definedName name="wld_az1_rack3_host16_hostname">'Value Reference Tables - MR'!$L$174</definedName>
    <definedName name="wld_az1_rack3_host16_mgmt_ip">'Value Reference Tables - MR'!$L$139</definedName>
    <definedName name="wld_az1_rack3_host16_vrms_ip">'Value Reference Tables - MR'!$L$155</definedName>
    <definedName name="wld_az1_rack3_host2_fqdn">'Value Reference Tables - MR'!$L$179</definedName>
    <definedName name="wld_az1_rack3_host2_function">'Value Reference Tables - MR'!$L$216</definedName>
    <definedName name="wld_az1_rack3_host2_hostname">'Value Reference Tables - MR'!$L$160</definedName>
    <definedName name="wld_az1_rack3_host2_mgmt_ip">'Value Reference Tables - MR'!$L$125</definedName>
    <definedName name="wld_az1_rack3_host2_vrms_ip">'Value Reference Tables - MR'!$L$141</definedName>
    <definedName name="wld_az1_rack3_host3_fqdn">'Value Reference Tables - MR'!$L$180</definedName>
    <definedName name="wld_az1_rack3_host3_function">'Value Reference Tables - MR'!$L$217</definedName>
    <definedName name="wld_az1_rack3_host3_hostname">'Value Reference Tables - MR'!$L$161</definedName>
    <definedName name="wld_az1_rack3_host3_mgmt_ip">'Value Reference Tables - MR'!$L$126</definedName>
    <definedName name="wld_az1_rack3_host3_vrms_ip">'Value Reference Tables - MR'!$L$142</definedName>
    <definedName name="wld_az1_rack3_host4_fqdn">'Value Reference Tables - MR'!$L$181</definedName>
    <definedName name="wld_az1_rack3_host4_hostname">'Value Reference Tables - MR'!$L$162</definedName>
    <definedName name="wld_az1_rack3_host4_mgmt_ip">'Value Reference Tables - MR'!$L$127</definedName>
    <definedName name="wld_az1_rack3_host4_vrms_ip">'Value Reference Tables - MR'!$L$143</definedName>
    <definedName name="wld_az1_rack3_host5_fqdn">'Value Reference Tables - MR'!$L$182</definedName>
    <definedName name="wld_az1_rack3_host5_hostname">'Value Reference Tables - MR'!$L$163</definedName>
    <definedName name="wld_az1_rack3_host5_mgmt_ip">'Value Reference Tables - MR'!$L$128</definedName>
    <definedName name="wld_az1_rack3_host5_vrms_ip">'Value Reference Tables - MR'!$L$144</definedName>
    <definedName name="wld_az1_rack3_host6_fqdn">'Value Reference Tables - MR'!$L$183</definedName>
    <definedName name="wld_az1_rack3_host6_hostname">'Value Reference Tables - MR'!$L$164</definedName>
    <definedName name="wld_az1_rack3_host6_mgmt_ip">'Value Reference Tables - MR'!$L$129</definedName>
    <definedName name="wld_az1_rack3_host6_vrms_ip">'Value Reference Tables - MR'!$L$145</definedName>
    <definedName name="wld_az1_rack3_host7_fqdn">'Value Reference Tables - MR'!$L$184</definedName>
    <definedName name="wld_az1_rack3_host7_hostname">'Value Reference Tables - MR'!$L$165</definedName>
    <definedName name="wld_az1_rack3_host7_mgmt_ip">'Value Reference Tables - MR'!$L$130</definedName>
    <definedName name="wld_az1_rack3_host7_vrms_ip">'Value Reference Tables - MR'!$L$146</definedName>
    <definedName name="wld_az1_rack3_host8_fqdn">'Value Reference Tables - MR'!$L$185</definedName>
    <definedName name="wld_az1_rack3_host8_hostname">'Value Reference Tables - MR'!$L$166</definedName>
    <definedName name="wld_az1_rack3_host8_mgmt_ip">'Value Reference Tables - MR'!$L$131</definedName>
    <definedName name="wld_az1_rack3_host8_vrms_ip">'Value Reference Tables - MR'!$L$147</definedName>
    <definedName name="wld_az1_rack3_host9_fqdn">'Value Reference Tables - MR'!$L$186</definedName>
    <definedName name="wld_az1_rack3_host9_hostname">'Value Reference Tables - MR'!$L$167</definedName>
    <definedName name="wld_az1_rack3_host9_mgmt_ip">'Value Reference Tables - MR'!$L$132</definedName>
    <definedName name="wld_az1_rack3_host9_vrms_ip">'Value Reference Tables - MR'!$L$148</definedName>
    <definedName name="wld_az1_rack3_mgmt_cidr">'Value Reference Tables - MR'!$L$23</definedName>
    <definedName name="wld_az1_rack3_mgmt_gateway_ip">'Value Reference Tables - MR'!$L$37</definedName>
    <definedName name="wld_az1_rack3_mgmt_mask">'Value Reference Tables - MR'!$L$110</definedName>
    <definedName name="wld_az1_rack3_mgmt_mtu">'Value Reference Tables - MR'!$L$51</definedName>
    <definedName name="wld_az1_rack3_mgmt_pg">'Value Reference Tables - MR'!$L$75</definedName>
    <definedName name="wld_az1_rack3_mgmt_vlan">'Value Reference Tables - MR'!$L$9</definedName>
    <definedName name="wld_az1_rack3_mgmt_vm_cidr">'Value Reference Tables - MR'!$L$22</definedName>
    <definedName name="wld_az1_rack3_mgmt_vm_gateway_ip">'Value Reference Tables - MR'!$L$36</definedName>
    <definedName name="wld_az1_rack3_mgmt_vm_mask">'Value Reference Tables - MR'!$L$109</definedName>
    <definedName name="wld_az1_rack3_mgmt_vm_mtu">'Value Reference Tables - MR'!$L$50</definedName>
    <definedName name="wld_az1_rack3_mgmt_vm_pg">'Value Reference Tables - MR'!$L$74</definedName>
    <definedName name="wld_az1_rack3_mgmt_vm_vlan">'Value Reference Tables - MR'!$L$8</definedName>
    <definedName name="wld_az1_rack3_pool_name">'Value Reference Tables - MR'!$L$98</definedName>
    <definedName name="wld_az1_rack3_principal_storage_cidr">'Value Reference Tables - MR'!$L$25</definedName>
    <definedName name="wld_az1_rack3_principal_storage_gateway_ip">'Value Reference Tables - MR'!$L$39</definedName>
    <definedName name="wld_az1_rack3_principal_storage_mask">'Value Reference Tables - MR'!$L$112</definedName>
    <definedName name="wld_az1_rack3_principal_storage_mtu">'Value Reference Tables - MR'!$L$53</definedName>
    <definedName name="wld_az1_rack3_principal_storage_pool_end_ip">'Value Reference Tables - MR'!$L$86</definedName>
    <definedName name="wld_az1_rack3_principal_storage_pool_start_ip">'Value Reference Tables - MR'!$L$85</definedName>
    <definedName name="wld_az1_rack3_principal_storage_vlan">'Value Reference Tables - MR'!$L$11</definedName>
    <definedName name="wld_az1_rack3_rtep_ip_pool_name">'Value Reference Tables - MR'!$L$104</definedName>
    <definedName name="wld_az1_rack3_rtep_overlay_cidr">'Value Reference Tables - MR'!$L$31</definedName>
    <definedName name="wld_az1_rack3_rtep_overlay_gateway_ip">'Value Reference Tables - MR'!$L$45</definedName>
    <definedName name="wld_az1_rack3_rtep_overlay_mtu">'Value Reference Tables - MR'!$L$59</definedName>
    <definedName name="wld_az1_rack3_rtep_overlay_pool_end_ip">'Value Reference Tables - MR'!$L$94</definedName>
    <definedName name="wld_az1_rack3_rtep_overlay_pool_start_ip">'Value Reference Tables - MR'!$L$93</definedName>
    <definedName name="wld_az1_rack3_rtep_overlay_vlan">'Value Reference Tables - MR'!$L$17</definedName>
    <definedName name="wld_az1_rack3_secondary_storage_cidr">'Value Reference Tables - MR'!$L$27</definedName>
    <definedName name="wld_az1_rack3_secondary_storage_gateway_ip">'Value Reference Tables - MR'!$L$41</definedName>
    <definedName name="wld_az1_rack3_secondary_storage_mtu">'Value Reference Tables - MR'!$L$55</definedName>
    <definedName name="wld_az1_rack3_secondary_storage_pool_end_ip">'Value Reference Tables - MR'!$L$90</definedName>
    <definedName name="wld_az1_rack3_secondary_storage_pool_start_ip">'Value Reference Tables - MR'!$L$89</definedName>
    <definedName name="wld_az1_rack3_secondary_storage_vlan">'Value Reference Tables - MR'!$L$13</definedName>
    <definedName name="wld_az1_rack3_tor1_peer_asn">'Value Reference Tables - MR'!$L$66</definedName>
    <definedName name="wld_az1_rack3_tor1_peer_bgp_password">'Value Reference Tables - MR'!$L$67</definedName>
    <definedName name="wld_az1_rack3_tor1_peer_ip">'Value Reference Tables - MR'!$L$65</definedName>
    <definedName name="wld_az1_rack3_tor2_peer_asn">'Value Reference Tables - MR'!$L$69</definedName>
    <definedName name="wld_az1_rack3_tor2_peer_bgp_password">'Value Reference Tables - MR'!$L$70</definedName>
    <definedName name="wld_az1_rack3_tor2_peer_ip">'Value Reference Tables - MR'!$L$68</definedName>
    <definedName name="wld_az1_rack3_uplink01_cidr">'Value Reference Tables - MR'!$L$28</definedName>
    <definedName name="wld_az1_rack3_uplink01_gateway_ip">'Value Reference Tables - MR'!$L$42</definedName>
    <definedName name="wld_az1_rack3_uplink01_mtu">'Value Reference Tables - MR'!$L$56</definedName>
    <definedName name="wld_az1_rack3_uplink01_pg">'Value Reference Tables - MR'!$L$78</definedName>
    <definedName name="wld_az1_rack3_uplink01_vlan">'Value Reference Tables - MR'!$L$14</definedName>
    <definedName name="wld_az1_rack3_uplink02_cidr">'Value Reference Tables - MR'!$L$29</definedName>
    <definedName name="wld_az1_rack3_uplink02_gateway_ip">'Value Reference Tables - MR'!$L$43</definedName>
    <definedName name="wld_az1_rack3_uplink02_mtu">'Value Reference Tables - MR'!$L$57</definedName>
    <definedName name="wld_az1_rack3_uplink02_pg">'Value Reference Tables - MR'!$L$79</definedName>
    <definedName name="wld_az1_rack3_uplink02_vlan">'Value Reference Tables - MR'!$L$15</definedName>
    <definedName name="wld_az1_rack3_vmotion_cidr">'Value Reference Tables - MR'!$L$24</definedName>
    <definedName name="wld_az1_rack3_vmotion_gateway_ip">'Value Reference Tables - MR'!$L$38</definedName>
    <definedName name="wld_az1_rack3_vmotion_mask">'Value Reference Tables - MR'!$L$111</definedName>
    <definedName name="wld_az1_rack3_vmotion_mtu">'Value Reference Tables - MR'!$L$52</definedName>
    <definedName name="wld_az1_rack3_vmotion_pg">'Value Reference Tables - MR'!$L$76</definedName>
    <definedName name="wld_az1_rack3_vmotion_pool_end_ip">'Value Reference Tables - MR'!$L$84</definedName>
    <definedName name="wld_az1_rack3_vmotion_pool_start_ip">'Value Reference Tables - MR'!$L$83</definedName>
    <definedName name="wld_az1_rack3_vmotion_vlan">'Value Reference Tables - MR'!$L$10</definedName>
    <definedName name="wld_az1_rack3_vrms_cidr">'Value Reference Tables - MR'!$L$32</definedName>
    <definedName name="wld_az1_rack3_vrms_gateway_ip">'Value Reference Tables - MR'!$L$46</definedName>
    <definedName name="wld_az1_rack3_vrms_mtu">'Value Reference Tables - MR'!$L$60</definedName>
    <definedName name="wld_az1_rack3_vrms_vlan">'Value Reference Tables - MR'!$L$18</definedName>
    <definedName name="wld_az1_rack3_vsan_fault_domain">'Value Reference Tables - MR'!$L$105</definedName>
    <definedName name="wld_az1_rack4_child_dns_zone">'Value Reference Tables - MR'!$O$120</definedName>
    <definedName name="wld_az1_rack4_edge_overlay_cidr">'Value Reference Tables - MR'!$O$30</definedName>
    <definedName name="wld_az1_rack4_edge_overlay_gateway_ip">'Value Reference Tables - MR'!$O$44</definedName>
    <definedName name="wld_az1_rack4_edge_overlay_mtu">'Value Reference Tables - MR'!$O$58</definedName>
    <definedName name="wld_az1_rack4_edge_overlay_network_pool_name">'Value Reference Tables - MR'!$O$103</definedName>
    <definedName name="wld_az1_rack4_edge_overlay_pool_end_ip">'Value Reference Tables - MR'!$O$92</definedName>
    <definedName name="wld_az1_rack4_edge_overlay_pool_start_ip">'Value Reference Tables - MR'!$O$91</definedName>
    <definedName name="wld_az1_rack4_edge_overlay_vlan">'Value Reference Tables - MR'!$O$16</definedName>
    <definedName name="wld_az1_rack4_en1_edge_overlay_interface_ip_1_ip">'Value Reference Tables - MR'!$O$201</definedName>
    <definedName name="wld_az1_rack4_en1_edge_overlay_interface_ip_2_ip">'Value Reference Tables - MR'!$O$202</definedName>
    <definedName name="wld_az1_rack4_en1_fqdn">'Value Reference Tables - MR'!$O$197</definedName>
    <definedName name="wld_az1_rack4_en1_hostname">'Value Reference Tables - MR'!$O$196</definedName>
    <definedName name="wld_az1_rack4_en1_mgmt_ip">'Value Reference Tables - MR'!$O$198</definedName>
    <definedName name="wld_az1_rack4_en1_uplink01_interface_ip">'Value Reference Tables - MR'!$O$199</definedName>
    <definedName name="wld_az1_rack4_en1_uplink02_interface_ip">'Value Reference Tables - MR'!$O$200</definedName>
    <definedName name="wld_az1_rack4_en2_fqdn">'Value Reference Tables - MR'!$O$206</definedName>
    <definedName name="wld_az1_rack4_en2_hostname">'Value Reference Tables - MR'!$O$205</definedName>
    <definedName name="wld_az1_rack4_en2_mgmt_ip">'Value Reference Tables - MR'!$O$207</definedName>
    <definedName name="wld_az1_rack4_en2_uplink01_interface_ip">'Value Reference Tables - MR'!$O$208</definedName>
    <definedName name="wld_az1_rack4_en2_uplink02_interface_ip">'Value Reference Tables - MR'!$O$209</definedName>
    <definedName name="wld_az1_rack4_host_edge_count">'Value Reference Tables - MR'!$O$231</definedName>
    <definedName name="wld_az1_rack4_host_fqdns">'Value Reference Tables - MR'!$O$178:$O$193</definedName>
    <definedName name="wld_az1_rack4_host_hostnames">'Value Reference Tables - MR'!$O$159:$O$174</definedName>
    <definedName name="wld_az1_rack4_host_mgmt_ips">'Value Reference Tables - MR'!$O$124:$O$139</definedName>
    <definedName name="wld_az1_rack4_host_overlay_cidr">'Value Reference Tables - MR'!$O$26</definedName>
    <definedName name="wld_az1_rack4_host_overlay_gateway_ip">'Value Reference Tables - MR'!$O$40</definedName>
    <definedName name="wld_az1_rack4_host_overlay_mtu">'Value Reference Tables - MR'!$O$54</definedName>
    <definedName name="wld_az1_rack4_host_overlay_network_pool_name">'Value Reference Tables - MR'!$O$101</definedName>
    <definedName name="wld_az1_rack4_host_overlay_network_profile_name">'Value Reference Tables - MR'!$O$99</definedName>
    <definedName name="wld_az1_rack4_host_overlay_pool_end_ip">'Value Reference Tables - MR'!$O$88</definedName>
    <definedName name="wld_az1_rack4_host_overlay_pool_start_ip">'Value Reference Tables - MR'!$O$87</definedName>
    <definedName name="wld_az1_rack4_host_overlay_uplink_profile_name">'Value Reference Tables - MR'!$O$102</definedName>
    <definedName name="wld_az1_rack4_host_overlay_vlan">'Value Reference Tables - MR'!$O$12</definedName>
    <definedName name="wld_az1_rack4_host_vrms_ips">'Value Reference Tables - MR'!$O$140:$O$155</definedName>
    <definedName name="wld_az1_rack4_host1_fqdn">'Value Reference Tables - MR'!$O$178</definedName>
    <definedName name="wld_az1_rack4_host1_function">'Value Reference Tables - MR'!$O$215</definedName>
    <definedName name="wld_az1_rack4_host1_hostname">'Value Reference Tables - MR'!$O$159</definedName>
    <definedName name="wld_az1_rack4_host1_mgmt_ip">'Value Reference Tables - MR'!$O$124</definedName>
    <definedName name="wld_az1_rack4_host1_vrms_ip">'Value Reference Tables - MR'!$O$140</definedName>
    <definedName name="wld_az1_rack4_host10_fqdn">'Value Reference Tables - MR'!$O$187</definedName>
    <definedName name="wld_az1_rack4_host10_hostname">'Value Reference Tables - MR'!$O$168</definedName>
    <definedName name="wld_az1_rack4_host10_mgmt_ip">'Value Reference Tables - MR'!$O$133</definedName>
    <definedName name="wld_az1_rack4_host10_vrms_ip">'Value Reference Tables - MR'!$O$149</definedName>
    <definedName name="wld_az1_rack4_host11_fqdn">'Value Reference Tables - MR'!$O$188</definedName>
    <definedName name="wld_az1_rack4_host11_hostname">'Value Reference Tables - MR'!$O$169</definedName>
    <definedName name="wld_az1_rack4_host11_mgmt_ip">'Value Reference Tables - MR'!$O$134</definedName>
    <definedName name="wld_az1_rack4_host11_vrms_ip">'Value Reference Tables - MR'!$O$150</definedName>
    <definedName name="wld_az1_rack4_host12_fqdn">'Value Reference Tables - MR'!$O$189</definedName>
    <definedName name="wld_az1_rack4_host12_hostname">'Value Reference Tables - MR'!$O$170</definedName>
    <definedName name="wld_az1_rack4_host12_mgmt_ip">'Value Reference Tables - MR'!$O$135</definedName>
    <definedName name="wld_az1_rack4_host12_vrms_ip">'Value Reference Tables - MR'!$O$151</definedName>
    <definedName name="wld_az1_rack4_host13_fqdn">'Value Reference Tables - MR'!$O$190</definedName>
    <definedName name="wld_az1_rack4_host13_hostname">'Value Reference Tables - MR'!$O$171</definedName>
    <definedName name="wld_az1_rack4_host13_mgmt_ip">'Value Reference Tables - MR'!$O$136</definedName>
    <definedName name="wld_az1_rack4_host13_vrms_ip">'Value Reference Tables - MR'!$O$152</definedName>
    <definedName name="wld_az1_rack4_host14_fqdn">'Value Reference Tables - MR'!$O$191</definedName>
    <definedName name="wld_az1_rack4_host14_hostname">'Value Reference Tables - MR'!$O$172</definedName>
    <definedName name="wld_az1_rack4_host14_mgmt_ip">'Value Reference Tables - MR'!$O$137</definedName>
    <definedName name="wld_az1_rack4_host14_vrms_ip">'Value Reference Tables - MR'!$O$153</definedName>
    <definedName name="wld_az1_rack4_host15_fqdn">'Value Reference Tables - MR'!$O$192</definedName>
    <definedName name="wld_az1_rack4_host15_hostname">'Value Reference Tables - MR'!$O$173</definedName>
    <definedName name="wld_az1_rack4_host15_mgmt_ip">'Value Reference Tables - MR'!$O$138</definedName>
    <definedName name="wld_az1_rack4_host15_vrms_ip">'Value Reference Tables - MR'!$O$154</definedName>
    <definedName name="wld_az1_rack4_host16_fqdn">'Value Reference Tables - MR'!$O$193</definedName>
    <definedName name="wld_az1_rack4_host16_hostname">'Value Reference Tables - MR'!$O$174</definedName>
    <definedName name="wld_az1_rack4_host16_mgmt_ip">'Value Reference Tables - MR'!$O$139</definedName>
    <definedName name="wld_az1_rack4_host16_vrms_ip">'Value Reference Tables - MR'!$O$155</definedName>
    <definedName name="wld_az1_rack4_host2_fqdn">'Value Reference Tables - MR'!$O$179</definedName>
    <definedName name="wld_az1_rack4_host2_function">'Value Reference Tables - MR'!$O$216</definedName>
    <definedName name="wld_az1_rack4_host2_hostname">'Value Reference Tables - MR'!$O$160</definedName>
    <definedName name="wld_az1_rack4_host2_mgmt_ip">'Value Reference Tables - MR'!$O$125</definedName>
    <definedName name="wld_az1_rack4_host2_vrms_ip">'Value Reference Tables - MR'!$O$141</definedName>
    <definedName name="wld_az1_rack4_host3_fqdn">'Value Reference Tables - MR'!$O$180</definedName>
    <definedName name="wld_az1_rack4_host3_function">'Value Reference Tables - MR'!$O$217</definedName>
    <definedName name="wld_az1_rack4_host3_hostname">'Value Reference Tables - MR'!$O$161</definedName>
    <definedName name="wld_az1_rack4_host3_mgmt_ip">'Value Reference Tables - MR'!$O$126</definedName>
    <definedName name="wld_az1_rack4_host3_vrms_ip">'Value Reference Tables - MR'!$O$142</definedName>
    <definedName name="wld_az1_rack4_host4_fqdn">'Value Reference Tables - MR'!$O$181</definedName>
    <definedName name="wld_az1_rack4_host4_hostname">'Value Reference Tables - MR'!$O$162</definedName>
    <definedName name="wld_az1_rack4_host4_mgmt_ip">'Value Reference Tables - MR'!$O$127</definedName>
    <definedName name="wld_az1_rack4_host4_vrms_ip">'Value Reference Tables - MR'!$O$143</definedName>
    <definedName name="wld_az1_rack4_host5_fqdn">'Value Reference Tables - MR'!$O$182</definedName>
    <definedName name="wld_az1_rack4_host5_hostname">'Value Reference Tables - MR'!$O$163</definedName>
    <definedName name="wld_az1_rack4_host5_mgmt_ip">'Value Reference Tables - MR'!$O$128</definedName>
    <definedName name="wld_az1_rack4_host5_vrms_ip">'Value Reference Tables - MR'!$O$144</definedName>
    <definedName name="wld_az1_rack4_host6_fqdn">'Value Reference Tables - MR'!$O$183</definedName>
    <definedName name="wld_az1_rack4_host6_hostname">'Value Reference Tables - MR'!$O$164</definedName>
    <definedName name="wld_az1_rack4_host6_mgmt_ip">'Value Reference Tables - MR'!$O$129</definedName>
    <definedName name="wld_az1_rack4_host6_vrms_ip">'Value Reference Tables - MR'!$O$145</definedName>
    <definedName name="wld_az1_rack4_host7_fqdn">'Value Reference Tables - MR'!$O$184</definedName>
    <definedName name="wld_az1_rack4_host7_hostname">'Value Reference Tables - MR'!$O$165</definedName>
    <definedName name="wld_az1_rack4_host7_mgmt_ip">'Value Reference Tables - MR'!$O$130</definedName>
    <definedName name="wld_az1_rack4_host7_vrms_ip">'Value Reference Tables - MR'!$O$146</definedName>
    <definedName name="wld_az1_rack4_host8_fqdn">'Value Reference Tables - MR'!$O$185</definedName>
    <definedName name="wld_az1_rack4_host8_hostname">'Value Reference Tables - MR'!$O$166</definedName>
    <definedName name="wld_az1_rack4_host8_mgmt_ip">'Value Reference Tables - MR'!$O$131</definedName>
    <definedName name="wld_az1_rack4_host8_vrms_ip">'Value Reference Tables - MR'!$O$147</definedName>
    <definedName name="wld_az1_rack4_host9_fqdn">'Value Reference Tables - MR'!$O$186</definedName>
    <definedName name="wld_az1_rack4_host9_hostname">'Value Reference Tables - MR'!$O$167</definedName>
    <definedName name="wld_az1_rack4_host9_mgmt_ip">'Value Reference Tables - MR'!$O$132</definedName>
    <definedName name="wld_az1_rack4_host9_vrms_ip">'Value Reference Tables - MR'!$O$148</definedName>
    <definedName name="wld_az1_rack4_mgmt_cidr">'Value Reference Tables - MR'!$O$23</definedName>
    <definedName name="wld_az1_rack4_mgmt_gateway_ip">'Value Reference Tables - MR'!$O$37</definedName>
    <definedName name="wld_az1_rack4_mgmt_mask">'Value Reference Tables - MR'!$O$110</definedName>
    <definedName name="wld_az1_rack4_mgmt_mtu">'Value Reference Tables - MR'!$O$51</definedName>
    <definedName name="wld_az1_rack4_mgmt_pg">'Value Reference Tables - MR'!$O$75</definedName>
    <definedName name="wld_az1_rack4_mgmt_vlan">'Value Reference Tables - MR'!$O$9</definedName>
    <definedName name="wld_az1_rack4_mgmt_vm_cidr">'Value Reference Tables - MR'!$O$22</definedName>
    <definedName name="wld_az1_rack4_mgmt_vm_gateway_ip">'Value Reference Tables - MR'!$O$36</definedName>
    <definedName name="wld_az1_rack4_mgmt_vm_mask">'Value Reference Tables - MR'!$O$109</definedName>
    <definedName name="wld_az1_rack4_mgmt_vm_mtu">'Value Reference Tables - MR'!$O$50</definedName>
    <definedName name="wld_az1_rack4_mgmt_vm_pg">'Value Reference Tables - MR'!$O$74</definedName>
    <definedName name="wld_az1_rack4_mgmt_vm_vlan">'Value Reference Tables - MR'!$O$8</definedName>
    <definedName name="wld_az1_rack4_pool_name">'Value Reference Tables - MR'!$O$98</definedName>
    <definedName name="wld_az1_rack4_principal_storage_cidr">'Value Reference Tables - MR'!$O$25</definedName>
    <definedName name="wld_az1_rack4_principal_storage_gateway_ip">'Value Reference Tables - MR'!$O$39</definedName>
    <definedName name="wld_az1_rack4_principal_storage_mask">'Value Reference Tables - MR'!$O$112</definedName>
    <definedName name="wld_az1_rack4_principal_storage_mtu">'Value Reference Tables - MR'!$O$53</definedName>
    <definedName name="wld_az1_rack4_principal_storage_pg">'Value Reference Tables - MR'!$O$77</definedName>
    <definedName name="wld_az1_rack4_principal_storage_pool_end_ip">'Value Reference Tables - MR'!$O$86</definedName>
    <definedName name="wld_az1_rack4_principal_storage_pool_start_ip">'Value Reference Tables - MR'!$O$85</definedName>
    <definedName name="wld_az1_rack4_principal_storage_vlan">'Value Reference Tables - MR'!$O$11</definedName>
    <definedName name="wld_az1_rack4_rtep_ip_pool_name">'Value Reference Tables - MR'!$O$104</definedName>
    <definedName name="wld_az1_rack4_rtep_overlay_cidr">'Value Reference Tables - MR'!$O$31</definedName>
    <definedName name="wld_az1_rack4_rtep_overlay_gateway_ip">'Value Reference Tables - MR'!$O$45</definedName>
    <definedName name="wld_az1_rack4_rtep_overlay_mtu">'Value Reference Tables - MR'!$O$59</definedName>
    <definedName name="wld_az1_rack4_rtep_overlay_pool_end_ip">'Value Reference Tables - MR'!$O$94</definedName>
    <definedName name="wld_az1_rack4_rtep_overlay_pool_start_ip">'Value Reference Tables - MR'!$O$93</definedName>
    <definedName name="wld_az1_rack4_rtep_overlay_vlan">'Value Reference Tables - MR'!$O$17</definedName>
    <definedName name="wld_az1_rack4_secondary_storage_cidr">'Value Reference Tables - MR'!$O$27</definedName>
    <definedName name="wld_az1_rack4_secondary_storage_gateway_ip">'Value Reference Tables - MR'!$O$41</definedName>
    <definedName name="wld_az1_rack4_secondary_storage_mtu">'Value Reference Tables - MR'!$O$55</definedName>
    <definedName name="wld_az1_rack4_secondary_storage_pool_end_ip">'Value Reference Tables - MR'!$O$90</definedName>
    <definedName name="wld_az1_rack4_secondary_storage_pool_start_ip">'Value Reference Tables - MR'!$O$89</definedName>
    <definedName name="wld_az1_rack4_secondary_storage_vlan">'Value Reference Tables - MR'!$O$13</definedName>
    <definedName name="wld_az1_rack4_tor1_peer_asn">'Value Reference Tables - MR'!$O$66</definedName>
    <definedName name="wld_az1_rack4_tor1_peer_bgp_password">'Value Reference Tables - MR'!$O$67</definedName>
    <definedName name="wld_az1_rack4_tor1_peer_ip">'Value Reference Tables - MR'!$O$65</definedName>
    <definedName name="wld_az1_rack4_tor2_peer_asn">'Value Reference Tables - MR'!$O$69</definedName>
    <definedName name="wld_az1_rack4_tor2_peer_bgp_password">'Value Reference Tables - MR'!$O$70</definedName>
    <definedName name="wld_az1_rack4_tor2_peer_ip">'Value Reference Tables - MR'!$O$68</definedName>
    <definedName name="wld_az1_rack4_uplink01_cidr">'Value Reference Tables - MR'!$O$28</definedName>
    <definedName name="wld_az1_rack4_uplink01_gateway_ip">'Value Reference Tables - MR'!$O$42</definedName>
    <definedName name="wld_az1_rack4_uplink01_mtu">'Value Reference Tables - MR'!$O$56</definedName>
    <definedName name="wld_az1_rack4_uplink01_pg">'Value Reference Tables - MR'!$O$78</definedName>
    <definedName name="wld_az1_rack4_uplink01_vlan">'Value Reference Tables - MR'!$O$14</definedName>
    <definedName name="wld_az1_rack4_uplink02_cidr">'Value Reference Tables - MR'!$O$29</definedName>
    <definedName name="wld_az1_rack4_uplink02_gateway_ip">'Value Reference Tables - MR'!$O$43</definedName>
    <definedName name="wld_az1_rack4_uplink02_mtu">'Value Reference Tables - MR'!$O$57</definedName>
    <definedName name="wld_az1_rack4_uplink02_pg">'Value Reference Tables - MR'!$O$79</definedName>
    <definedName name="wld_az1_rack4_uplink02_vlan">'Value Reference Tables - MR'!$O$15</definedName>
    <definedName name="wld_az1_rack4_vmotion_cidr">'Value Reference Tables - MR'!$O$24</definedName>
    <definedName name="wld_az1_rack4_vmotion_gateway_ip">'Value Reference Tables - MR'!$O$38</definedName>
    <definedName name="wld_az1_rack4_vmotion_mask">'Value Reference Tables - MR'!$O$111</definedName>
    <definedName name="wld_az1_rack4_vmotion_mtu">'Value Reference Tables - MR'!$O$52</definedName>
    <definedName name="wld_az1_rack4_vmotion_pg">'Value Reference Tables - MR'!$O$76</definedName>
    <definedName name="wld_az1_rack4_vmotion_pool_end_ip">'Value Reference Tables - MR'!$O$84</definedName>
    <definedName name="wld_az1_rack4_vmotion_pool_start_ip">'Value Reference Tables - MR'!$O$83</definedName>
    <definedName name="wld_az1_rack4_vmotion_vlan">'Value Reference Tables - MR'!$O$10</definedName>
    <definedName name="wld_az1_rack4_vrms_cidr">'Value Reference Tables - MR'!$O$32</definedName>
    <definedName name="wld_az1_rack4_vrms_gateway_ip">'Value Reference Tables - MR'!$O$46</definedName>
    <definedName name="wld_az1_rack4_vrms_mtu">'Value Reference Tables - MR'!$O$60</definedName>
    <definedName name="wld_az1_rack4_vrms_vlan">'Value Reference Tables - MR'!$O$18</definedName>
    <definedName name="wld_az1_rack4_vsan_fault_domain">'Value Reference Tables - MR'!$O$105</definedName>
    <definedName name="wld_az1_rack5_child_dns_zone">'Value Reference Tables - MR'!$R$120</definedName>
    <definedName name="wld_az1_rack5_edge_overlay_cidr">'Value Reference Tables - MR'!$R$30</definedName>
    <definedName name="wld_az1_rack5_edge_overlay_gateway_ip">'Value Reference Tables - MR'!$R$44</definedName>
    <definedName name="wld_az1_rack5_edge_overlay_mtu">'Value Reference Tables - MR'!$R$58</definedName>
    <definedName name="wld_az1_rack5_edge_overlay_network_pool_name">'Value Reference Tables - MR'!$R$103</definedName>
    <definedName name="wld_az1_rack5_edge_overlay_pool_end_ip">'Value Reference Tables - MR'!$R$92</definedName>
    <definedName name="wld_az1_rack5_edge_overlay_pool_start_ip">'Value Reference Tables - MR'!$R$91</definedName>
    <definedName name="wld_az1_rack5_edge_overlay_vlan">'Value Reference Tables - MR'!$R$16</definedName>
    <definedName name="wld_az1_rack5_en1_edge_overlay_interface_ip_1_ip">'Value Reference Tables - MR'!$R$201</definedName>
    <definedName name="wld_az1_rack5_en1_edge_overlay_interface_ip_2_ip">'Value Reference Tables - MR'!$R$202</definedName>
    <definedName name="wld_az1_rack5_en1_fqdn">'Value Reference Tables - MR'!$R$197</definedName>
    <definedName name="wld_az1_rack5_en1_hostname">'Value Reference Tables - MR'!$R$196</definedName>
    <definedName name="wld_az1_rack5_en1_mgmt_ip">'Value Reference Tables - MR'!$R$198</definedName>
    <definedName name="wld_az1_rack5_en1_uplink01_interface_ip">'Value Reference Tables - MR'!$R$199</definedName>
    <definedName name="wld_az1_rack5_en1_uplink02_interface_ip">'Value Reference Tables - MR'!$R$200</definedName>
    <definedName name="wld_az1_rack5_en2_fqdn">'Value Reference Tables - MR'!$R$206</definedName>
    <definedName name="wld_az1_rack5_en2_hostname">'Value Reference Tables - MR'!$R$205</definedName>
    <definedName name="wld_az1_rack5_en2_mgmt_ip">'Value Reference Tables - MR'!$R$207</definedName>
    <definedName name="wld_az1_rack5_en2_uplink01_interface_ip">'Value Reference Tables - MR'!$R$208</definedName>
    <definedName name="wld_az1_rack5_en2_uplink02_interface_ip">'Value Reference Tables - MR'!$R$209</definedName>
    <definedName name="wld_az1_rack5_host_edge_count">'Value Reference Tables - MR'!$R$231</definedName>
    <definedName name="wld_az1_rack5_host_fqdns">'Value Reference Tables - MR'!$R$178:$R$193</definedName>
    <definedName name="wld_az1_rack5_host_hostnames">'Value Reference Tables - MR'!$R$159:$R$174</definedName>
    <definedName name="wld_az1_rack5_host_mgmt_ips">'Value Reference Tables - MR'!$R$124:$R$139</definedName>
    <definedName name="wld_az1_rack5_host_overlay_cidr">'Value Reference Tables - MR'!$R$26</definedName>
    <definedName name="wld_az1_rack5_host_overlay_gateway_ip">'Value Reference Tables - MR'!$R$40</definedName>
    <definedName name="wld_az1_rack5_host_overlay_mtu">'Value Reference Tables - MR'!$R$54</definedName>
    <definedName name="wld_az1_rack5_host_overlay_network_pool_name">'Value Reference Tables - MR'!$R$101</definedName>
    <definedName name="wld_az1_rack5_host_overlay_network_profile_name">'Value Reference Tables - MR'!$R$99</definedName>
    <definedName name="wld_az1_rack5_host_overlay_pool_end_ip">'Value Reference Tables - MR'!$R$88</definedName>
    <definedName name="wld_az1_rack5_host_overlay_pool_start_ip">'Value Reference Tables - MR'!$R$87</definedName>
    <definedName name="wld_az1_rack5_host_overlay_uplink_profile_name">'Value Reference Tables - MR'!$R$102</definedName>
    <definedName name="wld_az1_rack5_host_overlay_vlan">'Value Reference Tables - MR'!$R$12</definedName>
    <definedName name="wld_az1_rack5_host_vrms_ips">'Value Reference Tables - MR'!$R$140:$R$155</definedName>
    <definedName name="wld_az1_rack5_host1_fqdn">'Value Reference Tables - MR'!$R$178</definedName>
    <definedName name="wld_az1_rack5_host1_hostname">'Value Reference Tables - MR'!$R$159</definedName>
    <definedName name="wld_az1_rack5_host1_mgmt_ip">'Value Reference Tables - MR'!$R$124</definedName>
    <definedName name="wld_az1_rack5_host1_vrms_ip">'Value Reference Tables - MR'!$R$140</definedName>
    <definedName name="wld_az1_rack5_host10_fqdn">'Value Reference Tables - MR'!$R$187</definedName>
    <definedName name="wld_az1_rack5_host10_hostname">'Value Reference Tables - MR'!$R$168</definedName>
    <definedName name="wld_az1_rack5_host10_mgmt_ip">'Value Reference Tables - MR'!$R$133</definedName>
    <definedName name="wld_az1_rack5_host10_vrms_ip">'Value Reference Tables - MR'!$R$149</definedName>
    <definedName name="wld_az1_rack5_host11_fqdn">'Value Reference Tables - MR'!$R$188</definedName>
    <definedName name="wld_az1_rack5_host11_hostname">'Value Reference Tables - MR'!$R$169</definedName>
    <definedName name="wld_az1_rack5_host11_mgmt_ip">'Value Reference Tables - MR'!$R$134</definedName>
    <definedName name="wld_az1_rack5_host11_vrms_ip">'Value Reference Tables - MR'!$R$150</definedName>
    <definedName name="wld_az1_rack5_host12_fqdn">'Value Reference Tables - MR'!$R$189</definedName>
    <definedName name="wld_az1_rack5_host12_hostname">'Value Reference Tables - MR'!$R$170</definedName>
    <definedName name="wld_az1_rack5_host12_mgmt_ip">'Value Reference Tables - MR'!$R$135</definedName>
    <definedName name="wld_az1_rack5_host12_vrms_ip">'Value Reference Tables - MR'!$R$151</definedName>
    <definedName name="wld_az1_rack5_host13_fqdn">'Value Reference Tables - MR'!$R$190</definedName>
    <definedName name="wld_az1_rack5_host13_hostname">'Value Reference Tables - MR'!$R$171</definedName>
    <definedName name="wld_az1_rack5_host13_mgmt_ip">'Value Reference Tables - MR'!$R$136</definedName>
    <definedName name="wld_az1_rack5_host13_vrms_ip">'Value Reference Tables - MR'!$R$152</definedName>
    <definedName name="wld_az1_rack5_host14_fqdn">'Value Reference Tables - MR'!$R$191</definedName>
    <definedName name="wld_az1_rack5_host14_hostname">'Value Reference Tables - MR'!$R$172</definedName>
    <definedName name="wld_az1_rack5_host14_mgmt_ip">'Value Reference Tables - MR'!$R$137</definedName>
    <definedName name="wld_az1_rack5_host14_vrms_ip">'Value Reference Tables - MR'!$R$153</definedName>
    <definedName name="wld_az1_rack5_host15_fqdn">'Value Reference Tables - MR'!$R$192</definedName>
    <definedName name="wld_az1_rack5_host15_hostname">'Value Reference Tables - MR'!$R$173</definedName>
    <definedName name="wld_az1_rack5_host15_mgmt_ip">'Value Reference Tables - MR'!$R$138</definedName>
    <definedName name="wld_az1_rack5_host15_vrms_ip">'Value Reference Tables - MR'!$R$154</definedName>
    <definedName name="wld_az1_rack5_host16_fqdn">'Value Reference Tables - MR'!$R$193</definedName>
    <definedName name="wld_az1_rack5_host16_hostname">'Value Reference Tables - MR'!$R$174</definedName>
    <definedName name="wld_az1_rack5_host16_mgmt_ip">'Value Reference Tables - MR'!$R$139</definedName>
    <definedName name="wld_az1_rack5_host16_vrms_ip">'Value Reference Tables - MR'!$R$155</definedName>
    <definedName name="wld_az1_rack5_host2_fqdn">'Value Reference Tables - MR'!$R$179</definedName>
    <definedName name="wld_az1_rack5_host2_hostname">'Value Reference Tables - MR'!$R$160</definedName>
    <definedName name="wld_az1_rack5_host2_mgmt_ip">'Value Reference Tables - MR'!$R$125</definedName>
    <definedName name="wld_az1_rack5_host2_vrms_ip">'Value Reference Tables - MR'!$R$141</definedName>
    <definedName name="wld_az1_rack5_host3_fqdn">'Value Reference Tables - MR'!$R$180</definedName>
    <definedName name="wld_az1_rack5_host3_hostname">'Value Reference Tables - MR'!$R$161</definedName>
    <definedName name="wld_az1_rack5_host3_mgmt_ip">'Value Reference Tables - MR'!$R$126</definedName>
    <definedName name="wld_az1_rack5_host3_vrms_ip">'Value Reference Tables - MR'!$R$142</definedName>
    <definedName name="wld_az1_rack5_host4_fqdn">'Value Reference Tables - MR'!$R$181</definedName>
    <definedName name="wld_az1_rack5_host4_hostname">'Value Reference Tables - MR'!$R$162</definedName>
    <definedName name="wld_az1_rack5_host4_mgmt_ip">'Value Reference Tables - MR'!$R$127</definedName>
    <definedName name="wld_az1_rack5_host4_vrms_ip">'Value Reference Tables - MR'!$R$143</definedName>
    <definedName name="wld_az1_rack5_host5_fqdn">'Value Reference Tables - MR'!$R$182</definedName>
    <definedName name="wld_az1_rack5_host5_hostname">'Value Reference Tables - MR'!$R$163</definedName>
    <definedName name="wld_az1_rack5_host5_mgmt_ip">'Value Reference Tables - MR'!$R$128</definedName>
    <definedName name="wld_az1_rack5_host5_vrms_ip">'Value Reference Tables - MR'!$R$144</definedName>
    <definedName name="wld_az1_rack5_host6_fqdn">'Value Reference Tables - MR'!$R$183</definedName>
    <definedName name="wld_az1_rack5_host6_hostname">'Value Reference Tables - MR'!$R$164</definedName>
    <definedName name="wld_az1_rack5_host6_mgmt_ip">'Value Reference Tables - MR'!$R$129</definedName>
    <definedName name="wld_az1_rack5_host6_vrms_ip">'Value Reference Tables - MR'!$R$145</definedName>
    <definedName name="wld_az1_rack5_host7_fqdn">'Value Reference Tables - MR'!$R$184</definedName>
    <definedName name="wld_az1_rack5_host7_hostname">'Value Reference Tables - MR'!$R$165</definedName>
    <definedName name="wld_az1_rack5_host7_mgmt_ip">'Value Reference Tables - MR'!$R$130</definedName>
    <definedName name="wld_az1_rack5_host7_vrms_ip">'Value Reference Tables - MR'!$R$146</definedName>
    <definedName name="wld_az1_rack5_host8_fqdn">'Value Reference Tables - MR'!$R$185</definedName>
    <definedName name="wld_az1_rack5_host8_hostname">'Value Reference Tables - MR'!$R$166</definedName>
    <definedName name="wld_az1_rack5_host8_mgmt_ip">'Value Reference Tables - MR'!$R$131</definedName>
    <definedName name="wld_az1_rack5_host8_vrms_ip">'Value Reference Tables - MR'!$R$147</definedName>
    <definedName name="wld_az1_rack5_host9_fqdn">'Value Reference Tables - MR'!$R$186</definedName>
    <definedName name="wld_az1_rack5_host9_hostname">'Value Reference Tables - MR'!$R$167</definedName>
    <definedName name="wld_az1_rack5_host9_mgmt_ip">'Value Reference Tables - MR'!$R$132</definedName>
    <definedName name="wld_az1_rack5_host9_vrms_ip">'Value Reference Tables - MR'!$R$148</definedName>
    <definedName name="wld_az1_rack5_mgmt_cidr">'Value Reference Tables - MR'!$R$23</definedName>
    <definedName name="wld_az1_rack5_mgmt_gateway_ip">'Value Reference Tables - MR'!$R$37</definedName>
    <definedName name="wld_az1_rack5_mgmt_mask">'Value Reference Tables - MR'!$R$110</definedName>
    <definedName name="wld_az1_rack5_mgmt_mtu">'Value Reference Tables - MR'!$R$51</definedName>
    <definedName name="wld_az1_rack5_mgmt_pg">'Value Reference Tables - MR'!$R$75</definedName>
    <definedName name="wld_az1_rack5_mgmt_vlan">'Value Reference Tables - MR'!$R$9</definedName>
    <definedName name="wld_az1_rack5_mgmt_vm_cidr">'Value Reference Tables - MR'!$R$22</definedName>
    <definedName name="wld_az1_rack5_mgmt_vm_gateway_ip">'Value Reference Tables - MR'!$R$36</definedName>
    <definedName name="wld_az1_rack5_mgmt_vm_mask">'Value Reference Tables - MR'!$R$109</definedName>
    <definedName name="wld_az1_rack5_mgmt_vm_mtu">'Value Reference Tables - MR'!$R$50</definedName>
    <definedName name="wld_az1_rack5_mgmt_vm_pg">'Value Reference Tables - MR'!$R$74</definedName>
    <definedName name="wld_az1_rack5_mgmt_vm_vlan">'Value Reference Tables - MR'!$R$8</definedName>
    <definedName name="wld_az1_rack5_pool_name">'Value Reference Tables - MR'!$R$98</definedName>
    <definedName name="wld_az1_rack5_principal_storage_cidr">'Value Reference Tables - MR'!$R$25</definedName>
    <definedName name="wld_az1_rack5_principal_storage_gateway_ip">'Value Reference Tables - MR'!$R$39</definedName>
    <definedName name="wld_az1_rack5_principal_storage_mask">'Value Reference Tables - MR'!$R$112</definedName>
    <definedName name="wld_az1_rack5_principal_storage_mtu">'Value Reference Tables - MR'!$R$53</definedName>
    <definedName name="wld_az1_rack5_principal_storage_pg">'Value Reference Tables - MR'!$R$77</definedName>
    <definedName name="wld_az1_rack5_principal_storage_pool_end_ip">'Value Reference Tables - MR'!$R$86</definedName>
    <definedName name="wld_az1_rack5_principal_storage_pool_start_ip">'Value Reference Tables - MR'!$R$85</definedName>
    <definedName name="wld_az1_rack5_principal_storage_vlan">'Value Reference Tables - MR'!$R$11</definedName>
    <definedName name="wld_az1_rack5_rtep_ip_pool_name">'Value Reference Tables - MR'!$R$104</definedName>
    <definedName name="wld_az1_rack5_rtep_overlay_cidr">'Value Reference Tables - MR'!$R$31</definedName>
    <definedName name="wld_az1_rack5_rtep_overlay_gateway_ip">'Value Reference Tables - MR'!$R$45</definedName>
    <definedName name="wld_az1_rack5_rtep_overlay_mtu">'Value Reference Tables - MR'!$R$59</definedName>
    <definedName name="wld_az1_rack5_rtep_overlay_pool_end_ip">'Value Reference Tables - MR'!$R$94</definedName>
    <definedName name="wld_az1_rack5_rtep_overlay_pool_start_ip">'Value Reference Tables - MR'!$R$93</definedName>
    <definedName name="wld_az1_rack5_rtep_overlay_vlan">'Value Reference Tables - MR'!$R$17</definedName>
    <definedName name="wld_az1_rack5_secondary_storage_cidr">'Value Reference Tables - MR'!$R$27</definedName>
    <definedName name="wld_az1_rack5_secondary_storage_gateway_ip">'Value Reference Tables - MR'!$R$41</definedName>
    <definedName name="wld_az1_rack5_secondary_storage_mtu">'Value Reference Tables - MR'!$R$55</definedName>
    <definedName name="wld_az1_rack5_secondary_storage_pool_end_ip">'Value Reference Tables - MR'!$R$90</definedName>
    <definedName name="wld_az1_rack5_secondary_storage_pool_start_ip">'Value Reference Tables - MR'!$R$89</definedName>
    <definedName name="wld_az1_rack5_secondary_storage_vlan">'Value Reference Tables - MR'!$R$13</definedName>
    <definedName name="wld_az1_rack5_tor1_peer_asn">'Value Reference Tables - MR'!$R$66</definedName>
    <definedName name="wld_az1_rack5_tor1_peer_bgp_password">'Value Reference Tables - MR'!$R$67</definedName>
    <definedName name="wld_az1_rack5_tor1_peer_ip">'Value Reference Tables - MR'!$R$65</definedName>
    <definedName name="wld_az1_rack5_tor2_peer_asn">'Value Reference Tables - MR'!$R$69</definedName>
    <definedName name="wld_az1_rack5_tor2_peer_bgp_password">'Value Reference Tables - MR'!$R$70</definedName>
    <definedName name="wld_az1_rack5_tor2_peer_ip">'Value Reference Tables - MR'!$R$68</definedName>
    <definedName name="wld_az1_rack5_uplink01_cidr">'Value Reference Tables - MR'!$R$28</definedName>
    <definedName name="wld_az1_rack5_uplink01_gateway_ip">'Value Reference Tables - MR'!$R$42</definedName>
    <definedName name="wld_az1_rack5_uplink01_mtu">'Value Reference Tables - MR'!$R$56</definedName>
    <definedName name="wld_az1_rack5_uplink01_pg">'Value Reference Tables - MR'!$R$78</definedName>
    <definedName name="wld_az1_rack5_uplink01_vlan">'Value Reference Tables - MR'!$R$14</definedName>
    <definedName name="wld_az1_rack5_uplink02_cidr">'Value Reference Tables - MR'!$R$29</definedName>
    <definedName name="wld_az1_rack5_uplink02_gateway_ip">'Value Reference Tables - MR'!$R$43</definedName>
    <definedName name="wld_az1_rack5_uplink02_mtu">'Value Reference Tables - MR'!$R$57</definedName>
    <definedName name="wld_az1_rack5_uplink02_pg">'Value Reference Tables - MR'!$R$79</definedName>
    <definedName name="wld_az1_rack5_uplink02_vlan">'Value Reference Tables - MR'!$R$15</definedName>
    <definedName name="wld_az1_rack5_vmotion_cidr">'Value Reference Tables - MR'!$R$24</definedName>
    <definedName name="wld_az1_rack5_vmotion_gateway_ip">'Value Reference Tables - MR'!$R$38</definedName>
    <definedName name="wld_az1_rack5_vmotion_mask">'Value Reference Tables - MR'!$R$111</definedName>
    <definedName name="wld_az1_rack5_vmotion_mtu">'Value Reference Tables - MR'!$R$52</definedName>
    <definedName name="wld_az1_rack5_vmotion_pg">'Value Reference Tables - MR'!$R$76</definedName>
    <definedName name="wld_az1_rack5_vmotion_pool_end_ip">'Value Reference Tables - MR'!$R$84</definedName>
    <definedName name="wld_az1_rack5_vmotion_pool_start_ip">'Value Reference Tables - MR'!$R$83</definedName>
    <definedName name="wld_az1_rack5_vmotion_vlan">'Value Reference Tables - MR'!$R$10</definedName>
    <definedName name="wld_az1_rack5_vrms_cidr">'Value Reference Tables - MR'!$R$32</definedName>
    <definedName name="wld_az1_rack5_vrms_gateway_ip">'Value Reference Tables - MR'!$R$46</definedName>
    <definedName name="wld_az1_rack5_vrms_mtu">'Value Reference Tables - MR'!$R$60</definedName>
    <definedName name="wld_az1_rack5_vrms_vlan">'Value Reference Tables - MR'!$R$18</definedName>
    <definedName name="wld_az1_rack5_vsan_fault_domain">'Value Reference Tables - MR'!$R$105</definedName>
    <definedName name="wld_az1_rack6_child_dns_zone">'Value Reference Tables - MR'!$U$120</definedName>
    <definedName name="wld_az1_rack6_edge_overlay_cidr">'Value Reference Tables - MR'!$U$30</definedName>
    <definedName name="wld_az1_rack6_edge_overlay_gateway_ip">'Value Reference Tables - MR'!$U$44</definedName>
    <definedName name="wld_az1_rack6_edge_overlay_mtu">'Value Reference Tables - MR'!$U$58</definedName>
    <definedName name="wld_az1_rack6_edge_overlay_network_pool_name">'Value Reference Tables - MR'!$U$103</definedName>
    <definedName name="wld_az1_rack6_edge_overlay_pool_end_ip">'Value Reference Tables - MR'!$U$92</definedName>
    <definedName name="wld_az1_rack6_edge_overlay_pool_start_ip">'Value Reference Tables - MR'!$U$91</definedName>
    <definedName name="wld_az1_rack6_edge_overlay_vlan">'Value Reference Tables - MR'!$U$16</definedName>
    <definedName name="wld_az1_rack6_en1_edge_overlay_interface_ip_1_ip">'Value Reference Tables - MR'!$U$201</definedName>
    <definedName name="wld_az1_rack6_en1_edge_overlay_interface_ip_2_ip">'Value Reference Tables - MR'!$U$202</definedName>
    <definedName name="wld_az1_rack6_en1_fqdn">'Value Reference Tables - MR'!$U$197</definedName>
    <definedName name="wld_az1_rack6_en1_hostname">'Value Reference Tables - MR'!$U$196</definedName>
    <definedName name="wld_az1_rack6_en1_mgmt_ip">'Value Reference Tables - MR'!$U$198</definedName>
    <definedName name="wld_az1_rack6_en1_uplink01_interface_ip">'Value Reference Tables - MR'!$U$199</definedName>
    <definedName name="wld_az1_rack6_en1_uplink02_interface_ip">'Value Reference Tables - MR'!$U$200</definedName>
    <definedName name="wld_az1_rack6_en2_fqdn">'Value Reference Tables - MR'!$U$206</definedName>
    <definedName name="wld_az1_rack6_en2_hostname">'Value Reference Tables - MR'!$U$205</definedName>
    <definedName name="wld_az1_rack6_en2_mgmt_ip">'Value Reference Tables - MR'!$U$207</definedName>
    <definedName name="wld_az1_rack6_en2_uplink01_interface_ip">'Value Reference Tables - MR'!$U$208</definedName>
    <definedName name="wld_az1_rack6_en2_uplink02_interface_ip">'Value Reference Tables - MR'!$U$209</definedName>
    <definedName name="wld_az1_rack6_host_edge_count">'Value Reference Tables - MR'!$U$231</definedName>
    <definedName name="wld_az1_rack6_host_fqdns">'Value Reference Tables - MR'!$U$178:$U$193</definedName>
    <definedName name="wld_az1_rack6_host_hostnames">'Value Reference Tables - MR'!$U$159:$U$174</definedName>
    <definedName name="wld_az1_rack6_host_mgmt_ips">'Value Reference Tables - MR'!$U$124:$U$139</definedName>
    <definedName name="wld_az1_rack6_host_overlay_cidr">'Value Reference Tables - MR'!$U$26</definedName>
    <definedName name="wld_az1_rack6_host_overlay_gateway_ip">'Value Reference Tables - MR'!$U$40</definedName>
    <definedName name="wld_az1_rack6_host_overlay_mtu">'Value Reference Tables - MR'!$U$54</definedName>
    <definedName name="wld_az1_rack6_host_overlay_network_pool_name">'Value Reference Tables - MR'!$U$101</definedName>
    <definedName name="wld_az1_rack6_host_overlay_network_profile_name">'Value Reference Tables - MR'!$U$99</definedName>
    <definedName name="wld_az1_rack6_host_overlay_pool_end_ip">'Value Reference Tables - MR'!$U$88</definedName>
    <definedName name="wld_az1_rack6_host_overlay_pool_start_ip">'Value Reference Tables - MR'!$U$87</definedName>
    <definedName name="wld_az1_rack6_host_overlay_uplink_profile_name">'Value Reference Tables - MR'!$U$102</definedName>
    <definedName name="wld_az1_rack6_host_overlay_vlan">'Value Reference Tables - MR'!$U$12</definedName>
    <definedName name="wld_az1_rack6_host_vrms_ips">'Value Reference Tables - MR'!$U$140:$U$155</definedName>
    <definedName name="wld_az1_rack6_host1_fqdn">'Value Reference Tables - MR'!$U$178</definedName>
    <definedName name="wld_az1_rack6_host1_hostname">'Value Reference Tables - MR'!$U$159</definedName>
    <definedName name="wld_az1_rack6_host1_mgmt_ip">'Value Reference Tables - MR'!$U$124</definedName>
    <definedName name="wld_az1_rack6_host1_vrms_ip">'Value Reference Tables - MR'!$U$140</definedName>
    <definedName name="wld_az1_rack6_host10_fqdn">'Value Reference Tables - MR'!$U$187</definedName>
    <definedName name="wld_az1_rack6_host10_hostname">'Value Reference Tables - MR'!$U$168</definedName>
    <definedName name="wld_az1_rack6_host10_mgmt_ip">'Value Reference Tables - MR'!$U$133</definedName>
    <definedName name="wld_az1_rack6_host10_vrms_ip">'Value Reference Tables - MR'!$U$149</definedName>
    <definedName name="wld_az1_rack6_host11_fqdn">'Value Reference Tables - MR'!$U$188</definedName>
    <definedName name="wld_az1_rack6_host11_hostname">'Value Reference Tables - MR'!$U$169</definedName>
    <definedName name="wld_az1_rack6_host11_mgmt_ip">'Value Reference Tables - MR'!$U$134</definedName>
    <definedName name="wld_az1_rack6_host11_vrms_ip">'Value Reference Tables - MR'!$U$150</definedName>
    <definedName name="wld_az1_rack6_host12_fqdn">'Value Reference Tables - MR'!$U$189</definedName>
    <definedName name="wld_az1_rack6_host12_hostname">'Value Reference Tables - MR'!$U$170</definedName>
    <definedName name="wld_az1_rack6_host12_mgmt_ip">'Value Reference Tables - MR'!$U$135</definedName>
    <definedName name="wld_az1_rack6_host12_vrms_ip">'Value Reference Tables - MR'!$U$151</definedName>
    <definedName name="wld_az1_rack6_host13_fqdn">'Value Reference Tables - MR'!$U$190</definedName>
    <definedName name="wld_az1_rack6_host13_hostname">'Value Reference Tables - MR'!$U$171</definedName>
    <definedName name="wld_az1_rack6_host13_mgmt_ip">'Value Reference Tables - MR'!$U$136</definedName>
    <definedName name="wld_az1_rack6_host13_vrms_ip">'Value Reference Tables - MR'!$U$152</definedName>
    <definedName name="wld_az1_rack6_host14_fqdn">'Value Reference Tables - MR'!$U$191</definedName>
    <definedName name="wld_az1_rack6_host14_hostname">'Value Reference Tables - MR'!$U$172</definedName>
    <definedName name="wld_az1_rack6_host14_mgmt_ip">'Value Reference Tables - MR'!$U$137</definedName>
    <definedName name="wld_az1_rack6_host14_vrms_ip">'Value Reference Tables - MR'!$U$153</definedName>
    <definedName name="wld_az1_rack6_host15_fqdn">'Value Reference Tables - MR'!$U$192</definedName>
    <definedName name="wld_az1_rack6_host15_hostname">'Value Reference Tables - MR'!$U$173</definedName>
    <definedName name="wld_az1_rack6_host15_mgmt_ip">'Value Reference Tables - MR'!$U$138</definedName>
    <definedName name="wld_az1_rack6_host15_vrms_ip">'Value Reference Tables - MR'!$U$154</definedName>
    <definedName name="wld_az1_rack6_host16_fqdn">'Value Reference Tables - MR'!$U$193</definedName>
    <definedName name="wld_az1_rack6_host16_hostname">'Value Reference Tables - MR'!$U$174</definedName>
    <definedName name="wld_az1_rack6_host16_mgmt_ip">'Value Reference Tables - MR'!$U$139</definedName>
    <definedName name="wld_az1_rack6_host16_vrms_ip">'Value Reference Tables - MR'!$U$155</definedName>
    <definedName name="wld_az1_rack6_host2_fqdn">'Value Reference Tables - MR'!$U$179</definedName>
    <definedName name="wld_az1_rack6_host2_hostname">'Value Reference Tables - MR'!$U$160</definedName>
    <definedName name="wld_az1_rack6_host2_mgmt_ip">'Value Reference Tables - MR'!$U$125</definedName>
    <definedName name="wld_az1_rack6_host2_vrms_ip">'Value Reference Tables - MR'!$U$141</definedName>
    <definedName name="wld_az1_rack6_host3_fqdn">'Value Reference Tables - MR'!$U$180</definedName>
    <definedName name="wld_az1_rack6_host3_hostname">'Value Reference Tables - MR'!$U$161</definedName>
    <definedName name="wld_az1_rack6_host3_mgmt_ip">'Value Reference Tables - MR'!$U$126</definedName>
    <definedName name="wld_az1_rack6_host3_vrms_ip">'Value Reference Tables - MR'!$U$142</definedName>
    <definedName name="wld_az1_rack6_host4_fqdn">'Value Reference Tables - MR'!$U$181</definedName>
    <definedName name="wld_az1_rack6_host4_hostname">'Value Reference Tables - MR'!$U$162</definedName>
    <definedName name="wld_az1_rack6_host4_mgmt_ip">'Value Reference Tables - MR'!$U$127</definedName>
    <definedName name="wld_az1_rack6_host4_vrms_ip">'Value Reference Tables - MR'!$U$143</definedName>
    <definedName name="wld_az1_rack6_host5_fqdn">'Value Reference Tables - MR'!$U$182</definedName>
    <definedName name="wld_az1_rack6_host5_hostname">'Value Reference Tables - MR'!$U$163</definedName>
    <definedName name="wld_az1_rack6_host5_mgmt_ip">'Value Reference Tables - MR'!$U$128</definedName>
    <definedName name="wld_az1_rack6_host5_vrms_ip">'Value Reference Tables - MR'!$U$144</definedName>
    <definedName name="wld_az1_rack6_host6_fqdn">'Value Reference Tables - MR'!$U$183</definedName>
    <definedName name="wld_az1_rack6_host6_hostname">'Value Reference Tables - MR'!$U$164</definedName>
    <definedName name="wld_az1_rack6_host6_mgmt_ip">'Value Reference Tables - MR'!$U$129</definedName>
    <definedName name="wld_az1_rack6_host6_vrms_ip">'Value Reference Tables - MR'!$U$145</definedName>
    <definedName name="wld_az1_rack6_host7_fqdn">'Value Reference Tables - MR'!$U$184</definedName>
    <definedName name="wld_az1_rack6_host7_hostname">'Value Reference Tables - MR'!$U$165</definedName>
    <definedName name="wld_az1_rack6_host7_mgmt_ip">'Value Reference Tables - MR'!$U$130</definedName>
    <definedName name="wld_az1_rack6_host7_vrms_ip">'Value Reference Tables - MR'!$U$146</definedName>
    <definedName name="wld_az1_rack6_host8_fqdn">'Value Reference Tables - MR'!$U$185</definedName>
    <definedName name="wld_az1_rack6_host8_hostname">'Value Reference Tables - MR'!$U$166</definedName>
    <definedName name="wld_az1_rack6_host8_mgmt_ip">'Value Reference Tables - MR'!$U$131</definedName>
    <definedName name="wld_az1_rack6_host8_vrms_ip">'Value Reference Tables - MR'!$U$147</definedName>
    <definedName name="wld_az1_rack6_host9_fqdn">'Value Reference Tables - MR'!$U$186</definedName>
    <definedName name="wld_az1_rack6_host9_hostname">'Value Reference Tables - MR'!$U$167</definedName>
    <definedName name="wld_az1_rack6_host9_mgmt_ip">'Value Reference Tables - MR'!$U$132</definedName>
    <definedName name="wld_az1_rack6_host9_vrms_ip">'Value Reference Tables - MR'!$U$148</definedName>
    <definedName name="wld_az1_rack6_mgmt_cidr">'Value Reference Tables - MR'!$U$23</definedName>
    <definedName name="wld_az1_rack6_mgmt_gateway_ip">'Value Reference Tables - MR'!$U$37</definedName>
    <definedName name="wld_az1_rack6_mgmt_mask">'Value Reference Tables - MR'!$U$110</definedName>
    <definedName name="wld_az1_rack6_mgmt_mtu">'Value Reference Tables - MR'!$U$51</definedName>
    <definedName name="wld_az1_rack6_mgmt_pg">'Value Reference Tables - MR'!$U$75</definedName>
    <definedName name="wld_az1_rack6_mgmt_vlan">'Value Reference Tables - MR'!$U$9</definedName>
    <definedName name="wld_az1_rack6_mgmt_vm_cidr">'Value Reference Tables - MR'!$U$22</definedName>
    <definedName name="wld_az1_rack6_mgmt_vm_gateway_ip">'Value Reference Tables - MR'!$U$36</definedName>
    <definedName name="wld_az1_rack6_mgmt_vm_mask">'Value Reference Tables - MR'!$U$109</definedName>
    <definedName name="wld_az1_rack6_mgmt_vm_mtu">'Value Reference Tables - MR'!$U$50</definedName>
    <definedName name="wld_az1_rack6_mgmt_vm_pg">'Value Reference Tables - MR'!$U$74</definedName>
    <definedName name="wld_az1_rack6_mgmt_vm_vlan">'Value Reference Tables - MR'!$U$8</definedName>
    <definedName name="wld_az1_rack6_pool_name">'Value Reference Tables - MR'!$U$98</definedName>
    <definedName name="wld_az1_rack6_principal_storage_cidr">'Value Reference Tables - MR'!$U$25</definedName>
    <definedName name="wld_az1_rack6_principal_storage_gateway_ip">'Value Reference Tables - MR'!$U$39</definedName>
    <definedName name="wld_az1_rack6_principal_storage_mask">'Value Reference Tables - MR'!$U$112</definedName>
    <definedName name="wld_az1_rack6_principal_storage_mtu">'Value Reference Tables - MR'!$U$53</definedName>
    <definedName name="wld_az1_rack6_principal_storage_pg">'Value Reference Tables - MR'!$U$77</definedName>
    <definedName name="wld_az1_rack6_principal_storage_pool_end_ip">'Value Reference Tables - MR'!$U$86</definedName>
    <definedName name="wld_az1_rack6_principal_storage_pool_start_ip">'Value Reference Tables - MR'!$U$85</definedName>
    <definedName name="wld_az1_rack6_principal_storage_vlan">'Value Reference Tables - MR'!$U$11</definedName>
    <definedName name="wld_az1_rack6_rtep_ip_pool_name">'Value Reference Tables - MR'!$U$104</definedName>
    <definedName name="wld_az1_rack6_rtep_overlay_cidr">'Value Reference Tables - MR'!$U$31</definedName>
    <definedName name="wld_az1_rack6_rtep_overlay_gateway_ip">'Value Reference Tables - MR'!$U$45</definedName>
    <definedName name="wld_az1_rack6_rtep_overlay_mtu">'Value Reference Tables - MR'!$U$59</definedName>
    <definedName name="wld_az1_rack6_rtep_overlay_pool_end_ip">'Value Reference Tables - MR'!$U$94</definedName>
    <definedName name="wld_az1_rack6_rtep_overlay_pool_start_ip">'Value Reference Tables - MR'!$U$93</definedName>
    <definedName name="wld_az1_rack6_rtep_overlay_vlan">'Value Reference Tables - MR'!$U$17</definedName>
    <definedName name="wld_az1_rack6_secondary_storage_cidr">'Value Reference Tables - MR'!$U$27</definedName>
    <definedName name="wld_az1_rack6_secondary_storage_gateway_ip">'Value Reference Tables - MR'!$U$41</definedName>
    <definedName name="wld_az1_rack6_secondary_storage_mtu">'Value Reference Tables - MR'!$U$55</definedName>
    <definedName name="wld_az1_rack6_secondary_storage_pool_end_ip">'Value Reference Tables - MR'!$U$90</definedName>
    <definedName name="wld_az1_rack6_secondary_storage_pool_start_ip">'Value Reference Tables - MR'!$U$89</definedName>
    <definedName name="wld_az1_rack6_secondary_storage_vlan">'Value Reference Tables - MR'!$U$13</definedName>
    <definedName name="wld_az1_rack6_tor1_peer_asn">'Value Reference Tables - MR'!$U$66</definedName>
    <definedName name="wld_az1_rack6_tor1_peer_bgp_password">'Value Reference Tables - MR'!$U$67</definedName>
    <definedName name="wld_az1_rack6_tor1_peer_ip">'Value Reference Tables - MR'!$U$65</definedName>
    <definedName name="wld_az1_rack6_tor2_peer_asn">'Value Reference Tables - MR'!$U$69</definedName>
    <definedName name="wld_az1_rack6_tor2_peer_bgp_password">'Value Reference Tables - MR'!$U$70</definedName>
    <definedName name="wld_az1_rack6_tor2_peer_ip">'Value Reference Tables - MR'!$U$68</definedName>
    <definedName name="wld_az1_rack6_uplink01_cidr">'Value Reference Tables - MR'!$U$28</definedName>
    <definedName name="wld_az1_rack6_uplink01_gateway_ip">'Value Reference Tables - MR'!$U$42</definedName>
    <definedName name="wld_az1_rack6_uplink01_mtu">'Value Reference Tables - MR'!$U$56</definedName>
    <definedName name="wld_az1_rack6_uplink01_pg">'Value Reference Tables - MR'!$U$78</definedName>
    <definedName name="wld_az1_rack6_uplink01_vlan">'Value Reference Tables - MR'!$U$14</definedName>
    <definedName name="wld_az1_rack6_uplink02_cidr">'Value Reference Tables - MR'!$U$29</definedName>
    <definedName name="wld_az1_rack6_uplink02_gateway_ip">'Value Reference Tables - MR'!$U$43</definedName>
    <definedName name="wld_az1_rack6_uplink02_mtu">'Value Reference Tables - MR'!$U$57</definedName>
    <definedName name="wld_az1_rack6_uplink02_pg">'Value Reference Tables - MR'!$U$79</definedName>
    <definedName name="wld_az1_rack6_uplink02_vlan">'Value Reference Tables - MR'!$U$15</definedName>
    <definedName name="wld_az1_rack6_vmotion_cidr">'Value Reference Tables - MR'!$U$24</definedName>
    <definedName name="wld_az1_rack6_vmotion_gateway_ip">'Value Reference Tables - MR'!$U$38</definedName>
    <definedName name="wld_az1_rack6_vmotion_mask">'Value Reference Tables - MR'!$U$111</definedName>
    <definedName name="wld_az1_rack6_vmotion_mtu">'Value Reference Tables - MR'!$U$52</definedName>
    <definedName name="wld_az1_rack6_vmotion_pg">'Value Reference Tables - MR'!$U$76</definedName>
    <definedName name="wld_az1_rack6_vmotion_pool_end_ip">'Value Reference Tables - MR'!$U$84</definedName>
    <definedName name="wld_az1_rack6_vmotion_pool_start_ip">'Value Reference Tables - MR'!$U$83</definedName>
    <definedName name="wld_az1_rack6_vmotion_vlan">'Value Reference Tables - MR'!$U$10</definedName>
    <definedName name="wld_az1_rack6_vrms_cidr">'Value Reference Tables - MR'!$U$32</definedName>
    <definedName name="wld_az1_rack6_vrms_gateway_ip">'Value Reference Tables - MR'!$U$46</definedName>
    <definedName name="wld_az1_rack6_vrms_mtu">'Value Reference Tables - MR'!$U$60</definedName>
    <definedName name="wld_az1_rack6_vrms_vlan">'Value Reference Tables - MR'!$U$18</definedName>
    <definedName name="wld_az1_rack6_vsan_fault_domain">'Value Reference Tables - MR'!$U$105</definedName>
    <definedName name="wld_az1_rack7_child_dns_zone">'Value Reference Tables - MR'!$X$120</definedName>
    <definedName name="wld_az1_rack7_edge_overlay_cidr">'Value Reference Tables - MR'!$X$30</definedName>
    <definedName name="wld_az1_rack7_edge_overlay_gateway_ip">'Value Reference Tables - MR'!$X$44</definedName>
    <definedName name="wld_az1_rack7_edge_overlay_mtu">'Value Reference Tables - MR'!$X$58</definedName>
    <definedName name="wld_az1_rack7_edge_overlay_network_pool_name">'Value Reference Tables - MR'!$X$103</definedName>
    <definedName name="wld_az1_rack7_edge_overlay_pool_end_ip">'Value Reference Tables - MR'!$X$92</definedName>
    <definedName name="wld_az1_rack7_edge_overlay_pool_start_ip">'Value Reference Tables - MR'!$X$91</definedName>
    <definedName name="wld_az1_rack7_edge_overlay_vlan">'Value Reference Tables - MR'!$X$16</definedName>
    <definedName name="wld_az1_rack7_en1_edge_overlay_interface_ip_1_ip">'Value Reference Tables - MR'!$X$201</definedName>
    <definedName name="wld_az1_rack7_en1_edge_overlay_interface_ip_2_ip">'Value Reference Tables - MR'!$X$202</definedName>
    <definedName name="wld_az1_rack7_en1_fqdn">'Value Reference Tables - MR'!$X$197</definedName>
    <definedName name="wld_az1_rack7_en1_hostname">'Value Reference Tables - MR'!$X$196</definedName>
    <definedName name="wld_az1_rack7_en1_mgmt_ip">'Value Reference Tables - MR'!$X$198</definedName>
    <definedName name="wld_az1_rack7_en1_uplink01_interface_ip">'Value Reference Tables - MR'!$X$199</definedName>
    <definedName name="wld_az1_rack7_en1_uplink02_interface_ip">'Value Reference Tables - MR'!$X$200</definedName>
    <definedName name="wld_az1_rack7_en2_fqdn">'Value Reference Tables - MR'!$X$206</definedName>
    <definedName name="wld_az1_rack7_en2_hostname">'Value Reference Tables - MR'!$X$205</definedName>
    <definedName name="wld_az1_rack7_en2_mgmt_ip">'Value Reference Tables - MR'!$X$207</definedName>
    <definedName name="wld_az1_rack7_en2_uplink01_interface_ip">'Value Reference Tables - MR'!$X$208</definedName>
    <definedName name="wld_az1_rack7_en2_uplink02_interface_ip">'Value Reference Tables - MR'!$X$209</definedName>
    <definedName name="wld_az1_rack7_host_edge_count">'Value Reference Tables - MR'!$X$231</definedName>
    <definedName name="wld_az1_rack7_host_fqdns">'Value Reference Tables - MR'!$X$178:$X$193</definedName>
    <definedName name="wld_az1_rack7_host_hostnames">'Value Reference Tables - MR'!$X$159:$X$174</definedName>
    <definedName name="wld_az1_rack7_host_mgmt_ips">'Value Reference Tables - MR'!$X$124:$X$139</definedName>
    <definedName name="wld_az1_rack7_host_overlay_cidr">'Value Reference Tables - MR'!$X$26</definedName>
    <definedName name="wld_az1_rack7_host_overlay_gateway_ip">'Value Reference Tables - MR'!$X$40</definedName>
    <definedName name="wld_az1_rack7_host_overlay_mtu">'Value Reference Tables - MR'!$X$54</definedName>
    <definedName name="wld_az1_rack7_host_overlay_network_pool_name">'Value Reference Tables - MR'!$X$101</definedName>
    <definedName name="wld_az1_rack7_host_overlay_network_profile_name">'Value Reference Tables - MR'!$X$99</definedName>
    <definedName name="wld_az1_rack7_host_overlay_pool_end_ip">'Value Reference Tables - MR'!$X$88</definedName>
    <definedName name="wld_az1_rack7_host_overlay_pool_start_ip">'Value Reference Tables - MR'!$X$87</definedName>
    <definedName name="wld_az1_rack7_host_overlay_uplink_profile_name">'Value Reference Tables - MR'!$X$102</definedName>
    <definedName name="wld_az1_rack7_host_overlay_vlan">'Value Reference Tables - MR'!$X$12</definedName>
    <definedName name="wld_az1_rack7_host_vrms_ips">'Value Reference Tables - MR'!$X$140:$X$155</definedName>
    <definedName name="wld_az1_rack7_host1_fqdn">'Value Reference Tables - MR'!$X$178</definedName>
    <definedName name="wld_az1_rack7_host1_hostname">'Value Reference Tables - MR'!$X$159</definedName>
    <definedName name="wld_az1_rack7_host1_mgmt_ip">'Value Reference Tables - MR'!$X$124</definedName>
    <definedName name="wld_az1_rack7_host1_vrms_ip">'Value Reference Tables - MR'!$X$140</definedName>
    <definedName name="wld_az1_rack7_host10_fqdn">'Value Reference Tables - MR'!$X$187</definedName>
    <definedName name="wld_az1_rack7_host10_hostname">'Value Reference Tables - MR'!$X$168</definedName>
    <definedName name="wld_az1_rack7_host10_mgmt_ip">'Value Reference Tables - MR'!$X$133</definedName>
    <definedName name="wld_az1_rack7_host10_vrms_ip">'Value Reference Tables - MR'!$X$149</definedName>
    <definedName name="wld_az1_rack7_host11_fqdn">'Value Reference Tables - MR'!$X$188</definedName>
    <definedName name="wld_az1_rack7_host11_hostname">'Value Reference Tables - MR'!$X$169</definedName>
    <definedName name="wld_az1_rack7_host11_mgmt_ip">'Value Reference Tables - MR'!$X$134</definedName>
    <definedName name="wld_az1_rack7_host11_vrms_ip">'Value Reference Tables - MR'!$X$150</definedName>
    <definedName name="wld_az1_rack7_host12_fqdn">'Value Reference Tables - MR'!$X$189</definedName>
    <definedName name="wld_az1_rack7_host12_hostname">'Value Reference Tables - MR'!$X$170</definedName>
    <definedName name="wld_az1_rack7_host12_mgmt_ip">'Value Reference Tables - MR'!$X$135</definedName>
    <definedName name="wld_az1_rack7_host12_vrms_ip">'Value Reference Tables - MR'!$X$151</definedName>
    <definedName name="wld_az1_rack7_host13_fqdn">'Value Reference Tables - MR'!$X$190</definedName>
    <definedName name="wld_az1_rack7_host13_hostname">'Value Reference Tables - MR'!$X$171</definedName>
    <definedName name="wld_az1_rack7_host13_mgmt_ip">'Value Reference Tables - MR'!$X$136</definedName>
    <definedName name="wld_az1_rack7_host13_vrms_ip">'Value Reference Tables - MR'!$X$152</definedName>
    <definedName name="wld_az1_rack7_host14_fqdn">'Value Reference Tables - MR'!$X$191</definedName>
    <definedName name="wld_az1_rack7_host14_hostname">'Value Reference Tables - MR'!$X$172</definedName>
    <definedName name="wld_az1_rack7_host14_mgmt_ip">'Value Reference Tables - MR'!$X$137</definedName>
    <definedName name="wld_az1_rack7_host14_vrms_ip">'Value Reference Tables - MR'!$X$153</definedName>
    <definedName name="wld_az1_rack7_host15_fqdn">'Value Reference Tables - MR'!$X$192</definedName>
    <definedName name="wld_az1_rack7_host15_hostname">'Value Reference Tables - MR'!$X$173</definedName>
    <definedName name="wld_az1_rack7_host15_mgmt_ip">'Value Reference Tables - MR'!$X$138</definedName>
    <definedName name="wld_az1_rack7_host15_vrms_ip">'Value Reference Tables - MR'!$X$154</definedName>
    <definedName name="wld_az1_rack7_host16_fqdn">'Value Reference Tables - MR'!$X$193</definedName>
    <definedName name="wld_az1_rack7_host16_hostname">'Value Reference Tables - MR'!$X$174</definedName>
    <definedName name="wld_az1_rack7_host16_mgmt_ip">'Value Reference Tables - MR'!$X$139</definedName>
    <definedName name="wld_az1_rack7_host16_vrms_ip">'Value Reference Tables - MR'!$X$155</definedName>
    <definedName name="wld_az1_rack7_host2_fqdn">'Value Reference Tables - MR'!$X$179</definedName>
    <definedName name="wld_az1_rack7_host2_hostname">'Value Reference Tables - MR'!$X$160</definedName>
    <definedName name="wld_az1_rack7_host2_mgmt_ip">'Value Reference Tables - MR'!$X$125</definedName>
    <definedName name="wld_az1_rack7_host2_vrms_ip">'Value Reference Tables - MR'!$X$141</definedName>
    <definedName name="wld_az1_rack7_host3_fqdn">'Value Reference Tables - MR'!$X$180</definedName>
    <definedName name="wld_az1_rack7_host3_hostname">'Value Reference Tables - MR'!$X$161</definedName>
    <definedName name="wld_az1_rack7_host3_mgmt_ip">'Value Reference Tables - MR'!$X$126</definedName>
    <definedName name="wld_az1_rack7_host3_vrms_ip">'Value Reference Tables - MR'!$X$142</definedName>
    <definedName name="wld_az1_rack7_host4_fqdn">'Value Reference Tables - MR'!$X$181</definedName>
    <definedName name="wld_az1_rack7_host4_hostname">'Value Reference Tables - MR'!$X$162</definedName>
    <definedName name="wld_az1_rack7_host4_mgmt_ip">'Value Reference Tables - MR'!$X$127</definedName>
    <definedName name="wld_az1_rack7_host4_vrms_ip">'Value Reference Tables - MR'!$X$143</definedName>
    <definedName name="wld_az1_rack7_host5_fqdn">'Value Reference Tables - MR'!$X$182</definedName>
    <definedName name="wld_az1_rack7_host5_hostname">'Value Reference Tables - MR'!$X$163</definedName>
    <definedName name="wld_az1_rack7_host5_mgmt_ip">'Value Reference Tables - MR'!$X$128</definedName>
    <definedName name="wld_az1_rack7_host5_vrms_ip">'Value Reference Tables - MR'!$X$144</definedName>
    <definedName name="wld_az1_rack7_host6_fqdn">'Value Reference Tables - MR'!$X$183</definedName>
    <definedName name="wld_az1_rack7_host6_hostname">'Value Reference Tables - MR'!$X$164</definedName>
    <definedName name="wld_az1_rack7_host6_mgmt_ip">'Value Reference Tables - MR'!$X$129</definedName>
    <definedName name="wld_az1_rack7_host6_vrms_ip">'Value Reference Tables - MR'!$X$145</definedName>
    <definedName name="wld_az1_rack7_host7_fqdn">'Value Reference Tables - MR'!$X$184</definedName>
    <definedName name="wld_az1_rack7_host7_hostname">'Value Reference Tables - MR'!$X$165</definedName>
    <definedName name="wld_az1_rack7_host7_mgmt_ip">'Value Reference Tables - MR'!$X$130</definedName>
    <definedName name="wld_az1_rack7_host7_vrms_ip">'Value Reference Tables - MR'!$X$146</definedName>
    <definedName name="wld_az1_rack7_host8_fqdn">'Value Reference Tables - MR'!$X$185</definedName>
    <definedName name="wld_az1_rack7_host8_hostname">'Value Reference Tables - MR'!$X$166</definedName>
    <definedName name="wld_az1_rack7_host8_mgmt_ip">'Value Reference Tables - MR'!$X$131</definedName>
    <definedName name="wld_az1_rack7_host8_vrms_ip">'Value Reference Tables - MR'!$X$147</definedName>
    <definedName name="wld_az1_rack7_host9_fqdn">'Value Reference Tables - MR'!$X$186</definedName>
    <definedName name="wld_az1_rack7_host9_hostname">'Value Reference Tables - MR'!$X$167</definedName>
    <definedName name="wld_az1_rack7_host9_mgmt_ip">'Value Reference Tables - MR'!$X$132</definedName>
    <definedName name="wld_az1_rack7_host9_vrms_ip">'Value Reference Tables - MR'!$X$148</definedName>
    <definedName name="wld_az1_rack7_mgmt_cidr">'Value Reference Tables - MR'!$X$23</definedName>
    <definedName name="wld_az1_rack7_mgmt_gateway_ip">'Value Reference Tables - MR'!$X$37</definedName>
    <definedName name="wld_az1_rack7_mgmt_mask">'Value Reference Tables - MR'!$X$110</definedName>
    <definedName name="wld_az1_rack7_mgmt_mtu">'Value Reference Tables - MR'!$X$51</definedName>
    <definedName name="wld_az1_rack7_mgmt_pg">'Value Reference Tables - MR'!$X$75</definedName>
    <definedName name="wld_az1_rack7_mgmt_vlan">'Value Reference Tables - MR'!$X$9</definedName>
    <definedName name="wld_az1_rack7_mgmt_vm_cidr">'Value Reference Tables - MR'!$X$22</definedName>
    <definedName name="wld_az1_rack7_mgmt_vm_gateway_ip">'Value Reference Tables - MR'!$X$36</definedName>
    <definedName name="wld_az1_rack7_mgmt_vm_mask">'Value Reference Tables - MR'!$X$109</definedName>
    <definedName name="wld_az1_rack7_mgmt_vm_mtu">'Value Reference Tables - MR'!$X$50</definedName>
    <definedName name="wld_az1_rack7_mgmt_vm_pg">'Value Reference Tables - MR'!$X$74</definedName>
    <definedName name="wld_az1_rack7_mgmt_vm_vlan">'Value Reference Tables - MR'!$X$8</definedName>
    <definedName name="wld_az1_rack7_pool_name">'Value Reference Tables - MR'!$X$98</definedName>
    <definedName name="wld_az1_rack7_principal_storage_cidr">'Value Reference Tables - MR'!$X$25</definedName>
    <definedName name="wld_az1_rack7_principal_storage_gateway_ip">'Value Reference Tables - MR'!$X$39</definedName>
    <definedName name="wld_az1_rack7_principal_storage_mask">'Value Reference Tables - MR'!$X$112</definedName>
    <definedName name="wld_az1_rack7_principal_storage_mtu">'Value Reference Tables - MR'!$X$53</definedName>
    <definedName name="wld_az1_rack7_principal_storage_pg">'Value Reference Tables - MR'!$X$77</definedName>
    <definedName name="wld_az1_rack7_principal_storage_pool_end_ip">'Value Reference Tables - MR'!$X$86</definedName>
    <definedName name="wld_az1_rack7_principal_storage_pool_start_ip">'Value Reference Tables - MR'!$X$85</definedName>
    <definedName name="wld_az1_rack7_principal_storage_vlan">'Value Reference Tables - MR'!$X$11</definedName>
    <definedName name="wld_az1_rack7_rtep_ip_pool_name">'Value Reference Tables - MR'!$X$104</definedName>
    <definedName name="wld_az1_rack7_rtep_overlay_cidr">'Value Reference Tables - MR'!$X$31</definedName>
    <definedName name="wld_az1_rack7_rtep_overlay_gateway_ip">'Value Reference Tables - MR'!$X$45</definedName>
    <definedName name="wld_az1_rack7_rtep_overlay_mtu">'Value Reference Tables - MR'!$X$59</definedName>
    <definedName name="wld_az1_rack7_rtep_overlay_pool_end_ip">'Value Reference Tables - MR'!$X$94</definedName>
    <definedName name="wld_az1_rack7_rtep_overlay_pool_start_ip">'Value Reference Tables - MR'!$X$93</definedName>
    <definedName name="wld_az1_rack7_rtep_overlay_vlan">'Value Reference Tables - MR'!$X$17</definedName>
    <definedName name="wld_az1_rack7_secondary_storage_cidr">'Value Reference Tables - MR'!$X$27</definedName>
    <definedName name="wld_az1_rack7_secondary_storage_gateway_ip">'Value Reference Tables - MR'!$X$41</definedName>
    <definedName name="wld_az1_rack7_secondary_storage_mtu">'Value Reference Tables - MR'!$X$55</definedName>
    <definedName name="wld_az1_rack7_secondary_storage_pool_end_ip">'Value Reference Tables - MR'!$X$90</definedName>
    <definedName name="wld_az1_rack7_secondary_storage_pool_start_ip">'Value Reference Tables - MR'!$X$89</definedName>
    <definedName name="wld_az1_rack7_secondary_storage_vlan">'Value Reference Tables - MR'!$X$13</definedName>
    <definedName name="wld_az1_rack7_tor1_peer_asn">'Value Reference Tables - MR'!$X$66</definedName>
    <definedName name="wld_az1_rack7_tor1_peer_bgp_password">'Value Reference Tables - MR'!$X$67</definedName>
    <definedName name="wld_az1_rack7_tor1_peer_ip">'Value Reference Tables - MR'!$X$65</definedName>
    <definedName name="wld_az1_rack7_tor2_peer_asn">'Value Reference Tables - MR'!$X$69</definedName>
    <definedName name="wld_az1_rack7_tor2_peer_bgp_password">'Value Reference Tables - MR'!$X$70</definedName>
    <definedName name="wld_az1_rack7_tor2_peer_ip">'Value Reference Tables - MR'!$X$68</definedName>
    <definedName name="wld_az1_rack7_uplink01_cidr">'Value Reference Tables - MR'!$X$28</definedName>
    <definedName name="wld_az1_rack7_uplink01_gateway_ip">'Value Reference Tables - MR'!$X$42</definedName>
    <definedName name="wld_az1_rack7_uplink01_mtu">'Value Reference Tables - MR'!$X$56</definedName>
    <definedName name="wld_az1_rack7_uplink01_pg">'Value Reference Tables - MR'!$X$78</definedName>
    <definedName name="wld_az1_rack7_uplink01_vlan">'Value Reference Tables - MR'!$X$14</definedName>
    <definedName name="wld_az1_rack7_uplink02_cidr">'Value Reference Tables - MR'!$X$29</definedName>
    <definedName name="wld_az1_rack7_uplink02_gateway_ip">'Value Reference Tables - MR'!$X$43</definedName>
    <definedName name="wld_az1_rack7_uplink02_mtu">'Value Reference Tables - MR'!$X$57</definedName>
    <definedName name="wld_az1_rack7_uplink02_pg">'Value Reference Tables - MR'!$X$79</definedName>
    <definedName name="wld_az1_rack7_uplink02_vlan">'Value Reference Tables - MR'!$X$15</definedName>
    <definedName name="wld_az1_rack7_vmotion_cidr">'Value Reference Tables - MR'!$X$24</definedName>
    <definedName name="wld_az1_rack7_vmotion_gateway_ip">'Value Reference Tables - MR'!$X$38</definedName>
    <definedName name="wld_az1_rack7_vmotion_mask">'Value Reference Tables - MR'!$X$111</definedName>
    <definedName name="wld_az1_rack7_vmotion_mtu">'Value Reference Tables - MR'!$X$52</definedName>
    <definedName name="wld_az1_rack7_vmotion_pg">'Value Reference Tables - MR'!$X$76</definedName>
    <definedName name="wld_az1_rack7_vmotion_pool_end_ip">'Value Reference Tables - MR'!$X$84</definedName>
    <definedName name="wld_az1_rack7_vmotion_pool_start_ip">'Value Reference Tables - MR'!$X$83</definedName>
    <definedName name="wld_az1_rack7_vmotion_vlan">'Value Reference Tables - MR'!$X$10</definedName>
    <definedName name="wld_az1_rack7_vrms_cidr">'Value Reference Tables - MR'!$X$32</definedName>
    <definedName name="wld_az1_rack7_vrms_gateway_ip">'Value Reference Tables - MR'!$X$46</definedName>
    <definedName name="wld_az1_rack7_vrms_mtu">'Value Reference Tables - MR'!$X$60</definedName>
    <definedName name="wld_az1_rack7_vrms_vlan">'Value Reference Tables - MR'!$X$18</definedName>
    <definedName name="wld_az1_rack7_vsan_fault_domain">'Value Reference Tables - MR'!$X$105</definedName>
    <definedName name="wld_az1_rack8_child_dns_zone">'Value Reference Tables - MR'!$AA$120</definedName>
    <definedName name="wld_az1_rack8_edge_overlay_cidr">'Value Reference Tables - MR'!$AA$30</definedName>
    <definedName name="wld_az1_rack8_edge_overlay_gateway_ip">'Value Reference Tables - MR'!$AA$44</definedName>
    <definedName name="wld_az1_rack8_edge_overlay_mtu">'Value Reference Tables - MR'!$AA$58</definedName>
    <definedName name="wld_az1_rack8_edge_overlay_network_pool_name">'Value Reference Tables - MR'!$AA$103</definedName>
    <definedName name="wld_az1_rack8_edge_overlay_pool_end_ip">'Value Reference Tables - MR'!$AA$92</definedName>
    <definedName name="wld_az1_rack8_edge_overlay_pool_start_ip">'Value Reference Tables - MR'!$AA$91</definedName>
    <definedName name="wld_az1_rack8_edge_overlay_vlan">'Value Reference Tables - MR'!$AA$16</definedName>
    <definedName name="wld_az1_rack8_en1_edge_overlay_interface_ip_1_ip">'Value Reference Tables - MR'!$AA$201</definedName>
    <definedName name="wld_az1_rack8_en1_edge_overlay_interface_ip_2_ip">'Value Reference Tables - MR'!$AA$202</definedName>
    <definedName name="wld_az1_rack8_en1_fqdn">'Value Reference Tables - MR'!$AA$197</definedName>
    <definedName name="wld_az1_rack8_en1_hostname">'Value Reference Tables - MR'!$AA$196</definedName>
    <definedName name="wld_az1_rack8_en1_mgmt_ip">'Value Reference Tables - MR'!$AA$198</definedName>
    <definedName name="wld_az1_rack8_en1_uplink01_interface_ip">'Value Reference Tables - MR'!$AA$199</definedName>
    <definedName name="wld_az1_rack8_en1_uplink02_interface_ip">'Value Reference Tables - MR'!$AA$200</definedName>
    <definedName name="wld_az1_rack8_en2_fqdn">'Value Reference Tables - MR'!$AA$206</definedName>
    <definedName name="wld_az1_rack8_en2_hostname">'Value Reference Tables - MR'!$AA$205</definedName>
    <definedName name="wld_az1_rack8_en2_mgmt_ip">'Value Reference Tables - MR'!$AA$207</definedName>
    <definedName name="wld_az1_rack8_en2_uplink01_interface_ip">'Value Reference Tables - MR'!$AA$208</definedName>
    <definedName name="wld_az1_rack8_en2_uplink02_interface_ip">'Value Reference Tables - MR'!$AA$209</definedName>
    <definedName name="wld_az1_rack8_host_edge_count">'Value Reference Tables - MR'!$AA$231</definedName>
    <definedName name="wld_az1_rack8_host_fqdns">'Value Reference Tables - MR'!$AA$178:$AA$193</definedName>
    <definedName name="wld_az1_rack8_host_hostnames">'Value Reference Tables - MR'!$AA$159:$AA$174</definedName>
    <definedName name="wld_az1_rack8_host_mgmt_ips">'Value Reference Tables - MR'!$AA$124:$AA$139</definedName>
    <definedName name="wld_az1_rack8_host_overlay_cidr">'Value Reference Tables - MR'!$AA$26</definedName>
    <definedName name="wld_az1_rack8_host_overlay_gateway_ip">'Value Reference Tables - MR'!$AA$40</definedName>
    <definedName name="wld_az1_rack8_host_overlay_mtu">'Value Reference Tables - MR'!$AA$54</definedName>
    <definedName name="wld_az1_rack8_host_overlay_network_pool_name">'Value Reference Tables - MR'!$AA$101</definedName>
    <definedName name="wld_az1_rack8_host_overlay_network_profile_name">'Value Reference Tables - MR'!$AA$99</definedName>
    <definedName name="wld_az1_rack8_host_overlay_pool_end_ip">'Value Reference Tables - MR'!$AA$88</definedName>
    <definedName name="wld_az1_rack8_host_overlay_pool_start_ip">'Value Reference Tables - MR'!$AA$87</definedName>
    <definedName name="wld_az1_rack8_host_overlay_uplink_profile_name">'Value Reference Tables - MR'!$AA$102</definedName>
    <definedName name="wld_az1_rack8_host_overlay_vlan">'Value Reference Tables - MR'!$AA$12</definedName>
    <definedName name="wld_az1_rack8_host_vrms_ips">'Value Reference Tables - MR'!$AA$140:$AA$155</definedName>
    <definedName name="wld_az1_rack8_host1_fqdn">'Value Reference Tables - MR'!$AA$178</definedName>
    <definedName name="wld_az1_rack8_host1_hostname">'Value Reference Tables - MR'!$AA$159</definedName>
    <definedName name="wld_az1_rack8_host1_mgmt_ip">'Value Reference Tables - MR'!$AA$124</definedName>
    <definedName name="wld_az1_rack8_host1_vrms_ip">'Value Reference Tables - MR'!$AA$140</definedName>
    <definedName name="wld_az1_rack8_host10_fqdn">'Value Reference Tables - MR'!$AA$187</definedName>
    <definedName name="wld_az1_rack8_host10_hostname">'Value Reference Tables - MR'!$AA$168</definedName>
    <definedName name="wld_az1_rack8_host10_mgmt_ip">'Value Reference Tables - MR'!$AA$133</definedName>
    <definedName name="wld_az1_rack8_host10_vrms_ip">'Value Reference Tables - MR'!$AA$149</definedName>
    <definedName name="wld_az1_rack8_host11_fqdn">'Value Reference Tables - MR'!$AA$188</definedName>
    <definedName name="wld_az1_rack8_host11_hostname">'Value Reference Tables - MR'!$AA$169</definedName>
    <definedName name="wld_az1_rack8_host11_mgmt_ip">'Value Reference Tables - MR'!$AA$134</definedName>
    <definedName name="wld_az1_rack8_host11_vrms_ip">'Value Reference Tables - MR'!$AA$150</definedName>
    <definedName name="wld_az1_rack8_host12_fqdn">'Value Reference Tables - MR'!$AA$189</definedName>
    <definedName name="wld_az1_rack8_host12_hostname">'Value Reference Tables - MR'!$AA$170</definedName>
    <definedName name="wld_az1_rack8_host12_mgmt_ip">'Value Reference Tables - MR'!$AA$135</definedName>
    <definedName name="wld_az1_rack8_host12_vrms_ip">'Value Reference Tables - MR'!$AA$151</definedName>
    <definedName name="wld_az1_rack8_host13_fqdn">'Value Reference Tables - MR'!$AA$190</definedName>
    <definedName name="wld_az1_rack8_host13_hostname">'Value Reference Tables - MR'!$AA$171</definedName>
    <definedName name="wld_az1_rack8_host13_mgmt_ip">'Value Reference Tables - MR'!$AA$136</definedName>
    <definedName name="wld_az1_rack8_host13_vrms_ip">'Value Reference Tables - MR'!$AA$152</definedName>
    <definedName name="wld_az1_rack8_host14_fqdn">'Value Reference Tables - MR'!$AA$191</definedName>
    <definedName name="wld_az1_rack8_host14_hostname">'Value Reference Tables - MR'!$AA$172</definedName>
    <definedName name="wld_az1_rack8_host14_mgmt_ip">'Value Reference Tables - MR'!$AA$137</definedName>
    <definedName name="wld_az1_rack8_host14_vrms_ip">'Value Reference Tables - MR'!$AA$153</definedName>
    <definedName name="wld_az1_rack8_host15_fqdn">'Value Reference Tables - MR'!$AA$192</definedName>
    <definedName name="wld_az1_rack8_host15_hostname">'Value Reference Tables - MR'!$AA$173</definedName>
    <definedName name="wld_az1_rack8_host15_mgmt_ip">'Value Reference Tables - MR'!$AA$138</definedName>
    <definedName name="wld_az1_rack8_host15_vrms_ip">'Value Reference Tables - MR'!$AA$154</definedName>
    <definedName name="wld_az1_rack8_host16_fqdn">'Value Reference Tables - MR'!$AA$193</definedName>
    <definedName name="wld_az1_rack8_host16_hostname">'Value Reference Tables - MR'!$AA$174</definedName>
    <definedName name="wld_az1_rack8_host16_mgmt_ip">'Value Reference Tables - MR'!$AA$139</definedName>
    <definedName name="wld_az1_rack8_host16_vrms_ip">'Value Reference Tables - MR'!$AA$155</definedName>
    <definedName name="wld_az1_rack8_host2_fqdn">'Value Reference Tables - MR'!$AA$179</definedName>
    <definedName name="wld_az1_rack8_host2_hostname">'Value Reference Tables - MR'!$AA$160</definedName>
    <definedName name="wld_az1_rack8_host2_mgmt_ip">'Value Reference Tables - MR'!$AA$125</definedName>
    <definedName name="wld_az1_rack8_host2_vrms_ip">'Value Reference Tables - MR'!$AA$141</definedName>
    <definedName name="wld_az1_rack8_host3_fqdn">'Value Reference Tables - MR'!$AA$180</definedName>
    <definedName name="wld_az1_rack8_host3_hostname">'Value Reference Tables - MR'!$AA$161</definedName>
    <definedName name="wld_az1_rack8_host3_mgmt_ip">'Value Reference Tables - MR'!$AA$126</definedName>
    <definedName name="wld_az1_rack8_host3_vrms_ip">'Value Reference Tables - MR'!$AA$142</definedName>
    <definedName name="wld_az1_rack8_host4_fqdn">'Value Reference Tables - MR'!$AA$181</definedName>
    <definedName name="wld_az1_rack8_host4_hostname">'Value Reference Tables - MR'!$AA$162</definedName>
    <definedName name="wld_az1_rack8_host4_mgmt_ip">'Value Reference Tables - MR'!$AA$127</definedName>
    <definedName name="wld_az1_rack8_host4_vrms_ip">'Value Reference Tables - MR'!$AA$143</definedName>
    <definedName name="wld_az1_rack8_host5_fqdn">'Value Reference Tables - MR'!$AA$182</definedName>
    <definedName name="wld_az1_rack8_host5_hostname">'Value Reference Tables - MR'!$AA$163</definedName>
    <definedName name="wld_az1_rack8_host5_mgmt_ip">'Value Reference Tables - MR'!$AA$128</definedName>
    <definedName name="wld_az1_rack8_host5_vrms_ip">'Value Reference Tables - MR'!$AA$144</definedName>
    <definedName name="wld_az1_rack8_host6_fqdn">'Value Reference Tables - MR'!$AA$183</definedName>
    <definedName name="wld_az1_rack8_host6_hostname">'Value Reference Tables - MR'!$AA$164</definedName>
    <definedName name="wld_az1_rack8_host6_mgmt_ip">'Value Reference Tables - MR'!$AA$129</definedName>
    <definedName name="wld_az1_rack8_host6_vrms_ip">'Value Reference Tables - MR'!$AA$145</definedName>
    <definedName name="wld_az1_rack8_host7_fqdn">'Value Reference Tables - MR'!$AA$184</definedName>
    <definedName name="wld_az1_rack8_host7_hostname">'Value Reference Tables - MR'!$AA$165</definedName>
    <definedName name="wld_az1_rack8_host7_mgmt_ip">'Value Reference Tables - MR'!$AA$130</definedName>
    <definedName name="wld_az1_rack8_host7_vrms_ip">'Value Reference Tables - MR'!$AA$146</definedName>
    <definedName name="wld_az1_rack8_host8_fqdn">'Value Reference Tables - MR'!$AA$185</definedName>
    <definedName name="wld_az1_rack8_host8_hostname">'Value Reference Tables - MR'!$AA$166</definedName>
    <definedName name="wld_az1_rack8_host8_mgmt_ip">'Value Reference Tables - MR'!$AA$131</definedName>
    <definedName name="wld_az1_rack8_host8_vrms_ip">'Value Reference Tables - MR'!$AA$147</definedName>
    <definedName name="wld_az1_rack8_host9_fqdn">'Value Reference Tables - MR'!$AA$186</definedName>
    <definedName name="wld_az1_rack8_host9_hostname">'Value Reference Tables - MR'!$AA$167</definedName>
    <definedName name="wld_az1_rack8_host9_mgmt_ip">'Value Reference Tables - MR'!$AA$132</definedName>
    <definedName name="wld_az1_rack8_host9_vrms_ip">'Value Reference Tables - MR'!$AA$148</definedName>
    <definedName name="wld_az1_rack8_mgmt_cidr">'Value Reference Tables - MR'!$AA$23</definedName>
    <definedName name="wld_az1_rack8_mgmt_gateway_ip">'Value Reference Tables - MR'!$AA$37</definedName>
    <definedName name="wld_az1_rack8_mgmt_mask">'Value Reference Tables - MR'!$AA$110</definedName>
    <definedName name="wld_az1_rack8_mgmt_mtu">'Value Reference Tables - MR'!$AA$51</definedName>
    <definedName name="wld_az1_rack8_mgmt_pg">'Value Reference Tables - MR'!$AA$75</definedName>
    <definedName name="wld_az1_rack8_mgmt_vlan">'Value Reference Tables - MR'!$AA$9</definedName>
    <definedName name="wld_az1_rack8_mgmt_vm_cidr">'Value Reference Tables - MR'!$AA$22</definedName>
    <definedName name="wld_az1_rack8_mgmt_vm_gateway_ip">'Value Reference Tables - MR'!$AA$36</definedName>
    <definedName name="wld_az1_rack8_mgmt_vm_mask">'Value Reference Tables - MR'!$AA$109</definedName>
    <definedName name="wld_az1_rack8_mgmt_vm_mtu">'Value Reference Tables - MR'!$AA$50</definedName>
    <definedName name="wld_az1_rack8_mgmt_vm_pg">'Value Reference Tables - MR'!$AA$74</definedName>
    <definedName name="wld_az1_rack8_mgmt_vm_vlan">'Value Reference Tables - MR'!$AA$8</definedName>
    <definedName name="wld_az1_rack8_pool_name">'Value Reference Tables - MR'!$AA$98</definedName>
    <definedName name="wld_az1_rack8_principal_storage_cidr">'Value Reference Tables - MR'!$AA$25</definedName>
    <definedName name="wld_az1_rack8_principal_storage_gateway_ip">'Value Reference Tables - MR'!$AA$39</definedName>
    <definedName name="wld_az1_rack8_principal_storage_mask">'Value Reference Tables - MR'!$AA$112</definedName>
    <definedName name="wld_az1_rack8_principal_storage_mtu">'Value Reference Tables - MR'!$AA$53</definedName>
    <definedName name="wld_az1_rack8_principal_storage_pg">'Value Reference Tables - MR'!$AA$77</definedName>
    <definedName name="wld_az1_rack8_principal_storage_pool_end_ip">'Value Reference Tables - MR'!$AA$86</definedName>
    <definedName name="wld_az1_rack8_principal_storage_pool_start_ip">'Value Reference Tables - MR'!$AA$85</definedName>
    <definedName name="wld_az1_rack8_principal_storage_vlan">'Value Reference Tables - MR'!$AA$11</definedName>
    <definedName name="wld_az1_rack8_rtep_ip_pool_name">'Value Reference Tables - MR'!$AA$104</definedName>
    <definedName name="wld_az1_rack8_rtep_overlay_cidr">'Value Reference Tables - MR'!$AA$31</definedName>
    <definedName name="wld_az1_rack8_rtep_overlay_gateway_ip">'Value Reference Tables - MR'!$AA$45</definedName>
    <definedName name="wld_az1_rack8_rtep_overlay_mtu">'Value Reference Tables - MR'!$AA$59</definedName>
    <definedName name="wld_az1_rack8_rtep_overlay_pool_end_ip">'Value Reference Tables - MR'!$AA$94</definedName>
    <definedName name="wld_az1_rack8_rtep_overlay_pool_start_ip">'Value Reference Tables - MR'!$AA$93</definedName>
    <definedName name="wld_az1_rack8_rtep_overlay_vlan">'Value Reference Tables - MR'!$AA$17</definedName>
    <definedName name="wld_az1_rack8_secondary_storage_cidr">'Value Reference Tables - MR'!$AA$27</definedName>
    <definedName name="wld_az1_rack8_secondary_storage_gateway_ip">'Value Reference Tables - MR'!$AA$41</definedName>
    <definedName name="wld_az1_rack8_secondary_storage_mtu">'Value Reference Tables - MR'!$AA$55</definedName>
    <definedName name="wld_az1_rack8_secondary_storage_pool_end_ip">'Value Reference Tables - MR'!$AA$90</definedName>
    <definedName name="wld_az1_rack8_secondary_storage_pool_start_ip">'Value Reference Tables - MR'!$AA$89</definedName>
    <definedName name="wld_az1_rack8_secondary_storage_vlan">'Value Reference Tables - MR'!$AA$13</definedName>
    <definedName name="wld_az1_rack8_tor1_peer_asn">'Value Reference Tables - MR'!$AA$66</definedName>
    <definedName name="wld_az1_rack8_tor1_peer_bgp_password">'Value Reference Tables - MR'!$AA$67</definedName>
    <definedName name="wld_az1_rack8_tor1_peer_ip">'Value Reference Tables - MR'!$AA$65</definedName>
    <definedName name="wld_az1_rack8_tor2_peer_asn">'Value Reference Tables - MR'!$AA$69</definedName>
    <definedName name="wld_az1_rack8_tor2_peer_bgp_password">'Value Reference Tables - MR'!$AA$70</definedName>
    <definedName name="wld_az1_rack8_tor2_peer_ip">'Value Reference Tables - MR'!$AA$68</definedName>
    <definedName name="wld_az1_rack8_uplink01_cidr">'Value Reference Tables - MR'!$AA$28</definedName>
    <definedName name="wld_az1_rack8_uplink01_gateway_ip">'Value Reference Tables - MR'!$AA$42</definedName>
    <definedName name="wld_az1_rack8_uplink01_mtu">'Value Reference Tables - MR'!$AA$56</definedName>
    <definedName name="wld_az1_rack8_uplink01_pg">'Value Reference Tables - MR'!$AA$78</definedName>
    <definedName name="wld_az1_rack8_uplink01_vlan">'Value Reference Tables - MR'!$AA$14</definedName>
    <definedName name="wld_az1_rack8_uplink02_cidr">'Value Reference Tables - MR'!$AA$29</definedName>
    <definedName name="wld_az1_rack8_uplink02_gateway_ip">'Value Reference Tables - MR'!$AA$43</definedName>
    <definedName name="wld_az1_rack8_uplink02_mtu">'Value Reference Tables - MR'!$AA$57</definedName>
    <definedName name="wld_az1_rack8_uplink02_pg">'Value Reference Tables - MR'!$AA$79</definedName>
    <definedName name="wld_az1_rack8_uplink02_vlan">'Value Reference Tables - MR'!$AA$15</definedName>
    <definedName name="wld_az1_rack8_vmotion_cidr">'Value Reference Tables - MR'!$AA$24</definedName>
    <definedName name="wld_az1_rack8_vmotion_gateway_ip">'Value Reference Tables - MR'!$AA$38</definedName>
    <definedName name="wld_az1_rack8_vmotion_mask">'Value Reference Tables - MR'!$AA$111</definedName>
    <definedName name="wld_az1_rack8_vmotion_mtu">'Value Reference Tables - MR'!$AA$52</definedName>
    <definedName name="wld_az1_rack8_vmotion_pg">'Value Reference Tables - MR'!$AA$76</definedName>
    <definedName name="wld_az1_rack8_vmotion_pool_end_ip">'Value Reference Tables - MR'!$AA$84</definedName>
    <definedName name="wld_az1_rack8_vmotion_pool_start_ip">'Value Reference Tables - MR'!$AA$83</definedName>
    <definedName name="wld_az1_rack8_vmotion_vlan">'Value Reference Tables - MR'!$AA$10</definedName>
    <definedName name="wld_az1_rack8_vrms_cidr">'Value Reference Tables - MR'!$AA$32</definedName>
    <definedName name="wld_az1_rack8_vrms_gateway_ip">'Value Reference Tables - MR'!$AA$46</definedName>
    <definedName name="wld_az1_rack8_vrms_mtu">'Value Reference Tables - MR'!$AA$60</definedName>
    <definedName name="wld_az1_rack8_vrms_vlan">'Value Reference Tables - MR'!$AA$18</definedName>
    <definedName name="wld_az1_rack8_vsan_fault_domain">'Value Reference Tables - MR'!$AA$105</definedName>
    <definedName name="wld_az1_rtep_ip_pool_name">'Value Reference Tables - MR'!$F$104</definedName>
    <definedName name="wld_az1_rtep_overlay_cidr">'Value Reference Tables - MR'!$F$31</definedName>
    <definedName name="wld_az1_rtep_overlay_gateway_ip">'Value Reference Tables - MR'!$F$45</definedName>
    <definedName name="wld_az1_rtep_overlay_mtu">'Value Reference Tables - MR'!$F$59</definedName>
    <definedName name="wld_az1_rtep_overlay_vlan">'Value Reference Tables - MR'!$F$17</definedName>
    <definedName name="wld_az1_second_compute_rack_host_01_output">'Static Reference Tables'!$F$432</definedName>
    <definedName name="wld_az1_second_compute_rack_host_overlay_cidr_output">'Static Reference Tables'!$M$432</definedName>
    <definedName name="wld_az1_second_compute_rack_host_overlay_end_ip_output">'Static Reference Tables'!$K$432</definedName>
    <definedName name="wld_az1_second_compute_rack_host_overlay_gateway_output">'Static Reference Tables'!$N$432</definedName>
    <definedName name="wld_az1_second_compute_rack_host_overlay_start_ip_output">'Static Reference Tables'!$J$432</definedName>
    <definedName name="wld_az1_second_compute_rack_host_overlay_uplink_profile_name_output">'Static Reference Tables'!$I$432</definedName>
    <definedName name="wld_az1_second_compute_rack_host_overlay_vlan_output">'Static Reference Tables'!$L$432</definedName>
    <definedName name="wld_az1_second_compute_rack_overlay_network_pool_name_output">'Static Reference Tables'!$H$432</definedName>
    <definedName name="wld_az1_second_compute_rack_overlay_network_profile_name_output">'Static Reference Tables'!$G$432</definedName>
    <definedName name="wld_az1_second_edge_cluster_host_overlay_cidr_output">'Value Reference Tables - MR'!$O$258</definedName>
    <definedName name="wld_az1_second_edge_cluster_host_overlay_gateway_ip_output">'Value Reference Tables - MR'!$O$257</definedName>
    <definedName name="wld_az1_second_edge_cluster_host_overlay_network_pool_name_output">'Value Reference Tables - MR'!$O$254</definedName>
    <definedName name="wld_az1_second_edge_cluster_host_overlay_pool_end_ip_output">'Value Reference Tables - MR'!$O$256</definedName>
    <definedName name="wld_az1_second_edge_cluster_host_overlay_pool_start_ip_output">'Value Reference Tables - MR'!$O$255</definedName>
    <definedName name="wld_az1_second_edge_cluster_host_overlay_uplink_profile_name_output">'Value Reference Tables - MR'!$O$260</definedName>
    <definedName name="wld_az1_second_edge_cluster_host_overlay_vlan_output">'Value Reference Tables - MR'!$O$259</definedName>
    <definedName name="wld_az1_second_edge_rack_edge_overlay_cidr_output">'Value Reference Tables - MR'!$O$253</definedName>
    <definedName name="wld_az1_second_edge_rack_edge_overlay_gateway_ip_output">'Value Reference Tables - MR'!$O$238</definedName>
    <definedName name="wld_az1_second_edge_rack_edge_overlay_network_pool_name_output">'Value Reference Tables - MR'!$O$250</definedName>
    <definedName name="wld_az1_second_edge_rack_edge_overlay_pool_end_ip_output">'Value Reference Tables - MR'!$O$252</definedName>
    <definedName name="wld_az1_second_edge_rack_edge_overlay_pool_start_ip_output">'Value Reference Tables - MR'!$O$251</definedName>
    <definedName name="wld_az1_second_edge_rack_edge_overlay_vlan_output">'Value Reference Tables - MR'!$O$239</definedName>
    <definedName name="wld_az1_second_edge_rack_en01_fqdn_output">'Value Reference Tables - MR'!$O$234</definedName>
    <definedName name="wld_az1_second_edge_rack_en01_uplink01_interface_cidr_output">'Value Reference Tables - MR'!$O$241</definedName>
    <definedName name="wld_az1_second_edge_rack_en01_uplink02_interface_cidr_output">'Value Reference Tables - MR'!$O$246</definedName>
    <definedName name="wld_az1_second_edge_rack_en02_fqdn_output">'Value Reference Tables - MR'!$O$261</definedName>
    <definedName name="wld_az1_second_edge_rack_en02_uplink01_interface_cidr_output">'Value Reference Tables - MR'!$O$263</definedName>
    <definedName name="wld_az1_second_edge_rack_en02_uplink02_interface_cidr_output">'Value Reference Tables - MR'!$O$264</definedName>
    <definedName name="wld_az1_second_edge_rack_mgmt_en01_vm_cidr_output">'Value Reference Tables - MR'!$O$235</definedName>
    <definedName name="wld_az1_second_edge_rack_mgmt_en02_vm_cidr_output">'Value Reference Tables - MR'!$O$262</definedName>
    <definedName name="wld_az1_second_edge_rack_mgmt_vm_gateway_ip_output">'Value Reference Tables - MR'!$O$236</definedName>
    <definedName name="wld_az1_second_edge_rack_tor1_peer_asn_output">'Value Reference Tables - MR'!$O$243</definedName>
    <definedName name="wld_az1_second_edge_rack_tor1_peer_bgp_password_output">'Value Reference Tables - MR'!$O$244</definedName>
    <definedName name="wld_az1_second_edge_rack_tor1_peer_cidr_output">'Value Reference Tables - MR'!$O$242</definedName>
    <definedName name="wld_az1_second_edge_rack_tor2_peer_asn_output">'Value Reference Tables - MR'!$O$248</definedName>
    <definedName name="wld_az1_second_edge_rack_tor2_peer_bgp_password_output">'Value Reference Tables - MR'!$O$249</definedName>
    <definedName name="wld_az1_second_edge_rack_tor2_peer_cidr_output">'Value Reference Tables - MR'!$O$247</definedName>
    <definedName name="wld_az1_second_edge_rack_uplink01_vlan_output">'Value Reference Tables - MR'!$O$240</definedName>
    <definedName name="wld_az1_second_edge_rack_uplink02_vlan_output">'Value Reference Tables - MR'!$O$245</definedName>
    <definedName name="wld_az1_secondary_storage_cidr">'Value Reference Tables - MR'!$F$27</definedName>
    <definedName name="wld_az1_secondary_storage_gateway_ip">'Value Reference Tables - MR'!$F$41</definedName>
    <definedName name="wld_az1_secondary_storage_mtu">'Value Reference Tables - MR'!$F$55</definedName>
    <definedName name="wld_az1_secondary_storage_pool_end_ip">'Value Reference Tables - MR'!$F$90</definedName>
    <definedName name="wld_az1_secondary_storage_pool_start_ip">'Value Reference Tables - MR'!$F$89</definedName>
    <definedName name="wld_az1_secondary_storage_vlan">'Value Reference Tables - MR'!$F$13</definedName>
    <definedName name="wld_az1_sso_domain_administrator">'Value Reference Tables'!$L$118</definedName>
    <definedName name="wld_az1_sso_domain_administrator_password">'Value Reference Tables'!$L$117</definedName>
    <definedName name="wld_az1_sso_domain_name">'Value Reference Tables'!$L$116</definedName>
    <definedName name="wld_az1_third_compute_rack_host_01_output">'Static Reference Tables'!$F$433</definedName>
    <definedName name="wld_az1_third_compute_rack_host_overlay_cidr_output">'Static Reference Tables'!$M$433</definedName>
    <definedName name="wld_az1_third_compute_rack_host_overlay_end_ip_output">'Static Reference Tables'!$K$433</definedName>
    <definedName name="wld_az1_third_compute_rack_host_overlay_gateway_output">'Static Reference Tables'!$N$433</definedName>
    <definedName name="wld_az1_third_compute_rack_host_overlay_start_ip_output">'Static Reference Tables'!$J$433</definedName>
    <definedName name="wld_az1_third_compute_rack_host_overlay_uplink_profile_name_output">'Static Reference Tables'!$I$433</definedName>
    <definedName name="wld_az1_third_compute_rack_host_overlay_vlan_output">'Static Reference Tables'!$L$433</definedName>
    <definedName name="wld_az1_third_compute_rack_overlay_network_pool_name_output">'Static Reference Tables'!$H$433</definedName>
    <definedName name="wld_az1_third_compute_rack_overlay_network_profile_name_output">'Static Reference Tables'!$G$433</definedName>
    <definedName name="wld_az1_tor1_peer_asn">'Value Reference Tables - MR'!$F$66</definedName>
    <definedName name="wld_az1_tor1_peer_bgp_password">'Value Reference Tables - MR'!$F$67</definedName>
    <definedName name="wld_az1_tor1_peer_ip">'Value Reference Tables - MR'!$F$65</definedName>
    <definedName name="wld_az1_tor2_peer_asn">'Value Reference Tables - MR'!$F$69</definedName>
    <definedName name="wld_az1_tor2_peer_bgp_password">'Value Reference Tables - MR'!$F$70</definedName>
    <definedName name="wld_az1_tor2_peer_ip">'Value Reference Tables - MR'!$F$68</definedName>
    <definedName name="wld_az1_uplink01_cidr">'Value Reference Tables - MR'!$F$28</definedName>
    <definedName name="wld_az1_uplink01_gateway_ip">'Value Reference Tables - MR'!$F$42</definedName>
    <definedName name="wld_az1_uplink01_mtu">'Value Reference Tables - MR'!$F$56</definedName>
    <definedName name="wld_az1_uplink01_vlan">'Value Reference Tables - MR'!$F$14</definedName>
    <definedName name="wld_az1_uplink02_cidr">'Value Reference Tables - MR'!$F$29</definedName>
    <definedName name="wld_az1_uplink02_gateway_ip">'Value Reference Tables - MR'!$F$43</definedName>
    <definedName name="wld_az1_uplink02_mtu">'Value Reference Tables - MR'!$F$57</definedName>
    <definedName name="wld_az1_uplink02_vlan">'Value Reference Tables - MR'!$F$15</definedName>
    <definedName name="wld_az1_vm_cidr">'Value Reference Tables'!$AA$37</definedName>
    <definedName name="wld_az1_vm_gateway_ip">'Value Reference Tables'!$AA$42</definedName>
    <definedName name="wld_az1_vm_mtu">'Value Reference Tables'!$AA$47</definedName>
    <definedName name="wld_az1_vm_network_cidr">'Value Reference Tables'!$AA$37</definedName>
    <definedName name="wld_az1_vm_network_gateway_ip">'Value Reference Tables'!$AA$42</definedName>
    <definedName name="wld_az1_vm_vlan">'Value Reference Tables'!$AA$29</definedName>
    <definedName name="wld_az1_vmotion_cidr">'Value Reference Tables - MR'!$F$24</definedName>
    <definedName name="wld_az1_vmotion_gateway_ip">'Value Reference Tables - MR'!$F$38</definedName>
    <definedName name="wld_az1_vmotion_mask">'Value Reference Tables - MR'!$F$111</definedName>
    <definedName name="wld_az1_vmotion_mtu">'Value Reference Tables - MR'!$F$52</definedName>
    <definedName name="wld_az1_vmotion_pool_end_ip">'Value Reference Tables - MR'!$F$84</definedName>
    <definedName name="wld_az1_vmotion_pool_start_ip">'Value Reference Tables - MR'!$F$83</definedName>
    <definedName name="wld_az1_vmotion_vlan">'Value Reference Tables - MR'!$F$10</definedName>
    <definedName name="wld_az1_vrms_cidr">'Value Reference Tables - MR'!$F$32</definedName>
    <definedName name="wld_az1_vrms_gateway_ip">'Value Reference Tables - MR'!$F$46</definedName>
    <definedName name="wld_az1_vrms_mtu">'Value Reference Tables - MR'!$F$60</definedName>
    <definedName name="wld_az1_vrms_vlan">'Value Reference Tables - MR'!$F$18</definedName>
    <definedName name="wld_az1_vsan_fault_domain">'Value Reference Tables - MR'!$F$105</definedName>
    <definedName name="wld_az2_edge_overlay_cidr">'Value Reference Tables - MR'!$F$257</definedName>
    <definedName name="wld_az2_edge_overlay_gateway_ip">'Value Reference Tables - MR'!$F$271</definedName>
    <definedName name="wld_az2_edge_overlay_mtu">'Value Reference Tables - MR'!$F$285</definedName>
    <definedName name="wld_az2_edge_overlay_vlan">'Value Reference Tables - MR'!$F$243</definedName>
    <definedName name="wld_az2_host_fqdns">'Value Reference Tables - MR'!$F$394:$F$409</definedName>
    <definedName name="wld_az2_host_hostnames">'Value Reference Tables - MR'!$F$375:$F$390</definedName>
    <definedName name="wld_az2_host_mgmt_ips">'Value Reference Tables - MR'!$F$340:$F$355</definedName>
    <definedName name="wld_az2_host_overlay_cidr">'Value Reference Tables - MR'!$F$253</definedName>
    <definedName name="wld_az2_host_overlay_gateway_ip">'Value Reference Tables - MR'!$F$267</definedName>
    <definedName name="wld_az2_host_overlay_mtu">'Value Reference Tables - MR'!$F$281</definedName>
    <definedName name="wld_az2_host_overlay_network_pool_name">'Value Reference Tables - MR'!$F$325</definedName>
    <definedName name="wld_az2_host_overlay_network_profile_name">'Value Reference Tables - MR'!$F$324</definedName>
    <definedName name="wld_az2_host_overlay_pool_end_ip">'Value Reference Tables - MR'!$F$315</definedName>
    <definedName name="wld_az2_host_overlay_pool_name">'Value Reference Tables'!$F$214</definedName>
    <definedName name="wld_az2_host_overlay_pool_start_ip">'Value Reference Tables - MR'!$F$314</definedName>
    <definedName name="wld_az2_host_overlay_uplink_profile_name">'Value Reference Tables - MR'!$F$326</definedName>
    <definedName name="wld_az2_host_overlay_vlan">'Value Reference Tables - MR'!$F$239</definedName>
    <definedName name="wld_az2_host_vrms_ips">'Value Reference Tables - MR'!$F$356:$F$371</definedName>
    <definedName name="wld_az2_host1_fqdn">'Value Reference Tables - MR'!$F$394</definedName>
    <definedName name="wld_az2_host1_hostname">'Value Reference Tables - MR'!$F$375</definedName>
    <definedName name="wld_az2_host1_mgmt_ip">'Value Reference Tables - MR'!$F$340</definedName>
    <definedName name="wld_az2_host1_sddc_id">'Value Reference Tables'!$F$210</definedName>
    <definedName name="wld_az2_host1_vrms_ip">'Value Reference Tables - MR'!$F$356</definedName>
    <definedName name="wld_az2_host10_fqdn">'Value Reference Tables - MR'!$F$403</definedName>
    <definedName name="wld_az2_host10_hostname">'Value Reference Tables - MR'!$F$384</definedName>
    <definedName name="wld_az2_host10_mgmt_ip">'Value Reference Tables - MR'!$F$349</definedName>
    <definedName name="wld_az2_host10_vrms_ip">'Value Reference Tables - MR'!$F$365</definedName>
    <definedName name="wld_az2_host11_fqdn">'Value Reference Tables - MR'!$F$404</definedName>
    <definedName name="wld_az2_host11_hostname">'Value Reference Tables - MR'!$F$385</definedName>
    <definedName name="wld_az2_host11_mgmt_ip">'Value Reference Tables - MR'!$F$350</definedName>
    <definedName name="wld_az2_host11_vrms_ip">'Value Reference Tables - MR'!$F$366</definedName>
    <definedName name="wld_az2_host12_fqdn">'Value Reference Tables - MR'!$F$405</definedName>
    <definedName name="wld_az2_host12_hostname">'Value Reference Tables - MR'!$F$386</definedName>
    <definedName name="wld_az2_host12_mgmt_ip">'Value Reference Tables - MR'!$F$351</definedName>
    <definedName name="wld_az2_host12_vrms_ip">'Value Reference Tables - MR'!$F$367</definedName>
    <definedName name="wld_az2_host13_fqdn">'Value Reference Tables - MR'!$F$406</definedName>
    <definedName name="wld_az2_host13_hostname">'Value Reference Tables - MR'!$F$387</definedName>
    <definedName name="wld_az2_host13_mgmt_ip">'Value Reference Tables - MR'!$F$352</definedName>
    <definedName name="wld_az2_host13_vrms_ip">'Value Reference Tables - MR'!$F$368</definedName>
    <definedName name="wld_az2_host14_fqdn">'Value Reference Tables - MR'!$F$407</definedName>
    <definedName name="wld_az2_host14_hostname">'Value Reference Tables - MR'!$F$388</definedName>
    <definedName name="wld_az2_host14_mgmt_ip">'Value Reference Tables - MR'!$F$353</definedName>
    <definedName name="wld_az2_host14_vrms_ip">'Value Reference Tables - MR'!$F$369</definedName>
    <definedName name="wld_az2_host15_fqdn">'Value Reference Tables - MR'!$F$408</definedName>
    <definedName name="wld_az2_host15_hostname">'Value Reference Tables - MR'!$F$389</definedName>
    <definedName name="wld_az2_host15_mgmt_ip">'Value Reference Tables - MR'!$F$354</definedName>
    <definedName name="wld_az2_host15_vrms_ip">'Value Reference Tables - MR'!$F$370</definedName>
    <definedName name="wld_az2_host16_fqdn">'Value Reference Tables - MR'!$F$409</definedName>
    <definedName name="wld_az2_host16_hostname">'Value Reference Tables - MR'!$F$390</definedName>
    <definedName name="wld_az2_host16_mgmt_ip">'Value Reference Tables - MR'!$F$355</definedName>
    <definedName name="wld_az2_host16_vrms_ip">'Value Reference Tables - MR'!$F$371</definedName>
    <definedName name="wld_az2_host2_fqdn">'Value Reference Tables - MR'!$F$395</definedName>
    <definedName name="wld_az2_host2_hostname">'Value Reference Tables - MR'!$F$376</definedName>
    <definedName name="wld_az2_host2_mgmt_ip">'Value Reference Tables - MR'!$F$341</definedName>
    <definedName name="wld_az2_host2_sddc_id">'Value Reference Tables'!$F$211</definedName>
    <definedName name="wld_az2_host2_vrms_ip">'Value Reference Tables - MR'!$F$357</definedName>
    <definedName name="wld_az2_host3_fqdn">'Value Reference Tables - MR'!$F$396</definedName>
    <definedName name="wld_az2_host3_hostname">'Value Reference Tables - MR'!$F$377</definedName>
    <definedName name="wld_az2_host3_mgmt_ip">'Value Reference Tables - MR'!$F$342</definedName>
    <definedName name="wld_az2_host3_sddc_id">'Value Reference Tables'!$F$212</definedName>
    <definedName name="wld_az2_host3_vrms_ip">'Value Reference Tables - MR'!$F$358</definedName>
    <definedName name="wld_az2_host4_fqdn">'Value Reference Tables - MR'!$F$397</definedName>
    <definedName name="wld_az2_host4_hostname">'Value Reference Tables - MR'!$F$378</definedName>
    <definedName name="wld_az2_host4_mgmt_ip">'Value Reference Tables - MR'!$F$343</definedName>
    <definedName name="wld_az2_host4_sddc_id">'Value Reference Tables'!$F$213</definedName>
    <definedName name="wld_az2_host4_vrms_ip">'Value Reference Tables - MR'!$F$359</definedName>
    <definedName name="wld_az2_host5_fqdn">'Value Reference Tables - MR'!$F$398</definedName>
    <definedName name="wld_az2_host5_hostname">'Value Reference Tables - MR'!$F$379</definedName>
    <definedName name="wld_az2_host5_mgmt_ip">'Value Reference Tables - MR'!$F$344</definedName>
    <definedName name="wld_az2_host5_vrms_ip">'Value Reference Tables - MR'!$F$360</definedName>
    <definedName name="wld_az2_host6_fqdn">'Value Reference Tables - MR'!$F$399</definedName>
    <definedName name="wld_az2_host6_hostname">'Value Reference Tables - MR'!$F$380</definedName>
    <definedName name="wld_az2_host6_mgmt_ip">'Value Reference Tables - MR'!$F$345</definedName>
    <definedName name="wld_az2_host6_vrms_ip">'Value Reference Tables - MR'!$F$361</definedName>
    <definedName name="wld_az2_host7_fqdn">'Value Reference Tables - MR'!$F$400</definedName>
    <definedName name="wld_az2_host7_hostname">'Value Reference Tables - MR'!$F$381</definedName>
    <definedName name="wld_az2_host7_mgmt_ip">'Value Reference Tables - MR'!$F$346</definedName>
    <definedName name="wld_az2_host7_vrms_ip">'Value Reference Tables - MR'!$F$362</definedName>
    <definedName name="wld_az2_host8_fqdn">'Value Reference Tables - MR'!$F$401</definedName>
    <definedName name="wld_az2_host8_hostname">'Value Reference Tables - MR'!$F$382</definedName>
    <definedName name="wld_az2_host8_mgmt_ip">'Value Reference Tables - MR'!$F$347</definedName>
    <definedName name="wld_az2_host8_vrms_ip">'Value Reference Tables - MR'!$F$363</definedName>
    <definedName name="wld_az2_host9_fqdn">'Value Reference Tables - MR'!$F$402</definedName>
    <definedName name="wld_az2_host9_hostname">'Value Reference Tables - MR'!$F$383</definedName>
    <definedName name="wld_az2_host9_mgmt_ip">'Value Reference Tables - MR'!$F$348</definedName>
    <definedName name="wld_az2_host9_vrms_ip">'Value Reference Tables - MR'!$F$364</definedName>
    <definedName name="wld_az2_mgmt_cidr">'Value Reference Tables - MR'!$F$250</definedName>
    <definedName name="wld_az2_mgmt_gateway_ip">'Value Reference Tables - MR'!$F$264</definedName>
    <definedName name="wld_az2_mgmt_mtu">'Value Reference Tables - MR'!$F$278</definedName>
    <definedName name="wld_az2_mgmt_vlan">'Value Reference Tables - MR'!$F$236</definedName>
    <definedName name="wld_az2_pool_name">'Value Reference Tables - MR'!$F$323</definedName>
    <definedName name="wld_az2_principal_storage_cidr">'Value Reference Tables - MR'!$F$252</definedName>
    <definedName name="wld_az2_principal_storage_gateway_ip">'Value Reference Tables - MR'!$F$266</definedName>
    <definedName name="wld_az2_principal_storage_mtu">'Value Reference Tables - MR'!$F$280</definedName>
    <definedName name="wld_az2_principal_storage_pool_end_ip">'Value Reference Tables - MR'!$F$313</definedName>
    <definedName name="wld_az2_principal_storage_pool_start_ip">'Value Reference Tables - MR'!$F$312</definedName>
    <definedName name="wld_az2_principal_storage_vlan">'Value Reference Tables - MR'!$F$238</definedName>
    <definedName name="wld_az2_rtep_overlay_cidr">'Value Reference Tables - MR'!$F$258</definedName>
    <definedName name="wld_az2_rtep_overlay_gateway_ip">'Value Reference Tables - MR'!$F$272</definedName>
    <definedName name="wld_az2_rtep_overlay_mtu">'Value Reference Tables - MR'!$F$286</definedName>
    <definedName name="wld_az2_rtep_overlay_vlan">'Value Reference Tables - MR'!$F$244</definedName>
    <definedName name="wld_az2_secondary_storage_cidr">'Value Reference Tables'!$AB$38</definedName>
    <definedName name="wld_az2_secondary_storage_gateway_ip">'Value Reference Tables'!$AB$43</definedName>
    <definedName name="wld_az2_secondary_storage_mtu">'Value Reference Tables - MR'!$F$282</definedName>
    <definedName name="wld_az2_secondary_storage_pool_end_ip">'Value Reference Tables - MR'!$F$317</definedName>
    <definedName name="wld_az2_secondary_storage_pool_start_ip">'Value Reference Tables - MR'!$F$316</definedName>
    <definedName name="wld_az2_secondary_storage_vlan">'Value Reference Tables - MR'!$F$240</definedName>
    <definedName name="wld_az2_tor1_peer_asn">'Value Reference Tables - MR'!$F$293</definedName>
    <definedName name="wld_az2_tor1_peer_bgp_password">'Value Reference Tables - MR'!$F$294</definedName>
    <definedName name="wld_az2_tor1_peer_ip">'Value Reference Tables - MR'!$F$292</definedName>
    <definedName name="wld_az2_tor2_peer_asn">'Value Reference Tables - MR'!$F$296</definedName>
    <definedName name="wld_az2_tor2_peer_bgp_password">'Value Reference Tables - MR'!$F$297</definedName>
    <definedName name="wld_az2_tor2_peer_ip">'Value Reference Tables - MR'!$F$295</definedName>
    <definedName name="wld_az2_uplink01_cidr">'Value Reference Tables - MR'!$F$255</definedName>
    <definedName name="wld_az2_uplink01_gateway_ip">'Value Reference Tables - MR'!$F$269</definedName>
    <definedName name="wld_az2_uplink01_mtu">'Value Reference Tables - MR'!$F$283</definedName>
    <definedName name="wld_az2_uplink01_vlan">'Value Reference Tables - MR'!$F$241</definedName>
    <definedName name="wld_az2_uplink02_cidr">'Value Reference Tables - MR'!$F$256</definedName>
    <definedName name="wld_az2_uplink02_gateway_ip">'Value Reference Tables - MR'!$F$270</definedName>
    <definedName name="wld_az2_uplink02_mtu">'Value Reference Tables - MR'!$F$284</definedName>
    <definedName name="wld_az2_uplink02_vlan">'Value Reference Tables - MR'!$F$242</definedName>
    <definedName name="wld_az2_vm_cidr">'Value Reference Tables'!$AB$37</definedName>
    <definedName name="wld_az2_vm_gateway_ip">'Value Reference Tables'!$AB$42</definedName>
    <definedName name="wld_az2_vm_mtu">'Value Reference Tables'!$AB$47</definedName>
    <definedName name="wld_az2_vm_vlan">'Value Reference Tables'!$AB$29</definedName>
    <definedName name="wld_az2_vmotion_cidr">'Value Reference Tables - MR'!$F$251</definedName>
    <definedName name="wld_az2_vmotion_gateway_ip">'Value Reference Tables - MR'!$F$265</definedName>
    <definedName name="wld_az2_vmotion_mtu">'Value Reference Tables - MR'!$F$279</definedName>
    <definedName name="wld_az2_vmotion_pool_end_ip">'Value Reference Tables - MR'!$F$311</definedName>
    <definedName name="wld_az2_vmotion_pool_start_ip">'Value Reference Tables - MR'!$F$310</definedName>
    <definedName name="wld_az2_vmotion_vlan">'Value Reference Tables - MR'!$F$237</definedName>
    <definedName name="wld_az2_vrms_cidr">'Value Reference Tables - MR'!$F$259</definedName>
    <definedName name="wld_az2_vrms_gateway_ip">'Value Reference Tables - MR'!$F$273</definedName>
    <definedName name="wld_az2_vrms_mtu">'Value Reference Tables - MR'!$F$287</definedName>
    <definedName name="wld_az2_vrms_vlan">'Value Reference Tables - MR'!$F$245</definedName>
    <definedName name="wld_bgp_chosen">'Deployment Options'!$H$59</definedName>
    <definedName name="wld_bgp_result">'Deployment Options'!$J$59</definedName>
    <definedName name="wld_cl01_az1_mgmt_pg">'Value Reference Tables - MR'!$F$75</definedName>
    <definedName name="wld_cl01_az1_mgmt_vm_pg">'Value Reference Tables - MR'!$F$74</definedName>
    <definedName name="wld_cl01_az1_principal_storage_pg">'Value Reference Tables - MR'!$F$77</definedName>
    <definedName name="wld_cl01_az1_uplink01_pg">'Value Reference Tables - MR'!$F$78</definedName>
    <definedName name="wld_cl01_az1_uplink02_pg">'Value Reference Tables - MR'!$F$79</definedName>
    <definedName name="wld_cl01_az1_vm_pg">'Value Reference Tables'!$AA$33</definedName>
    <definedName name="wld_cl01_az1_vmotion_pg">'Value Reference Tables - MR'!$F$76</definedName>
    <definedName name="wld_cl01_az2_mgmt_pg">'Value Reference Tables - MR'!$F$302</definedName>
    <definedName name="wld_cl01_az2_principal_storage_pg">'Value Reference Tables - MR'!$F$304</definedName>
    <definedName name="wld_cl01_az2_vm_pg">'Value Reference Tables'!$AB$33</definedName>
    <definedName name="wld_cl01_az2_vmotion_pg">'Value Reference Tables - MR'!$F$303</definedName>
    <definedName name="wld_cl01_cluster">'Value Reference Tables'!$F$74</definedName>
    <definedName name="wld_cl01_cluster_sddc_id">'Value Reference Tables'!$L$84</definedName>
    <definedName name="wld_cl01_evc_mode">'Value Reference Tables'!$F$75</definedName>
    <definedName name="wld_cl01_nfs_datastore_name">'Value Reference Tables'!$F$119</definedName>
    <definedName name="wld_cl01_nfs_server_address">'Value Reference Tables'!$F$121</definedName>
    <definedName name="wld_cl01_nfs_share_path">'Value Reference Tables'!$F$120</definedName>
    <definedName name="wld_cl01_vds_name">'Value Reference Tables'!$L$86</definedName>
    <definedName name="wld_cl01_vds_profile">'Value Reference Tables'!$F$87</definedName>
    <definedName name="wld_cl01_vds01_mtu">'Value Reference Tables'!$F$91</definedName>
    <definedName name="wld_cl01_vds01_name">'Value Reference Tables'!$F$89</definedName>
    <definedName name="wld_cl01_vds01_pnics">'Value Reference Tables'!$F$90</definedName>
    <definedName name="wld_cl01_vds01_traffic_type">'Value Reference Tables'!$F$93</definedName>
    <definedName name="wld_cl01_vds02_mtu">'Value Reference Tables'!$F$97</definedName>
    <definedName name="wld_cl01_vds02_name">'Value Reference Tables'!$F$95</definedName>
    <definedName name="wld_cl01_vds02_pnics">'Value Reference Tables'!$F$96</definedName>
    <definedName name="wld_cl01_vds02_traffic_type">'Value Reference Tables'!$F$99</definedName>
    <definedName name="wld_cl01_vds03_mtu">'Value Reference Tables'!$F$102</definedName>
    <definedName name="wld_cl01_vds03_name">'Value Reference Tables'!$F$101</definedName>
    <definedName name="wld_cl01_vds03_pnics">'Value Reference Tables'!$F$103</definedName>
    <definedName name="wld_cl01_vds03_traffic_type">'Value Reference Tables'!$F$105</definedName>
    <definedName name="wld_cl01_vmfs_datastore_name">'Value Reference Tables'!$F$112</definedName>
    <definedName name="wld_cl01_vsan_datastore">'Value Reference Tables'!$F$109</definedName>
    <definedName name="wld_cl01_vsan_dedupe_compression">'Value Reference Tables'!$F$111</definedName>
    <definedName name="wld_cl01_vsan_ftt">'Value Reference Tables'!$F$110</definedName>
    <definedName name="wld_cl01_vvols_datastore_name">'Value Reference Tables'!$F$113</definedName>
    <definedName name="wld_cl02_az1_mgmt_pg">'Value Reference Tables'!$F$188</definedName>
    <definedName name="wld_cl02_az1_mgmt_vm_pg">'Value Reference Tables'!$F$187</definedName>
    <definedName name="wld_cl02_az1_principal_storage_pg">'Value Reference Tables'!$F$190</definedName>
    <definedName name="wld_cl02_az1_uplink01_pg">'Value Reference Tables'!$F$191</definedName>
    <definedName name="wld_cl02_az1_uplink02_pg">'Value Reference Tables'!$F$192</definedName>
    <definedName name="wld_cl02_az1_vmotion_pg">'Value Reference Tables'!$F$189</definedName>
    <definedName name="wld_cl02_cluster">'Value Reference Tables'!$F$78</definedName>
    <definedName name="wld_cl02_evc_mode">'Value Reference Tables'!$F$79</definedName>
    <definedName name="wld_cl02_nfs_datastore_name">'Value Reference Tables'!$F$150</definedName>
    <definedName name="wld_cl02_nfs_server_address">'Value Reference Tables'!$F$151</definedName>
    <definedName name="wld_cl02_nfs_share_path">'Value Reference Tables'!$F$152</definedName>
    <definedName name="wld_cl02_vds_profile">'Value Reference Tables'!$F$125</definedName>
    <definedName name="wld_cl02_vds01_mtu">'Value Reference Tables'!$F$129</definedName>
    <definedName name="wld_cl02_vds01_name">'Value Reference Tables'!$F$127</definedName>
    <definedName name="wld_cl02_vds01_pnics">'Value Reference Tables'!$F$128</definedName>
    <definedName name="wld_cl02_vds01_traffic_type">'Value Reference Tables'!$F$131</definedName>
    <definedName name="wld_cl02_vds02_mtu">'Value Reference Tables'!$F$135</definedName>
    <definedName name="wld_cl02_vds02_name">'Value Reference Tables'!$F$133</definedName>
    <definedName name="wld_cl02_vds02_pnics">'Value Reference Tables'!$F$134</definedName>
    <definedName name="wld_cl02_vds02_traffic_type">'Value Reference Tables'!$F$137</definedName>
    <definedName name="wld_cl02_vds03_mtu">'Value Reference Tables'!$F$141</definedName>
    <definedName name="wld_cl02_vds03_name">'Value Reference Tables'!$F$139</definedName>
    <definedName name="wld_cl02_vds03_pnics">'Value Reference Tables'!$F$140</definedName>
    <definedName name="wld_cl02_vds03_traffic_type">'Value Reference Tables'!$F$143</definedName>
    <definedName name="wld_cl02_vsan_datastore">'Value Reference Tables'!$F$147</definedName>
    <definedName name="wld_cl02_vsan_dedupe_compression">'Value Reference Tables'!$F$149</definedName>
    <definedName name="wld_cl02_vsan_ftt">'Value Reference Tables'!$F$148</definedName>
    <definedName name="wld_cl03_az1_mgmt_pg">'Value Reference Tables'!$F$197</definedName>
    <definedName name="wld_cl03_az1_mgmt_vm_pg">'Value Reference Tables'!$F$196</definedName>
    <definedName name="wld_cl03_az1_principal_storage_pg">'Value Reference Tables'!$F$199</definedName>
    <definedName name="wld_cl03_az1_uplink01_pg">'Value Reference Tables'!$F$200</definedName>
    <definedName name="wld_cl03_az1_uplink02_pg">'Value Reference Tables'!$F$201</definedName>
    <definedName name="wld_cl03_az1_vmotion_pg">'Value Reference Tables'!$F$198</definedName>
    <definedName name="wld_cl03_cluster">'Value Reference Tables'!$F$82</definedName>
    <definedName name="wld_cl03_evc_mode">'Value Reference Tables'!$F$83</definedName>
    <definedName name="wld_cl03_nfs_datastore_name">'Value Reference Tables'!$F$181</definedName>
    <definedName name="wld_cl03_nfs_server_address">'Value Reference Tables'!$F$182</definedName>
    <definedName name="wld_cl03_nfs_share_path">'Value Reference Tables'!$F$183</definedName>
    <definedName name="wld_cl03_vds_profile">'Value Reference Tables'!$F$156</definedName>
    <definedName name="wld_cl03_vds01_mtu">'Value Reference Tables'!$F$160</definedName>
    <definedName name="wld_cl03_vds01_name">'Value Reference Tables'!$F$158</definedName>
    <definedName name="wld_cl03_vds01_pnics">'Value Reference Tables'!$F$159</definedName>
    <definedName name="wld_cl03_vds01_traffic_type">'Value Reference Tables'!$F$162</definedName>
    <definedName name="wld_cl03_vds02_mtu">'Value Reference Tables'!$F$166</definedName>
    <definedName name="wld_cl03_vds02_name">'Value Reference Tables'!$F$164</definedName>
    <definedName name="wld_cl03_vds02_pnics">'Value Reference Tables'!$F$165</definedName>
    <definedName name="wld_cl03_vds02_traffic_type">'Value Reference Tables'!$F$168</definedName>
    <definedName name="wld_cl03_vds03_mtu">'Value Reference Tables'!$F$172</definedName>
    <definedName name="wld_cl03_vds03_name">'Value Reference Tables'!$F$170</definedName>
    <definedName name="wld_cl03_vds03_pnics">'Value Reference Tables'!$F$171</definedName>
    <definedName name="wld_cl03_vds03_traffic_type">'Value Reference Tables'!$F$174</definedName>
    <definedName name="wld_cl03_vsan_datastore">'Value Reference Tables'!$F$178</definedName>
    <definedName name="wld_cl03_vsan_dedupe_compression">'Value Reference Tables'!$F$180</definedName>
    <definedName name="wld_cl03_vsan_ftt">'Value Reference Tables'!$F$179</definedName>
    <definedName name="wld_cloud_account_name">'Value Reference Tables'!$R$90</definedName>
    <definedName name="wld_cluster_compute_edge">'Static Reference Tables'!$B$360:$B$361</definedName>
    <definedName name="wld_cluster_compute_only">'Static Reference Tables'!$B$360</definedName>
    <definedName name="wld_cluster_edge">'Static Reference Tables'!$B$361</definedName>
    <definedName name="wld_compute_hosts_per_rack">'Value Reference Tables'!$F$8</definedName>
    <definedName name="wld_compute_hosts_per_rack_chosen">'Deployment Options'!$H$50</definedName>
    <definedName name="wld_compute_hosts_per_rack_result">'Deployment Options'!$J$50</definedName>
    <definedName name="wld_compute_hosts_per_rack1_calculated">'Static Reference Tables'!$C$364</definedName>
    <definedName name="wld_compute_hosts_per_rack2_calculated">'Static Reference Tables'!$C$367</definedName>
    <definedName name="wld_compute_hosts_per_rack3_calculated">'Static Reference Tables'!$C$370</definedName>
    <definedName name="wld_compute_hosts_per_rack4_calculated">'Static Reference Tables'!$C$373</definedName>
    <definedName name="wld_compute_hosts_per_rack5_calculated">'Static Reference Tables'!$C$376</definedName>
    <definedName name="wld_compute_hosts_per_rack6_calculated">'Static Reference Tables'!$C$379</definedName>
    <definedName name="wld_compute_hosts_per_rack7_calculated">'Static Reference Tables'!$C$382</definedName>
    <definedName name="wld_compute_hosts_per_rack8_calculated">'Static Reference Tables'!$C$385</definedName>
    <definedName name="wld_compute_total_number_hosts">'Value Reference Tables'!$F$9</definedName>
    <definedName name="wld_datacenter">'Value Reference Tables'!$L$108</definedName>
    <definedName name="wld_datacenter_moref">'Value Reference Tables'!$R$80</definedName>
    <definedName name="wld_dedicated_edge_cluster_chosen">'Deployment Options'!$H$48</definedName>
    <definedName name="wld_dedicated_edge_cluster_chosen_exclude">'Static Reference Tables'!$B$389</definedName>
    <definedName name="wld_dedicated_edge_cluster_chosen_first">'Deployment Options'!$H$51</definedName>
    <definedName name="wld_dedicated_edge_cluster_chosen_first_count">'Static Reference Tables'!$B$409</definedName>
    <definedName name="wld_dedicated_edge_cluster_chosen_first_result">'Deployment Options'!$J$51</definedName>
    <definedName name="wld_dedicated_edge_cluster_chosen_include">'Static Reference Tables'!$B$388:$B$389</definedName>
    <definedName name="wld_dedicated_edge_cluster_chosen_second">'Deployment Options'!$H$52</definedName>
    <definedName name="wld_dedicated_edge_cluster_chosen_second_count">'Static Reference Tables'!$B$427</definedName>
    <definedName name="wld_dedicated_edge_cluster_chosen_second_result">'Deployment Options'!$J$52</definedName>
    <definedName name="wld_dedicated_edge_cluster_model_chosen">'Deployment Options'!$H$53</definedName>
    <definedName name="wld_dedicated_edge_cluster_model_result">'Deployment Options'!$J$53</definedName>
    <definedName name="wld_dedicated_edge_cluster_result">'Deployment Options'!$J$48</definedName>
    <definedName name="wld_domain_chosen">'Deployment Options'!$H$38</definedName>
    <definedName name="wld_domain_number_chosen">'Value Reference Tables'!$F$7</definedName>
    <definedName name="wld_domain_result">'Deployment Options'!$J$38</definedName>
    <definedName name="wld_dpg_separation_chosen">'Deployment Options'!$H$42</definedName>
    <definedName name="wld_dpg_separation_result">'Deployment Options'!$J$42</definedName>
    <definedName name="wld_ec_formfactor">'Value Reference Tables'!$L$90</definedName>
    <definedName name="wld_ec_name">'Value Reference Tables'!$L$88</definedName>
    <definedName name="wld_ec_profile_name">'Value Reference Tables'!$L$87</definedName>
    <definedName name="wld_ec_profile_type">'Value Reference Tables'!$L$89</definedName>
    <definedName name="wld_en_asn">'Value Reference Tables - MR'!$F$64</definedName>
    <definedName name="wld_esxi_external_certs_chosen">'Deployment Options'!$H$43</definedName>
    <definedName name="wld_esxi_external_certs_result">'Deployment Options'!$J$43</definedName>
    <definedName name="wld_existing_active_nsx_gm">'Value Reference Tables'!$L$105</definedName>
    <definedName name="wld_existing_cross_instance_t0_name">'Value Reference Tables'!$L$106</definedName>
    <definedName name="wld_host_dns_zone_chosen">'Deployment Options'!$H$54</definedName>
    <definedName name="wld_host_dns_zone_result">'Deployment Options'!$J$54</definedName>
    <definedName name="wld_host_overlay_addressing_chosen">'Deployment Options'!$H$39</definedName>
    <definedName name="wld_host_overlay_addressing_result">'Deployment Options'!$J$39</definedName>
    <definedName name="wld_host_overlay_vlan">'Value Reference Tables - MR'!$F$12</definedName>
    <definedName name="wld_multi_rack_count_chosen">'Deployment Options'!$H$49</definedName>
    <definedName name="wld_multi_rack_count_result">'Deployment Options'!$J$49</definedName>
    <definedName name="wld_multirack_chosen">'Deployment Options'!$H$47</definedName>
    <definedName name="wld_multirack_default_networking_json">'Static Reference Tables'!$B$561:$C$978</definedName>
    <definedName name="wld_multirack_edge_deployment_model_2_node_json">'Static Reference Tables'!$P$562:$Q$691</definedName>
    <definedName name="wld_multirack_edge_deployment_model_4_node_json">'Static Reference Tables'!$U$562:$V$765</definedName>
    <definedName name="wld_multirack_nsx_separation_networking_json">'Static Reference Tables'!$L$562:$M$1024</definedName>
    <definedName name="wld_multirack_result">'Deployment Options'!$J$47</definedName>
    <definedName name="wld_multirack_storage_nsx_separation_networking_json">'Static Reference Tables'!$E$562:$F$1070</definedName>
    <definedName name="wld_multirack_storage_separation_networking_json">'Static Reference Tables'!$H$562:$I$1026</definedName>
    <definedName name="wld_nsxt_federation_chosen">'Deployment Options'!$H$60</definedName>
    <definedName name="wld_nsxt_federation_global_manager_name">'Value Reference Tables'!$L$100</definedName>
    <definedName name="wld_nsxt_federation_location_name">'Value Reference Tables'!$L$101</definedName>
    <definedName name="wld_nsxt_federation_result">'Deployment Options'!$J$60</definedName>
    <definedName name="wld_nsxt_global_mgr_anti_affinity_rule_name">'Value Reference Tables'!$L$97</definedName>
    <definedName name="wld_nsxt_global_mgr_certificate_id">'Value Reference Tables'!$L$98</definedName>
    <definedName name="wld_nsxt_global_mgr_cluster_id">'Value Reference Tables'!$L$96</definedName>
    <definedName name="wld_nsxt_global_mgr_vmca_signed_thumbprint">'Value Reference Tables'!$L$95</definedName>
    <definedName name="wld_nsxt_global_mgra_fqdn">'Value Reference Tables'!$F$54</definedName>
    <definedName name="wld_nsxt_global_mgra_hostname">'Value Reference Tables'!$F$35</definedName>
    <definedName name="wld_nsxt_global_mgra_ip">'Value Reference Tables'!$F$19</definedName>
    <definedName name="wld_nsxt_global_mgrb_fqdn">'Value Reference Tables'!$F$55</definedName>
    <definedName name="wld_nsxt_global_mgrb_hostname">'Value Reference Tables'!$F$36</definedName>
    <definedName name="wld_nsxt_global_mgrb_ip">'Value Reference Tables'!$F$20</definedName>
    <definedName name="wld_nsxt_global_mgrc_fqdn">'Value Reference Tables'!$F$56</definedName>
    <definedName name="wld_nsxt_global_mgrc_hostname">'Value Reference Tables'!$F$37</definedName>
    <definedName name="wld_nsxt_global_mgrc_ip">'Value Reference Tables'!$F$21</definedName>
    <definedName name="wld_nsxt_gm_fingerprint">'Value Reference Tables'!$L$103</definedName>
    <definedName name="wld_nsxt_gm_hostname">'Value Reference Tables'!$F$34</definedName>
    <definedName name="wld_nsxt_gm_ip">'Value Reference Tables'!$F$18</definedName>
    <definedName name="wld_nsxt_gm_vip_fqdn">'Value Reference Tables'!$F$53</definedName>
    <definedName name="wld_nsxt_hostname">'Value Reference Tables'!$F$30</definedName>
    <definedName name="wld_nsxt_ip">'Value Reference Tables'!$F$14</definedName>
    <definedName name="wld_nsxt_lm_fingerprint">'Value Reference Tables'!$L$102</definedName>
    <definedName name="wld_nsxt_mgra_fqdn">'Value Reference Tables'!$F$50</definedName>
    <definedName name="wld_nsxt_mgra_hostname">'Value Reference Tables'!$F$31</definedName>
    <definedName name="wld_nsxt_mgra_ip">'Value Reference Tables'!$F$15</definedName>
    <definedName name="wld_nsxt_mgrb_fqdn">'Value Reference Tables'!$F$51</definedName>
    <definedName name="wld_nsxt_mgrb_hostname">'Value Reference Tables'!$F$32</definedName>
    <definedName name="wld_nsxt_mgrb_ip">'Value Reference Tables'!$F$16</definedName>
    <definedName name="wld_nsxt_mgrc_fqdn">'Value Reference Tables'!$F$52</definedName>
    <definedName name="wld_nsxt_mgrc_hostname">'Value Reference Tables'!$F$33</definedName>
    <definedName name="wld_nsxt_mgrc_ip">'Value Reference Tables'!$F$17</definedName>
    <definedName name="wld_nsxt_vip_fqdn">'Value Reference Tables'!$F$49</definedName>
    <definedName name="wld_nsxt_xreg_t1_name">'Value Reference Tables'!$L$104</definedName>
    <definedName name="wld_principal_storage_chosen">'Deployment Options'!$H$40</definedName>
    <definedName name="wld_principal_storage_result">'Deployment Options'!$J$40</definedName>
    <definedName name="wld_rack_count_with_dedicated_edges">'Static Reference Tables'!$D$351:$D$354</definedName>
    <definedName name="wld_rack_count_without_dedicated_edges">'Static Reference Tables'!$E$349:$E$354</definedName>
    <definedName name="wld_rack2_en_asn">'Value Reference Tables - MR'!$I$64</definedName>
    <definedName name="wld_rack3_en_asn">'Value Reference Tables - MR'!$L$64</definedName>
    <definedName name="wld_rack4_en_asn">'Value Reference Tables - MR'!$O$64</definedName>
    <definedName name="wld_rack5_en_asn">'Value Reference Tables - MR'!$R$64</definedName>
    <definedName name="wld_rack6_en_asn">'Value Reference Tables - MR'!$U$64</definedName>
    <definedName name="wld_rack7_en_asn">'Value Reference Tables - MR'!$X$64</definedName>
    <definedName name="wld_rack8_en_asn">'Value Reference Tables - MR'!$AA$64</definedName>
    <definedName name="wld_rtep_ip_pool_name">'Value Reference Tables'!$L$99</definedName>
    <definedName name="wld_rtep_overlay_pool_end_ip">'Value Reference Tables - MR'!$F$94</definedName>
    <definedName name="wld_rtep_overlay_pool_start_ip">'Value Reference Tables - MR'!$F$93</definedName>
    <definedName name="wld_sddc_domain">'Value Reference Tables'!$L$78</definedName>
    <definedName name="wld_sddc_org">'Value Reference Tables'!$L$79</definedName>
    <definedName name="wld_secondary_storage_chosen">'Deployment Options'!$H$44</definedName>
    <definedName name="wld_secondary_storage_result">'Deployment Options'!$J$44</definedName>
    <definedName name="wld_signed_certs_chosen">'Deployment Options'!$H$58</definedName>
    <definedName name="wld_signed_certs_result">'Deployment Options'!$J$58</definedName>
    <definedName name="wld_srm_admin_email">'Value Reference Tables'!$R$234</definedName>
    <definedName name="wld_srm_admin_password">'Value Reference Tables'!$R$231</definedName>
    <definedName name="wld_srm_database_password">'Value Reference Tables'!$R$232</definedName>
    <definedName name="wld_srm_fqdn">'Value Reference Tables'!$O$156</definedName>
    <definedName name="wld_srm_hostname">'Value Reference Tables'!$O$146</definedName>
    <definedName name="wld_srm_ip">'Value Reference Tables'!$O$136</definedName>
    <definedName name="wld_srm_p12_password">'Value Reference Tables'!$R$235</definedName>
    <definedName name="wld_srm_recovery_vcenter_fqdn">'Value Reference Tables'!$R$236</definedName>
    <definedName name="wld_srm_recovery_vcenter_password">'Value Reference Tables'!$R$238</definedName>
    <definedName name="wld_srm_recovery_vcenter_username">'Value Reference Tables'!$R$237</definedName>
    <definedName name="wld_srm_root_password">'Value Reference Tables'!$R$230</definedName>
    <definedName name="wld_srm_site_name">'Value Reference Tables'!$R$233</definedName>
    <definedName name="wld_srm_sso_domain_membership">'Value Reference Tables'!$R$240</definedName>
    <definedName name="wld_srm_vm_folder">'Value Reference Tables'!$R$229</definedName>
    <definedName name="wld_stretched_cluster_chosen">'Deployment Options'!$H$61</definedName>
    <definedName name="wld_stretched_cluster_result">'Deployment Options'!$J$61</definedName>
    <definedName name="wld_tier0_name">'Value Reference Tables'!$L$91</definedName>
    <definedName name="wld_tier1_name">'Value Reference Tables'!$L$92</definedName>
    <definedName name="wld_user_vm_rp">'Value Reference Tables'!$L$111</definedName>
    <definedName name="wld_vc_fqdn">'Value Reference Tables'!$F$48</definedName>
    <definedName name="wld_vc_hostname">'Value Reference Tables'!$F$29</definedName>
    <definedName name="wld_vc_ip">'Value Reference Tables'!$F$13</definedName>
    <definedName name="wld_vlcm_model_chosen">'Deployment Options'!$H$41</definedName>
    <definedName name="wld_vlcm_model_result">'Deployment Options'!$J$41</definedName>
    <definedName name="wld_vra_storage_folder">'Value Reference Tables'!$R$75</definedName>
    <definedName name="wld_vra_storage_readonly_folder">'Value Reference Tables'!$R$76</definedName>
    <definedName name="wld_vra_vm_folder">'Value Reference Tables'!$R$73</definedName>
    <definedName name="wld_vra_vm_rp">'Value Reference Tables'!$R$74</definedName>
    <definedName name="wld_vrms_admin_email">'Value Reference Tables'!$R$226</definedName>
    <definedName name="wld_vrms_admin_password">'Value Reference Tables'!$R$224</definedName>
    <definedName name="wld_vrms_fqdn">'Value Reference Tables'!$O$155</definedName>
    <definedName name="wld_vrms_hostname">'Value Reference Tables'!$O$145</definedName>
    <definedName name="wld_vrms_mask">'Value Reference Tables'!$X$54</definedName>
    <definedName name="wld_vrms_mgmt_ip">'Value Reference Tables'!$O$134</definedName>
    <definedName name="wld_vrms_p12_password">'Value Reference Tables'!$R$228</definedName>
    <definedName name="wld_vrms_pg">'Value Reference Tables'!$R$227</definedName>
    <definedName name="wld_vrms_recovery_replication_cidr">'Value Reference Tables'!$R$239</definedName>
    <definedName name="wld_vrms_root_password">'Value Reference Tables'!$R$223</definedName>
    <definedName name="wld_vrms_site_name">'Value Reference Tables'!$R$225</definedName>
    <definedName name="wld_vrms_vm_folder">'Value Reference Tables'!$R$222</definedName>
    <definedName name="wld_vrms_vrms_ip">'Value Reference Tables'!$O$135</definedName>
    <definedName name="wld_vvols_vasa_provider_container_name">'Value Reference Tables'!$F$118</definedName>
    <definedName name="wld_vvols_vasa_provider_name">'Value Reference Tables'!$F$114</definedName>
    <definedName name="wld_vvols_vasa_provider_password">'Value Reference Tables'!$F$117</definedName>
    <definedName name="wld_vvols_vasa_provider_url">'Value Reference Tables'!$F$115</definedName>
    <definedName name="wld_vvols_vasa_provider_username">'Value Reference Tables'!$F$116</definedName>
    <definedName name="wld_witness_az_mgmt_mask">'Value Reference Tables'!$X$47</definedName>
    <definedName name="wld_witness_cluster">'Value Reference Tables'!$F$221</definedName>
    <definedName name="wld_witness_fqdn">'Value Reference Tables'!$F$70</definedName>
    <definedName name="wld_witness_hostname">'Value Reference Tables'!$F$206</definedName>
    <definedName name="wld_witness_mgmt_ip">'Value Reference Tables'!$F$227</definedName>
    <definedName name="wld_witness_mgmt_pg">'Value Reference Tables'!$U$64</definedName>
    <definedName name="wld_witness_root_password">'Value Reference Tables'!$I$55</definedName>
    <definedName name="wld_witness_sddc_domain">'Value Reference Tables'!$F$219</definedName>
    <definedName name="wld_witness_vc_fqdn">'Value Reference Tables'!$F$69</definedName>
    <definedName name="wld_witness_vcenter_hostname">'Value Reference Tables'!$F$205</definedName>
    <definedName name="wld_witness_vm_folder">'Value Reference Tables'!$F$222</definedName>
    <definedName name="wld_witness_vsan_datastore">'Value Reference Tables'!$F$220</definedName>
    <definedName name="wld_witness_zone_vc_ip">'Value Reference Tables'!$F$226</definedName>
    <definedName name="wld_witnessaz_cidr">'Value Reference Tables'!$U$68</definedName>
    <definedName name="wld_witnessaz_gateway_ip">'Value Reference Tables'!$U$72</definedName>
    <definedName name="wld_witnessaz_mgmt_mtu">'Value Reference Tables'!$U$76</definedName>
    <definedName name="wld_witnessaz_mgmt_vlan">'Value Reference Tables'!$U$60</definedName>
    <definedName name="workload_descriptor">'Value Reference Tables'!$X$60</definedName>
    <definedName name="xreg_configadmin_email">'Value Reference Tables'!$X$29</definedName>
    <definedName name="xreg_customer_connect_email">'Value Reference Tables'!$X$35</definedName>
    <definedName name="xreg_customer_connect_password">'Value Reference Tables'!$X$36</definedName>
    <definedName name="xreg_existing_vrslcm_fqdn">'Value Reference Tables'!$X$33</definedName>
    <definedName name="xreg_seg01_cidr">'Value Reference Tables'!$U$14</definedName>
    <definedName name="xreg_seg01_gateway_ip">'Value Reference Tables'!$U$19</definedName>
    <definedName name="xreg_seg01_mask">'Value Reference Tables'!$X$45</definedName>
    <definedName name="xreg_seg01_mtu">'Value Reference Tables'!$U$24</definedName>
    <definedName name="xreg_seg01_name">'Value Reference Tables'!$U$9</definedName>
    <definedName name="xreg_seg01_vlan">'Value Reference Tables'!$AA$10</definedName>
    <definedName name="xreg_vra_anti_affinity_rule">'Value Reference Tables'!$R$87</definedName>
    <definedName name="xreg_vra_appliance_size">'Value Reference Tables'!$R$70</definedName>
    <definedName name="xreg_vra_cloud_account_cloud_capability_tag">'Value Reference Tables'!$R$81</definedName>
    <definedName name="xreg_vra_cloud_account_region_capability_tag">'Value Reference Tables'!$R$82</definedName>
    <definedName name="xreg_vra_k8s_cluster_cidr">'Value Reference Tables'!$R$71</definedName>
    <definedName name="xreg_vra_k8s_service_cidr">'Value Reference Tables'!$R$72</definedName>
    <definedName name="xreg_vra_nodea_fqdn">'Value Reference Tables'!$O$73</definedName>
    <definedName name="xreg_vra_nodea_hostname">'Value Reference Tables'!$O$66</definedName>
    <definedName name="xreg_vra_nodea_ip">'Value Reference Tables'!$O$59</definedName>
    <definedName name="xreg_vra_nodeb_fqdn">'Value Reference Tables'!$O$74</definedName>
    <definedName name="xreg_vra_nodeb_hostname">'Value Reference Tables'!$O$67</definedName>
    <definedName name="xreg_vra_nodeb_ip">'Value Reference Tables'!$O$60</definedName>
    <definedName name="xreg_vra_nodec_fqdn">'Value Reference Tables'!$O$75</definedName>
    <definedName name="xreg_vra_nodec_hostname">'Value Reference Tables'!$O$68</definedName>
    <definedName name="xreg_vra_nodec_ip">'Value Reference Tables'!$O$61</definedName>
    <definedName name="xreg_vra_org_name">'Value Reference Tables'!$R$77</definedName>
    <definedName name="xreg_vra_root_password">'Value Reference Tables'!$R$68</definedName>
    <definedName name="xreg_vra_root_password_alias">'Value Reference Tables'!$R$67</definedName>
    <definedName name="xreg_vra_root_username">'Value Reference Tables'!$R$69</definedName>
    <definedName name="xreg_vra_smtp_sender_email_address">'Value Reference Tables'!$R$84</definedName>
    <definedName name="xreg_vra_smtp_sender_name">'Value Reference Tables'!$R$83</definedName>
    <definedName name="xreg_vra_virtual_fqdn">'Value Reference Tables'!$O$72</definedName>
    <definedName name="xreg_vra_virtual_hostname">'Value Reference Tables'!$O$65</definedName>
    <definedName name="xreg_vra_virtual_ip">'Value Reference Tables'!$O$58</definedName>
    <definedName name="xreg_vra_vm_folder">'Value Reference Tables'!$R$86</definedName>
    <definedName name="xreg_vra_vm_group_name">'Value Reference Tables'!$R$85</definedName>
    <definedName name="xreg_vra_vm_vm_rule">'Value Reference Tables'!$R$88</definedName>
    <definedName name="xreg_vra_vsphere_role_name">'Value Reference Tables'!$R$78</definedName>
    <definedName name="xreg_vrni_consoleuser_password">'Value Reference Tables'!$R$251</definedName>
    <definedName name="xreg_vrni_consoleuser_password_alias">'Value Reference Tables'!$R$250</definedName>
    <definedName name="xreg_vrni_deployment_type">'Value Reference Tables'!$R$252</definedName>
    <definedName name="xreg_vrni_nodea_fqdn">'Value Reference Tables'!$O$170</definedName>
    <definedName name="xreg_vrni_nodea_hostname">'Value Reference Tables'!$O$165</definedName>
    <definedName name="xreg_vrni_nodea_ip">'Value Reference Tables'!$O$160</definedName>
    <definedName name="xreg_vrni_platform_anti_affinity">'Value Reference Tables'!$R$264</definedName>
    <definedName name="xreg_vrni_platform_node_size">'Value Reference Tables'!$R$262</definedName>
    <definedName name="xreg_vrni_root_password">'Value Reference Tables'!$R$247</definedName>
    <definedName name="xreg_vrni_root_password_alias">'Value Reference Tables'!$R$246</definedName>
    <definedName name="xreg_vrni_support_password">'Value Reference Tables'!$R$249</definedName>
    <definedName name="xreg_vrni_support_password_alias">'Value Reference Tables'!$R$248</definedName>
    <definedName name="xreg_vro_vsphere_role_name">'Value Reference Tables'!$R$79</definedName>
    <definedName name="xreg_vrops_anti_affinity_rule_name">'Value Reference Tables'!$R$139</definedName>
    <definedName name="xreg_vrops_appliance_size">'Value Reference Tables'!$R$133</definedName>
    <definedName name="xreg_vrops_currency">'Value Reference Tables'!$R$147</definedName>
    <definedName name="xreg_vrops_default_collector_group">'Value Reference Tables'!$R$138</definedName>
    <definedName name="xreg_vrops_existing_nodea_fqdn">'Value Reference Tables'!$R$165</definedName>
    <definedName name="xreg_vrops_existing_nodea_hostname">'Value Reference Tables'!$R$159</definedName>
    <definedName name="xreg_vrops_existing_nodeb_fqdn">'Value Reference Tables'!$R$166</definedName>
    <definedName name="xreg_vrops_existing_nodeb_hostname">'Value Reference Tables'!$R$160</definedName>
    <definedName name="xreg_vrops_existing_nodec_fqdn">'Value Reference Tables'!$R$167</definedName>
    <definedName name="xreg_vrops_existing_nodec_hostname">'Value Reference Tables'!$R$161</definedName>
    <definedName name="xreg_vrops_existing_virtual_server_fqdn">'Value Reference Tables'!$R$164</definedName>
    <definedName name="xreg_vrops_nodea_fqdn">'Value Reference Tables'!$O$119</definedName>
    <definedName name="xreg_vrops_nodea_hostname">'Value Reference Tables'!$O$110</definedName>
    <definedName name="xreg_vrops_nodea_ip">'Value Reference Tables'!$O$101</definedName>
    <definedName name="xreg_vrops_nodeb_fqdn">'Value Reference Tables'!$O$120</definedName>
    <definedName name="xreg_vrops_nodeb_hostname">'Value Reference Tables'!$O$111</definedName>
    <definedName name="xreg_vrops_nodeb_ip">'Value Reference Tables'!$O$102</definedName>
    <definedName name="xreg_vrops_nodec_fqdn">'Value Reference Tables'!$O$121</definedName>
    <definedName name="xreg_vrops_nodec_hostname">'Value Reference Tables'!$O$112</definedName>
    <definedName name="xreg_vrops_nodec_ip">'Value Reference Tables'!$O$103</definedName>
    <definedName name="xreg_vrops_notification_delay">'Value Reference Tables'!$R$153</definedName>
    <definedName name="xreg_vrops_notification_interval">'Value Reference Tables'!$R$151</definedName>
    <definedName name="xreg_vrops_notification_max">'Value Reference Tables'!$R$152</definedName>
    <definedName name="xreg_vrops_rc_size">'Value Reference Tables'!$R$134</definedName>
    <definedName name="xreg_vrops_root_password">'Value Reference Tables'!$R$132</definedName>
    <definedName name="xreg_vrops_root_password_alias">'Value Reference Tables'!$R$131</definedName>
    <definedName name="xreg_vrops_smtp_receiver_email_address">'Value Reference Tables'!$R$150</definedName>
    <definedName name="xreg_vrops_smtp_sender_email_address">'Value Reference Tables'!$R$149</definedName>
    <definedName name="xreg_vrops_smtp_sender_name">'Value Reference Tables'!$R$148</definedName>
    <definedName name="xreg_vrops_srm_sso_password">'Value Reference Tables'!$R$181</definedName>
    <definedName name="xreg_vrops_srm_sso_username">'Value Reference Tables'!$R$180</definedName>
    <definedName name="xreg_vrops_virtual_fqdn">'Value Reference Tables'!$O$118</definedName>
    <definedName name="xreg_vrops_virtual_hostname">'Value Reference Tables'!$O$109</definedName>
    <definedName name="xreg_vrops_virtual_ip">'Value Reference Tables'!$O$100</definedName>
    <definedName name="xreg_vrops_vm_folder">'Value Reference Tables'!$R$135</definedName>
    <definedName name="xreg_vrops_vm_group_name">'Value Reference Tables'!$R$144</definedName>
    <definedName name="xreg_vrops_vm_to_vm_rule_name">'Value Reference Tables'!$R$140</definedName>
    <definedName name="xreg_vrops_vrms_sso_password">'Value Reference Tables'!$R$179</definedName>
    <definedName name="xreg_vrops_vrms_sso_username">'Value Reference Tables'!$R$178</definedName>
    <definedName name="xreg_vrops_vsphere_actions_role_name">'Value Reference Tables'!$R$145</definedName>
    <definedName name="xreg_vrops_vsphere_metrics_role_name">'Value Reference Tables'!$R$146</definedName>
    <definedName name="xreg_vropsrc_anti_affinity_rule_name">'Value Reference Tables'!$R$142</definedName>
    <definedName name="xreg_vrslcm_fqdn">'Value Reference Tables'!$O$36</definedName>
    <definedName name="xreg_vrslcm_hostname">'Value Reference Tables'!$O$28</definedName>
    <definedName name="xreg_vrslcm_ip">'Value Reference Tables'!$O$20</definedName>
    <definedName name="xreg_wsa_anti_affinity_rule">'Value Reference Tables'!$R$16</definedName>
    <definedName name="xreg_wsa_cert_name">'Value Reference Tables'!$X$15</definedName>
    <definedName name="xreg_wsa_delegate_ip">'Value Reference Tables'!$O$19</definedName>
    <definedName name="xreg_wsa_node_size">'Value Reference Tables'!$X$30</definedName>
    <definedName name="xreg_wsa_nodea_fqdn">'Value Reference Tables'!$O$33</definedName>
    <definedName name="xreg_wsa_nodea_hostname">'Value Reference Tables'!$O$25</definedName>
    <definedName name="xreg_wsa_nodea_ip">'Value Reference Tables'!$O$16</definedName>
    <definedName name="xreg_wsa_nodeb_fqdn">'Value Reference Tables'!$O$34</definedName>
    <definedName name="xreg_wsa_nodeb_hostname">'Value Reference Tables'!$O$26</definedName>
    <definedName name="xreg_wsa_nodeb_ip">'Value Reference Tables'!$O$17</definedName>
    <definedName name="xreg_wsa_nodec_fqdn">'Value Reference Tables'!$O$35</definedName>
    <definedName name="xreg_wsa_nodec_hostname">'Value Reference Tables'!$O$27</definedName>
    <definedName name="xreg_wsa_nodec_ip">'Value Reference Tables'!$O$18</definedName>
    <definedName name="xreg_wsa_virtual_fqdn">'Value Reference Tables'!$O$32</definedName>
    <definedName name="xreg_wsa_virtual_hostname">'Value Reference Tables'!$O$24</definedName>
    <definedName name="xreg_wsa_virtual_ip">'Value Reference Tables'!$O$15</definedName>
    <definedName name="xreg_wsa_vm_folder">'Value Reference Tables'!$X$16</definedName>
    <definedName name="xreg_wsa_vm_group_name">'Value Reference Tables'!$X$31</definedName>
    <definedName name="xreg_wsa_vrops_vm_to_vm_rule_name">'Value Reference Tables'!$R$141</definedName>
    <definedName name="xregion_dns1_ip">'Value Reference Tables'!$I$73</definedName>
    <definedName name="xregion_dns2_ip">'Value Reference Tables'!$I$74</definedName>
    <definedName name="xregion_ntp1_server">'Value Reference Tables'!$I$67</definedName>
    <definedName name="xregion_ntp2_server">'Value Reference Tables'!$I$68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 i="63" l="1"/>
  <c r="C14" i="63"/>
  <c r="C45" i="86"/>
  <c r="C46" i="86" a="1"/>
  <c r="C46" i="86" s="1"/>
  <c r="L9" i="63" l="1"/>
  <c r="D275" i="62"/>
  <c r="I45" i="63"/>
  <c r="I46" i="63"/>
  <c r="I43" i="63"/>
  <c r="I44" i="63"/>
  <c r="B4" i="101" a="1"/>
  <c r="B4" i="101" l="1"/>
  <c r="D50" i="97"/>
  <c r="E59" i="97"/>
  <c r="D57" i="97"/>
  <c r="D26" i="97"/>
  <c r="D25" i="97"/>
  <c r="D22" i="97"/>
  <c r="D183" i="99" l="1"/>
  <c r="D171" i="99"/>
  <c r="D166" i="99"/>
  <c r="D175" i="99"/>
  <c r="D52" i="99"/>
  <c r="D8" i="99"/>
  <c r="D15" i="99"/>
  <c r="D22" i="99"/>
  <c r="D29" i="99"/>
  <c r="D35" i="99"/>
  <c r="D41" i="99"/>
  <c r="D4" i="99"/>
  <c r="D30" i="99"/>
  <c r="D23" i="99"/>
  <c r="D16" i="99"/>
  <c r="D9" i="99"/>
  <c r="D5" i="99"/>
  <c r="C4" i="99"/>
  <c r="C3" i="99"/>
  <c r="D51" i="97"/>
  <c r="K74" i="33" l="1"/>
  <c r="B43" i="34" l="1"/>
  <c r="D240" i="83" l="1"/>
  <c r="D231" i="83"/>
  <c r="D230" i="83"/>
  <c r="C230" i="83"/>
  <c r="R276" i="63"/>
  <c r="D229" i="83" s="1"/>
  <c r="R277" i="63"/>
  <c r="R275" i="63"/>
  <c r="D226" i="83"/>
  <c r="D213" i="83"/>
  <c r="K62" i="33"/>
  <c r="J62" i="33"/>
  <c r="K27" i="33"/>
  <c r="J27" i="33"/>
  <c r="D97" i="64" l="1"/>
  <c r="D130" i="67" l="1"/>
  <c r="D129" i="67"/>
  <c r="D136" i="67"/>
  <c r="D135" i="67"/>
  <c r="F64" i="54" l="1"/>
  <c r="F57" i="54"/>
  <c r="K58" i="33"/>
  <c r="K61" i="33"/>
  <c r="AA70" i="87"/>
  <c r="AA69" i="87"/>
  <c r="AA68" i="87"/>
  <c r="AA67" i="87"/>
  <c r="AA66" i="87"/>
  <c r="AA65" i="87"/>
  <c r="AA64" i="87"/>
  <c r="X70" i="87"/>
  <c r="X69" i="87"/>
  <c r="X68" i="87"/>
  <c r="X67" i="87"/>
  <c r="X66" i="87"/>
  <c r="X65" i="87"/>
  <c r="X64" i="87"/>
  <c r="U70" i="87"/>
  <c r="U69" i="87"/>
  <c r="U68" i="87"/>
  <c r="U67" i="87"/>
  <c r="U66" i="87"/>
  <c r="U65" i="87"/>
  <c r="U64" i="87"/>
  <c r="R70" i="87"/>
  <c r="R69" i="87"/>
  <c r="R68" i="87"/>
  <c r="R67" i="87"/>
  <c r="R66" i="87"/>
  <c r="R65" i="87"/>
  <c r="R64" i="87"/>
  <c r="O70" i="87"/>
  <c r="O69" i="87"/>
  <c r="O68" i="87"/>
  <c r="O67" i="87"/>
  <c r="O66" i="87"/>
  <c r="O65" i="87"/>
  <c r="O64" i="87"/>
  <c r="L64" i="87"/>
  <c r="L65" i="87"/>
  <c r="L66" i="87"/>
  <c r="L67" i="87"/>
  <c r="L68" i="87"/>
  <c r="L69" i="87"/>
  <c r="L70" i="87"/>
  <c r="I70" i="87"/>
  <c r="I69" i="87"/>
  <c r="I68" i="87"/>
  <c r="I67" i="87"/>
  <c r="I66" i="87"/>
  <c r="I65" i="87"/>
  <c r="I64" i="87"/>
  <c r="R122" i="63" l="1"/>
  <c r="R94" i="63"/>
  <c r="R65" i="63"/>
  <c r="R66" i="63"/>
  <c r="R95" i="63"/>
  <c r="R123" i="63"/>
  <c r="C122" i="64"/>
  <c r="C123" i="64"/>
  <c r="C124" i="64"/>
  <c r="K15" i="33"/>
  <c r="L94" i="63"/>
  <c r="L93" i="63"/>
  <c r="L36" i="63"/>
  <c r="L35" i="63"/>
  <c r="J15" i="33"/>
  <c r="I8" i="63" s="1"/>
  <c r="D99" i="65" s="1"/>
  <c r="D174" i="62" l="1"/>
  <c r="K41" i="33"/>
  <c r="J41" i="33"/>
  <c r="C203" i="68" l="1"/>
  <c r="C202" i="68"/>
  <c r="D125" i="30"/>
  <c r="D124" i="30"/>
  <c r="D123" i="30"/>
  <c r="D122" i="30"/>
  <c r="C75" i="68" s="1"/>
  <c r="C146" i="69"/>
  <c r="D111" i="30"/>
  <c r="D110" i="30"/>
  <c r="D109" i="30"/>
  <c r="D108" i="30"/>
  <c r="D117" i="70"/>
  <c r="D75" i="69"/>
  <c r="X31" i="63"/>
  <c r="D96" i="30"/>
  <c r="D95" i="30"/>
  <c r="D94" i="30"/>
  <c r="D93" i="30"/>
  <c r="C394" i="40"/>
  <c r="C391" i="40"/>
  <c r="C388" i="40"/>
  <c r="C384" i="40"/>
  <c r="C383" i="40"/>
  <c r="C42" i="64" s="1"/>
  <c r="D89" i="30"/>
  <c r="C76" i="66"/>
  <c r="C68" i="66"/>
  <c r="H122" i="30"/>
  <c r="H93" i="30"/>
  <c r="D71" i="83"/>
  <c r="D77" i="70"/>
  <c r="D39" i="69"/>
  <c r="D39" i="68"/>
  <c r="D316" i="40"/>
  <c r="F141" i="63" s="1"/>
  <c r="D321" i="40"/>
  <c r="F140" i="63" s="1"/>
  <c r="D318" i="40"/>
  <c r="F134" i="63" s="1"/>
  <c r="D224" i="40"/>
  <c r="F97" i="63" s="1"/>
  <c r="D256" i="65"/>
  <c r="D315" i="40"/>
  <c r="D347" i="40"/>
  <c r="D350" i="40"/>
  <c r="F165" i="63" s="1"/>
  <c r="C223" i="83" l="1"/>
  <c r="C219" i="83"/>
  <c r="C90" i="70"/>
  <c r="C52" i="68"/>
  <c r="F129" i="63"/>
  <c r="F135" i="63"/>
  <c r="C5" i="94"/>
  <c r="U663" i="56"/>
  <c r="U664" i="56"/>
  <c r="U665" i="56"/>
  <c r="U666" i="56"/>
  <c r="U667" i="56"/>
  <c r="U668" i="56"/>
  <c r="U669" i="56"/>
  <c r="U670" i="56"/>
  <c r="U671" i="56"/>
  <c r="U672" i="56"/>
  <c r="U673" i="56"/>
  <c r="U674" i="56"/>
  <c r="U675" i="56"/>
  <c r="U676" i="56"/>
  <c r="U677" i="56"/>
  <c r="U678" i="56"/>
  <c r="U679" i="56"/>
  <c r="U680" i="56"/>
  <c r="U681" i="56"/>
  <c r="U682" i="56"/>
  <c r="U683" i="56"/>
  <c r="U684" i="56"/>
  <c r="U685" i="56"/>
  <c r="U686" i="56"/>
  <c r="U687" i="56"/>
  <c r="U688" i="56"/>
  <c r="U689" i="56"/>
  <c r="U690" i="56"/>
  <c r="U691" i="56"/>
  <c r="U692" i="56"/>
  <c r="U693" i="56"/>
  <c r="U694" i="56"/>
  <c r="U695" i="56"/>
  <c r="U696" i="56"/>
  <c r="U697" i="56"/>
  <c r="U699" i="56"/>
  <c r="U700" i="56"/>
  <c r="U701" i="56"/>
  <c r="U702" i="56"/>
  <c r="U703" i="56"/>
  <c r="U704" i="56"/>
  <c r="U705" i="56"/>
  <c r="U706" i="56"/>
  <c r="U707" i="56"/>
  <c r="U708" i="56"/>
  <c r="U709" i="56"/>
  <c r="U710" i="56"/>
  <c r="U711" i="56"/>
  <c r="U712" i="56"/>
  <c r="U713" i="56"/>
  <c r="U714" i="56"/>
  <c r="U715" i="56"/>
  <c r="U716" i="56"/>
  <c r="U717" i="56"/>
  <c r="U718" i="56"/>
  <c r="U719" i="56"/>
  <c r="U720" i="56"/>
  <c r="U721" i="56"/>
  <c r="U722" i="56"/>
  <c r="U723" i="56"/>
  <c r="U724" i="56"/>
  <c r="U725" i="56"/>
  <c r="U726" i="56"/>
  <c r="U727" i="56"/>
  <c r="U728" i="56"/>
  <c r="U729" i="56"/>
  <c r="U730" i="56"/>
  <c r="U731" i="56"/>
  <c r="U732" i="56"/>
  <c r="U733" i="56"/>
  <c r="U734" i="56"/>
  <c r="U736" i="56"/>
  <c r="U737" i="56"/>
  <c r="U738" i="56"/>
  <c r="U739" i="56"/>
  <c r="U740" i="56"/>
  <c r="U741" i="56"/>
  <c r="U742" i="56"/>
  <c r="U743" i="56"/>
  <c r="U744" i="56"/>
  <c r="U745" i="56"/>
  <c r="U746" i="56"/>
  <c r="U747" i="56"/>
  <c r="U748" i="56"/>
  <c r="U749" i="56"/>
  <c r="U750" i="56"/>
  <c r="U751" i="56"/>
  <c r="U752" i="56"/>
  <c r="U753" i="56"/>
  <c r="U754" i="56"/>
  <c r="U755" i="56"/>
  <c r="U756" i="56"/>
  <c r="U757" i="56"/>
  <c r="U758" i="56"/>
  <c r="U759" i="56"/>
  <c r="U760" i="56"/>
  <c r="U761" i="56"/>
  <c r="U762" i="56"/>
  <c r="U763" i="56"/>
  <c r="U764" i="56"/>
  <c r="U765" i="56"/>
  <c r="U662" i="56"/>
  <c r="U563" i="56"/>
  <c r="U564" i="56"/>
  <c r="U565" i="56"/>
  <c r="U566" i="56"/>
  <c r="U567" i="56"/>
  <c r="U568" i="56"/>
  <c r="U569" i="56"/>
  <c r="U570" i="56"/>
  <c r="U571" i="56"/>
  <c r="U572" i="56"/>
  <c r="U573" i="56"/>
  <c r="U574" i="56"/>
  <c r="U575" i="56"/>
  <c r="U576" i="56"/>
  <c r="U577" i="56"/>
  <c r="U578" i="56"/>
  <c r="U579" i="56"/>
  <c r="U580" i="56"/>
  <c r="U581" i="56"/>
  <c r="U582" i="56"/>
  <c r="U583" i="56"/>
  <c r="U584" i="56"/>
  <c r="U585" i="56"/>
  <c r="U586" i="56"/>
  <c r="U587" i="56"/>
  <c r="U588" i="56"/>
  <c r="U589" i="56"/>
  <c r="U590" i="56"/>
  <c r="U591" i="56"/>
  <c r="U592" i="56"/>
  <c r="U593" i="56"/>
  <c r="U594" i="56"/>
  <c r="U595" i="56"/>
  <c r="U596" i="56"/>
  <c r="U597" i="56"/>
  <c r="U598" i="56"/>
  <c r="U599" i="56"/>
  <c r="U600" i="56"/>
  <c r="U601" i="56"/>
  <c r="U602" i="56"/>
  <c r="U603" i="56"/>
  <c r="U604" i="56"/>
  <c r="U605" i="56"/>
  <c r="U606" i="56"/>
  <c r="U607" i="56"/>
  <c r="U608" i="56"/>
  <c r="U609" i="56"/>
  <c r="U610" i="56"/>
  <c r="U611" i="56"/>
  <c r="U612" i="56"/>
  <c r="U613" i="56"/>
  <c r="U614" i="56"/>
  <c r="U615" i="56"/>
  <c r="U616" i="56"/>
  <c r="U617" i="56"/>
  <c r="U618" i="56"/>
  <c r="U619" i="56"/>
  <c r="U620" i="56"/>
  <c r="U621" i="56"/>
  <c r="U622" i="56"/>
  <c r="U623" i="56"/>
  <c r="U625" i="56"/>
  <c r="U626" i="56"/>
  <c r="U627" i="56"/>
  <c r="U628" i="56"/>
  <c r="U629" i="56"/>
  <c r="U630" i="56"/>
  <c r="U631" i="56"/>
  <c r="U632" i="56"/>
  <c r="U633" i="56"/>
  <c r="U634" i="56"/>
  <c r="U635" i="56"/>
  <c r="U636" i="56"/>
  <c r="U637" i="56"/>
  <c r="U638" i="56"/>
  <c r="U639" i="56"/>
  <c r="U640" i="56"/>
  <c r="U641" i="56"/>
  <c r="U642" i="56"/>
  <c r="U643" i="56"/>
  <c r="U644" i="56"/>
  <c r="U645" i="56"/>
  <c r="U646" i="56"/>
  <c r="U647" i="56"/>
  <c r="U648" i="56"/>
  <c r="U649" i="56"/>
  <c r="U650" i="56"/>
  <c r="U651" i="56"/>
  <c r="U652" i="56"/>
  <c r="U653" i="56"/>
  <c r="U654" i="56"/>
  <c r="U655" i="56"/>
  <c r="U656" i="56"/>
  <c r="U657" i="56"/>
  <c r="U658" i="56"/>
  <c r="U659" i="56"/>
  <c r="U660" i="56"/>
  <c r="U562" i="56"/>
  <c r="P663" i="56"/>
  <c r="P664" i="56"/>
  <c r="P665" i="56"/>
  <c r="P666" i="56"/>
  <c r="P667" i="56"/>
  <c r="P668" i="56"/>
  <c r="P669" i="56"/>
  <c r="P670" i="56"/>
  <c r="P671" i="56"/>
  <c r="P672" i="56"/>
  <c r="P673" i="56"/>
  <c r="P674" i="56"/>
  <c r="P675" i="56"/>
  <c r="P676" i="56"/>
  <c r="P677" i="56"/>
  <c r="P678" i="56"/>
  <c r="P679" i="56"/>
  <c r="P680" i="56"/>
  <c r="P681" i="56"/>
  <c r="P682" i="56"/>
  <c r="P683" i="56"/>
  <c r="P684" i="56"/>
  <c r="P685" i="56"/>
  <c r="P686" i="56"/>
  <c r="P687" i="56"/>
  <c r="P688" i="56"/>
  <c r="P689" i="56"/>
  <c r="P690" i="56"/>
  <c r="P691" i="56"/>
  <c r="P662" i="56"/>
  <c r="P563" i="56"/>
  <c r="P564" i="56"/>
  <c r="P565" i="56"/>
  <c r="P566" i="56"/>
  <c r="P567" i="56"/>
  <c r="P568" i="56"/>
  <c r="P569" i="56"/>
  <c r="P570" i="56"/>
  <c r="P571" i="56"/>
  <c r="P572" i="56"/>
  <c r="P573" i="56"/>
  <c r="P574" i="56"/>
  <c r="P575" i="56"/>
  <c r="P576" i="56"/>
  <c r="P577" i="56"/>
  <c r="P578" i="56"/>
  <c r="P579" i="56"/>
  <c r="P580" i="56"/>
  <c r="P581" i="56"/>
  <c r="P582" i="56"/>
  <c r="P583" i="56"/>
  <c r="P584" i="56"/>
  <c r="P585" i="56"/>
  <c r="P586" i="56"/>
  <c r="P587" i="56"/>
  <c r="P588" i="56"/>
  <c r="P589" i="56"/>
  <c r="P590" i="56"/>
  <c r="P591" i="56"/>
  <c r="P592" i="56"/>
  <c r="P593" i="56"/>
  <c r="P594" i="56"/>
  <c r="P595" i="56"/>
  <c r="P596" i="56"/>
  <c r="P597" i="56"/>
  <c r="P598" i="56"/>
  <c r="P599" i="56"/>
  <c r="P600" i="56"/>
  <c r="P601" i="56"/>
  <c r="P602" i="56"/>
  <c r="P603" i="56"/>
  <c r="P604" i="56"/>
  <c r="P605" i="56"/>
  <c r="P606" i="56"/>
  <c r="P607" i="56"/>
  <c r="P608" i="56"/>
  <c r="P609" i="56"/>
  <c r="P610" i="56"/>
  <c r="P611" i="56"/>
  <c r="P612" i="56"/>
  <c r="P613" i="56"/>
  <c r="P614" i="56"/>
  <c r="P615" i="56"/>
  <c r="P616" i="56"/>
  <c r="P617" i="56"/>
  <c r="P618" i="56"/>
  <c r="P619" i="56"/>
  <c r="P620" i="56"/>
  <c r="P621" i="56"/>
  <c r="P622" i="56"/>
  <c r="P623" i="56"/>
  <c r="P625" i="56"/>
  <c r="P626" i="56"/>
  <c r="P627" i="56"/>
  <c r="P628" i="56"/>
  <c r="P629" i="56"/>
  <c r="P630" i="56"/>
  <c r="P631" i="56"/>
  <c r="P632" i="56"/>
  <c r="P633" i="56"/>
  <c r="P634" i="56"/>
  <c r="P635" i="56"/>
  <c r="P636" i="56"/>
  <c r="P637" i="56"/>
  <c r="P638" i="56"/>
  <c r="P639" i="56"/>
  <c r="P640" i="56"/>
  <c r="P641" i="56"/>
  <c r="P642" i="56"/>
  <c r="P643" i="56"/>
  <c r="P644" i="56"/>
  <c r="P645" i="56"/>
  <c r="P646" i="56"/>
  <c r="P647" i="56"/>
  <c r="P648" i="56"/>
  <c r="P649" i="56"/>
  <c r="P650" i="56"/>
  <c r="P651" i="56"/>
  <c r="P652" i="56"/>
  <c r="P653" i="56"/>
  <c r="P654" i="56"/>
  <c r="P655" i="56"/>
  <c r="P656" i="56"/>
  <c r="P657" i="56"/>
  <c r="P658" i="56"/>
  <c r="P659" i="56"/>
  <c r="P660" i="56"/>
  <c r="P562" i="56"/>
  <c r="V564" i="56"/>
  <c r="V565" i="56"/>
  <c r="V566" i="56"/>
  <c r="V567" i="56"/>
  <c r="V568" i="56"/>
  <c r="V570" i="56"/>
  <c r="V572" i="56"/>
  <c r="V577" i="56"/>
  <c r="V578" i="56"/>
  <c r="V580" i="56"/>
  <c r="V581" i="56"/>
  <c r="V582" i="56"/>
  <c r="V583" i="56"/>
  <c r="V586" i="56"/>
  <c r="V588" i="56"/>
  <c r="V601" i="56"/>
  <c r="V603" i="56"/>
  <c r="V615" i="56"/>
  <c r="V641" i="56"/>
  <c r="V715" i="56"/>
  <c r="Q641" i="56"/>
  <c r="Q615" i="56"/>
  <c r="Q603" i="56"/>
  <c r="Q601" i="56"/>
  <c r="Q588" i="56"/>
  <c r="Q586" i="56"/>
  <c r="Q583" i="56"/>
  <c r="Q582" i="56"/>
  <c r="Q581" i="56"/>
  <c r="Q580" i="56"/>
  <c r="Q578" i="56"/>
  <c r="Q577" i="56"/>
  <c r="Q572" i="56"/>
  <c r="Q570" i="56"/>
  <c r="Q568" i="56"/>
  <c r="Q567" i="56"/>
  <c r="Q566" i="56"/>
  <c r="Q565" i="56"/>
  <c r="Q564" i="56"/>
  <c r="O208" i="87"/>
  <c r="L1024" i="56"/>
  <c r="L1023" i="56"/>
  <c r="L1022" i="56"/>
  <c r="L1021" i="56"/>
  <c r="L1020" i="56"/>
  <c r="L1019" i="56"/>
  <c r="L1018" i="56"/>
  <c r="L1017" i="56"/>
  <c r="L1016" i="56"/>
  <c r="L1015" i="56"/>
  <c r="L1014" i="56"/>
  <c r="L1013" i="56"/>
  <c r="L1012" i="56"/>
  <c r="L1011" i="56"/>
  <c r="L1010" i="56"/>
  <c r="L1009" i="56"/>
  <c r="L1008" i="56"/>
  <c r="L1007" i="56"/>
  <c r="L1006" i="56"/>
  <c r="L1005" i="56"/>
  <c r="L1004" i="56"/>
  <c r="L1003" i="56"/>
  <c r="L1002" i="56"/>
  <c r="L1001" i="56"/>
  <c r="L1000" i="56"/>
  <c r="L999" i="56"/>
  <c r="L998" i="56"/>
  <c r="L997" i="56"/>
  <c r="L996" i="56"/>
  <c r="L995" i="56"/>
  <c r="L994" i="56"/>
  <c r="L993" i="56"/>
  <c r="L992" i="56"/>
  <c r="L991" i="56"/>
  <c r="L990" i="56"/>
  <c r="L989" i="56"/>
  <c r="L988" i="56"/>
  <c r="L987" i="56"/>
  <c r="L986" i="56"/>
  <c r="L985" i="56"/>
  <c r="L585" i="56"/>
  <c r="L586" i="56"/>
  <c r="L587" i="56"/>
  <c r="L588" i="56"/>
  <c r="L589" i="56"/>
  <c r="L590" i="56"/>
  <c r="L591" i="56"/>
  <c r="L592" i="56"/>
  <c r="L593" i="56"/>
  <c r="L594" i="56"/>
  <c r="L595" i="56"/>
  <c r="L596" i="56"/>
  <c r="L597" i="56"/>
  <c r="L598" i="56"/>
  <c r="L599" i="56"/>
  <c r="L600" i="56"/>
  <c r="L601" i="56"/>
  <c r="L602" i="56"/>
  <c r="L603" i="56"/>
  <c r="L604" i="56"/>
  <c r="L605" i="56"/>
  <c r="L606" i="56"/>
  <c r="L607" i="56"/>
  <c r="L608" i="56"/>
  <c r="L609" i="56"/>
  <c r="L610" i="56"/>
  <c r="L611" i="56"/>
  <c r="L612" i="56"/>
  <c r="L613" i="56"/>
  <c r="L614" i="56"/>
  <c r="L615" i="56"/>
  <c r="L616" i="56"/>
  <c r="L617" i="56"/>
  <c r="L618" i="56"/>
  <c r="L619" i="56"/>
  <c r="L620" i="56"/>
  <c r="L621" i="56"/>
  <c r="L622" i="56"/>
  <c r="L623" i="56"/>
  <c r="L624" i="56"/>
  <c r="L625" i="56"/>
  <c r="L626" i="56"/>
  <c r="L627" i="56"/>
  <c r="L628" i="56"/>
  <c r="L629" i="56"/>
  <c r="L630" i="56"/>
  <c r="L631" i="56"/>
  <c r="L632" i="56"/>
  <c r="L633" i="56"/>
  <c r="L634" i="56"/>
  <c r="L635" i="56"/>
  <c r="L636" i="56"/>
  <c r="L637" i="56"/>
  <c r="L638" i="56"/>
  <c r="L639" i="56"/>
  <c r="L640" i="56"/>
  <c r="L641" i="56"/>
  <c r="L642" i="56"/>
  <c r="L643" i="56"/>
  <c r="L644" i="56"/>
  <c r="L645" i="56"/>
  <c r="L646" i="56"/>
  <c r="L647" i="56"/>
  <c r="L648" i="56"/>
  <c r="L649" i="56"/>
  <c r="L650" i="56"/>
  <c r="L651" i="56"/>
  <c r="L652" i="56"/>
  <c r="L653" i="56"/>
  <c r="L654" i="56"/>
  <c r="L655" i="56"/>
  <c r="L656" i="56"/>
  <c r="L657" i="56"/>
  <c r="L658" i="56"/>
  <c r="L659" i="56"/>
  <c r="L660" i="56"/>
  <c r="L661" i="56"/>
  <c r="L662" i="56"/>
  <c r="L663" i="56"/>
  <c r="L664" i="56"/>
  <c r="L665" i="56"/>
  <c r="L666" i="56"/>
  <c r="L667" i="56"/>
  <c r="L668" i="56"/>
  <c r="L669" i="56"/>
  <c r="L670" i="56"/>
  <c r="L671" i="56"/>
  <c r="L672" i="56"/>
  <c r="L673" i="56"/>
  <c r="L674" i="56"/>
  <c r="L675" i="56"/>
  <c r="L676" i="56"/>
  <c r="L677" i="56"/>
  <c r="L678" i="56"/>
  <c r="L679" i="56"/>
  <c r="L680" i="56"/>
  <c r="L681" i="56"/>
  <c r="L682" i="56"/>
  <c r="L683" i="56"/>
  <c r="L684" i="56"/>
  <c r="L685" i="56"/>
  <c r="L686" i="56"/>
  <c r="L687" i="56"/>
  <c r="L688" i="56"/>
  <c r="L689" i="56"/>
  <c r="L690" i="56"/>
  <c r="L691" i="56"/>
  <c r="L692" i="56"/>
  <c r="L693" i="56"/>
  <c r="L694" i="56"/>
  <c r="L695" i="56"/>
  <c r="L696" i="56"/>
  <c r="L697" i="56"/>
  <c r="L698" i="56"/>
  <c r="L699" i="56"/>
  <c r="L700" i="56"/>
  <c r="L701" i="56"/>
  <c r="L702" i="56"/>
  <c r="L703" i="56"/>
  <c r="L704" i="56"/>
  <c r="L705" i="56"/>
  <c r="L706" i="56"/>
  <c r="L707" i="56"/>
  <c r="L708" i="56"/>
  <c r="L709" i="56"/>
  <c r="L710" i="56"/>
  <c r="L711" i="56"/>
  <c r="L712" i="56"/>
  <c r="L713" i="56"/>
  <c r="L714" i="56"/>
  <c r="L715" i="56"/>
  <c r="L716" i="56"/>
  <c r="L717" i="56"/>
  <c r="L718" i="56"/>
  <c r="L719" i="56"/>
  <c r="L720" i="56"/>
  <c r="L721" i="56"/>
  <c r="L722" i="56"/>
  <c r="L723" i="56"/>
  <c r="L724" i="56"/>
  <c r="L725" i="56"/>
  <c r="L726" i="56"/>
  <c r="L727" i="56"/>
  <c r="L728" i="56"/>
  <c r="L729" i="56"/>
  <c r="L730" i="56"/>
  <c r="L731" i="56"/>
  <c r="L732" i="56"/>
  <c r="L733" i="56"/>
  <c r="L734" i="56"/>
  <c r="L735" i="56"/>
  <c r="L736" i="56"/>
  <c r="L737" i="56"/>
  <c r="L738" i="56"/>
  <c r="L739" i="56"/>
  <c r="L740" i="56"/>
  <c r="L741" i="56"/>
  <c r="L742" i="56"/>
  <c r="L743" i="56"/>
  <c r="L744" i="56"/>
  <c r="L745" i="56"/>
  <c r="L746" i="56"/>
  <c r="L747" i="56"/>
  <c r="L748" i="56"/>
  <c r="L749" i="56"/>
  <c r="L750" i="56"/>
  <c r="L751" i="56"/>
  <c r="L752" i="56"/>
  <c r="L753" i="56"/>
  <c r="L754" i="56"/>
  <c r="L755" i="56"/>
  <c r="L756" i="56"/>
  <c r="L757" i="56"/>
  <c r="L758" i="56"/>
  <c r="L759" i="56"/>
  <c r="L760" i="56"/>
  <c r="L761" i="56"/>
  <c r="L762" i="56"/>
  <c r="L763" i="56"/>
  <c r="L764" i="56"/>
  <c r="L765" i="56"/>
  <c r="L766" i="56"/>
  <c r="L767" i="56"/>
  <c r="L768" i="56"/>
  <c r="L769" i="56"/>
  <c r="L770" i="56"/>
  <c r="L771" i="56"/>
  <c r="L772" i="56"/>
  <c r="L773" i="56"/>
  <c r="L774" i="56"/>
  <c r="L775" i="56"/>
  <c r="L776" i="56"/>
  <c r="L777" i="56"/>
  <c r="L778" i="56"/>
  <c r="L779" i="56"/>
  <c r="L780" i="56"/>
  <c r="L781" i="56"/>
  <c r="L782" i="56"/>
  <c r="L783" i="56"/>
  <c r="L784" i="56"/>
  <c r="L785" i="56"/>
  <c r="L786" i="56"/>
  <c r="L787" i="56"/>
  <c r="L788" i="56"/>
  <c r="L789" i="56"/>
  <c r="L790" i="56"/>
  <c r="L791" i="56"/>
  <c r="L792" i="56"/>
  <c r="L793" i="56"/>
  <c r="L794" i="56"/>
  <c r="L795" i="56"/>
  <c r="L796" i="56"/>
  <c r="L797" i="56"/>
  <c r="L798" i="56"/>
  <c r="L799" i="56"/>
  <c r="L800" i="56"/>
  <c r="L801" i="56"/>
  <c r="L802" i="56"/>
  <c r="L803" i="56"/>
  <c r="L804" i="56"/>
  <c r="L805" i="56"/>
  <c r="L806" i="56"/>
  <c r="L807" i="56"/>
  <c r="L808" i="56"/>
  <c r="L809" i="56"/>
  <c r="L810" i="56"/>
  <c r="L811" i="56"/>
  <c r="L812" i="56"/>
  <c r="L813" i="56"/>
  <c r="L814" i="56"/>
  <c r="L815" i="56"/>
  <c r="L816" i="56"/>
  <c r="L817" i="56"/>
  <c r="L818" i="56"/>
  <c r="L819" i="56"/>
  <c r="L820" i="56"/>
  <c r="L821" i="56"/>
  <c r="L822" i="56"/>
  <c r="L823" i="56"/>
  <c r="L824" i="56"/>
  <c r="L825" i="56"/>
  <c r="L826" i="56"/>
  <c r="L827" i="56"/>
  <c r="L828" i="56"/>
  <c r="L829" i="56"/>
  <c r="L830" i="56"/>
  <c r="L831" i="56"/>
  <c r="L832" i="56"/>
  <c r="L833" i="56"/>
  <c r="L834" i="56"/>
  <c r="L835" i="56"/>
  <c r="L836" i="56"/>
  <c r="L837" i="56"/>
  <c r="L838" i="56"/>
  <c r="L839" i="56"/>
  <c r="L840" i="56"/>
  <c r="L841" i="56"/>
  <c r="L842" i="56"/>
  <c r="L843" i="56"/>
  <c r="L844" i="56"/>
  <c r="L845" i="56"/>
  <c r="L846" i="56"/>
  <c r="L847" i="56"/>
  <c r="L848" i="56"/>
  <c r="L849" i="56"/>
  <c r="L850" i="56"/>
  <c r="L851" i="56"/>
  <c r="L852" i="56"/>
  <c r="L853" i="56"/>
  <c r="L854" i="56"/>
  <c r="L855" i="56"/>
  <c r="L856" i="56"/>
  <c r="L857" i="56"/>
  <c r="L858" i="56"/>
  <c r="L859" i="56"/>
  <c r="L860" i="56"/>
  <c r="L861" i="56"/>
  <c r="L862" i="56"/>
  <c r="L863" i="56"/>
  <c r="L864" i="56"/>
  <c r="L865" i="56"/>
  <c r="L866" i="56"/>
  <c r="L867" i="56"/>
  <c r="L868" i="56"/>
  <c r="L869" i="56"/>
  <c r="L870" i="56"/>
  <c r="L871" i="56"/>
  <c r="L872" i="56"/>
  <c r="L873" i="56"/>
  <c r="L874" i="56"/>
  <c r="L875" i="56"/>
  <c r="L876" i="56"/>
  <c r="L877" i="56"/>
  <c r="L878" i="56"/>
  <c r="L879" i="56"/>
  <c r="L880" i="56"/>
  <c r="L881" i="56"/>
  <c r="L882" i="56"/>
  <c r="L883" i="56"/>
  <c r="L884" i="56"/>
  <c r="L885" i="56"/>
  <c r="L886" i="56"/>
  <c r="L887" i="56"/>
  <c r="L888" i="56"/>
  <c r="L889" i="56"/>
  <c r="L890" i="56"/>
  <c r="L891" i="56"/>
  <c r="L892" i="56"/>
  <c r="L893" i="56"/>
  <c r="L894" i="56"/>
  <c r="L895" i="56"/>
  <c r="L896" i="56"/>
  <c r="L897" i="56"/>
  <c r="L898" i="56"/>
  <c r="L899" i="56"/>
  <c r="L900" i="56"/>
  <c r="L901" i="56"/>
  <c r="L902" i="56"/>
  <c r="L903" i="56"/>
  <c r="L904" i="56"/>
  <c r="L905" i="56"/>
  <c r="L906" i="56"/>
  <c r="L907" i="56"/>
  <c r="L908" i="56"/>
  <c r="L909" i="56"/>
  <c r="L910" i="56"/>
  <c r="L911" i="56"/>
  <c r="L912" i="56"/>
  <c r="L913" i="56"/>
  <c r="L914" i="56"/>
  <c r="L915" i="56"/>
  <c r="L916" i="56"/>
  <c r="L917" i="56"/>
  <c r="L918" i="56"/>
  <c r="L919" i="56"/>
  <c r="L920" i="56"/>
  <c r="L921" i="56"/>
  <c r="L922" i="56"/>
  <c r="L923" i="56"/>
  <c r="L924" i="56"/>
  <c r="L925" i="56"/>
  <c r="L926" i="56"/>
  <c r="L927" i="56"/>
  <c r="L928" i="56"/>
  <c r="L929" i="56"/>
  <c r="L930" i="56"/>
  <c r="L931" i="56"/>
  <c r="L932" i="56"/>
  <c r="L933" i="56"/>
  <c r="L934" i="56"/>
  <c r="L935" i="56"/>
  <c r="L936" i="56"/>
  <c r="L937" i="56"/>
  <c r="L938" i="56"/>
  <c r="L939" i="56"/>
  <c r="L940" i="56"/>
  <c r="L941" i="56"/>
  <c r="L942" i="56"/>
  <c r="L943" i="56"/>
  <c r="L944" i="56"/>
  <c r="L945" i="56"/>
  <c r="L946" i="56"/>
  <c r="L947" i="56"/>
  <c r="L948" i="56"/>
  <c r="L949" i="56"/>
  <c r="L950" i="56"/>
  <c r="L951" i="56"/>
  <c r="L952" i="56"/>
  <c r="L953" i="56"/>
  <c r="L954" i="56"/>
  <c r="L955" i="56"/>
  <c r="L956" i="56"/>
  <c r="L957" i="56"/>
  <c r="L958" i="56"/>
  <c r="L959" i="56"/>
  <c r="L960" i="56"/>
  <c r="L961" i="56"/>
  <c r="L962" i="56"/>
  <c r="L963" i="56"/>
  <c r="L964" i="56"/>
  <c r="L965" i="56"/>
  <c r="L966" i="56"/>
  <c r="L967" i="56"/>
  <c r="L968" i="56"/>
  <c r="L969" i="56"/>
  <c r="L970" i="56"/>
  <c r="L971" i="56"/>
  <c r="L972" i="56"/>
  <c r="L973" i="56"/>
  <c r="L974" i="56"/>
  <c r="L975" i="56"/>
  <c r="L976" i="56"/>
  <c r="L977" i="56"/>
  <c r="L978" i="56"/>
  <c r="L979" i="56"/>
  <c r="L980" i="56"/>
  <c r="L981" i="56"/>
  <c r="L982" i="56"/>
  <c r="L983" i="56"/>
  <c r="L584" i="56"/>
  <c r="L563" i="56"/>
  <c r="L564" i="56"/>
  <c r="L565" i="56"/>
  <c r="L566" i="56"/>
  <c r="L567" i="56"/>
  <c r="L568" i="56"/>
  <c r="L569" i="56"/>
  <c r="L570" i="56"/>
  <c r="L571" i="56"/>
  <c r="L572" i="56"/>
  <c r="L573" i="56"/>
  <c r="L574" i="56"/>
  <c r="L575" i="56"/>
  <c r="L576" i="56"/>
  <c r="L577" i="56"/>
  <c r="L578" i="56"/>
  <c r="L579" i="56"/>
  <c r="L580" i="56"/>
  <c r="L581" i="56"/>
  <c r="L582" i="56"/>
  <c r="L562" i="56"/>
  <c r="H988" i="56"/>
  <c r="H989" i="56"/>
  <c r="H990" i="56"/>
  <c r="H991" i="56"/>
  <c r="H992" i="56"/>
  <c r="H993" i="56"/>
  <c r="H994" i="56"/>
  <c r="H995" i="56"/>
  <c r="H996" i="56"/>
  <c r="H997" i="56"/>
  <c r="H998" i="56"/>
  <c r="H999" i="56"/>
  <c r="H1000" i="56"/>
  <c r="H1001" i="56"/>
  <c r="H1002" i="56"/>
  <c r="H1003" i="56"/>
  <c r="H1004" i="56"/>
  <c r="H1005" i="56"/>
  <c r="H1006" i="56"/>
  <c r="H1007" i="56"/>
  <c r="H1008" i="56"/>
  <c r="H1009" i="56"/>
  <c r="H1010" i="56"/>
  <c r="H1011" i="56"/>
  <c r="H1012" i="56"/>
  <c r="H1013" i="56"/>
  <c r="H1014" i="56"/>
  <c r="H1015" i="56"/>
  <c r="H1016" i="56"/>
  <c r="H1017" i="56"/>
  <c r="H1018" i="56"/>
  <c r="H1019" i="56"/>
  <c r="H1020" i="56"/>
  <c r="H1021" i="56"/>
  <c r="H1022" i="56"/>
  <c r="H1023" i="56"/>
  <c r="H1024" i="56"/>
  <c r="H1025" i="56"/>
  <c r="H1026" i="56"/>
  <c r="H987" i="56"/>
  <c r="H585" i="56"/>
  <c r="H586" i="56"/>
  <c r="H587" i="56"/>
  <c r="H588" i="56"/>
  <c r="H589" i="56"/>
  <c r="H590" i="56"/>
  <c r="H591" i="56"/>
  <c r="H592" i="56"/>
  <c r="H593" i="56"/>
  <c r="H594" i="56"/>
  <c r="H595" i="56"/>
  <c r="H596" i="56"/>
  <c r="H597" i="56"/>
  <c r="H598" i="56"/>
  <c r="H599" i="56"/>
  <c r="H600" i="56"/>
  <c r="H601" i="56"/>
  <c r="H602" i="56"/>
  <c r="H603" i="56"/>
  <c r="H604" i="56"/>
  <c r="H605" i="56"/>
  <c r="H606" i="56"/>
  <c r="H607" i="56"/>
  <c r="H608" i="56"/>
  <c r="H609" i="56"/>
  <c r="H610" i="56"/>
  <c r="H611" i="56"/>
  <c r="H612" i="56"/>
  <c r="H613" i="56"/>
  <c r="H614" i="56"/>
  <c r="H615" i="56"/>
  <c r="H616" i="56"/>
  <c r="H617" i="56"/>
  <c r="H618" i="56"/>
  <c r="H619" i="56"/>
  <c r="H620" i="56"/>
  <c r="H621" i="56"/>
  <c r="H622" i="56"/>
  <c r="H623" i="56"/>
  <c r="H624" i="56"/>
  <c r="H625" i="56"/>
  <c r="H626" i="56"/>
  <c r="H627" i="56"/>
  <c r="H628" i="56"/>
  <c r="H629" i="56"/>
  <c r="H630" i="56"/>
  <c r="H631" i="56"/>
  <c r="H632" i="56"/>
  <c r="H633" i="56"/>
  <c r="H634" i="56"/>
  <c r="H635" i="56"/>
  <c r="H636" i="56"/>
  <c r="H637" i="56"/>
  <c r="H638" i="56"/>
  <c r="H639" i="56"/>
  <c r="H640" i="56"/>
  <c r="H641" i="56"/>
  <c r="H642" i="56"/>
  <c r="H643" i="56"/>
  <c r="H644" i="56"/>
  <c r="H645" i="56"/>
  <c r="H646" i="56"/>
  <c r="H647" i="56"/>
  <c r="H648" i="56"/>
  <c r="H649" i="56"/>
  <c r="H650" i="56"/>
  <c r="H651" i="56"/>
  <c r="H652" i="56"/>
  <c r="H653" i="56"/>
  <c r="H654" i="56"/>
  <c r="H655" i="56"/>
  <c r="H656" i="56"/>
  <c r="H657" i="56"/>
  <c r="H658" i="56"/>
  <c r="H659" i="56"/>
  <c r="H660" i="56"/>
  <c r="H661" i="56"/>
  <c r="H662" i="56"/>
  <c r="H663" i="56"/>
  <c r="H664" i="56"/>
  <c r="H665" i="56"/>
  <c r="H666" i="56"/>
  <c r="H667" i="56"/>
  <c r="H668" i="56"/>
  <c r="H669" i="56"/>
  <c r="H670" i="56"/>
  <c r="H671" i="56"/>
  <c r="H672" i="56"/>
  <c r="H673" i="56"/>
  <c r="H674" i="56"/>
  <c r="H675" i="56"/>
  <c r="H676" i="56"/>
  <c r="H677" i="56"/>
  <c r="H678" i="56"/>
  <c r="H679" i="56"/>
  <c r="H680" i="56"/>
  <c r="H681" i="56"/>
  <c r="H682" i="56"/>
  <c r="H683" i="56"/>
  <c r="H684" i="56"/>
  <c r="H685" i="56"/>
  <c r="H686" i="56"/>
  <c r="H687" i="56"/>
  <c r="H688" i="56"/>
  <c r="H689" i="56"/>
  <c r="H690" i="56"/>
  <c r="H691" i="56"/>
  <c r="H692" i="56"/>
  <c r="H693" i="56"/>
  <c r="H694" i="56"/>
  <c r="H695" i="56"/>
  <c r="H696" i="56"/>
  <c r="H697" i="56"/>
  <c r="H698" i="56"/>
  <c r="H699" i="56"/>
  <c r="H700" i="56"/>
  <c r="H701" i="56"/>
  <c r="H702" i="56"/>
  <c r="H703" i="56"/>
  <c r="H704" i="56"/>
  <c r="H705" i="56"/>
  <c r="H706" i="56"/>
  <c r="H707" i="56"/>
  <c r="H708" i="56"/>
  <c r="H709" i="56"/>
  <c r="H710" i="56"/>
  <c r="H711" i="56"/>
  <c r="H712" i="56"/>
  <c r="H713" i="56"/>
  <c r="H714" i="56"/>
  <c r="H715" i="56"/>
  <c r="H716" i="56"/>
  <c r="H717" i="56"/>
  <c r="H718" i="56"/>
  <c r="H719" i="56"/>
  <c r="H720" i="56"/>
  <c r="H721" i="56"/>
  <c r="H722" i="56"/>
  <c r="H723" i="56"/>
  <c r="H724" i="56"/>
  <c r="H725" i="56"/>
  <c r="H726" i="56"/>
  <c r="H727" i="56"/>
  <c r="H728" i="56"/>
  <c r="H729" i="56"/>
  <c r="H730" i="56"/>
  <c r="H731" i="56"/>
  <c r="H732" i="56"/>
  <c r="H733" i="56"/>
  <c r="H734" i="56"/>
  <c r="H735" i="56"/>
  <c r="H736" i="56"/>
  <c r="H737" i="56"/>
  <c r="H738" i="56"/>
  <c r="H739" i="56"/>
  <c r="H740" i="56"/>
  <c r="H741" i="56"/>
  <c r="H742" i="56"/>
  <c r="H743" i="56"/>
  <c r="H744" i="56"/>
  <c r="H745" i="56"/>
  <c r="H746" i="56"/>
  <c r="H747" i="56"/>
  <c r="H748" i="56"/>
  <c r="H749" i="56"/>
  <c r="H750" i="56"/>
  <c r="H751" i="56"/>
  <c r="H752" i="56"/>
  <c r="H753" i="56"/>
  <c r="H754" i="56"/>
  <c r="H755" i="56"/>
  <c r="H756" i="56"/>
  <c r="H757" i="56"/>
  <c r="H758" i="56"/>
  <c r="H759" i="56"/>
  <c r="H760" i="56"/>
  <c r="H761" i="56"/>
  <c r="H762" i="56"/>
  <c r="H763" i="56"/>
  <c r="H764" i="56"/>
  <c r="H765" i="56"/>
  <c r="H766" i="56"/>
  <c r="H767" i="56"/>
  <c r="H768" i="56"/>
  <c r="H769" i="56"/>
  <c r="H770" i="56"/>
  <c r="H771" i="56"/>
  <c r="H772" i="56"/>
  <c r="H773" i="56"/>
  <c r="H774" i="56"/>
  <c r="H775" i="56"/>
  <c r="H776" i="56"/>
  <c r="H777" i="56"/>
  <c r="H778" i="56"/>
  <c r="H779" i="56"/>
  <c r="H780" i="56"/>
  <c r="H781" i="56"/>
  <c r="H782" i="56"/>
  <c r="H783" i="56"/>
  <c r="H784" i="56"/>
  <c r="H785" i="56"/>
  <c r="H786" i="56"/>
  <c r="H787" i="56"/>
  <c r="H788" i="56"/>
  <c r="H789" i="56"/>
  <c r="H790" i="56"/>
  <c r="H791" i="56"/>
  <c r="H792" i="56"/>
  <c r="H793" i="56"/>
  <c r="H794" i="56"/>
  <c r="H795" i="56"/>
  <c r="H796" i="56"/>
  <c r="H797" i="56"/>
  <c r="H798" i="56"/>
  <c r="H799" i="56"/>
  <c r="H800" i="56"/>
  <c r="H801" i="56"/>
  <c r="H802" i="56"/>
  <c r="H803" i="56"/>
  <c r="H804" i="56"/>
  <c r="H805" i="56"/>
  <c r="H806" i="56"/>
  <c r="H807" i="56"/>
  <c r="H808" i="56"/>
  <c r="H809" i="56"/>
  <c r="H810" i="56"/>
  <c r="H811" i="56"/>
  <c r="H812" i="56"/>
  <c r="H813" i="56"/>
  <c r="H814" i="56"/>
  <c r="H815" i="56"/>
  <c r="H816" i="56"/>
  <c r="H817" i="56"/>
  <c r="H818" i="56"/>
  <c r="H819" i="56"/>
  <c r="H820" i="56"/>
  <c r="H821" i="56"/>
  <c r="H822" i="56"/>
  <c r="H823" i="56"/>
  <c r="H824" i="56"/>
  <c r="H825" i="56"/>
  <c r="H826" i="56"/>
  <c r="H827" i="56"/>
  <c r="H828" i="56"/>
  <c r="H829" i="56"/>
  <c r="H830" i="56"/>
  <c r="H831" i="56"/>
  <c r="H832" i="56"/>
  <c r="H833" i="56"/>
  <c r="H834" i="56"/>
  <c r="H835" i="56"/>
  <c r="H836" i="56"/>
  <c r="H837" i="56"/>
  <c r="H838" i="56"/>
  <c r="H839" i="56"/>
  <c r="H840" i="56"/>
  <c r="H841" i="56"/>
  <c r="H842" i="56"/>
  <c r="H843" i="56"/>
  <c r="H844" i="56"/>
  <c r="H845" i="56"/>
  <c r="H846" i="56"/>
  <c r="H847" i="56"/>
  <c r="H848" i="56"/>
  <c r="H849" i="56"/>
  <c r="H850" i="56"/>
  <c r="H851" i="56"/>
  <c r="H852" i="56"/>
  <c r="H853" i="56"/>
  <c r="H854" i="56"/>
  <c r="H855" i="56"/>
  <c r="H856" i="56"/>
  <c r="H857" i="56"/>
  <c r="H858" i="56"/>
  <c r="H859" i="56"/>
  <c r="H860" i="56"/>
  <c r="H861" i="56"/>
  <c r="H862" i="56"/>
  <c r="H863" i="56"/>
  <c r="H864" i="56"/>
  <c r="H865" i="56"/>
  <c r="H866" i="56"/>
  <c r="H867" i="56"/>
  <c r="H868" i="56"/>
  <c r="H869" i="56"/>
  <c r="H870" i="56"/>
  <c r="H871" i="56"/>
  <c r="H872" i="56"/>
  <c r="H873" i="56"/>
  <c r="H874" i="56"/>
  <c r="H875" i="56"/>
  <c r="H876" i="56"/>
  <c r="H877" i="56"/>
  <c r="H878" i="56"/>
  <c r="H879" i="56"/>
  <c r="H880" i="56"/>
  <c r="H881" i="56"/>
  <c r="H882" i="56"/>
  <c r="H883" i="56"/>
  <c r="H884" i="56"/>
  <c r="H885" i="56"/>
  <c r="H886" i="56"/>
  <c r="H887" i="56"/>
  <c r="H888" i="56"/>
  <c r="H889" i="56"/>
  <c r="H890" i="56"/>
  <c r="H891" i="56"/>
  <c r="H892" i="56"/>
  <c r="H893" i="56"/>
  <c r="H894" i="56"/>
  <c r="H895" i="56"/>
  <c r="H896" i="56"/>
  <c r="H897" i="56"/>
  <c r="H898" i="56"/>
  <c r="H899" i="56"/>
  <c r="H900" i="56"/>
  <c r="H901" i="56"/>
  <c r="H902" i="56"/>
  <c r="H903" i="56"/>
  <c r="H904" i="56"/>
  <c r="H905" i="56"/>
  <c r="H906" i="56"/>
  <c r="H907" i="56"/>
  <c r="H908" i="56"/>
  <c r="H909" i="56"/>
  <c r="H910" i="56"/>
  <c r="H911" i="56"/>
  <c r="H912" i="56"/>
  <c r="H913" i="56"/>
  <c r="H914" i="56"/>
  <c r="H915" i="56"/>
  <c r="H916" i="56"/>
  <c r="H917" i="56"/>
  <c r="H918" i="56"/>
  <c r="H919" i="56"/>
  <c r="H920" i="56"/>
  <c r="H921" i="56"/>
  <c r="H922" i="56"/>
  <c r="H923" i="56"/>
  <c r="H924" i="56"/>
  <c r="H925" i="56"/>
  <c r="H926" i="56"/>
  <c r="H927" i="56"/>
  <c r="H928" i="56"/>
  <c r="H929" i="56"/>
  <c r="H930" i="56"/>
  <c r="H931" i="56"/>
  <c r="H932" i="56"/>
  <c r="H933" i="56"/>
  <c r="H934" i="56"/>
  <c r="H935" i="56"/>
  <c r="H936" i="56"/>
  <c r="H937" i="56"/>
  <c r="H938" i="56"/>
  <c r="H939" i="56"/>
  <c r="H940" i="56"/>
  <c r="H941" i="56"/>
  <c r="H942" i="56"/>
  <c r="H943" i="56"/>
  <c r="H944" i="56"/>
  <c r="H945" i="56"/>
  <c r="H946" i="56"/>
  <c r="H947" i="56"/>
  <c r="H948" i="56"/>
  <c r="H949" i="56"/>
  <c r="H950" i="56"/>
  <c r="H951" i="56"/>
  <c r="H952" i="56"/>
  <c r="H953" i="56"/>
  <c r="H954" i="56"/>
  <c r="H955" i="56"/>
  <c r="H956" i="56"/>
  <c r="H957" i="56"/>
  <c r="H958" i="56"/>
  <c r="H959" i="56"/>
  <c r="H960" i="56"/>
  <c r="H961" i="56"/>
  <c r="H962" i="56"/>
  <c r="H963" i="56"/>
  <c r="H964" i="56"/>
  <c r="H965" i="56"/>
  <c r="H966" i="56"/>
  <c r="H967" i="56"/>
  <c r="H968" i="56"/>
  <c r="H969" i="56"/>
  <c r="H970" i="56"/>
  <c r="H971" i="56"/>
  <c r="H972" i="56"/>
  <c r="H973" i="56"/>
  <c r="H974" i="56"/>
  <c r="H975" i="56"/>
  <c r="H976" i="56"/>
  <c r="H977" i="56"/>
  <c r="H978" i="56"/>
  <c r="H979" i="56"/>
  <c r="H980" i="56"/>
  <c r="H981" i="56"/>
  <c r="H982" i="56"/>
  <c r="H983" i="56"/>
  <c r="H984" i="56"/>
  <c r="H985" i="56"/>
  <c r="H584" i="56"/>
  <c r="H563" i="56"/>
  <c r="H564" i="56"/>
  <c r="H565" i="56"/>
  <c r="H566" i="56"/>
  <c r="H567" i="56"/>
  <c r="H568" i="56"/>
  <c r="H569" i="56"/>
  <c r="H570" i="56"/>
  <c r="H571" i="56"/>
  <c r="H572" i="56"/>
  <c r="H573" i="56"/>
  <c r="H574" i="56"/>
  <c r="H575" i="56"/>
  <c r="H576" i="56"/>
  <c r="H577" i="56"/>
  <c r="H578" i="56"/>
  <c r="H579" i="56"/>
  <c r="H580" i="56"/>
  <c r="H581" i="56"/>
  <c r="H582" i="56"/>
  <c r="H562" i="56"/>
  <c r="E1030" i="56"/>
  <c r="E1031" i="56"/>
  <c r="E1032" i="56"/>
  <c r="E1033" i="56"/>
  <c r="E1034" i="56"/>
  <c r="E1035" i="56"/>
  <c r="E1036" i="56"/>
  <c r="E1037" i="56"/>
  <c r="E1038" i="56"/>
  <c r="E1039" i="56"/>
  <c r="E1040" i="56"/>
  <c r="E1041" i="56"/>
  <c r="E1042" i="56"/>
  <c r="E1043" i="56"/>
  <c r="E1044" i="56"/>
  <c r="E1045" i="56"/>
  <c r="E1046" i="56"/>
  <c r="E1047" i="56"/>
  <c r="E1048" i="56"/>
  <c r="E1049" i="56"/>
  <c r="E1050" i="56"/>
  <c r="E1051" i="56"/>
  <c r="E1052" i="56"/>
  <c r="E1053" i="56"/>
  <c r="E1054" i="56"/>
  <c r="E1055" i="56"/>
  <c r="E1056" i="56"/>
  <c r="E1057" i="56"/>
  <c r="E1058" i="56"/>
  <c r="E1059" i="56"/>
  <c r="E1060" i="56"/>
  <c r="E1061" i="56"/>
  <c r="E1062" i="56"/>
  <c r="E1063" i="56"/>
  <c r="E1064" i="56"/>
  <c r="E1065" i="56"/>
  <c r="E1066" i="56"/>
  <c r="E1067" i="56"/>
  <c r="E1068" i="56"/>
  <c r="E1029" i="56"/>
  <c r="E583" i="56"/>
  <c r="E584" i="56"/>
  <c r="E585" i="56"/>
  <c r="E586" i="56"/>
  <c r="E587" i="56"/>
  <c r="E588" i="56"/>
  <c r="E589" i="56"/>
  <c r="E590" i="56"/>
  <c r="E591" i="56"/>
  <c r="E592" i="56"/>
  <c r="E593" i="56"/>
  <c r="E594" i="56"/>
  <c r="E595" i="56"/>
  <c r="E596" i="56"/>
  <c r="E597" i="56"/>
  <c r="E598" i="56"/>
  <c r="E599" i="56"/>
  <c r="E600" i="56"/>
  <c r="E601" i="56"/>
  <c r="E602" i="56"/>
  <c r="E603" i="56"/>
  <c r="E604" i="56"/>
  <c r="E605" i="56"/>
  <c r="E606" i="56"/>
  <c r="E607" i="56"/>
  <c r="E608" i="56"/>
  <c r="E609" i="56"/>
  <c r="E610" i="56"/>
  <c r="E611" i="56"/>
  <c r="E612" i="56"/>
  <c r="E613" i="56"/>
  <c r="E614" i="56"/>
  <c r="E615" i="56"/>
  <c r="E616" i="56"/>
  <c r="E617" i="56"/>
  <c r="E618" i="56"/>
  <c r="E619" i="56"/>
  <c r="E620" i="56"/>
  <c r="E621" i="56"/>
  <c r="E622" i="56"/>
  <c r="E623" i="56"/>
  <c r="E624" i="56"/>
  <c r="E625" i="56"/>
  <c r="E626" i="56"/>
  <c r="E627" i="56"/>
  <c r="E628" i="56"/>
  <c r="E629" i="56"/>
  <c r="E630" i="56"/>
  <c r="E631" i="56"/>
  <c r="E632" i="56"/>
  <c r="E633" i="56"/>
  <c r="E634" i="56"/>
  <c r="E635" i="56"/>
  <c r="E636" i="56"/>
  <c r="E637" i="56"/>
  <c r="E638" i="56"/>
  <c r="E639" i="56"/>
  <c r="E640" i="56"/>
  <c r="E641" i="56"/>
  <c r="E642" i="56"/>
  <c r="E643" i="56"/>
  <c r="E644" i="56"/>
  <c r="E645" i="56"/>
  <c r="E646" i="56"/>
  <c r="E647" i="56"/>
  <c r="E648" i="56"/>
  <c r="E649" i="56"/>
  <c r="E650" i="56"/>
  <c r="E651" i="56"/>
  <c r="E652" i="56"/>
  <c r="E653" i="56"/>
  <c r="E654" i="56"/>
  <c r="E655" i="56"/>
  <c r="E656" i="56"/>
  <c r="E657" i="56"/>
  <c r="E658" i="56"/>
  <c r="E659" i="56"/>
  <c r="E660" i="56"/>
  <c r="E661" i="56"/>
  <c r="E662" i="56"/>
  <c r="E663" i="56"/>
  <c r="E664" i="56"/>
  <c r="E665" i="56"/>
  <c r="E666" i="56"/>
  <c r="E667" i="56"/>
  <c r="E668" i="56"/>
  <c r="E669" i="56"/>
  <c r="E670" i="56"/>
  <c r="E671" i="56"/>
  <c r="E672" i="56"/>
  <c r="E673" i="56"/>
  <c r="E674" i="56"/>
  <c r="E675" i="56"/>
  <c r="E676" i="56"/>
  <c r="E677" i="56"/>
  <c r="E678" i="56"/>
  <c r="E679" i="56"/>
  <c r="E680" i="56"/>
  <c r="E681" i="56"/>
  <c r="E682" i="56"/>
  <c r="E683" i="56"/>
  <c r="E684" i="56"/>
  <c r="E685" i="56"/>
  <c r="E686" i="56"/>
  <c r="E687" i="56"/>
  <c r="E688" i="56"/>
  <c r="E689" i="56"/>
  <c r="E690" i="56"/>
  <c r="E691" i="56"/>
  <c r="E692" i="56"/>
  <c r="E693" i="56"/>
  <c r="E694" i="56"/>
  <c r="E695" i="56"/>
  <c r="E696" i="56"/>
  <c r="E697" i="56"/>
  <c r="E698" i="56"/>
  <c r="E699" i="56"/>
  <c r="E700" i="56"/>
  <c r="E701" i="56"/>
  <c r="E702" i="56"/>
  <c r="E703" i="56"/>
  <c r="E704" i="56"/>
  <c r="E705" i="56"/>
  <c r="E706" i="56"/>
  <c r="E707" i="56"/>
  <c r="E708" i="56"/>
  <c r="E709" i="56"/>
  <c r="E710" i="56"/>
  <c r="E711" i="56"/>
  <c r="E712" i="56"/>
  <c r="E713" i="56"/>
  <c r="E714" i="56"/>
  <c r="E715" i="56"/>
  <c r="E716" i="56"/>
  <c r="E717" i="56"/>
  <c r="E718" i="56"/>
  <c r="E719" i="56"/>
  <c r="E720" i="56"/>
  <c r="E721" i="56"/>
  <c r="E722" i="56"/>
  <c r="E723" i="56"/>
  <c r="E724" i="56"/>
  <c r="E725" i="56"/>
  <c r="E726" i="56"/>
  <c r="E727" i="56"/>
  <c r="E728" i="56"/>
  <c r="E729" i="56"/>
  <c r="E730" i="56"/>
  <c r="E731" i="56"/>
  <c r="E732" i="56"/>
  <c r="E733" i="56"/>
  <c r="E734" i="56"/>
  <c r="E735" i="56"/>
  <c r="E736" i="56"/>
  <c r="E737" i="56"/>
  <c r="E738" i="56"/>
  <c r="E739" i="56"/>
  <c r="E740" i="56"/>
  <c r="E741" i="56"/>
  <c r="E742" i="56"/>
  <c r="E743" i="56"/>
  <c r="E744" i="56"/>
  <c r="E745" i="56"/>
  <c r="E746" i="56"/>
  <c r="E747" i="56"/>
  <c r="E748" i="56"/>
  <c r="E749" i="56"/>
  <c r="E750" i="56"/>
  <c r="E751" i="56"/>
  <c r="E752" i="56"/>
  <c r="E753" i="56"/>
  <c r="E754" i="56"/>
  <c r="E755" i="56"/>
  <c r="E756" i="56"/>
  <c r="E757" i="56"/>
  <c r="E758" i="56"/>
  <c r="E759" i="56"/>
  <c r="E760" i="56"/>
  <c r="E761" i="56"/>
  <c r="E762" i="56"/>
  <c r="E763" i="56"/>
  <c r="E764" i="56"/>
  <c r="E765" i="56"/>
  <c r="E766" i="56"/>
  <c r="E767" i="56"/>
  <c r="E768" i="56"/>
  <c r="E769" i="56"/>
  <c r="E770" i="56"/>
  <c r="E771" i="56"/>
  <c r="E772" i="56"/>
  <c r="E773" i="56"/>
  <c r="E774" i="56"/>
  <c r="E775" i="56"/>
  <c r="E776" i="56"/>
  <c r="E777" i="56"/>
  <c r="E778" i="56"/>
  <c r="E779" i="56"/>
  <c r="E780" i="56"/>
  <c r="E781" i="56"/>
  <c r="E782" i="56"/>
  <c r="E783" i="56"/>
  <c r="E784" i="56"/>
  <c r="E785" i="56"/>
  <c r="E786" i="56"/>
  <c r="E787" i="56"/>
  <c r="E788" i="56"/>
  <c r="E789" i="56"/>
  <c r="E790" i="56"/>
  <c r="E791" i="56"/>
  <c r="E792" i="56"/>
  <c r="E793" i="56"/>
  <c r="E794" i="56"/>
  <c r="E795" i="56"/>
  <c r="E796" i="56"/>
  <c r="E797" i="56"/>
  <c r="E798" i="56"/>
  <c r="E799" i="56"/>
  <c r="E800" i="56"/>
  <c r="E801" i="56"/>
  <c r="E802" i="56"/>
  <c r="E803" i="56"/>
  <c r="E804" i="56"/>
  <c r="E805" i="56"/>
  <c r="E806" i="56"/>
  <c r="E807" i="56"/>
  <c r="E808" i="56"/>
  <c r="E809" i="56"/>
  <c r="E810" i="56"/>
  <c r="E811" i="56"/>
  <c r="E812" i="56"/>
  <c r="E813" i="56"/>
  <c r="E814" i="56"/>
  <c r="E815" i="56"/>
  <c r="E816" i="56"/>
  <c r="E817" i="56"/>
  <c r="E818" i="56"/>
  <c r="E819" i="56"/>
  <c r="E820" i="56"/>
  <c r="E821" i="56"/>
  <c r="E822" i="56"/>
  <c r="E823" i="56"/>
  <c r="E824" i="56"/>
  <c r="E825" i="56"/>
  <c r="E826" i="56"/>
  <c r="E827" i="56"/>
  <c r="E828" i="56"/>
  <c r="E829" i="56"/>
  <c r="E830" i="56"/>
  <c r="E831" i="56"/>
  <c r="E832" i="56"/>
  <c r="E833" i="56"/>
  <c r="E834" i="56"/>
  <c r="E835" i="56"/>
  <c r="E836" i="56"/>
  <c r="E837" i="56"/>
  <c r="E838" i="56"/>
  <c r="E839" i="56"/>
  <c r="E840" i="56"/>
  <c r="E841" i="56"/>
  <c r="E842" i="56"/>
  <c r="E843" i="56"/>
  <c r="E844" i="56"/>
  <c r="E845" i="56"/>
  <c r="E846" i="56"/>
  <c r="E847" i="56"/>
  <c r="E848" i="56"/>
  <c r="E849" i="56"/>
  <c r="E850" i="56"/>
  <c r="E851" i="56"/>
  <c r="E852" i="56"/>
  <c r="E853" i="56"/>
  <c r="E854" i="56"/>
  <c r="E855" i="56"/>
  <c r="E856" i="56"/>
  <c r="E857" i="56"/>
  <c r="E858" i="56"/>
  <c r="E859" i="56"/>
  <c r="E860" i="56"/>
  <c r="E861" i="56"/>
  <c r="E862" i="56"/>
  <c r="E863" i="56"/>
  <c r="E864" i="56"/>
  <c r="E865" i="56"/>
  <c r="E866" i="56"/>
  <c r="E867" i="56"/>
  <c r="E868" i="56"/>
  <c r="E869" i="56"/>
  <c r="E870" i="56"/>
  <c r="E871" i="56"/>
  <c r="E872" i="56"/>
  <c r="E873" i="56"/>
  <c r="E874" i="56"/>
  <c r="E875" i="56"/>
  <c r="E876" i="56"/>
  <c r="E877" i="56"/>
  <c r="E878" i="56"/>
  <c r="E879" i="56"/>
  <c r="E880" i="56"/>
  <c r="E881" i="56"/>
  <c r="E882" i="56"/>
  <c r="E883" i="56"/>
  <c r="E884" i="56"/>
  <c r="E885" i="56"/>
  <c r="E886" i="56"/>
  <c r="E887" i="56"/>
  <c r="E888" i="56"/>
  <c r="E889" i="56"/>
  <c r="E890" i="56"/>
  <c r="E891" i="56"/>
  <c r="E892" i="56"/>
  <c r="E893" i="56"/>
  <c r="E894" i="56"/>
  <c r="E895" i="56"/>
  <c r="E896" i="56"/>
  <c r="E897" i="56"/>
  <c r="E898" i="56"/>
  <c r="E899" i="56"/>
  <c r="E900" i="56"/>
  <c r="E901" i="56"/>
  <c r="E902" i="56"/>
  <c r="E903" i="56"/>
  <c r="E904" i="56"/>
  <c r="E905" i="56"/>
  <c r="E906" i="56"/>
  <c r="E907" i="56"/>
  <c r="E908" i="56"/>
  <c r="E909" i="56"/>
  <c r="E910" i="56"/>
  <c r="E911" i="56"/>
  <c r="E912" i="56"/>
  <c r="E913" i="56"/>
  <c r="E914" i="56"/>
  <c r="E915" i="56"/>
  <c r="E916" i="56"/>
  <c r="E917" i="56"/>
  <c r="E918" i="56"/>
  <c r="E919" i="56"/>
  <c r="E920" i="56"/>
  <c r="E921" i="56"/>
  <c r="E922" i="56"/>
  <c r="E923" i="56"/>
  <c r="E924" i="56"/>
  <c r="E925" i="56"/>
  <c r="E926" i="56"/>
  <c r="E927" i="56"/>
  <c r="E928" i="56"/>
  <c r="E929" i="56"/>
  <c r="E930" i="56"/>
  <c r="E931" i="56"/>
  <c r="E932" i="56"/>
  <c r="E933" i="56"/>
  <c r="E934" i="56"/>
  <c r="E935" i="56"/>
  <c r="E936" i="56"/>
  <c r="E937" i="56"/>
  <c r="E938" i="56"/>
  <c r="E939" i="56"/>
  <c r="E940" i="56"/>
  <c r="E941" i="56"/>
  <c r="E942" i="56"/>
  <c r="E943" i="56"/>
  <c r="E944" i="56"/>
  <c r="E945" i="56"/>
  <c r="E946" i="56"/>
  <c r="E947" i="56"/>
  <c r="E948" i="56"/>
  <c r="E949" i="56"/>
  <c r="E950" i="56"/>
  <c r="E951" i="56"/>
  <c r="E952" i="56"/>
  <c r="E953" i="56"/>
  <c r="E954" i="56"/>
  <c r="E955" i="56"/>
  <c r="E956" i="56"/>
  <c r="E957" i="56"/>
  <c r="E958" i="56"/>
  <c r="E959" i="56"/>
  <c r="E960" i="56"/>
  <c r="E961" i="56"/>
  <c r="E962" i="56"/>
  <c r="E963" i="56"/>
  <c r="E964" i="56"/>
  <c r="E965" i="56"/>
  <c r="E966" i="56"/>
  <c r="E967" i="56"/>
  <c r="E968" i="56"/>
  <c r="E969" i="56"/>
  <c r="E970" i="56"/>
  <c r="E971" i="56"/>
  <c r="E972" i="56"/>
  <c r="E973" i="56"/>
  <c r="E974" i="56"/>
  <c r="E975" i="56"/>
  <c r="E976" i="56"/>
  <c r="E977" i="56"/>
  <c r="E978" i="56"/>
  <c r="E979" i="56"/>
  <c r="E980" i="56"/>
  <c r="E981" i="56"/>
  <c r="E982" i="56"/>
  <c r="E983" i="56"/>
  <c r="E984" i="56"/>
  <c r="E985" i="56"/>
  <c r="E986" i="56"/>
  <c r="E987" i="56"/>
  <c r="E988" i="56"/>
  <c r="E989" i="56"/>
  <c r="E990" i="56"/>
  <c r="E991" i="56"/>
  <c r="E992" i="56"/>
  <c r="E993" i="56"/>
  <c r="E994" i="56"/>
  <c r="E995" i="56"/>
  <c r="E996" i="56"/>
  <c r="E997" i="56"/>
  <c r="E998" i="56"/>
  <c r="E999" i="56"/>
  <c r="E1000" i="56"/>
  <c r="E1001" i="56"/>
  <c r="E1002" i="56"/>
  <c r="E1003" i="56"/>
  <c r="E1004" i="56"/>
  <c r="E1005" i="56"/>
  <c r="E1006" i="56"/>
  <c r="E1007" i="56"/>
  <c r="E1008" i="56"/>
  <c r="E1009" i="56"/>
  <c r="E1010" i="56"/>
  <c r="E1011" i="56"/>
  <c r="E1012" i="56"/>
  <c r="E1013" i="56"/>
  <c r="E1014" i="56"/>
  <c r="E1015" i="56"/>
  <c r="E1016" i="56"/>
  <c r="E1017" i="56"/>
  <c r="E1018" i="56"/>
  <c r="E1019" i="56"/>
  <c r="E1020" i="56"/>
  <c r="E1021" i="56"/>
  <c r="E1022" i="56"/>
  <c r="E1023" i="56"/>
  <c r="E1024" i="56"/>
  <c r="E1025" i="56"/>
  <c r="E1026" i="56"/>
  <c r="E1027" i="56"/>
  <c r="E582" i="56"/>
  <c r="E561" i="56"/>
  <c r="E562" i="56"/>
  <c r="E563" i="56"/>
  <c r="E564" i="56"/>
  <c r="E565" i="56"/>
  <c r="E566" i="56"/>
  <c r="E567" i="56"/>
  <c r="E568" i="56"/>
  <c r="E569" i="56"/>
  <c r="E570" i="56"/>
  <c r="E571" i="56"/>
  <c r="E572" i="56"/>
  <c r="E573" i="56"/>
  <c r="E574" i="56"/>
  <c r="E575" i="56"/>
  <c r="E576" i="56"/>
  <c r="E577" i="56"/>
  <c r="E578" i="56"/>
  <c r="E579" i="56"/>
  <c r="E580" i="56"/>
  <c r="E560" i="56"/>
  <c r="B584" i="56"/>
  <c r="B585" i="56"/>
  <c r="B586" i="56"/>
  <c r="B587" i="56"/>
  <c r="B588" i="56"/>
  <c r="B589" i="56"/>
  <c r="B590" i="56"/>
  <c r="B591" i="56"/>
  <c r="B592" i="56"/>
  <c r="B593" i="56"/>
  <c r="B594" i="56"/>
  <c r="B595" i="56"/>
  <c r="B596" i="56"/>
  <c r="B597" i="56"/>
  <c r="B598" i="56"/>
  <c r="B599" i="56"/>
  <c r="B600" i="56"/>
  <c r="B601" i="56"/>
  <c r="B602" i="56"/>
  <c r="B603" i="56"/>
  <c r="B604" i="56"/>
  <c r="B605" i="56"/>
  <c r="B606" i="56"/>
  <c r="B607" i="56"/>
  <c r="B608" i="56"/>
  <c r="B609" i="56"/>
  <c r="B610" i="56"/>
  <c r="B611" i="56"/>
  <c r="B612" i="56"/>
  <c r="B613" i="56"/>
  <c r="B614" i="56"/>
  <c r="B615" i="56"/>
  <c r="B616" i="56"/>
  <c r="B617" i="56"/>
  <c r="B618" i="56"/>
  <c r="B619" i="56"/>
  <c r="B620" i="56"/>
  <c r="B621" i="56"/>
  <c r="B622" i="56"/>
  <c r="B623" i="56"/>
  <c r="B624" i="56"/>
  <c r="B625" i="56"/>
  <c r="B626" i="56"/>
  <c r="B627" i="56"/>
  <c r="B628" i="56"/>
  <c r="B629" i="56"/>
  <c r="B630" i="56"/>
  <c r="B631" i="56"/>
  <c r="B632" i="56"/>
  <c r="B633" i="56"/>
  <c r="B634" i="56"/>
  <c r="B635" i="56"/>
  <c r="B636" i="56"/>
  <c r="B637" i="56"/>
  <c r="B638" i="56"/>
  <c r="B639" i="56"/>
  <c r="B640" i="56"/>
  <c r="B641" i="56"/>
  <c r="B642" i="56"/>
  <c r="B643" i="56"/>
  <c r="B644" i="56"/>
  <c r="B645" i="56"/>
  <c r="B646" i="56"/>
  <c r="B647" i="56"/>
  <c r="B648" i="56"/>
  <c r="B649" i="56"/>
  <c r="B650" i="56"/>
  <c r="B651" i="56"/>
  <c r="B652" i="56"/>
  <c r="B653" i="56"/>
  <c r="B654" i="56"/>
  <c r="B655" i="56"/>
  <c r="B656" i="56"/>
  <c r="B657" i="56"/>
  <c r="B658" i="56"/>
  <c r="B659" i="56"/>
  <c r="B660" i="56"/>
  <c r="B661" i="56"/>
  <c r="B662" i="56"/>
  <c r="B663" i="56"/>
  <c r="B664" i="56"/>
  <c r="B665" i="56"/>
  <c r="B666" i="56"/>
  <c r="B667" i="56"/>
  <c r="B668" i="56"/>
  <c r="B669" i="56"/>
  <c r="B670" i="56"/>
  <c r="B671" i="56"/>
  <c r="B672" i="56"/>
  <c r="B673" i="56"/>
  <c r="B674" i="56"/>
  <c r="B675" i="56"/>
  <c r="B676" i="56"/>
  <c r="B677" i="56"/>
  <c r="B678" i="56"/>
  <c r="B679" i="56"/>
  <c r="B680" i="56"/>
  <c r="B681" i="56"/>
  <c r="B682" i="56"/>
  <c r="B683" i="56"/>
  <c r="B684" i="56"/>
  <c r="B685" i="56"/>
  <c r="B686" i="56"/>
  <c r="B687" i="56"/>
  <c r="B688" i="56"/>
  <c r="B689" i="56"/>
  <c r="B690" i="56"/>
  <c r="B691" i="56"/>
  <c r="B692" i="56"/>
  <c r="B693" i="56"/>
  <c r="B694" i="56"/>
  <c r="B695" i="56"/>
  <c r="B696" i="56"/>
  <c r="B697" i="56"/>
  <c r="B698" i="56"/>
  <c r="B699" i="56"/>
  <c r="B700" i="56"/>
  <c r="B701" i="56"/>
  <c r="B702" i="56"/>
  <c r="B703" i="56"/>
  <c r="B704" i="56"/>
  <c r="B705" i="56"/>
  <c r="B706" i="56"/>
  <c r="B707" i="56"/>
  <c r="B708" i="56"/>
  <c r="B709" i="56"/>
  <c r="B710" i="56"/>
  <c r="B711" i="56"/>
  <c r="B712" i="56"/>
  <c r="B713" i="56"/>
  <c r="B714" i="56"/>
  <c r="B715" i="56"/>
  <c r="B716" i="56"/>
  <c r="B717" i="56"/>
  <c r="B718" i="56"/>
  <c r="B719" i="56"/>
  <c r="B720" i="56"/>
  <c r="B721" i="56"/>
  <c r="B722" i="56"/>
  <c r="B723" i="56"/>
  <c r="B724" i="56"/>
  <c r="B725" i="56"/>
  <c r="B726" i="56"/>
  <c r="B727" i="56"/>
  <c r="B728" i="56"/>
  <c r="B729" i="56"/>
  <c r="B730" i="56"/>
  <c r="B731" i="56"/>
  <c r="B732" i="56"/>
  <c r="B733" i="56"/>
  <c r="B734" i="56"/>
  <c r="B735" i="56"/>
  <c r="B736" i="56"/>
  <c r="B737" i="56"/>
  <c r="B738" i="56"/>
  <c r="B739" i="56"/>
  <c r="B740" i="56"/>
  <c r="B741" i="56"/>
  <c r="B742" i="56"/>
  <c r="B743" i="56"/>
  <c r="B744" i="56"/>
  <c r="B745" i="56"/>
  <c r="B746" i="56"/>
  <c r="B747" i="56"/>
  <c r="B748" i="56"/>
  <c r="B749" i="56"/>
  <c r="B750" i="56"/>
  <c r="B751" i="56"/>
  <c r="B752" i="56"/>
  <c r="B753" i="56"/>
  <c r="B754" i="56"/>
  <c r="B755" i="56"/>
  <c r="B756" i="56"/>
  <c r="B757" i="56"/>
  <c r="B758" i="56"/>
  <c r="B759" i="56"/>
  <c r="B760" i="56"/>
  <c r="B761" i="56"/>
  <c r="B762" i="56"/>
  <c r="B763" i="56"/>
  <c r="B764" i="56"/>
  <c r="B765" i="56"/>
  <c r="B766" i="56"/>
  <c r="B767" i="56"/>
  <c r="B768" i="56"/>
  <c r="B769" i="56"/>
  <c r="B770" i="56"/>
  <c r="B771" i="56"/>
  <c r="B772" i="56"/>
  <c r="B773" i="56"/>
  <c r="B774" i="56"/>
  <c r="B775" i="56"/>
  <c r="B776" i="56"/>
  <c r="B777" i="56"/>
  <c r="B778" i="56"/>
  <c r="B779" i="56"/>
  <c r="B780" i="56"/>
  <c r="B781" i="56"/>
  <c r="B782" i="56"/>
  <c r="B783" i="56"/>
  <c r="B784" i="56"/>
  <c r="B785" i="56"/>
  <c r="B786" i="56"/>
  <c r="B787" i="56"/>
  <c r="B788" i="56"/>
  <c r="B789" i="56"/>
  <c r="B790" i="56"/>
  <c r="B791" i="56"/>
  <c r="B792" i="56"/>
  <c r="B793" i="56"/>
  <c r="B794" i="56"/>
  <c r="B795" i="56"/>
  <c r="B796" i="56"/>
  <c r="B797" i="56"/>
  <c r="B798" i="56"/>
  <c r="B799" i="56"/>
  <c r="B800" i="56"/>
  <c r="B801" i="56"/>
  <c r="B802" i="56"/>
  <c r="B803" i="56"/>
  <c r="B804" i="56"/>
  <c r="B805" i="56"/>
  <c r="B806" i="56"/>
  <c r="B807" i="56"/>
  <c r="B808" i="56"/>
  <c r="B809" i="56"/>
  <c r="B810" i="56"/>
  <c r="B811" i="56"/>
  <c r="B812" i="56"/>
  <c r="B813" i="56"/>
  <c r="B814" i="56"/>
  <c r="B815" i="56"/>
  <c r="B816" i="56"/>
  <c r="B817" i="56"/>
  <c r="B818" i="56"/>
  <c r="B819" i="56"/>
  <c r="B820" i="56"/>
  <c r="B821" i="56"/>
  <c r="B822" i="56"/>
  <c r="B823" i="56"/>
  <c r="B824" i="56"/>
  <c r="B825" i="56"/>
  <c r="B826" i="56"/>
  <c r="B827" i="56"/>
  <c r="B828" i="56"/>
  <c r="B829" i="56"/>
  <c r="B830" i="56"/>
  <c r="B831" i="56"/>
  <c r="B832" i="56"/>
  <c r="B833" i="56"/>
  <c r="B834" i="56"/>
  <c r="B835" i="56"/>
  <c r="B836" i="56"/>
  <c r="B837" i="56"/>
  <c r="B838" i="56"/>
  <c r="B839" i="56"/>
  <c r="B840" i="56"/>
  <c r="B841" i="56"/>
  <c r="B842" i="56"/>
  <c r="B843" i="56"/>
  <c r="B844" i="56"/>
  <c r="B845" i="56"/>
  <c r="B846" i="56"/>
  <c r="B847" i="56"/>
  <c r="B848" i="56"/>
  <c r="B849" i="56"/>
  <c r="B850" i="56"/>
  <c r="B851" i="56"/>
  <c r="B852" i="56"/>
  <c r="B853" i="56"/>
  <c r="B854" i="56"/>
  <c r="B855" i="56"/>
  <c r="B856" i="56"/>
  <c r="B857" i="56"/>
  <c r="B858" i="56"/>
  <c r="B859" i="56"/>
  <c r="B860" i="56"/>
  <c r="B861" i="56"/>
  <c r="B862" i="56"/>
  <c r="B863" i="56"/>
  <c r="B864" i="56"/>
  <c r="B865" i="56"/>
  <c r="B866" i="56"/>
  <c r="B867" i="56"/>
  <c r="B868" i="56"/>
  <c r="B869" i="56"/>
  <c r="B870" i="56"/>
  <c r="B871" i="56"/>
  <c r="B872" i="56"/>
  <c r="B873" i="56"/>
  <c r="B874" i="56"/>
  <c r="B875" i="56"/>
  <c r="B876" i="56"/>
  <c r="B877" i="56"/>
  <c r="B878" i="56"/>
  <c r="B879" i="56"/>
  <c r="B880" i="56"/>
  <c r="B881" i="56"/>
  <c r="B882" i="56"/>
  <c r="B883" i="56"/>
  <c r="B884" i="56"/>
  <c r="B885" i="56"/>
  <c r="B886" i="56"/>
  <c r="B887" i="56"/>
  <c r="B888" i="56"/>
  <c r="B889" i="56"/>
  <c r="B890" i="56"/>
  <c r="B891" i="56"/>
  <c r="B892" i="56"/>
  <c r="B893" i="56"/>
  <c r="B894" i="56"/>
  <c r="B895" i="56"/>
  <c r="B896" i="56"/>
  <c r="B897" i="56"/>
  <c r="B898" i="56"/>
  <c r="B899" i="56"/>
  <c r="B900" i="56"/>
  <c r="B901" i="56"/>
  <c r="B902" i="56"/>
  <c r="B903" i="56"/>
  <c r="B904" i="56"/>
  <c r="B905" i="56"/>
  <c r="B906" i="56"/>
  <c r="B907" i="56"/>
  <c r="B908" i="56"/>
  <c r="B909" i="56"/>
  <c r="B910" i="56"/>
  <c r="B911" i="56"/>
  <c r="B912" i="56"/>
  <c r="B913" i="56"/>
  <c r="B914" i="56"/>
  <c r="B915" i="56"/>
  <c r="B916" i="56"/>
  <c r="B917" i="56"/>
  <c r="B918" i="56"/>
  <c r="B919" i="56"/>
  <c r="B920" i="56"/>
  <c r="B921" i="56"/>
  <c r="B922" i="56"/>
  <c r="B923" i="56"/>
  <c r="B924" i="56"/>
  <c r="B925" i="56"/>
  <c r="B926" i="56"/>
  <c r="B927" i="56"/>
  <c r="B928" i="56"/>
  <c r="B929" i="56"/>
  <c r="B930" i="56"/>
  <c r="B931" i="56"/>
  <c r="B932" i="56"/>
  <c r="B933" i="56"/>
  <c r="B934" i="56"/>
  <c r="B935" i="56"/>
  <c r="B936" i="56"/>
  <c r="B937" i="56"/>
  <c r="B938" i="56"/>
  <c r="B939" i="56"/>
  <c r="B940" i="56"/>
  <c r="B941" i="56"/>
  <c r="B942" i="56"/>
  <c r="B943" i="56"/>
  <c r="B944" i="56"/>
  <c r="B945" i="56"/>
  <c r="B946" i="56"/>
  <c r="B947" i="56"/>
  <c r="B948" i="56"/>
  <c r="B949" i="56"/>
  <c r="B950" i="56"/>
  <c r="B951" i="56"/>
  <c r="B952" i="56"/>
  <c r="B953" i="56"/>
  <c r="B954" i="56"/>
  <c r="B955" i="56"/>
  <c r="B956" i="56"/>
  <c r="B957" i="56"/>
  <c r="B958" i="56"/>
  <c r="B959" i="56"/>
  <c r="B960" i="56"/>
  <c r="B961" i="56"/>
  <c r="B962" i="56"/>
  <c r="B963" i="56"/>
  <c r="B964" i="56"/>
  <c r="B965" i="56"/>
  <c r="B966" i="56"/>
  <c r="B967" i="56"/>
  <c r="B968" i="56"/>
  <c r="B969" i="56"/>
  <c r="B970" i="56"/>
  <c r="B971" i="56"/>
  <c r="B972" i="56"/>
  <c r="B973" i="56"/>
  <c r="B974" i="56"/>
  <c r="B975" i="56"/>
  <c r="B976" i="56"/>
  <c r="B977" i="56"/>
  <c r="B978" i="56"/>
  <c r="B583" i="56"/>
  <c r="B562" i="56"/>
  <c r="B563" i="56"/>
  <c r="B564" i="56"/>
  <c r="B565" i="56"/>
  <c r="B566" i="56"/>
  <c r="B567" i="56"/>
  <c r="B568" i="56"/>
  <c r="B569" i="56"/>
  <c r="B570" i="56"/>
  <c r="B571" i="56"/>
  <c r="B572" i="56"/>
  <c r="B573" i="56"/>
  <c r="B574" i="56"/>
  <c r="B575" i="56"/>
  <c r="B576" i="56"/>
  <c r="B577" i="56"/>
  <c r="B578" i="56"/>
  <c r="B579" i="56"/>
  <c r="B580" i="56"/>
  <c r="B581" i="56"/>
  <c r="B561" i="56"/>
  <c r="M565" i="56"/>
  <c r="M567" i="56"/>
  <c r="M575" i="56"/>
  <c r="M708" i="56"/>
  <c r="I565" i="56"/>
  <c r="I567" i="56"/>
  <c r="I575" i="56"/>
  <c r="I708" i="56"/>
  <c r="F565" i="56"/>
  <c r="F567" i="56"/>
  <c r="F575" i="56"/>
  <c r="F748" i="56"/>
  <c r="C564" i="56"/>
  <c r="C566" i="56"/>
  <c r="C574" i="56"/>
  <c r="C667" i="56"/>
  <c r="F173" i="63"/>
  <c r="F142" i="63"/>
  <c r="F104" i="63"/>
  <c r="E358" i="40"/>
  <c r="E357" i="40"/>
  <c r="E356" i="40"/>
  <c r="E355" i="40"/>
  <c r="D354" i="40"/>
  <c r="F172" i="63" s="1"/>
  <c r="D353" i="40"/>
  <c r="F171" i="63" s="1"/>
  <c r="E352" i="40"/>
  <c r="D351" i="40"/>
  <c r="F166" i="63" s="1"/>
  <c r="E349" i="40"/>
  <c r="E326" i="40"/>
  <c r="E325" i="40"/>
  <c r="E324" i="40"/>
  <c r="E323" i="40"/>
  <c r="D322" i="40"/>
  <c r="E320" i="40"/>
  <c r="D319" i="40"/>
  <c r="E317" i="40"/>
  <c r="E231" i="40"/>
  <c r="E230" i="40"/>
  <c r="E229" i="40"/>
  <c r="D227" i="40"/>
  <c r="F102" i="63" s="1"/>
  <c r="E225" i="40"/>
  <c r="E222" i="40"/>
  <c r="L68" i="63" l="1"/>
  <c r="I60" i="63"/>
  <c r="I59" i="63"/>
  <c r="I57" i="63"/>
  <c r="D290" i="62" s="1"/>
  <c r="I58" i="63"/>
  <c r="D291" i="62" s="1"/>
  <c r="I209" i="87"/>
  <c r="AA209" i="87"/>
  <c r="AA208" i="87"/>
  <c r="AA207" i="87"/>
  <c r="AA205" i="87"/>
  <c r="X209" i="87"/>
  <c r="X208" i="87"/>
  <c r="X207" i="87"/>
  <c r="X205" i="87"/>
  <c r="U208" i="87"/>
  <c r="U209" i="87"/>
  <c r="U207" i="87"/>
  <c r="U205" i="87"/>
  <c r="R209" i="87"/>
  <c r="R208" i="87"/>
  <c r="R207" i="87"/>
  <c r="R205" i="87"/>
  <c r="O209" i="87"/>
  <c r="O207" i="87"/>
  <c r="O205" i="87"/>
  <c r="L209" i="87"/>
  <c r="L208" i="87"/>
  <c r="L207" i="87"/>
  <c r="L205" i="87"/>
  <c r="I208" i="87"/>
  <c r="I207" i="87"/>
  <c r="I205" i="87"/>
  <c r="L70" i="63" a="1"/>
  <c r="L70" i="63" s="1"/>
  <c r="L69" i="63"/>
  <c r="L67" i="63"/>
  <c r="L66" i="63"/>
  <c r="L65" i="63"/>
  <c r="J29" i="33"/>
  <c r="D10" i="97" s="1"/>
  <c r="K29" i="33"/>
  <c r="J28" i="33"/>
  <c r="D16" i="97" s="1"/>
  <c r="K28" i="33"/>
  <c r="D280" i="62" l="1"/>
  <c r="D13" i="97"/>
  <c r="D282" i="62"/>
  <c r="D18" i="97"/>
  <c r="D281" i="62"/>
  <c r="D17" i="97"/>
  <c r="D288" i="62"/>
  <c r="D11" i="97"/>
  <c r="D283" i="62"/>
  <c r="D14" i="97"/>
  <c r="D289" i="62"/>
  <c r="D12" i="97"/>
  <c r="D284" i="62"/>
  <c r="D15" i="97"/>
  <c r="G262" i="88"/>
  <c r="G324" i="88"/>
  <c r="G323" i="88"/>
  <c r="G322" i="88"/>
  <c r="G384" i="88"/>
  <c r="G383" i="88"/>
  <c r="G382" i="88"/>
  <c r="G381" i="88"/>
  <c r="G444" i="88"/>
  <c r="G443" i="88"/>
  <c r="G442" i="88"/>
  <c r="G504" i="88"/>
  <c r="G503" i="88"/>
  <c r="G502" i="88"/>
  <c r="G561" i="88"/>
  <c r="G562" i="88"/>
  <c r="G563" i="88"/>
  <c r="G622" i="88"/>
  <c r="G623" i="88"/>
  <c r="G621" i="88"/>
  <c r="G261" i="88"/>
  <c r="G260" i="88"/>
  <c r="G264" i="88"/>
  <c r="G263" i="88"/>
  <c r="G259" i="88"/>
  <c r="K16" i="33"/>
  <c r="R245" i="63" l="1"/>
  <c r="R244" i="63"/>
  <c r="R246" i="63"/>
  <c r="D288" i="65"/>
  <c r="C288" i="65"/>
  <c r="D347" i="65"/>
  <c r="C347" i="65"/>
  <c r="C359" i="65"/>
  <c r="C339" i="65"/>
  <c r="C354" i="65"/>
  <c r="R56" i="63" l="1"/>
  <c r="O51" i="63"/>
  <c r="O48" i="63"/>
  <c r="R57" i="63"/>
  <c r="D36" i="95" s="1"/>
  <c r="R58" i="63"/>
  <c r="D54" i="95" s="1"/>
  <c r="R59" i="63"/>
  <c r="D59" i="95" s="1"/>
  <c r="C24" i="95"/>
  <c r="C30" i="95"/>
  <c r="C31" i="95"/>
  <c r="C36" i="95"/>
  <c r="D37" i="95"/>
  <c r="D38" i="95"/>
  <c r="C46" i="95"/>
  <c r="C47" i="95"/>
  <c r="C48" i="95"/>
  <c r="C49" i="95"/>
  <c r="C54" i="95"/>
  <c r="C59" i="95"/>
  <c r="C72" i="95"/>
  <c r="O54" i="63" l="1"/>
  <c r="D141" i="67" s="1"/>
  <c r="L16" i="63"/>
  <c r="D121" i="62" s="1" a="1"/>
  <c r="D121" i="62" s="1"/>
  <c r="C280" i="65"/>
  <c r="F105" i="87" l="1"/>
  <c r="D117" i="65" s="1"/>
  <c r="I105" i="87"/>
  <c r="D134" i="65" s="1"/>
  <c r="L105" i="87"/>
  <c r="D151" i="65" s="1"/>
  <c r="O105" i="87"/>
  <c r="D168" i="65" s="1"/>
  <c r="R105" i="87"/>
  <c r="D185" i="65" s="1"/>
  <c r="U105" i="87"/>
  <c r="D202" i="65" s="1"/>
  <c r="X105" i="87"/>
  <c r="D219" i="65" s="1"/>
  <c r="AA105" i="87"/>
  <c r="D236" i="65" s="1"/>
  <c r="F259" i="87" l="1"/>
  <c r="F258" i="87"/>
  <c r="F257" i="87"/>
  <c r="F256" i="87"/>
  <c r="F255" i="87"/>
  <c r="F245" i="87"/>
  <c r="F244" i="87"/>
  <c r="F243" i="87"/>
  <c r="F241" i="87"/>
  <c r="F242" i="87"/>
  <c r="C9" i="92" l="1"/>
  <c r="R39" i="92"/>
  <c r="Q39" i="92"/>
  <c r="P39" i="92"/>
  <c r="O39" i="92"/>
  <c r="N39" i="92"/>
  <c r="M39" i="92"/>
  <c r="L39" i="92"/>
  <c r="K39" i="92"/>
  <c r="J39" i="92"/>
  <c r="I39" i="92"/>
  <c r="H39" i="92"/>
  <c r="G39" i="92"/>
  <c r="F39" i="92"/>
  <c r="E39" i="92"/>
  <c r="D39" i="92"/>
  <c r="C39" i="92"/>
  <c r="R38" i="92"/>
  <c r="Q38" i="92"/>
  <c r="P38" i="92"/>
  <c r="O38" i="92"/>
  <c r="N38" i="92"/>
  <c r="M38" i="92"/>
  <c r="L38" i="92"/>
  <c r="K38" i="92"/>
  <c r="J38" i="92"/>
  <c r="I38" i="92"/>
  <c r="H38" i="92"/>
  <c r="G38" i="92"/>
  <c r="F38" i="92"/>
  <c r="E38" i="92"/>
  <c r="D38" i="92"/>
  <c r="C38" i="92"/>
  <c r="R270" i="92"/>
  <c r="Q270" i="92"/>
  <c r="P270" i="92"/>
  <c r="O270" i="92"/>
  <c r="N270" i="92"/>
  <c r="M270" i="92"/>
  <c r="L270" i="92"/>
  <c r="K270" i="92"/>
  <c r="J270" i="92"/>
  <c r="I270" i="92"/>
  <c r="H270" i="92"/>
  <c r="G270" i="92"/>
  <c r="F270" i="92"/>
  <c r="E270" i="92"/>
  <c r="D270" i="92"/>
  <c r="C270" i="92"/>
  <c r="R269" i="92"/>
  <c r="Q269" i="92"/>
  <c r="P269" i="92"/>
  <c r="O269" i="92"/>
  <c r="N269" i="92"/>
  <c r="M269" i="92"/>
  <c r="L269" i="92"/>
  <c r="K269" i="92"/>
  <c r="J269" i="92"/>
  <c r="I269" i="92"/>
  <c r="H269" i="92"/>
  <c r="G269" i="92"/>
  <c r="F269" i="92"/>
  <c r="E269" i="92"/>
  <c r="D269" i="92"/>
  <c r="C269" i="92"/>
  <c r="R237" i="92"/>
  <c r="Q237" i="92"/>
  <c r="P237" i="92"/>
  <c r="O237" i="92"/>
  <c r="N237" i="92"/>
  <c r="M237" i="92"/>
  <c r="L237" i="92"/>
  <c r="K237" i="92"/>
  <c r="J237" i="92"/>
  <c r="I237" i="92"/>
  <c r="H237" i="92"/>
  <c r="G237" i="92"/>
  <c r="F237" i="92"/>
  <c r="E237" i="92"/>
  <c r="D237" i="92"/>
  <c r="C237" i="92"/>
  <c r="R236" i="92"/>
  <c r="Q236" i="92"/>
  <c r="P236" i="92"/>
  <c r="O236" i="92"/>
  <c r="N236" i="92"/>
  <c r="M236" i="92"/>
  <c r="L236" i="92"/>
  <c r="K236" i="92"/>
  <c r="J236" i="92"/>
  <c r="I236" i="92"/>
  <c r="H236" i="92"/>
  <c r="G236" i="92"/>
  <c r="F236" i="92"/>
  <c r="E236" i="92"/>
  <c r="D236" i="92"/>
  <c r="C236" i="92"/>
  <c r="R204" i="92"/>
  <c r="Q204" i="92"/>
  <c r="P204" i="92"/>
  <c r="O204" i="92"/>
  <c r="N204" i="92"/>
  <c r="M204" i="92"/>
  <c r="L204" i="92"/>
  <c r="K204" i="92"/>
  <c r="J204" i="92"/>
  <c r="I204" i="92"/>
  <c r="H204" i="92"/>
  <c r="G204" i="92"/>
  <c r="F204" i="92"/>
  <c r="E204" i="92"/>
  <c r="D204" i="92"/>
  <c r="C204" i="92"/>
  <c r="R203" i="92"/>
  <c r="Q203" i="92"/>
  <c r="P203" i="92"/>
  <c r="O203" i="92"/>
  <c r="N203" i="92"/>
  <c r="M203" i="92"/>
  <c r="L203" i="92"/>
  <c r="K203" i="92"/>
  <c r="J203" i="92"/>
  <c r="I203" i="92"/>
  <c r="H203" i="92"/>
  <c r="G203" i="92"/>
  <c r="F203" i="92"/>
  <c r="E203" i="92"/>
  <c r="D203" i="92"/>
  <c r="C203" i="92"/>
  <c r="R171" i="92"/>
  <c r="Q171" i="92"/>
  <c r="P171" i="92"/>
  <c r="O171" i="92"/>
  <c r="N171" i="92"/>
  <c r="M171" i="92"/>
  <c r="L171" i="92"/>
  <c r="K171" i="92"/>
  <c r="J171" i="92"/>
  <c r="I171" i="92"/>
  <c r="H171" i="92"/>
  <c r="G171" i="92"/>
  <c r="F171" i="92"/>
  <c r="E171" i="92"/>
  <c r="D171" i="92"/>
  <c r="C171" i="92"/>
  <c r="R170" i="92"/>
  <c r="Q170" i="92"/>
  <c r="P170" i="92"/>
  <c r="O170" i="92"/>
  <c r="N170" i="92"/>
  <c r="M170" i="92"/>
  <c r="L170" i="92"/>
  <c r="K170" i="92"/>
  <c r="J170" i="92"/>
  <c r="I170" i="92"/>
  <c r="H170" i="92"/>
  <c r="G170" i="92"/>
  <c r="F170" i="92"/>
  <c r="E170" i="92"/>
  <c r="D170" i="92"/>
  <c r="C170" i="92"/>
  <c r="R138" i="92"/>
  <c r="Q138" i="92"/>
  <c r="P138" i="92"/>
  <c r="O138" i="92"/>
  <c r="N138" i="92"/>
  <c r="M138" i="92"/>
  <c r="L138" i="92"/>
  <c r="K138" i="92"/>
  <c r="J138" i="92"/>
  <c r="I138" i="92"/>
  <c r="H138" i="92"/>
  <c r="G138" i="92"/>
  <c r="F138" i="92"/>
  <c r="E138" i="92"/>
  <c r="D138" i="92"/>
  <c r="C138" i="92"/>
  <c r="R137" i="92"/>
  <c r="Q137" i="92"/>
  <c r="P137" i="92"/>
  <c r="O137" i="92"/>
  <c r="N137" i="92"/>
  <c r="M137" i="92"/>
  <c r="L137" i="92"/>
  <c r="K137" i="92"/>
  <c r="J137" i="92"/>
  <c r="I137" i="92"/>
  <c r="H137" i="92"/>
  <c r="G137" i="92"/>
  <c r="F137" i="92"/>
  <c r="E137" i="92"/>
  <c r="D137" i="92"/>
  <c r="C137" i="92"/>
  <c r="R105" i="92"/>
  <c r="Q105" i="92"/>
  <c r="P105" i="92"/>
  <c r="O105" i="92"/>
  <c r="N105" i="92"/>
  <c r="M105" i="92"/>
  <c r="L105" i="92"/>
  <c r="K105" i="92"/>
  <c r="J105" i="92"/>
  <c r="I105" i="92"/>
  <c r="H105" i="92"/>
  <c r="G105" i="92"/>
  <c r="F105" i="92"/>
  <c r="E105" i="92"/>
  <c r="D105" i="92"/>
  <c r="C105" i="92"/>
  <c r="R104" i="92"/>
  <c r="Q104" i="92"/>
  <c r="P104" i="92"/>
  <c r="O104" i="92"/>
  <c r="N104" i="92"/>
  <c r="M104" i="92"/>
  <c r="L104" i="92"/>
  <c r="K104" i="92"/>
  <c r="J104" i="92"/>
  <c r="I104" i="92"/>
  <c r="H104" i="92"/>
  <c r="G104" i="92"/>
  <c r="F104" i="92"/>
  <c r="E104" i="92"/>
  <c r="D104" i="92"/>
  <c r="C104" i="92"/>
  <c r="R72" i="92"/>
  <c r="Q72" i="92"/>
  <c r="P72" i="92"/>
  <c r="O72" i="92"/>
  <c r="N72" i="92"/>
  <c r="M72" i="92"/>
  <c r="L72" i="92"/>
  <c r="K72" i="92"/>
  <c r="J72" i="92"/>
  <c r="I72" i="92"/>
  <c r="H72" i="92"/>
  <c r="G72" i="92"/>
  <c r="F72" i="92"/>
  <c r="E72" i="92"/>
  <c r="D72" i="92"/>
  <c r="C72" i="92"/>
  <c r="R71" i="92"/>
  <c r="Q71" i="92"/>
  <c r="P71" i="92"/>
  <c r="O71" i="92"/>
  <c r="N71" i="92"/>
  <c r="M71" i="92"/>
  <c r="L71" i="92"/>
  <c r="K71" i="92"/>
  <c r="J71" i="92"/>
  <c r="I71" i="92"/>
  <c r="H71" i="92"/>
  <c r="G71" i="92"/>
  <c r="F71" i="92"/>
  <c r="E71" i="92"/>
  <c r="D71" i="92"/>
  <c r="C71" i="92"/>
  <c r="C245" i="87" l="1"/>
  <c r="C244" i="87"/>
  <c r="C243" i="87"/>
  <c r="C242" i="87"/>
  <c r="C241" i="87"/>
  <c r="C286" i="87"/>
  <c r="C285" i="87"/>
  <c r="C284" i="87"/>
  <c r="C283" i="87"/>
  <c r="C273" i="87"/>
  <c r="C272" i="87"/>
  <c r="C271" i="87"/>
  <c r="C270" i="87"/>
  <c r="C259" i="87"/>
  <c r="C255" i="87"/>
  <c r="C256" i="87"/>
  <c r="C258" i="87"/>
  <c r="C257" i="87"/>
  <c r="F127" i="63" l="1"/>
  <c r="F158" i="63"/>
  <c r="D338" i="65" s="1"/>
  <c r="L14" i="63"/>
  <c r="D36" i="97" s="1"/>
  <c r="X14" i="63"/>
  <c r="AA25" i="87"/>
  <c r="G264" i="92" s="1"/>
  <c r="F14" i="87"/>
  <c r="D419" i="65" l="1"/>
  <c r="D438" i="65"/>
  <c r="C405" i="65"/>
  <c r="D362" i="88" l="1"/>
  <c r="D363" i="88"/>
  <c r="D364" i="88"/>
  <c r="D365" i="88"/>
  <c r="D366" i="88"/>
  <c r="D367" i="88"/>
  <c r="D368" i="88"/>
  <c r="D369" i="88"/>
  <c r="D370" i="88"/>
  <c r="D371" i="88"/>
  <c r="D372" i="88"/>
  <c r="D373" i="88"/>
  <c r="D374" i="88"/>
  <c r="D375" i="88"/>
  <c r="D376" i="88"/>
  <c r="D377" i="88"/>
  <c r="D455" i="65" l="1"/>
  <c r="D379" i="62"/>
  <c r="D465" i="65" a="1"/>
  <c r="D465" i="65" s="1"/>
  <c r="C459" i="65"/>
  <c r="D457" i="65"/>
  <c r="C457" i="65"/>
  <c r="C475" i="65" a="1"/>
  <c r="C475" i="65" s="1"/>
  <c r="D389" i="62" l="1"/>
  <c r="C381" i="62"/>
  <c r="D381" i="62"/>
  <c r="C383" i="62"/>
  <c r="I49" i="63"/>
  <c r="F22" i="63"/>
  <c r="D463" i="65" s="1"/>
  <c r="F23" i="63"/>
  <c r="D460" i="65" s="1"/>
  <c r="F24" i="63"/>
  <c r="D461" i="65" s="1"/>
  <c r="F25" i="63"/>
  <c r="D462" i="65" s="1"/>
  <c r="F38" i="63"/>
  <c r="F59" i="63" s="1"/>
  <c r="D464" i="65" s="1"/>
  <c r="F39" i="63"/>
  <c r="F60" i="63" s="1"/>
  <c r="F40" i="63"/>
  <c r="F61" i="63" s="1"/>
  <c r="F41" i="63"/>
  <c r="F62" i="63" s="1"/>
  <c r="C44" i="63"/>
  <c r="C65" i="63" s="1"/>
  <c r="D388" i="62" s="1"/>
  <c r="C45" i="63"/>
  <c r="C66" i="63" s="1"/>
  <c r="C46" i="63"/>
  <c r="C67" i="63" s="1"/>
  <c r="C47" i="63"/>
  <c r="C68" i="63" s="1"/>
  <c r="C25" i="63"/>
  <c r="D387" i="62" s="1"/>
  <c r="C26" i="63"/>
  <c r="D384" i="62" s="1"/>
  <c r="C27" i="63"/>
  <c r="D385" i="62" s="1"/>
  <c r="C28" i="63"/>
  <c r="D386" i="62" s="1"/>
  <c r="D38" i="54"/>
  <c r="W54" i="58" s="1"/>
  <c r="D37" i="54"/>
  <c r="C40" i="58"/>
  <c r="E345" i="40"/>
  <c r="D52" i="54"/>
  <c r="V68" i="58" s="1"/>
  <c r="D51" i="54"/>
  <c r="T67" i="58" s="1"/>
  <c r="D50" i="54"/>
  <c r="W66" i="58" s="1"/>
  <c r="D49" i="54"/>
  <c r="V65" i="58" s="1"/>
  <c r="D48" i="54"/>
  <c r="V64" i="58" s="1"/>
  <c r="D47" i="54"/>
  <c r="U63" i="58" s="1"/>
  <c r="D46" i="54"/>
  <c r="V62" i="58" s="1"/>
  <c r="D45" i="54"/>
  <c r="U61" i="58" s="1"/>
  <c r="D44" i="54"/>
  <c r="T60" i="58" s="1"/>
  <c r="D43" i="54"/>
  <c r="T59" i="58" s="1"/>
  <c r="D42" i="54"/>
  <c r="W58" i="58" s="1"/>
  <c r="D41" i="54"/>
  <c r="U57" i="58" s="1"/>
  <c r="D40" i="54"/>
  <c r="W56" i="58" s="1"/>
  <c r="D39" i="54"/>
  <c r="V55" i="58" s="1"/>
  <c r="F89" i="63"/>
  <c r="E313" i="40"/>
  <c r="E218" i="40"/>
  <c r="K42" i="33"/>
  <c r="J42" i="33"/>
  <c r="K26" i="33"/>
  <c r="J26" i="33"/>
  <c r="J16" i="33"/>
  <c r="K14" i="33"/>
  <c r="J14" i="33"/>
  <c r="J13" i="33"/>
  <c r="I799" i="56" l="1"/>
  <c r="I820" i="56"/>
  <c r="I841" i="56"/>
  <c r="I778" i="56"/>
  <c r="V54" i="58"/>
  <c r="U54" i="58"/>
  <c r="T54" i="58"/>
  <c r="T55" i="58"/>
  <c r="U55" i="58"/>
  <c r="W62" i="58"/>
  <c r="T62" i="58"/>
  <c r="U62" i="58"/>
  <c r="T63" i="58"/>
  <c r="W63" i="58"/>
  <c r="W67" i="58"/>
  <c r="U67" i="58"/>
  <c r="U68" i="58"/>
  <c r="V58" i="58"/>
  <c r="U58" i="58"/>
  <c r="T58" i="58"/>
  <c r="W68" i="58"/>
  <c r="T68" i="58"/>
  <c r="V59" i="58"/>
  <c r="D383" i="62"/>
  <c r="D459" i="65"/>
  <c r="V67" i="58"/>
  <c r="U66" i="58"/>
  <c r="V66" i="58"/>
  <c r="T66" i="58"/>
  <c r="T65" i="58"/>
  <c r="U65" i="58"/>
  <c r="W65" i="58"/>
  <c r="W64" i="58"/>
  <c r="U64" i="58"/>
  <c r="T64" i="58"/>
  <c r="V63" i="58"/>
  <c r="T61" i="58"/>
  <c r="V61" i="58"/>
  <c r="W61" i="58"/>
  <c r="V60" i="58"/>
  <c r="W60" i="58"/>
  <c r="U60" i="58"/>
  <c r="U59" i="58"/>
  <c r="W59" i="58"/>
  <c r="W57" i="58"/>
  <c r="T57" i="58"/>
  <c r="V57" i="58"/>
  <c r="V56" i="58"/>
  <c r="T56" i="58"/>
  <c r="U56" i="58"/>
  <c r="W55" i="58"/>
  <c r="U92" i="87"/>
  <c r="R92" i="87"/>
  <c r="O92" i="87"/>
  <c r="L92" i="87"/>
  <c r="AA103" i="87"/>
  <c r="X103" i="87"/>
  <c r="U103" i="87"/>
  <c r="R103" i="87"/>
  <c r="O103" i="87"/>
  <c r="L103" i="87"/>
  <c r="I103" i="87"/>
  <c r="F103" i="87"/>
  <c r="C103" i="87" a="1"/>
  <c r="C103" i="87" s="1"/>
  <c r="L91" i="87" l="1"/>
  <c r="O91" i="87"/>
  <c r="R91" i="87"/>
  <c r="U91" i="87"/>
  <c r="X92" i="87"/>
  <c r="X91" i="87"/>
  <c r="AA91" i="87"/>
  <c r="AA92" i="87"/>
  <c r="I91" i="87"/>
  <c r="I92" i="87"/>
  <c r="F92" i="87"/>
  <c r="F91" i="87"/>
  <c r="F14" i="63"/>
  <c r="M1018" i="56" l="1"/>
  <c r="I1020" i="56"/>
  <c r="C973" i="56"/>
  <c r="F1064" i="56"/>
  <c r="F61" i="54"/>
  <c r="F62" i="54"/>
  <c r="F67" i="54"/>
  <c r="S59" i="58"/>
  <c r="S58" i="58"/>
  <c r="S57" i="58"/>
  <c r="S56" i="58"/>
  <c r="S55" i="58"/>
  <c r="R59" i="58"/>
  <c r="R58" i="58"/>
  <c r="R57" i="58"/>
  <c r="R56" i="58"/>
  <c r="R55" i="58"/>
  <c r="Q59" i="58"/>
  <c r="Q58" i="58"/>
  <c r="Q57" i="58"/>
  <c r="Q56" i="58"/>
  <c r="F30" i="63" l="1"/>
  <c r="I14" i="63"/>
  <c r="U14" i="63" l="1"/>
  <c r="D74" i="97" s="1"/>
  <c r="D371" i="62" l="1" a="1"/>
  <c r="D371" i="62" s="1"/>
  <c r="D351" i="62"/>
  <c r="D346" i="62"/>
  <c r="D343" i="62"/>
  <c r="D332" i="62"/>
  <c r="D327" i="62"/>
  <c r="D324" i="62"/>
  <c r="D128" i="62"/>
  <c r="C128" i="62"/>
  <c r="F65" i="54"/>
  <c r="F59" i="54"/>
  <c r="B67" i="54"/>
  <c r="AA104" i="87" l="1"/>
  <c r="X104" i="87"/>
  <c r="U104" i="87"/>
  <c r="R104" i="87"/>
  <c r="O104" i="87"/>
  <c r="L104" i="87"/>
  <c r="I104" i="87"/>
  <c r="C104" i="87" a="1"/>
  <c r="C104" i="87" s="1"/>
  <c r="F104" i="87"/>
  <c r="D629" i="62" l="1"/>
  <c r="D595" i="62"/>
  <c r="AA230" i="87"/>
  <c r="AA229" i="87"/>
  <c r="AA228" i="87"/>
  <c r="AA227" i="87"/>
  <c r="AA226" i="87"/>
  <c r="AA225" i="87"/>
  <c r="AA224" i="87"/>
  <c r="AA223" i="87"/>
  <c r="AA222" i="87"/>
  <c r="AA221" i="87"/>
  <c r="AA220" i="87"/>
  <c r="AA219" i="87"/>
  <c r="AA218" i="87"/>
  <c r="AA217" i="87"/>
  <c r="AA216" i="87"/>
  <c r="AA215" i="87"/>
  <c r="X230" i="87"/>
  <c r="X229" i="87"/>
  <c r="X228" i="87"/>
  <c r="X227" i="87"/>
  <c r="X226" i="87"/>
  <c r="X225" i="87"/>
  <c r="X224" i="87"/>
  <c r="X223" i="87"/>
  <c r="X222" i="87"/>
  <c r="X221" i="87"/>
  <c r="X220" i="87"/>
  <c r="X219" i="87"/>
  <c r="X218" i="87"/>
  <c r="X217" i="87"/>
  <c r="X216" i="87"/>
  <c r="X215" i="87"/>
  <c r="U230" i="87"/>
  <c r="U229" i="87"/>
  <c r="U228" i="87"/>
  <c r="U227" i="87"/>
  <c r="U226" i="87"/>
  <c r="U225" i="87"/>
  <c r="U224" i="87"/>
  <c r="U223" i="87"/>
  <c r="U222" i="87"/>
  <c r="U221" i="87"/>
  <c r="U220" i="87"/>
  <c r="U219" i="87"/>
  <c r="U218" i="87"/>
  <c r="U217" i="87"/>
  <c r="U216" i="87"/>
  <c r="U215" i="87"/>
  <c r="R230" i="87"/>
  <c r="R229" i="87"/>
  <c r="R228" i="87"/>
  <c r="R227" i="87"/>
  <c r="R226" i="87"/>
  <c r="R225" i="87"/>
  <c r="R224" i="87"/>
  <c r="R223" i="87"/>
  <c r="R222" i="87"/>
  <c r="R221" i="87"/>
  <c r="R220" i="87"/>
  <c r="R219" i="87"/>
  <c r="R218" i="87"/>
  <c r="R217" i="87"/>
  <c r="R216" i="87"/>
  <c r="R215" i="87"/>
  <c r="O230" i="87"/>
  <c r="O229" i="87"/>
  <c r="O228" i="87"/>
  <c r="O227" i="87"/>
  <c r="O226" i="87"/>
  <c r="O225" i="87"/>
  <c r="O224" i="87"/>
  <c r="O223" i="87"/>
  <c r="O222" i="87"/>
  <c r="O221" i="87"/>
  <c r="O220" i="87"/>
  <c r="O219" i="87"/>
  <c r="O218" i="87"/>
  <c r="O217" i="87"/>
  <c r="O216" i="87"/>
  <c r="O215" i="87"/>
  <c r="L230" i="87"/>
  <c r="L229" i="87"/>
  <c r="L228" i="87"/>
  <c r="L227" i="87"/>
  <c r="L226" i="87"/>
  <c r="L225" i="87"/>
  <c r="L224" i="87"/>
  <c r="L223" i="87"/>
  <c r="L222" i="87"/>
  <c r="L221" i="87"/>
  <c r="L220" i="87"/>
  <c r="L219" i="87"/>
  <c r="L218" i="87"/>
  <c r="L217" i="87"/>
  <c r="L216" i="87"/>
  <c r="L215" i="87"/>
  <c r="I230" i="87"/>
  <c r="I229" i="87"/>
  <c r="I228" i="87"/>
  <c r="I227" i="87"/>
  <c r="I226" i="87"/>
  <c r="I225" i="87"/>
  <c r="I224" i="87"/>
  <c r="I223" i="87"/>
  <c r="I222" i="87"/>
  <c r="I221" i="87"/>
  <c r="I220" i="87"/>
  <c r="I219" i="87"/>
  <c r="I218" i="87"/>
  <c r="I217" i="87"/>
  <c r="I216" i="87"/>
  <c r="I215" i="87"/>
  <c r="F215" i="87"/>
  <c r="F216" i="87"/>
  <c r="F217" i="87"/>
  <c r="F120" i="87"/>
  <c r="AA120" i="87" s="1"/>
  <c r="AA206" i="87" s="1"/>
  <c r="F230" i="87"/>
  <c r="F229" i="87"/>
  <c r="F228" i="87"/>
  <c r="F227" i="87"/>
  <c r="F226" i="87"/>
  <c r="F225" i="87"/>
  <c r="F224" i="87"/>
  <c r="F223" i="87"/>
  <c r="F222" i="87"/>
  <c r="F221" i="87"/>
  <c r="F220" i="87"/>
  <c r="F219" i="87"/>
  <c r="F218" i="87"/>
  <c r="D315" i="65"/>
  <c r="D363" i="65"/>
  <c r="C363" i="65"/>
  <c r="C336" i="65"/>
  <c r="C93" i="65"/>
  <c r="D93" i="65"/>
  <c r="O58" i="63"/>
  <c r="O59" i="63"/>
  <c r="I120" i="87" l="1"/>
  <c r="I206" i="87" s="1"/>
  <c r="L120" i="87"/>
  <c r="L206" i="87" s="1"/>
  <c r="O120" i="87"/>
  <c r="O206" i="87" s="1"/>
  <c r="R120" i="87"/>
  <c r="R206" i="87" s="1"/>
  <c r="U120" i="87"/>
  <c r="U206" i="87" s="1"/>
  <c r="X120" i="87"/>
  <c r="X206" i="87" s="1"/>
  <c r="B447" i="56" a="1"/>
  <c r="B447" i="56" s="1"/>
  <c r="B431" i="56" a="1"/>
  <c r="B431" i="56" s="1"/>
  <c r="B393" i="56" a="1"/>
  <c r="B393" i="56" s="1"/>
  <c r="D261" i="65" s="1" a="1"/>
  <c r="D261" i="65" s="1"/>
  <c r="B411" i="56" a="1"/>
  <c r="F125" i="63"/>
  <c r="F133" i="63"/>
  <c r="D294" i="65" s="1"/>
  <c r="F139" i="63"/>
  <c r="D299" i="65" s="1"/>
  <c r="F137" i="63" l="1"/>
  <c r="F143" i="63"/>
  <c r="F131" i="63"/>
  <c r="F136" i="63"/>
  <c r="D278" i="65"/>
  <c r="B409" i="56"/>
  <c r="B411" i="56"/>
  <c r="D320" i="65" s="1" a="1"/>
  <c r="D320" i="65" s="1"/>
  <c r="F130" i="63"/>
  <c r="F189" i="63"/>
  <c r="D285" i="65" s="1"/>
  <c r="F188" i="63"/>
  <c r="D284" i="65" s="1"/>
  <c r="F197" i="63"/>
  <c r="D343" i="65" s="1"/>
  <c r="F190" i="63"/>
  <c r="F187" i="63"/>
  <c r="F196" i="63"/>
  <c r="F198" i="63"/>
  <c r="D344" i="65" s="1"/>
  <c r="F199" i="63"/>
  <c r="F77" i="87"/>
  <c r="F76" i="87"/>
  <c r="F75" i="87"/>
  <c r="F74" i="87"/>
  <c r="F191" i="63"/>
  <c r="F192" i="63"/>
  <c r="F201" i="63"/>
  <c r="F200" i="63"/>
  <c r="D90" i="40"/>
  <c r="D91" i="40"/>
  <c r="C698" i="56" l="1"/>
  <c r="M739" i="56"/>
  <c r="F785" i="56"/>
  <c r="I758" i="56"/>
  <c r="M719" i="56"/>
  <c r="I719" i="56"/>
  <c r="F759" i="56"/>
  <c r="C678" i="56"/>
  <c r="M729" i="56"/>
  <c r="F769" i="56"/>
  <c r="C688" i="56"/>
  <c r="I729" i="56"/>
  <c r="V687" i="56"/>
  <c r="V761" i="56"/>
  <c r="Q687" i="56"/>
  <c r="V650" i="56"/>
  <c r="Q650" i="56"/>
  <c r="V724" i="56"/>
  <c r="D345" i="65"/>
  <c r="D357" i="65"/>
  <c r="D286" i="65"/>
  <c r="D298" i="65"/>
  <c r="B427" i="56"/>
  <c r="C113" i="63"/>
  <c r="D52" i="97" s="1"/>
  <c r="B117" i="40"/>
  <c r="F75" i="63"/>
  <c r="F83" i="63" a="1"/>
  <c r="F83" i="63" s="1"/>
  <c r="F79" i="63"/>
  <c r="AA60" i="87" l="1"/>
  <c r="AA59" i="87"/>
  <c r="AA58" i="87"/>
  <c r="AA57" i="87"/>
  <c r="AA56" i="87"/>
  <c r="AA55" i="87"/>
  <c r="F266" i="92" s="1"/>
  <c r="AA54" i="87"/>
  <c r="AA53" i="87"/>
  <c r="F264" i="92" s="1"/>
  <c r="AA52" i="87"/>
  <c r="F265" i="92" s="1"/>
  <c r="AA51" i="87"/>
  <c r="AA50" i="87"/>
  <c r="X60" i="87"/>
  <c r="X59" i="87"/>
  <c r="X58" i="87"/>
  <c r="X57" i="87"/>
  <c r="X56" i="87"/>
  <c r="X55" i="87"/>
  <c r="F233" i="92" s="1"/>
  <c r="X54" i="87"/>
  <c r="X53" i="87"/>
  <c r="F231" i="92" s="1"/>
  <c r="X52" i="87"/>
  <c r="F232" i="92" s="1"/>
  <c r="X51" i="87"/>
  <c r="X50" i="87"/>
  <c r="U60" i="87"/>
  <c r="U59" i="87"/>
  <c r="U58" i="87"/>
  <c r="U57" i="87"/>
  <c r="U56" i="87"/>
  <c r="U55" i="87"/>
  <c r="F200" i="92" s="1"/>
  <c r="U54" i="87"/>
  <c r="U53" i="87"/>
  <c r="F198" i="92" s="1"/>
  <c r="U52" i="87"/>
  <c r="F199" i="92" s="1"/>
  <c r="U51" i="87"/>
  <c r="U50" i="87"/>
  <c r="L51" i="87"/>
  <c r="R60" i="87"/>
  <c r="R59" i="87"/>
  <c r="R58" i="87"/>
  <c r="R57" i="87"/>
  <c r="R56" i="87"/>
  <c r="R55" i="87"/>
  <c r="F167" i="92" s="1"/>
  <c r="R54" i="87"/>
  <c r="R53" i="87"/>
  <c r="F165" i="92" s="1"/>
  <c r="R52" i="87"/>
  <c r="F166" i="92" s="1"/>
  <c r="R51" i="87"/>
  <c r="R50" i="87"/>
  <c r="O60" i="87"/>
  <c r="O59" i="87"/>
  <c r="O58" i="87"/>
  <c r="O57" i="87"/>
  <c r="O56" i="87"/>
  <c r="O55" i="87"/>
  <c r="F134" i="92" s="1"/>
  <c r="O54" i="87"/>
  <c r="O53" i="87"/>
  <c r="F132" i="92" s="1"/>
  <c r="O52" i="87"/>
  <c r="F133" i="92" s="1"/>
  <c r="O51" i="87"/>
  <c r="O50" i="87"/>
  <c r="L60" i="87"/>
  <c r="L59" i="87"/>
  <c r="L58" i="87"/>
  <c r="L57" i="87"/>
  <c r="L56" i="87"/>
  <c r="L55" i="87"/>
  <c r="F101" i="92" s="1"/>
  <c r="L54" i="87"/>
  <c r="L53" i="87"/>
  <c r="F99" i="92" s="1"/>
  <c r="L52" i="87"/>
  <c r="F100" i="92" s="1"/>
  <c r="L50" i="87"/>
  <c r="I60" i="87"/>
  <c r="I59" i="87"/>
  <c r="I58" i="87"/>
  <c r="I57" i="87"/>
  <c r="I56" i="87"/>
  <c r="I55" i="87"/>
  <c r="F68" i="92" s="1"/>
  <c r="I54" i="87"/>
  <c r="I53" i="87"/>
  <c r="F66" i="92" s="1"/>
  <c r="I52" i="87"/>
  <c r="F67" i="92" s="1"/>
  <c r="I51" i="87"/>
  <c r="I50" i="87"/>
  <c r="AA46" i="87"/>
  <c r="AA45" i="87"/>
  <c r="AA44" i="87"/>
  <c r="AA43" i="87"/>
  <c r="AA42" i="87"/>
  <c r="AA41" i="87"/>
  <c r="I266" i="92" s="1"/>
  <c r="AA40" i="87"/>
  <c r="AA39" i="87"/>
  <c r="I264" i="92" s="1"/>
  <c r="AA38" i="87"/>
  <c r="I265" i="92" s="1"/>
  <c r="AA37" i="87"/>
  <c r="AA36" i="87"/>
  <c r="X46" i="87"/>
  <c r="X45" i="87"/>
  <c r="X44" i="87"/>
  <c r="X43" i="87"/>
  <c r="X42" i="87"/>
  <c r="X41" i="87"/>
  <c r="I233" i="92" s="1"/>
  <c r="X40" i="87"/>
  <c r="X39" i="87"/>
  <c r="I231" i="92" s="1"/>
  <c r="X38" i="87"/>
  <c r="I232" i="92" s="1"/>
  <c r="X37" i="87"/>
  <c r="X36" i="87"/>
  <c r="U36" i="87"/>
  <c r="U46" i="87"/>
  <c r="U45" i="87"/>
  <c r="U44" i="87"/>
  <c r="U43" i="87"/>
  <c r="U42" i="87"/>
  <c r="U41" i="87"/>
  <c r="I200" i="92" s="1"/>
  <c r="U40" i="87"/>
  <c r="U39" i="87"/>
  <c r="I198" i="92" s="1"/>
  <c r="U38" i="87"/>
  <c r="I199" i="92" s="1"/>
  <c r="U37" i="87"/>
  <c r="R46" i="87"/>
  <c r="R45" i="87"/>
  <c r="R44" i="87"/>
  <c r="R43" i="87"/>
  <c r="R42" i="87"/>
  <c r="R41" i="87"/>
  <c r="I167" i="92" s="1"/>
  <c r="R40" i="87"/>
  <c r="R39" i="87"/>
  <c r="I165" i="92" s="1"/>
  <c r="R38" i="87"/>
  <c r="I166" i="92" s="1"/>
  <c r="R37" i="87"/>
  <c r="R36" i="87"/>
  <c r="O46" i="87"/>
  <c r="O45" i="87"/>
  <c r="O44" i="87"/>
  <c r="O43" i="87"/>
  <c r="O42" i="87"/>
  <c r="O41" i="87"/>
  <c r="I134" i="92" s="1"/>
  <c r="O40" i="87"/>
  <c r="O39" i="87"/>
  <c r="I132" i="92" s="1"/>
  <c r="O38" i="87"/>
  <c r="I133" i="92" s="1"/>
  <c r="O37" i="87"/>
  <c r="O36" i="87"/>
  <c r="L46" i="87"/>
  <c r="L45" i="87"/>
  <c r="L44" i="87"/>
  <c r="L43" i="87"/>
  <c r="L42" i="87"/>
  <c r="L41" i="87"/>
  <c r="I101" i="92" s="1"/>
  <c r="L40" i="87"/>
  <c r="L39" i="87"/>
  <c r="I99" i="92" s="1"/>
  <c r="L38" i="87"/>
  <c r="I100" i="92" s="1"/>
  <c r="L37" i="87"/>
  <c r="L36" i="87"/>
  <c r="I46" i="87"/>
  <c r="I45" i="87"/>
  <c r="I44" i="87"/>
  <c r="I43" i="87"/>
  <c r="I42" i="87"/>
  <c r="I41" i="87"/>
  <c r="I68" i="92" s="1"/>
  <c r="I40" i="87"/>
  <c r="I39" i="87"/>
  <c r="I66" i="92" s="1"/>
  <c r="I38" i="87"/>
  <c r="I67" i="92" s="1"/>
  <c r="I37" i="87"/>
  <c r="I36" i="87"/>
  <c r="AA32" i="87"/>
  <c r="AA31" i="87"/>
  <c r="AA30" i="87"/>
  <c r="AA29" i="87"/>
  <c r="AA28" i="87"/>
  <c r="AA26" i="87"/>
  <c r="AA23" i="87"/>
  <c r="AA22" i="87"/>
  <c r="X32" i="87"/>
  <c r="X31" i="87"/>
  <c r="X30" i="87"/>
  <c r="X29" i="87"/>
  <c r="X28" i="87"/>
  <c r="X26" i="87"/>
  <c r="X23" i="87"/>
  <c r="X22" i="87"/>
  <c r="U32" i="87"/>
  <c r="U31" i="87"/>
  <c r="U30" i="87"/>
  <c r="U29" i="87"/>
  <c r="U28" i="87"/>
  <c r="U26" i="87"/>
  <c r="U23" i="87"/>
  <c r="U22" i="87"/>
  <c r="R32" i="87"/>
  <c r="R31" i="87"/>
  <c r="R30" i="87"/>
  <c r="R29" i="87"/>
  <c r="R28" i="87"/>
  <c r="R26" i="87"/>
  <c r="R23" i="87"/>
  <c r="R22" i="87"/>
  <c r="O32" i="87"/>
  <c r="O31" i="87"/>
  <c r="O30" i="87"/>
  <c r="O29" i="87"/>
  <c r="O28" i="87"/>
  <c r="O26" i="87"/>
  <c r="O23" i="87"/>
  <c r="O22" i="87"/>
  <c r="L32" i="87"/>
  <c r="L31" i="87"/>
  <c r="L30" i="87"/>
  <c r="L29" i="87"/>
  <c r="L28" i="87"/>
  <c r="L26" i="87"/>
  <c r="L23" i="87"/>
  <c r="L22" i="87"/>
  <c r="I32" i="87"/>
  <c r="I31" i="87"/>
  <c r="I30" i="87"/>
  <c r="I29" i="87"/>
  <c r="I28" i="87"/>
  <c r="I26" i="87"/>
  <c r="I23" i="87"/>
  <c r="I22" i="87"/>
  <c r="AA18" i="87"/>
  <c r="AA17" i="87"/>
  <c r="AA16" i="87"/>
  <c r="AA15" i="87"/>
  <c r="AA14" i="87"/>
  <c r="AA13" i="87"/>
  <c r="E266" i="92" s="1"/>
  <c r="AA12" i="87"/>
  <c r="AA11" i="87"/>
  <c r="E264" i="92" s="1"/>
  <c r="AA10" i="87"/>
  <c r="E265" i="92" s="1"/>
  <c r="AA9" i="87"/>
  <c r="AA8" i="87"/>
  <c r="X18" i="87"/>
  <c r="X17" i="87"/>
  <c r="X16" i="87"/>
  <c r="X15" i="87"/>
  <c r="U14" i="87"/>
  <c r="X14" i="87"/>
  <c r="X13" i="87"/>
  <c r="E233" i="92" s="1"/>
  <c r="X12" i="87"/>
  <c r="X11" i="87"/>
  <c r="E231" i="92" s="1"/>
  <c r="X10" i="87"/>
  <c r="E232" i="92" s="1"/>
  <c r="X9" i="87"/>
  <c r="X8" i="87"/>
  <c r="U18" i="87"/>
  <c r="U17" i="87"/>
  <c r="U16" i="87"/>
  <c r="U15" i="87"/>
  <c r="U13" i="87"/>
  <c r="E200" i="92" s="1"/>
  <c r="U12" i="87"/>
  <c r="U11" i="87"/>
  <c r="E198" i="92" s="1"/>
  <c r="U10" i="87"/>
  <c r="E199" i="92" s="1"/>
  <c r="U9" i="87"/>
  <c r="U8" i="87"/>
  <c r="R18" i="87"/>
  <c r="R17" i="87"/>
  <c r="R16" i="87"/>
  <c r="R15" i="87"/>
  <c r="R14" i="87"/>
  <c r="R13" i="87"/>
  <c r="E167" i="92" s="1"/>
  <c r="R12" i="87"/>
  <c r="R11" i="87"/>
  <c r="E165" i="92" s="1"/>
  <c r="R10" i="87"/>
  <c r="E166" i="92" s="1"/>
  <c r="R9" i="87"/>
  <c r="R8" i="87"/>
  <c r="O18" i="87"/>
  <c r="O17" i="87"/>
  <c r="O16" i="87"/>
  <c r="O15" i="87"/>
  <c r="O14" i="87"/>
  <c r="O13" i="87"/>
  <c r="E134" i="92" s="1"/>
  <c r="O12" i="87"/>
  <c r="O11" i="87"/>
  <c r="E132" i="92" s="1"/>
  <c r="O10" i="87"/>
  <c r="E133" i="92" s="1"/>
  <c r="O9" i="87"/>
  <c r="O8" i="87"/>
  <c r="L18" i="87"/>
  <c r="L17" i="87"/>
  <c r="L16" i="87"/>
  <c r="L15" i="87"/>
  <c r="L14" i="87"/>
  <c r="L13" i="87"/>
  <c r="E101" i="92" s="1"/>
  <c r="L12" i="87"/>
  <c r="L11" i="87"/>
  <c r="E99" i="92" s="1"/>
  <c r="L10" i="87"/>
  <c r="E100" i="92" s="1"/>
  <c r="L9" i="87"/>
  <c r="L8" i="87"/>
  <c r="I18" i="87"/>
  <c r="I17" i="87"/>
  <c r="I16" i="87"/>
  <c r="I15" i="87"/>
  <c r="I14" i="87"/>
  <c r="I13" i="87"/>
  <c r="E68" i="92" s="1"/>
  <c r="I12" i="87"/>
  <c r="I11" i="87"/>
  <c r="E66" i="92" s="1"/>
  <c r="I10" i="87"/>
  <c r="E67" i="92" s="1"/>
  <c r="I9" i="87"/>
  <c r="I8" i="87"/>
  <c r="AA24" i="87"/>
  <c r="G265" i="92" s="1"/>
  <c r="AA27" i="87"/>
  <c r="X27" i="87"/>
  <c r="X25" i="87"/>
  <c r="G231" i="92" s="1"/>
  <c r="X24" i="87"/>
  <c r="G232" i="92" s="1"/>
  <c r="U24" i="87"/>
  <c r="G199" i="92" s="1"/>
  <c r="U25" i="87"/>
  <c r="G198" i="92" s="1"/>
  <c r="U27" i="87"/>
  <c r="R27" i="87"/>
  <c r="R25" i="87"/>
  <c r="G165" i="92" s="1"/>
  <c r="R24" i="87"/>
  <c r="G166" i="92" s="1"/>
  <c r="O27" i="87"/>
  <c r="O25" i="87"/>
  <c r="G132" i="92" s="1"/>
  <c r="O24" i="87"/>
  <c r="G133" i="92" s="1"/>
  <c r="L27" i="87"/>
  <c r="L25" i="87"/>
  <c r="G99" i="92" s="1"/>
  <c r="L24" i="87"/>
  <c r="G100" i="92" s="1"/>
  <c r="I27" i="87"/>
  <c r="I24" i="87"/>
  <c r="G67" i="92" s="1"/>
  <c r="I25" i="87"/>
  <c r="G66" i="92" s="1"/>
  <c r="C111" i="87"/>
  <c r="C216" i="63"/>
  <c r="F323" i="87"/>
  <c r="C323" i="87"/>
  <c r="AA98" i="87"/>
  <c r="X98" i="87"/>
  <c r="U98" i="87"/>
  <c r="R98" i="87"/>
  <c r="O98" i="87"/>
  <c r="L98" i="87"/>
  <c r="I98" i="87"/>
  <c r="F98" i="87"/>
  <c r="C98" i="87"/>
  <c r="D189" i="99" s="1"/>
  <c r="L254" i="92" l="1"/>
  <c r="O247" i="92"/>
  <c r="E247" i="92"/>
  <c r="K254" i="92"/>
  <c r="N247" i="92"/>
  <c r="D247" i="92"/>
  <c r="J254" i="92"/>
  <c r="M247" i="92"/>
  <c r="C247" i="92"/>
  <c r="I254" i="92"/>
  <c r="L247" i="92"/>
  <c r="R254" i="92"/>
  <c r="H254" i="92"/>
  <c r="K247" i="92"/>
  <c r="Q254" i="92"/>
  <c r="G254" i="92"/>
  <c r="P254" i="92"/>
  <c r="F254" i="92"/>
  <c r="H247" i="92"/>
  <c r="G247" i="92"/>
  <c r="O254" i="92"/>
  <c r="F247" i="92"/>
  <c r="N254" i="92"/>
  <c r="M254" i="92"/>
  <c r="E254" i="92"/>
  <c r="R247" i="92"/>
  <c r="D254" i="92"/>
  <c r="Q247" i="92"/>
  <c r="C254" i="92"/>
  <c r="P247" i="92"/>
  <c r="J247" i="92"/>
  <c r="I247" i="92"/>
  <c r="L151" i="92"/>
  <c r="J151" i="92"/>
  <c r="K151" i="92"/>
  <c r="O151" i="92"/>
  <c r="R151" i="92"/>
  <c r="N151" i="92"/>
  <c r="M151" i="92"/>
  <c r="I151" i="92"/>
  <c r="H151" i="92"/>
  <c r="G151" i="92"/>
  <c r="F151" i="92"/>
  <c r="E151" i="92"/>
  <c r="C151" i="92"/>
  <c r="Q151" i="92"/>
  <c r="P151" i="92"/>
  <c r="D151" i="92"/>
  <c r="N184" i="92"/>
  <c r="D184" i="92"/>
  <c r="M184" i="92"/>
  <c r="C184" i="92"/>
  <c r="L184" i="92"/>
  <c r="K184" i="92"/>
  <c r="E184" i="92"/>
  <c r="R184" i="92"/>
  <c r="P184" i="92"/>
  <c r="Q184" i="92"/>
  <c r="H184" i="92"/>
  <c r="O184" i="92"/>
  <c r="J184" i="92"/>
  <c r="I184" i="92"/>
  <c r="G184" i="92"/>
  <c r="F184" i="92"/>
  <c r="P271" i="92"/>
  <c r="F271" i="92"/>
  <c r="O271" i="92"/>
  <c r="E271" i="92"/>
  <c r="N271" i="92"/>
  <c r="D271" i="92"/>
  <c r="M271" i="92"/>
  <c r="C271" i="92"/>
  <c r="C264" i="92"/>
  <c r="L271" i="92"/>
  <c r="K271" i="92"/>
  <c r="J271" i="92"/>
  <c r="R271" i="92"/>
  <c r="Q271" i="92"/>
  <c r="I271" i="92"/>
  <c r="H271" i="92"/>
  <c r="G271" i="92"/>
  <c r="P217" i="92"/>
  <c r="F217" i="92"/>
  <c r="O217" i="92"/>
  <c r="E217" i="92"/>
  <c r="N217" i="92"/>
  <c r="D217" i="92"/>
  <c r="M217" i="92"/>
  <c r="C217" i="92"/>
  <c r="K217" i="92"/>
  <c r="H217" i="92"/>
  <c r="J217" i="92"/>
  <c r="I217" i="92"/>
  <c r="G217" i="92"/>
  <c r="R217" i="92"/>
  <c r="Q217" i="92"/>
  <c r="L217" i="92"/>
  <c r="P106" i="92"/>
  <c r="F106" i="92"/>
  <c r="N106" i="92"/>
  <c r="O106" i="92"/>
  <c r="E106" i="92"/>
  <c r="D106" i="92"/>
  <c r="J106" i="92"/>
  <c r="I106" i="92"/>
  <c r="C106" i="92"/>
  <c r="G106" i="92"/>
  <c r="M106" i="92"/>
  <c r="H106" i="92"/>
  <c r="R106" i="92"/>
  <c r="Q106" i="92"/>
  <c r="C99" i="92"/>
  <c r="K106" i="92"/>
  <c r="L106" i="92"/>
  <c r="R250" i="92"/>
  <c r="H250" i="92"/>
  <c r="Q250" i="92"/>
  <c r="G250" i="92"/>
  <c r="P250" i="92"/>
  <c r="F250" i="92"/>
  <c r="O250" i="92"/>
  <c r="E250" i="92"/>
  <c r="N250" i="92"/>
  <c r="D250" i="92"/>
  <c r="K250" i="92"/>
  <c r="J250" i="92"/>
  <c r="I250" i="92"/>
  <c r="C250" i="92"/>
  <c r="M250" i="92"/>
  <c r="L250" i="92"/>
  <c r="H101" i="92"/>
  <c r="G101" i="92"/>
  <c r="J40" i="92"/>
  <c r="I40" i="92"/>
  <c r="R40" i="92"/>
  <c r="H40" i="92"/>
  <c r="Q40" i="92"/>
  <c r="G40" i="92"/>
  <c r="P40" i="92"/>
  <c r="F40" i="92"/>
  <c r="O40" i="92"/>
  <c r="E40" i="92"/>
  <c r="N40" i="92"/>
  <c r="D40" i="92"/>
  <c r="M40" i="92"/>
  <c r="C40" i="92"/>
  <c r="C33" i="92"/>
  <c r="L40" i="92"/>
  <c r="K40" i="92"/>
  <c r="G134" i="92"/>
  <c r="H134" i="92"/>
  <c r="H266" i="92"/>
  <c r="G266" i="92"/>
  <c r="J73" i="92"/>
  <c r="I73" i="92"/>
  <c r="R73" i="92"/>
  <c r="F73" i="92"/>
  <c r="Q73" i="92"/>
  <c r="E73" i="92"/>
  <c r="P73" i="92"/>
  <c r="O73" i="92"/>
  <c r="N73" i="92"/>
  <c r="K73" i="92"/>
  <c r="M73" i="92"/>
  <c r="D73" i="92"/>
  <c r="C66" i="92"/>
  <c r="C73" i="92"/>
  <c r="L73" i="92"/>
  <c r="H73" i="92"/>
  <c r="G73" i="92"/>
  <c r="R139" i="92"/>
  <c r="H139" i="92"/>
  <c r="P139" i="92"/>
  <c r="Q139" i="92"/>
  <c r="G139" i="92"/>
  <c r="F139" i="92"/>
  <c r="I139" i="92"/>
  <c r="C139" i="92"/>
  <c r="L139" i="92"/>
  <c r="E139" i="92"/>
  <c r="D139" i="92"/>
  <c r="O139" i="92"/>
  <c r="C132" i="92"/>
  <c r="N139" i="92"/>
  <c r="M139" i="92"/>
  <c r="K139" i="92"/>
  <c r="J139" i="92"/>
  <c r="H167" i="92"/>
  <c r="G167" i="92"/>
  <c r="N56" i="92"/>
  <c r="D56" i="92"/>
  <c r="I49" i="92"/>
  <c r="M56" i="92"/>
  <c r="C56" i="92"/>
  <c r="R49" i="92"/>
  <c r="H49" i="92"/>
  <c r="H56" i="92"/>
  <c r="Q49" i="92"/>
  <c r="E49" i="92"/>
  <c r="G56" i="92"/>
  <c r="P49" i="92"/>
  <c r="R56" i="92"/>
  <c r="C49" i="92"/>
  <c r="E56" i="92"/>
  <c r="D49" i="92"/>
  <c r="F56" i="92"/>
  <c r="L49" i="92"/>
  <c r="O49" i="92"/>
  <c r="Q56" i="92"/>
  <c r="M49" i="92"/>
  <c r="O56" i="92"/>
  <c r="N49" i="92"/>
  <c r="P56" i="92"/>
  <c r="J49" i="92"/>
  <c r="L56" i="92"/>
  <c r="K49" i="92"/>
  <c r="K56" i="92"/>
  <c r="G49" i="92"/>
  <c r="F49" i="92"/>
  <c r="J56" i="92"/>
  <c r="I56" i="92"/>
  <c r="N122" i="92"/>
  <c r="D122" i="92"/>
  <c r="Q115" i="92"/>
  <c r="G115" i="92"/>
  <c r="L122" i="92"/>
  <c r="O115" i="92"/>
  <c r="M122" i="92"/>
  <c r="C122" i="92"/>
  <c r="P115" i="92"/>
  <c r="F115" i="92"/>
  <c r="E115" i="92"/>
  <c r="P122" i="92"/>
  <c r="D115" i="92"/>
  <c r="C115" i="92"/>
  <c r="J122" i="92"/>
  <c r="H122" i="92"/>
  <c r="O122" i="92"/>
  <c r="F122" i="92"/>
  <c r="K122" i="92"/>
  <c r="R115" i="92"/>
  <c r="N115" i="92"/>
  <c r="M115" i="92"/>
  <c r="L115" i="92"/>
  <c r="I122" i="92"/>
  <c r="J115" i="92"/>
  <c r="G122" i="92"/>
  <c r="K115" i="92"/>
  <c r="E122" i="92"/>
  <c r="I115" i="92"/>
  <c r="Q122" i="92"/>
  <c r="H115" i="92"/>
  <c r="R122" i="92"/>
  <c r="H233" i="92"/>
  <c r="G233" i="92"/>
  <c r="J172" i="92"/>
  <c r="H172" i="92"/>
  <c r="I172" i="92"/>
  <c r="R172" i="92"/>
  <c r="Q172" i="92"/>
  <c r="G172" i="92"/>
  <c r="K172" i="92"/>
  <c r="C172" i="92"/>
  <c r="F172" i="92"/>
  <c r="E172" i="92"/>
  <c r="D172" i="92"/>
  <c r="P172" i="92"/>
  <c r="O172" i="92"/>
  <c r="C165" i="92"/>
  <c r="N172" i="92"/>
  <c r="M172" i="92"/>
  <c r="L172" i="92"/>
  <c r="G68" i="92"/>
  <c r="H68" i="92"/>
  <c r="H200" i="92"/>
  <c r="G200" i="92"/>
  <c r="L89" i="92"/>
  <c r="O82" i="92"/>
  <c r="E82" i="92"/>
  <c r="M82" i="92"/>
  <c r="K89" i="92"/>
  <c r="N82" i="92"/>
  <c r="D82" i="92"/>
  <c r="J89" i="92"/>
  <c r="R89" i="92"/>
  <c r="E89" i="92"/>
  <c r="I82" i="92"/>
  <c r="Q89" i="92"/>
  <c r="H82" i="92"/>
  <c r="D89" i="92"/>
  <c r="N89" i="92"/>
  <c r="M89" i="92"/>
  <c r="P89" i="92"/>
  <c r="C89" i="92"/>
  <c r="G82" i="92"/>
  <c r="O89" i="92"/>
  <c r="F82" i="92"/>
  <c r="C82" i="92"/>
  <c r="R82" i="92"/>
  <c r="Q82" i="92"/>
  <c r="L82" i="92"/>
  <c r="I89" i="92"/>
  <c r="P82" i="92"/>
  <c r="H89" i="92"/>
  <c r="G89" i="92"/>
  <c r="K82" i="92"/>
  <c r="F89" i="92"/>
  <c r="J82" i="92"/>
  <c r="P155" i="92"/>
  <c r="F155" i="92"/>
  <c r="I148" i="92"/>
  <c r="G148" i="92"/>
  <c r="O155" i="92"/>
  <c r="E155" i="92"/>
  <c r="R148" i="92"/>
  <c r="H148" i="92"/>
  <c r="N155" i="92"/>
  <c r="Q148" i="92"/>
  <c r="D155" i="92"/>
  <c r="L155" i="92"/>
  <c r="P148" i="92"/>
  <c r="C148" i="92"/>
  <c r="I155" i="92"/>
  <c r="K155" i="92"/>
  <c r="O148" i="92"/>
  <c r="J155" i="92"/>
  <c r="N148" i="92"/>
  <c r="M148" i="92"/>
  <c r="H155" i="92"/>
  <c r="F148" i="92"/>
  <c r="L148" i="92"/>
  <c r="G155" i="92"/>
  <c r="K148" i="92"/>
  <c r="C155" i="92"/>
  <c r="J148" i="92"/>
  <c r="R155" i="92"/>
  <c r="E148" i="92"/>
  <c r="D148" i="92"/>
  <c r="Q155" i="92"/>
  <c r="M155" i="92"/>
  <c r="L52" i="92"/>
  <c r="K52" i="92"/>
  <c r="N52" i="92"/>
  <c r="M52" i="92"/>
  <c r="J52" i="92"/>
  <c r="Q52" i="92"/>
  <c r="I52" i="92"/>
  <c r="H52" i="92"/>
  <c r="E52" i="92"/>
  <c r="G52" i="92"/>
  <c r="R52" i="92"/>
  <c r="F52" i="92"/>
  <c r="D52" i="92"/>
  <c r="C52" i="92"/>
  <c r="P52" i="92"/>
  <c r="O52" i="92"/>
  <c r="L205" i="92"/>
  <c r="K205" i="92"/>
  <c r="J205" i="92"/>
  <c r="I205" i="92"/>
  <c r="Q205" i="92"/>
  <c r="C205" i="92"/>
  <c r="M205" i="92"/>
  <c r="P205" i="92"/>
  <c r="O205" i="92"/>
  <c r="C198" i="92"/>
  <c r="N205" i="92"/>
  <c r="H205" i="92"/>
  <c r="G205" i="92"/>
  <c r="F205" i="92"/>
  <c r="D205" i="92"/>
  <c r="R205" i="92"/>
  <c r="E205" i="92"/>
  <c r="R188" i="92"/>
  <c r="H188" i="92"/>
  <c r="K181" i="92"/>
  <c r="I181" i="92"/>
  <c r="Q188" i="92"/>
  <c r="G188" i="92"/>
  <c r="J181" i="92"/>
  <c r="P188" i="92"/>
  <c r="F188" i="92"/>
  <c r="O188" i="92"/>
  <c r="E188" i="92"/>
  <c r="R181" i="92"/>
  <c r="H181" i="92"/>
  <c r="C188" i="92"/>
  <c r="D181" i="92"/>
  <c r="N181" i="92"/>
  <c r="Q181" i="92"/>
  <c r="C181" i="92"/>
  <c r="M188" i="92"/>
  <c r="J188" i="92"/>
  <c r="P181" i="92"/>
  <c r="O181" i="92"/>
  <c r="N188" i="92"/>
  <c r="L188" i="92"/>
  <c r="M181" i="92"/>
  <c r="K188" i="92"/>
  <c r="L181" i="92"/>
  <c r="G181" i="92"/>
  <c r="D188" i="92"/>
  <c r="I188" i="92"/>
  <c r="F181" i="92"/>
  <c r="E181" i="92"/>
  <c r="J221" i="92"/>
  <c r="M214" i="92"/>
  <c r="C214" i="92"/>
  <c r="I221" i="92"/>
  <c r="L214" i="92"/>
  <c r="R221" i="92"/>
  <c r="H221" i="92"/>
  <c r="K214" i="92"/>
  <c r="Q221" i="92"/>
  <c r="G221" i="92"/>
  <c r="J214" i="92"/>
  <c r="M221" i="92"/>
  <c r="N214" i="92"/>
  <c r="L221" i="92"/>
  <c r="I214" i="92"/>
  <c r="K221" i="92"/>
  <c r="H214" i="92"/>
  <c r="G214" i="92"/>
  <c r="E221" i="92"/>
  <c r="F221" i="92"/>
  <c r="F214" i="92"/>
  <c r="D221" i="92"/>
  <c r="E214" i="92"/>
  <c r="C221" i="92"/>
  <c r="R214" i="92"/>
  <c r="D214" i="92"/>
  <c r="P221" i="92"/>
  <c r="Q214" i="92"/>
  <c r="N221" i="92"/>
  <c r="P214" i="92"/>
  <c r="O214" i="92"/>
  <c r="O221" i="92"/>
  <c r="R85" i="92"/>
  <c r="H85" i="92"/>
  <c r="P85" i="92"/>
  <c r="Q85" i="92"/>
  <c r="G85" i="92"/>
  <c r="F85" i="92"/>
  <c r="E85" i="92"/>
  <c r="D85" i="92"/>
  <c r="C85" i="92"/>
  <c r="N85" i="92"/>
  <c r="O85" i="92"/>
  <c r="M85" i="92"/>
  <c r="K85" i="92"/>
  <c r="L85" i="92"/>
  <c r="J85" i="92"/>
  <c r="I85" i="92"/>
  <c r="N238" i="92"/>
  <c r="D238" i="92"/>
  <c r="M238" i="92"/>
  <c r="C238" i="92"/>
  <c r="C231" i="92"/>
  <c r="L238" i="92"/>
  <c r="K238" i="92"/>
  <c r="I238" i="92"/>
  <c r="H238" i="92"/>
  <c r="E238" i="92"/>
  <c r="G238" i="92"/>
  <c r="F238" i="92"/>
  <c r="R238" i="92"/>
  <c r="Q238" i="92"/>
  <c r="P238" i="92"/>
  <c r="O238" i="92"/>
  <c r="J238" i="92"/>
  <c r="J118" i="92"/>
  <c r="I118" i="92"/>
  <c r="R118" i="92"/>
  <c r="H118" i="92"/>
  <c r="P118" i="92"/>
  <c r="C118" i="92"/>
  <c r="F118" i="92"/>
  <c r="O118" i="92"/>
  <c r="K118" i="92"/>
  <c r="N118" i="92"/>
  <c r="M118" i="92"/>
  <c r="L118" i="92"/>
  <c r="G118" i="92"/>
  <c r="Q118" i="92"/>
  <c r="E118" i="92"/>
  <c r="D118" i="92"/>
  <c r="R302" i="63"/>
  <c r="C90" i="63"/>
  <c r="E82" i="40"/>
  <c r="F101" i="63"/>
  <c r="F95" i="63"/>
  <c r="F90" i="63"/>
  <c r="D84" i="65" s="1"/>
  <c r="F82" i="63" a="1"/>
  <c r="F82" i="63" s="1"/>
  <c r="F164" i="63"/>
  <c r="D353" i="65" s="1"/>
  <c r="M606" i="56" l="1"/>
  <c r="M666" i="56"/>
  <c r="M839" i="56"/>
  <c r="F641" i="56"/>
  <c r="I601" i="56"/>
  <c r="I661" i="56"/>
  <c r="F646" i="56"/>
  <c r="I666" i="56"/>
  <c r="M776" i="56"/>
  <c r="I636" i="56"/>
  <c r="I754" i="56"/>
  <c r="F601" i="56"/>
  <c r="I696" i="56"/>
  <c r="F681" i="56"/>
  <c r="I606" i="56"/>
  <c r="M631" i="56"/>
  <c r="M751" i="56"/>
  <c r="F721" i="56"/>
  <c r="M636" i="56"/>
  <c r="M696" i="56"/>
  <c r="F726" i="56"/>
  <c r="F781" i="56"/>
  <c r="I631" i="56"/>
  <c r="I691" i="56"/>
  <c r="M797" i="56"/>
  <c r="F686" i="56"/>
  <c r="M601" i="56"/>
  <c r="M661" i="56"/>
  <c r="M818" i="56"/>
  <c r="M691" i="56"/>
  <c r="F606" i="56"/>
  <c r="F696" i="56"/>
  <c r="F822" i="56"/>
  <c r="F843" i="56"/>
  <c r="F736" i="56"/>
  <c r="F611" i="56"/>
  <c r="F651" i="56"/>
  <c r="F864" i="56"/>
  <c r="F885" i="56"/>
  <c r="F731" i="56"/>
  <c r="F616" i="56"/>
  <c r="F797" i="56"/>
  <c r="F691" i="56"/>
  <c r="F656" i="56"/>
  <c r="D316" i="65"/>
  <c r="F156" i="63"/>
  <c r="D337" i="65" s="1"/>
  <c r="F183" i="63"/>
  <c r="F182" i="63"/>
  <c r="F181" i="63"/>
  <c r="F150" i="63"/>
  <c r="F151" i="63"/>
  <c r="F152" i="63"/>
  <c r="F179" i="63"/>
  <c r="D318" i="65" s="1"/>
  <c r="F148" i="63"/>
  <c r="D259" i="65" s="1"/>
  <c r="F180" i="63"/>
  <c r="D319" i="65" s="1"/>
  <c r="F149" i="63"/>
  <c r="D260" i="65" s="1"/>
  <c r="F390" i="87"/>
  <c r="F389" i="87"/>
  <c r="F388" i="87"/>
  <c r="F387" i="87"/>
  <c r="F386" i="87"/>
  <c r="F385" i="87"/>
  <c r="F384" i="87"/>
  <c r="F383" i="87"/>
  <c r="F382" i="87"/>
  <c r="F381" i="87"/>
  <c r="F380" i="87"/>
  <c r="F32" i="87"/>
  <c r="F24" i="87"/>
  <c r="G34" i="92" s="1"/>
  <c r="F25" i="87"/>
  <c r="G33" i="92" s="1"/>
  <c r="C28" i="87"/>
  <c r="F174" i="63" l="1"/>
  <c r="F168" i="63"/>
  <c r="F162" i="63"/>
  <c r="F161" i="63"/>
  <c r="I84" i="87"/>
  <c r="K67" i="92" s="1"/>
  <c r="D655" i="75" l="1"/>
  <c r="F68" i="87" l="1"/>
  <c r="C68" i="87"/>
  <c r="F326" i="87"/>
  <c r="D512" i="65" s="1"/>
  <c r="F325" i="87"/>
  <c r="D511" i="65" s="1"/>
  <c r="F324" i="87"/>
  <c r="D510" i="65" s="1"/>
  <c r="C326" i="87"/>
  <c r="D457" i="62" s="1"/>
  <c r="C324" i="87"/>
  <c r="D455" i="62" s="1"/>
  <c r="F134" i="87"/>
  <c r="F135" i="87"/>
  <c r="F136" i="87"/>
  <c r="F137" i="87"/>
  <c r="F138" i="87"/>
  <c r="F139" i="87"/>
  <c r="C54" i="87"/>
  <c r="F54" i="87"/>
  <c r="F125" i="87"/>
  <c r="F155" i="87"/>
  <c r="C135" i="87"/>
  <c r="C110" i="87"/>
  <c r="C252" i="40" l="1"/>
  <c r="AA197" i="87" l="1"/>
  <c r="X197" i="87"/>
  <c r="U197" i="87"/>
  <c r="R197" i="87"/>
  <c r="O197" i="87"/>
  <c r="L197" i="87"/>
  <c r="AA200" i="87"/>
  <c r="AA199" i="87"/>
  <c r="AA198" i="87"/>
  <c r="AA196" i="87"/>
  <c r="X200" i="87"/>
  <c r="X199" i="87"/>
  <c r="X198" i="87"/>
  <c r="X196" i="87"/>
  <c r="U200" i="87"/>
  <c r="U199" i="87"/>
  <c r="U198" i="87"/>
  <c r="U196" i="87"/>
  <c r="R200" i="87"/>
  <c r="R199" i="87"/>
  <c r="R198" i="87"/>
  <c r="R196" i="87"/>
  <c r="O200" i="87"/>
  <c r="O199" i="87"/>
  <c r="O198" i="87"/>
  <c r="O196" i="87"/>
  <c r="L200" i="87"/>
  <c r="L199" i="87"/>
  <c r="L198" i="87"/>
  <c r="L196" i="87"/>
  <c r="I197" i="87"/>
  <c r="I200" i="87"/>
  <c r="I199" i="87"/>
  <c r="I198" i="87"/>
  <c r="I196" i="87"/>
  <c r="C206" i="87"/>
  <c r="C197" i="87"/>
  <c r="F196" i="87"/>
  <c r="F205" i="87"/>
  <c r="C205" i="87"/>
  <c r="D680" i="62" s="1"/>
  <c r="C196" i="87"/>
  <c r="C198" i="87"/>
  <c r="C199" i="87"/>
  <c r="C200" i="87"/>
  <c r="C201" i="87"/>
  <c r="C202" i="87"/>
  <c r="C207" i="87"/>
  <c r="C208" i="87"/>
  <c r="C209" i="87"/>
  <c r="C210" i="87"/>
  <c r="C211" i="87"/>
  <c r="F207" i="87"/>
  <c r="F208" i="87"/>
  <c r="F209" i="87"/>
  <c r="F210" i="87"/>
  <c r="F211" i="87"/>
  <c r="F198" i="87"/>
  <c r="F199" i="87"/>
  <c r="F200" i="87"/>
  <c r="F201" i="87"/>
  <c r="F202" i="87"/>
  <c r="C159" i="87"/>
  <c r="D7" i="99" s="1"/>
  <c r="F174" i="87"/>
  <c r="F173" i="87"/>
  <c r="F172" i="87"/>
  <c r="F171" i="87"/>
  <c r="F170" i="87"/>
  <c r="F169" i="87"/>
  <c r="F168" i="87"/>
  <c r="F167" i="87"/>
  <c r="F166" i="87"/>
  <c r="F165" i="87"/>
  <c r="F164" i="87"/>
  <c r="F163" i="87"/>
  <c r="F162" i="87"/>
  <c r="F161" i="87"/>
  <c r="F160" i="87"/>
  <c r="F159" i="87"/>
  <c r="C174" i="87"/>
  <c r="C193" i="87" s="1"/>
  <c r="C173" i="87"/>
  <c r="C192" i="87" s="1"/>
  <c r="C172" i="87"/>
  <c r="C191" i="87" s="1"/>
  <c r="C171" i="87"/>
  <c r="C190" i="87" s="1"/>
  <c r="C170" i="87"/>
  <c r="C189" i="87" s="1"/>
  <c r="C169" i="87"/>
  <c r="C188" i="87" s="1"/>
  <c r="C168" i="87"/>
  <c r="C187" i="87" s="1"/>
  <c r="C167" i="87"/>
  <c r="C186" i="87" s="1"/>
  <c r="C166" i="87"/>
  <c r="C185" i="87" s="1"/>
  <c r="C165" i="87"/>
  <c r="C184" i="87" s="1"/>
  <c r="C164" i="87"/>
  <c r="C183" i="87" s="1"/>
  <c r="C163" i="87"/>
  <c r="C182" i="87" s="1"/>
  <c r="C162" i="87"/>
  <c r="C161" i="87"/>
  <c r="C160" i="87"/>
  <c r="F154" i="87"/>
  <c r="F153" i="87"/>
  <c r="F152" i="87"/>
  <c r="F151" i="87"/>
  <c r="F150" i="87"/>
  <c r="F149" i="87"/>
  <c r="F148" i="87"/>
  <c r="F147" i="87"/>
  <c r="F146" i="87"/>
  <c r="F145" i="87"/>
  <c r="F144" i="87"/>
  <c r="F143" i="87"/>
  <c r="F142" i="87"/>
  <c r="F141" i="87"/>
  <c r="F140" i="87"/>
  <c r="C155" i="87"/>
  <c r="C154" i="87"/>
  <c r="C153" i="87"/>
  <c r="C152" i="87"/>
  <c r="C151" i="87"/>
  <c r="C150" i="87"/>
  <c r="C149" i="87"/>
  <c r="C148" i="87"/>
  <c r="C147" i="87"/>
  <c r="C146" i="87"/>
  <c r="C145" i="87"/>
  <c r="C144" i="87"/>
  <c r="C143" i="87"/>
  <c r="C142" i="87"/>
  <c r="C141" i="87"/>
  <c r="C140" i="87"/>
  <c r="F133" i="87"/>
  <c r="F132" i="87"/>
  <c r="F131" i="87"/>
  <c r="F130" i="87"/>
  <c r="F129" i="87"/>
  <c r="F128" i="87"/>
  <c r="F127" i="87"/>
  <c r="F126" i="87"/>
  <c r="F124" i="87"/>
  <c r="C139" i="87"/>
  <c r="C138" i="87"/>
  <c r="C137" i="87"/>
  <c r="C136" i="87"/>
  <c r="C134" i="87"/>
  <c r="C133" i="87"/>
  <c r="C132" i="87"/>
  <c r="C131" i="87"/>
  <c r="C130" i="87"/>
  <c r="C129" i="87"/>
  <c r="C128" i="87"/>
  <c r="C127" i="87"/>
  <c r="C126" i="87"/>
  <c r="C125" i="87"/>
  <c r="C124" i="87"/>
  <c r="C180" i="87" l="1"/>
  <c r="D94" i="97" s="1"/>
  <c r="D21" i="99"/>
  <c r="C179" i="87"/>
  <c r="D92" i="97" s="1"/>
  <c r="D14" i="99"/>
  <c r="C181" i="87"/>
  <c r="D96" i="97" s="1"/>
  <c r="D28" i="99"/>
  <c r="D118" i="65" a="1"/>
  <c r="D118" i="65" s="1"/>
  <c r="D64" i="65" a="1"/>
  <c r="D64" i="65" s="1"/>
  <c r="C17" i="92" a="1"/>
  <c r="C14" i="92" a="1"/>
  <c r="C178" i="87"/>
  <c r="D90" i="97" s="1"/>
  <c r="B18" i="90" a="1"/>
  <c r="B75" i="90" a="1"/>
  <c r="B75" i="90" s="1"/>
  <c r="D328" i="62"/>
  <c r="D660" i="62"/>
  <c r="D348" i="62"/>
  <c r="D347" i="62"/>
  <c r="D672" i="62"/>
  <c r="C112" i="87"/>
  <c r="D116" i="97" s="1"/>
  <c r="C113" i="87"/>
  <c r="C114" i="87"/>
  <c r="C115" i="87"/>
  <c r="C109" i="87"/>
  <c r="D519" i="62" l="1"/>
  <c r="D503" i="62"/>
  <c r="D535" i="62"/>
  <c r="M1014" i="56"/>
  <c r="M996" i="56"/>
  <c r="M1005" i="56"/>
  <c r="I1016" i="56"/>
  <c r="I998" i="56"/>
  <c r="I1007" i="56"/>
  <c r="F1060" i="56"/>
  <c r="F1051" i="56"/>
  <c r="F1042" i="56"/>
  <c r="C960" i="56"/>
  <c r="C951" i="56"/>
  <c r="C969" i="56"/>
  <c r="Q14" i="92"/>
  <c r="M14" i="92"/>
  <c r="C14" i="92"/>
  <c r="O14" i="92"/>
  <c r="D14" i="92"/>
  <c r="G14" i="92"/>
  <c r="H14" i="92"/>
  <c r="N14" i="92"/>
  <c r="R14" i="92"/>
  <c r="E14" i="92"/>
  <c r="I14" i="92"/>
  <c r="F14" i="92"/>
  <c r="J14" i="92"/>
  <c r="P14" i="92"/>
  <c r="K14" i="92"/>
  <c r="L14" i="92"/>
  <c r="N17" i="92"/>
  <c r="K17" i="92"/>
  <c r="E17" i="92"/>
  <c r="J17" i="92"/>
  <c r="F17" i="92"/>
  <c r="D17" i="92"/>
  <c r="P17" i="92"/>
  <c r="G17" i="92"/>
  <c r="O17" i="92"/>
  <c r="L17" i="92"/>
  <c r="Q17" i="92"/>
  <c r="H17" i="92"/>
  <c r="R17" i="92"/>
  <c r="C17" i="92"/>
  <c r="I17" i="92"/>
  <c r="M17" i="92"/>
  <c r="C27" i="90"/>
  <c r="D25" i="90"/>
  <c r="C26" i="90"/>
  <c r="D24" i="90"/>
  <c r="C25" i="90"/>
  <c r="D33" i="90"/>
  <c r="D23" i="90"/>
  <c r="C24" i="90"/>
  <c r="D32" i="90"/>
  <c r="C23" i="90"/>
  <c r="C30" i="90"/>
  <c r="D22" i="90"/>
  <c r="D31" i="90"/>
  <c r="C22" i="90"/>
  <c r="D28" i="90"/>
  <c r="C31" i="90"/>
  <c r="C33" i="90"/>
  <c r="C32" i="90"/>
  <c r="C29" i="90"/>
  <c r="D27" i="90"/>
  <c r="C28" i="90"/>
  <c r="D26" i="90"/>
  <c r="D30" i="90"/>
  <c r="D29" i="90"/>
  <c r="B18" i="90"/>
  <c r="C32" i="87"/>
  <c r="C30" i="87"/>
  <c r="C24" i="87"/>
  <c r="C325" i="87"/>
  <c r="D456" i="62" s="1"/>
  <c r="C100" i="87"/>
  <c r="C77" i="87"/>
  <c r="C76" i="87"/>
  <c r="C75" i="87"/>
  <c r="C74" i="87"/>
  <c r="C70" i="87"/>
  <c r="C69" i="87"/>
  <c r="C67" i="87"/>
  <c r="C66" i="87"/>
  <c r="C65" i="87"/>
  <c r="D329" i="62" s="1"/>
  <c r="C64" i="87"/>
  <c r="C60" i="87"/>
  <c r="C59" i="87"/>
  <c r="C58" i="87"/>
  <c r="C57" i="87"/>
  <c r="C56" i="87"/>
  <c r="C53" i="87"/>
  <c r="C52" i="87"/>
  <c r="C51" i="87"/>
  <c r="C50" i="87"/>
  <c r="F50" i="87"/>
  <c r="C46" i="87"/>
  <c r="C45" i="87"/>
  <c r="D598" i="62" s="1"/>
  <c r="C44" i="87"/>
  <c r="C43" i="87"/>
  <c r="C42" i="87"/>
  <c r="C269" i="87" s="1"/>
  <c r="C40" i="87"/>
  <c r="C39" i="87"/>
  <c r="C38" i="87"/>
  <c r="C37" i="87"/>
  <c r="C36" i="87"/>
  <c r="C31" i="87"/>
  <c r="D597" i="62" s="1"/>
  <c r="C17" i="87"/>
  <c r="C16" i="87"/>
  <c r="C29" i="87"/>
  <c r="C26" i="87"/>
  <c r="C25" i="87"/>
  <c r="D119" i="99" s="1"/>
  <c r="C23" i="87"/>
  <c r="C22" i="87"/>
  <c r="C18" i="87"/>
  <c r="C15" i="87"/>
  <c r="C14" i="87"/>
  <c r="C12" i="87"/>
  <c r="D102" i="99" s="1"/>
  <c r="C11" i="87"/>
  <c r="C10" i="87"/>
  <c r="C9" i="87"/>
  <c r="F310" i="87"/>
  <c r="F311" i="87"/>
  <c r="F312" i="87"/>
  <c r="F313" i="87"/>
  <c r="F314" i="87"/>
  <c r="F315" i="87"/>
  <c r="F316" i="87"/>
  <c r="F317" i="87"/>
  <c r="F292" i="87"/>
  <c r="F293" i="87"/>
  <c r="F294" i="87"/>
  <c r="F295" i="87"/>
  <c r="F296" i="87"/>
  <c r="F297" i="87"/>
  <c r="F281" i="87"/>
  <c r="F282" i="87"/>
  <c r="F278" i="87"/>
  <c r="F279" i="87"/>
  <c r="F280" i="87"/>
  <c r="AB43" i="63"/>
  <c r="F267" i="87"/>
  <c r="F264" i="87"/>
  <c r="F265" i="87"/>
  <c r="F266" i="87"/>
  <c r="F253" i="87"/>
  <c r="F250" i="87"/>
  <c r="F251" i="87"/>
  <c r="F252" i="87"/>
  <c r="AB38" i="63"/>
  <c r="E280" i="87"/>
  <c r="E266" i="87"/>
  <c r="E252" i="87"/>
  <c r="E238" i="87"/>
  <c r="F236" i="87"/>
  <c r="F237" i="87"/>
  <c r="F238" i="87"/>
  <c r="F239" i="87"/>
  <c r="F240" i="87"/>
  <c r="C292" i="87"/>
  <c r="C293" i="87"/>
  <c r="C294" i="87"/>
  <c r="C295" i="87"/>
  <c r="C296" i="87"/>
  <c r="C297" i="87"/>
  <c r="C278" i="87"/>
  <c r="C279" i="87"/>
  <c r="C280" i="87"/>
  <c r="C281" i="87"/>
  <c r="C264" i="87"/>
  <c r="C265" i="87"/>
  <c r="C266" i="87"/>
  <c r="C267" i="87"/>
  <c r="C250" i="87"/>
  <c r="C251" i="87"/>
  <c r="C252" i="87"/>
  <c r="C253" i="87"/>
  <c r="C236" i="87"/>
  <c r="C237" i="87"/>
  <c r="C238" i="87"/>
  <c r="C239" i="87"/>
  <c r="C310" i="87"/>
  <c r="C311" i="87"/>
  <c r="C312" i="87"/>
  <c r="C313" i="87"/>
  <c r="C314" i="87"/>
  <c r="C315" i="87"/>
  <c r="C94" i="87"/>
  <c r="C93" i="87"/>
  <c r="C88" i="87"/>
  <c r="C87" i="87"/>
  <c r="C86" i="87"/>
  <c r="D124" i="99" s="1"/>
  <c r="C85" i="87"/>
  <c r="C84" i="87"/>
  <c r="D142" i="99" s="1"/>
  <c r="C83" i="87"/>
  <c r="F94" i="87"/>
  <c r="F93" i="87"/>
  <c r="F85" i="87"/>
  <c r="J33" i="92" s="1"/>
  <c r="F84" i="87"/>
  <c r="K34" i="92" s="1"/>
  <c r="F86" i="87"/>
  <c r="K33" i="92" s="1"/>
  <c r="F87" i="87"/>
  <c r="F88" i="87"/>
  <c r="F89" i="87"/>
  <c r="J35" i="92" s="1"/>
  <c r="F90" i="87"/>
  <c r="K35" i="92" s="1"/>
  <c r="F83" i="87"/>
  <c r="J34" i="92" s="1"/>
  <c r="F65" i="87"/>
  <c r="F70" i="87"/>
  <c r="F69" i="87"/>
  <c r="F67" i="87"/>
  <c r="F66" i="87"/>
  <c r="D422" i="65" s="1"/>
  <c r="F64" i="87"/>
  <c r="F60" i="87"/>
  <c r="F287" i="87" s="1"/>
  <c r="F59" i="87"/>
  <c r="F58" i="87"/>
  <c r="F285" i="87" s="1"/>
  <c r="F57" i="87"/>
  <c r="F56" i="87"/>
  <c r="F55" i="87"/>
  <c r="F35" i="92" s="1"/>
  <c r="F53" i="87"/>
  <c r="F33" i="92" s="1"/>
  <c r="F52" i="87"/>
  <c r="F34" i="92" s="1"/>
  <c r="F51" i="87"/>
  <c r="F46" i="87"/>
  <c r="F45" i="87"/>
  <c r="F44" i="87"/>
  <c r="F43" i="87"/>
  <c r="F270" i="87" s="1"/>
  <c r="F42" i="87"/>
  <c r="F269" i="87" s="1"/>
  <c r="F41" i="87"/>
  <c r="I35" i="92" s="1"/>
  <c r="F40" i="87"/>
  <c r="F39" i="87"/>
  <c r="I33" i="92" s="1"/>
  <c r="F38" i="87"/>
  <c r="I34" i="92" s="1"/>
  <c r="F37" i="87"/>
  <c r="F36" i="87"/>
  <c r="F31" i="87"/>
  <c r="F30" i="87"/>
  <c r="F29" i="87"/>
  <c r="F28" i="87"/>
  <c r="F27" i="87"/>
  <c r="F26" i="87"/>
  <c r="F23" i="87"/>
  <c r="F22" i="87"/>
  <c r="F16" i="87"/>
  <c r="F10" i="87"/>
  <c r="E34" i="92" s="1"/>
  <c r="F9" i="87"/>
  <c r="F17" i="87"/>
  <c r="F18" i="87"/>
  <c r="F15" i="87"/>
  <c r="F13" i="87"/>
  <c r="E35" i="92" s="1"/>
  <c r="F11" i="87"/>
  <c r="E33" i="92" s="1"/>
  <c r="F12" i="87"/>
  <c r="F8" i="87"/>
  <c r="F102" i="87"/>
  <c r="D98" i="65" s="1"/>
  <c r="F101" i="87"/>
  <c r="D94" i="65" s="1"/>
  <c r="F99" i="87"/>
  <c r="D127" i="99" l="1"/>
  <c r="D114" i="97"/>
  <c r="D520" i="62"/>
  <c r="D504" i="62"/>
  <c r="D536" i="62"/>
  <c r="D339" i="62"/>
  <c r="D320" i="62"/>
  <c r="M995" i="56"/>
  <c r="I1015" i="56"/>
  <c r="M1004" i="56"/>
  <c r="C569" i="56"/>
  <c r="I570" i="56"/>
  <c r="M1013" i="56"/>
  <c r="F570" i="56"/>
  <c r="C959" i="56"/>
  <c r="C950" i="56"/>
  <c r="F1041" i="56"/>
  <c r="C968" i="56"/>
  <c r="M570" i="56"/>
  <c r="F1050" i="56"/>
  <c r="I1006" i="56"/>
  <c r="I997" i="56"/>
  <c r="F1059" i="56"/>
  <c r="D113" i="97"/>
  <c r="D141" i="99"/>
  <c r="D102" i="97"/>
  <c r="D108" i="99"/>
  <c r="D319" i="62"/>
  <c r="D338" i="62"/>
  <c r="D138" i="99"/>
  <c r="D110" i="97"/>
  <c r="D104" i="97"/>
  <c r="D110" i="99"/>
  <c r="D111" i="97"/>
  <c r="D137" i="99"/>
  <c r="D118" i="97"/>
  <c r="D123" i="99"/>
  <c r="D107" i="99"/>
  <c r="D103" i="97"/>
  <c r="D120" i="99"/>
  <c r="D115" i="97"/>
  <c r="D112" i="97"/>
  <c r="D146" i="99"/>
  <c r="D117" i="97"/>
  <c r="D128" i="99"/>
  <c r="V579" i="56"/>
  <c r="Q579" i="56"/>
  <c r="D101" i="97"/>
  <c r="D109" i="99"/>
  <c r="D109" i="97"/>
  <c r="D145" i="99"/>
  <c r="D529" i="62"/>
  <c r="D108" i="62"/>
  <c r="D513" i="62"/>
  <c r="D97" i="65"/>
  <c r="D95" i="65"/>
  <c r="D96" i="65"/>
  <c r="D411" i="65"/>
  <c r="D430" i="65"/>
  <c r="D441" i="65"/>
  <c r="D446" i="65"/>
  <c r="D420" i="65"/>
  <c r="D439" i="65"/>
  <c r="D440" i="65"/>
  <c r="D421" i="65"/>
  <c r="D427" i="65"/>
  <c r="D445" i="65"/>
  <c r="D444" i="65"/>
  <c r="D425" i="65"/>
  <c r="D443" i="65"/>
  <c r="D424" i="65"/>
  <c r="D413" i="65"/>
  <c r="D433" i="65"/>
  <c r="D432" i="65"/>
  <c r="D414" i="65"/>
  <c r="F271" i="87"/>
  <c r="D434" i="65"/>
  <c r="D415" i="65"/>
  <c r="D416" i="65"/>
  <c r="D435" i="65"/>
  <c r="D412" i="65"/>
  <c r="D431" i="65"/>
  <c r="F291" i="87"/>
  <c r="G35" i="92"/>
  <c r="H35" i="92"/>
  <c r="J19" i="92"/>
  <c r="I19" i="92"/>
  <c r="R19" i="92"/>
  <c r="H19" i="92"/>
  <c r="Q19" i="92"/>
  <c r="G19" i="92"/>
  <c r="P19" i="92"/>
  <c r="F19" i="92"/>
  <c r="O19" i="92"/>
  <c r="E19" i="92"/>
  <c r="N19" i="92"/>
  <c r="D19" i="92"/>
  <c r="M19" i="92"/>
  <c r="L19" i="92"/>
  <c r="K19" i="92"/>
  <c r="C19" i="92"/>
  <c r="N23" i="92"/>
  <c r="D23" i="92"/>
  <c r="Q16" i="92"/>
  <c r="G16" i="92"/>
  <c r="M23" i="92"/>
  <c r="C23" i="92"/>
  <c r="P16" i="92"/>
  <c r="F16" i="92"/>
  <c r="L23" i="92"/>
  <c r="O16" i="92"/>
  <c r="E16" i="92"/>
  <c r="K23" i="92"/>
  <c r="N16" i="92"/>
  <c r="D16" i="92"/>
  <c r="J23" i="92"/>
  <c r="M16" i="92"/>
  <c r="C16" i="92"/>
  <c r="I23" i="92"/>
  <c r="L16" i="92"/>
  <c r="R23" i="92"/>
  <c r="H23" i="92"/>
  <c r="K16" i="92"/>
  <c r="F23" i="92"/>
  <c r="H16" i="92"/>
  <c r="Q23" i="92"/>
  <c r="P23" i="92"/>
  <c r="R16" i="92"/>
  <c r="O23" i="92"/>
  <c r="J16" i="92"/>
  <c r="G23" i="92"/>
  <c r="I16" i="92"/>
  <c r="E23" i="92"/>
  <c r="D342" i="62"/>
  <c r="D323" i="62"/>
  <c r="D630" i="62"/>
  <c r="D599" i="62"/>
  <c r="D645" i="75"/>
  <c r="F284" i="87"/>
  <c r="D718" i="65"/>
  <c r="D730" i="65"/>
  <c r="D355" i="75"/>
  <c r="D352" i="75"/>
  <c r="D349" i="75"/>
  <c r="D346" i="75"/>
  <c r="D368" i="75"/>
  <c r="D307" i="75"/>
  <c r="D365" i="75"/>
  <c r="D362" i="75"/>
  <c r="D359" i="75"/>
  <c r="F283" i="87"/>
  <c r="D712" i="65"/>
  <c r="D724" i="65"/>
  <c r="D652" i="65"/>
  <c r="F286" i="87"/>
  <c r="D685" i="65"/>
  <c r="D654" i="65"/>
  <c r="F272" i="87"/>
  <c r="D653" i="65"/>
  <c r="F273" i="87"/>
  <c r="D697" i="75"/>
  <c r="D658" i="75"/>
  <c r="D700" i="75"/>
  <c r="D703" i="75"/>
  <c r="D706" i="75"/>
  <c r="D710" i="75"/>
  <c r="D713" i="75"/>
  <c r="D716" i="75"/>
  <c r="D719" i="75"/>
  <c r="D675" i="62"/>
  <c r="D663" i="62"/>
  <c r="D341" i="62"/>
  <c r="D321" i="62"/>
  <c r="D340" i="62"/>
  <c r="D322" i="62"/>
  <c r="D334" i="62"/>
  <c r="D353" i="62"/>
  <c r="D678" i="62"/>
  <c r="D352" i="62"/>
  <c r="D333" i="62"/>
  <c r="D666" i="62"/>
  <c r="D681" i="62"/>
  <c r="D669" i="62"/>
  <c r="D304" i="75"/>
  <c r="C303" i="87"/>
  <c r="C304" i="87"/>
  <c r="C291" i="87" l="1"/>
  <c r="AA25" i="63"/>
  <c r="D108" i="97" s="1"/>
  <c r="AA17" i="63"/>
  <c r="D107" i="97" s="1"/>
  <c r="AA8" i="63"/>
  <c r="D105" i="97" s="1"/>
  <c r="C8" i="87"/>
  <c r="AA21" i="63"/>
  <c r="B280" i="87"/>
  <c r="B266" i="87"/>
  <c r="B252" i="87"/>
  <c r="B238" i="87"/>
  <c r="F340" i="87"/>
  <c r="F341" i="87"/>
  <c r="F342" i="87"/>
  <c r="F343" i="87"/>
  <c r="F344" i="87"/>
  <c r="F345" i="87"/>
  <c r="F346" i="87"/>
  <c r="F347" i="87"/>
  <c r="F348" i="87"/>
  <c r="F349" i="87"/>
  <c r="F350" i="87"/>
  <c r="F351" i="87"/>
  <c r="F352" i="87"/>
  <c r="F353" i="87"/>
  <c r="F354" i="87"/>
  <c r="F355" i="87"/>
  <c r="F356" i="87"/>
  <c r="F357" i="87"/>
  <c r="F358" i="87"/>
  <c r="F359" i="87"/>
  <c r="F360" i="87"/>
  <c r="F361" i="87"/>
  <c r="F362" i="87"/>
  <c r="F363" i="87"/>
  <c r="F364" i="87"/>
  <c r="F365" i="87"/>
  <c r="F366" i="87"/>
  <c r="F367" i="87"/>
  <c r="F368" i="87"/>
  <c r="F369" i="87"/>
  <c r="F370" i="87"/>
  <c r="F371" i="87"/>
  <c r="C340" i="87"/>
  <c r="C341" i="87"/>
  <c r="C342" i="87"/>
  <c r="C343" i="87"/>
  <c r="C344" i="87"/>
  <c r="C345" i="87"/>
  <c r="C346" i="87"/>
  <c r="C347" i="87"/>
  <c r="C348" i="87"/>
  <c r="C349" i="87"/>
  <c r="C350" i="87"/>
  <c r="C351" i="87"/>
  <c r="C352" i="87"/>
  <c r="C353" i="87"/>
  <c r="C354" i="87"/>
  <c r="C355" i="87"/>
  <c r="C356" i="87"/>
  <c r="C357" i="87"/>
  <c r="C358" i="87"/>
  <c r="C359" i="87"/>
  <c r="C360" i="87"/>
  <c r="C361" i="87"/>
  <c r="C362" i="87"/>
  <c r="C363" i="87"/>
  <c r="C364" i="87"/>
  <c r="C365" i="87"/>
  <c r="C366" i="87"/>
  <c r="C367" i="87"/>
  <c r="C368" i="87"/>
  <c r="C369" i="87"/>
  <c r="C370" i="87"/>
  <c r="C371" i="87"/>
  <c r="F399" i="87"/>
  <c r="F400" i="87"/>
  <c r="F401" i="87"/>
  <c r="F402" i="87"/>
  <c r="F403" i="87"/>
  <c r="F404" i="87"/>
  <c r="F405" i="87"/>
  <c r="F406" i="87"/>
  <c r="F407" i="87"/>
  <c r="F408" i="87"/>
  <c r="F409" i="87"/>
  <c r="C375" i="87"/>
  <c r="C376" i="87"/>
  <c r="C395" i="87" s="1"/>
  <c r="C377" i="87"/>
  <c r="C396" i="87" s="1"/>
  <c r="C378" i="87"/>
  <c r="C397" i="87" s="1"/>
  <c r="C379" i="87"/>
  <c r="C398" i="87" s="1"/>
  <c r="C380" i="87"/>
  <c r="C399" i="87" s="1"/>
  <c r="C381" i="87"/>
  <c r="C400" i="87" s="1"/>
  <c r="C382" i="87"/>
  <c r="C401" i="87" s="1"/>
  <c r="C383" i="87"/>
  <c r="C402" i="87" s="1"/>
  <c r="C384" i="87"/>
  <c r="C403" i="87" s="1"/>
  <c r="C385" i="87"/>
  <c r="C404" i="87" s="1"/>
  <c r="C386" i="87"/>
  <c r="C405" i="87" s="1"/>
  <c r="C387" i="87"/>
  <c r="C406" i="87" s="1"/>
  <c r="C388" i="87"/>
  <c r="C407" i="87" s="1"/>
  <c r="C389" i="87"/>
  <c r="C408" i="87" s="1"/>
  <c r="C390" i="87"/>
  <c r="C409" i="87" s="1"/>
  <c r="F13" i="63"/>
  <c r="B53" i="87"/>
  <c r="B39" i="87"/>
  <c r="B25" i="87"/>
  <c r="B11" i="87"/>
  <c r="D106" i="97" l="1"/>
  <c r="D19" i="62"/>
  <c r="M568" i="56"/>
  <c r="C567" i="56"/>
  <c r="I568" i="56"/>
  <c r="F568" i="56"/>
  <c r="C394" i="87"/>
  <c r="B44" i="90" a="1"/>
  <c r="F78" i="63"/>
  <c r="D257" i="65" s="1"/>
  <c r="R78" i="87"/>
  <c r="D354" i="65"/>
  <c r="F170" i="63"/>
  <c r="D358" i="65" s="1"/>
  <c r="D359" i="65"/>
  <c r="F160" i="63"/>
  <c r="D339" i="65" s="1"/>
  <c r="F159" i="63"/>
  <c r="F128" i="63"/>
  <c r="B338" i="40"/>
  <c r="B306" i="40"/>
  <c r="C79" i="87"/>
  <c r="C306" i="87" s="1"/>
  <c r="C78" i="87"/>
  <c r="C305" i="87" s="1"/>
  <c r="D50" i="90" l="1"/>
  <c r="D51" i="90"/>
  <c r="D52" i="90"/>
  <c r="D55" i="90"/>
  <c r="D56" i="90"/>
  <c r="D58" i="90"/>
  <c r="D59" i="90"/>
  <c r="D57" i="90"/>
  <c r="D49" i="90"/>
  <c r="D53" i="90"/>
  <c r="D54" i="90"/>
  <c r="C57" i="90"/>
  <c r="C56" i="90"/>
  <c r="C55" i="90"/>
  <c r="C54" i="90"/>
  <c r="C53" i="90"/>
  <c r="C52" i="90"/>
  <c r="C51" i="90"/>
  <c r="C59" i="90"/>
  <c r="C49" i="90"/>
  <c r="C58" i="90"/>
  <c r="C48" i="90"/>
  <c r="C50" i="90"/>
  <c r="B44" i="90"/>
  <c r="D295" i="65"/>
  <c r="D300" i="65"/>
  <c r="D280" i="65"/>
  <c r="I101" i="87"/>
  <c r="AA102" i="87"/>
  <c r="AA101" i="87"/>
  <c r="AA99" i="87"/>
  <c r="X102" i="87"/>
  <c r="X101" i="87"/>
  <c r="X99" i="87"/>
  <c r="U102" i="87"/>
  <c r="U101" i="87"/>
  <c r="U99" i="87"/>
  <c r="R102" i="87"/>
  <c r="R101" i="87"/>
  <c r="R99" i="87"/>
  <c r="O102" i="87"/>
  <c r="O101" i="87"/>
  <c r="O99" i="87"/>
  <c r="L102" i="87"/>
  <c r="L101" i="87"/>
  <c r="L99" i="87"/>
  <c r="C102" i="87"/>
  <c r="C101" i="87"/>
  <c r="C99" i="87"/>
  <c r="I99" i="87"/>
  <c r="I102" i="87"/>
  <c r="C156" i="62"/>
  <c r="D156" i="62"/>
  <c r="L174" i="87" l="1"/>
  <c r="L173" i="87"/>
  <c r="L172" i="87"/>
  <c r="L171" i="87"/>
  <c r="L170" i="87"/>
  <c r="L169" i="87"/>
  <c r="L168" i="87"/>
  <c r="L167" i="87"/>
  <c r="L166" i="87"/>
  <c r="L165" i="87"/>
  <c r="L164" i="87"/>
  <c r="L163" i="87"/>
  <c r="L162" i="87"/>
  <c r="L161" i="87"/>
  <c r="L160" i="87"/>
  <c r="L159" i="87"/>
  <c r="I174" i="87"/>
  <c r="I173" i="87"/>
  <c r="I172" i="87"/>
  <c r="I171" i="87"/>
  <c r="I170" i="87"/>
  <c r="I169" i="87"/>
  <c r="I168" i="87"/>
  <c r="I167" i="87"/>
  <c r="I166" i="87"/>
  <c r="I165" i="87"/>
  <c r="I164" i="87"/>
  <c r="I163" i="87"/>
  <c r="I162" i="87"/>
  <c r="I161" i="87"/>
  <c r="I160" i="87"/>
  <c r="I159" i="87"/>
  <c r="B385" i="56" a="1"/>
  <c r="B385" i="56" s="1"/>
  <c r="B382" i="56" a="1"/>
  <c r="B382" i="56" s="1"/>
  <c r="B379" i="56" a="1"/>
  <c r="B379" i="56" s="1"/>
  <c r="B376" i="56" a="1"/>
  <c r="B376" i="56" s="1"/>
  <c r="B373" i="56" a="1"/>
  <c r="B373" i="56" s="1"/>
  <c r="B370" i="56" a="1"/>
  <c r="B370" i="56" s="1"/>
  <c r="B367" i="56" a="1"/>
  <c r="B367" i="56" s="1"/>
  <c r="F8" i="63"/>
  <c r="F9" i="63" s="1"/>
  <c r="F115" i="87"/>
  <c r="F114" i="87"/>
  <c r="F113" i="87"/>
  <c r="F112" i="87"/>
  <c r="H33" i="92" s="1"/>
  <c r="F111" i="87"/>
  <c r="H34" i="92" s="1"/>
  <c r="F110" i="87"/>
  <c r="M571" i="56" s="1"/>
  <c r="F109" i="87"/>
  <c r="F78" i="87" a="1"/>
  <c r="F78" i="87" s="1"/>
  <c r="I94" i="87"/>
  <c r="F79" i="87" a="1"/>
  <c r="F79" i="87" s="1"/>
  <c r="I155" i="87"/>
  <c r="I154" i="87"/>
  <c r="I153" i="87"/>
  <c r="I152" i="87"/>
  <c r="I151" i="87"/>
  <c r="I150" i="87"/>
  <c r="I149" i="87"/>
  <c r="I148" i="87"/>
  <c r="I147" i="87"/>
  <c r="I146" i="87"/>
  <c r="I145" i="87"/>
  <c r="I144" i="87"/>
  <c r="I143" i="87"/>
  <c r="I142" i="87"/>
  <c r="I141" i="87"/>
  <c r="I140" i="87"/>
  <c r="I139" i="87"/>
  <c r="I138" i="87"/>
  <c r="I137" i="87"/>
  <c r="I136" i="87"/>
  <c r="I135" i="87"/>
  <c r="I134" i="87"/>
  <c r="I133" i="87"/>
  <c r="I132" i="87"/>
  <c r="I131" i="87"/>
  <c r="I130" i="87"/>
  <c r="I129" i="87"/>
  <c r="I128" i="87"/>
  <c r="I127" i="87"/>
  <c r="I126" i="87"/>
  <c r="I125" i="87"/>
  <c r="I124" i="87"/>
  <c r="I115" i="87"/>
  <c r="I114" i="87"/>
  <c r="I113" i="87"/>
  <c r="L112" i="87"/>
  <c r="H99" i="92" s="1"/>
  <c r="I112" i="87"/>
  <c r="H66" i="92" s="1"/>
  <c r="I111" i="87"/>
  <c r="H67" i="92" s="1"/>
  <c r="I110" i="87"/>
  <c r="I109" i="87"/>
  <c r="I93" i="87"/>
  <c r="I90" i="87"/>
  <c r="K68" i="92" s="1"/>
  <c r="I89" i="87"/>
  <c r="J68" i="92" s="1"/>
  <c r="I88" i="87"/>
  <c r="I87" i="87"/>
  <c r="I86" i="87"/>
  <c r="K66" i="92" s="1"/>
  <c r="I85" i="87"/>
  <c r="J66" i="92" s="1"/>
  <c r="I83" i="87"/>
  <c r="J67" i="92" s="1"/>
  <c r="I79" i="87"/>
  <c r="I78" i="87"/>
  <c r="I74" i="87"/>
  <c r="F119" i="87"/>
  <c r="E53" i="87"/>
  <c r="E39" i="87"/>
  <c r="E25" i="87"/>
  <c r="E11" i="87"/>
  <c r="C577" i="40"/>
  <c r="C568" i="40"/>
  <c r="C536" i="40"/>
  <c r="C527" i="40"/>
  <c r="C507" i="40"/>
  <c r="C493" i="40"/>
  <c r="C476" i="40"/>
  <c r="C454" i="40"/>
  <c r="C453" i="40"/>
  <c r="C450" i="40"/>
  <c r="C431" i="40"/>
  <c r="C429" i="40"/>
  <c r="C376" i="40"/>
  <c r="C372" i="40"/>
  <c r="C370" i="40"/>
  <c r="C369" i="40"/>
  <c r="C367" i="40"/>
  <c r="C106" i="40"/>
  <c r="D117" i="30"/>
  <c r="C237" i="83" s="1"/>
  <c r="C459" i="40"/>
  <c r="C461" i="40"/>
  <c r="C463" i="40"/>
  <c r="C465" i="40"/>
  <c r="D601" i="88"/>
  <c r="D602" i="88"/>
  <c r="D603" i="88"/>
  <c r="D604" i="88"/>
  <c r="D605" i="88"/>
  <c r="D606" i="88"/>
  <c r="D607" i="88"/>
  <c r="D608" i="88"/>
  <c r="D609" i="88"/>
  <c r="D610" i="88"/>
  <c r="D611" i="88"/>
  <c r="D612" i="88"/>
  <c r="D613" i="88"/>
  <c r="D614" i="88"/>
  <c r="D615" i="88"/>
  <c r="D616" i="88"/>
  <c r="D541" i="88"/>
  <c r="D542" i="88"/>
  <c r="D543" i="88"/>
  <c r="D544" i="88"/>
  <c r="D545" i="88"/>
  <c r="D546" i="88"/>
  <c r="D547" i="88"/>
  <c r="D548" i="88"/>
  <c r="D549" i="88"/>
  <c r="D550" i="88"/>
  <c r="D551" i="88"/>
  <c r="D552" i="88"/>
  <c r="D553" i="88"/>
  <c r="D554" i="88"/>
  <c r="D555" i="88"/>
  <c r="D556" i="88"/>
  <c r="D482" i="88"/>
  <c r="D483" i="88"/>
  <c r="D484" i="88"/>
  <c r="D485" i="88"/>
  <c r="D486" i="88"/>
  <c r="D487" i="88"/>
  <c r="D488" i="88"/>
  <c r="D489" i="88"/>
  <c r="D490" i="88"/>
  <c r="D491" i="88"/>
  <c r="D492" i="88"/>
  <c r="D493" i="88"/>
  <c r="D494" i="88"/>
  <c r="D495" i="88"/>
  <c r="D496" i="88"/>
  <c r="D497" i="88"/>
  <c r="D422" i="88"/>
  <c r="D423" i="88"/>
  <c r="D424" i="88"/>
  <c r="D425" i="88"/>
  <c r="D426" i="88"/>
  <c r="D427" i="88"/>
  <c r="D428" i="88"/>
  <c r="D429" i="88"/>
  <c r="D430" i="88"/>
  <c r="D431" i="88"/>
  <c r="D432" i="88"/>
  <c r="D433" i="88"/>
  <c r="D434" i="88"/>
  <c r="D435" i="88"/>
  <c r="D436" i="88"/>
  <c r="D437" i="88"/>
  <c r="D302" i="88"/>
  <c r="D303" i="88"/>
  <c r="D304" i="88"/>
  <c r="D305" i="88"/>
  <c r="D306" i="88"/>
  <c r="D307" i="88"/>
  <c r="D308" i="88"/>
  <c r="D309" i="88"/>
  <c r="D310" i="88"/>
  <c r="D311" i="88"/>
  <c r="D312" i="88"/>
  <c r="D313" i="88"/>
  <c r="D314" i="88"/>
  <c r="D315" i="88"/>
  <c r="D316" i="88"/>
  <c r="D317" i="88"/>
  <c r="D242" i="88"/>
  <c r="D243" i="88"/>
  <c r="D244" i="88"/>
  <c r="D245" i="88"/>
  <c r="D246" i="88"/>
  <c r="D247" i="88"/>
  <c r="D248" i="88"/>
  <c r="D249" i="88"/>
  <c r="D250" i="88"/>
  <c r="D251" i="88"/>
  <c r="D252" i="88"/>
  <c r="D253" i="88"/>
  <c r="D254" i="88"/>
  <c r="D255" i="88"/>
  <c r="D256" i="88"/>
  <c r="D257" i="88"/>
  <c r="D193" i="88"/>
  <c r="D194" i="88"/>
  <c r="D195" i="88"/>
  <c r="D196" i="88"/>
  <c r="D197" i="88"/>
  <c r="D198" i="88"/>
  <c r="D199" i="88"/>
  <c r="D200" i="88"/>
  <c r="D201" i="88"/>
  <c r="D202" i="88"/>
  <c r="D203" i="88"/>
  <c r="D204" i="88"/>
  <c r="D205" i="88"/>
  <c r="D206" i="88"/>
  <c r="D207" i="88"/>
  <c r="D208" i="88"/>
  <c r="D131" i="88"/>
  <c r="D132" i="88"/>
  <c r="D133" i="88"/>
  <c r="D134" i="88"/>
  <c r="D135" i="88"/>
  <c r="D136" i="88"/>
  <c r="D137" i="88"/>
  <c r="D138" i="88"/>
  <c r="D139" i="88"/>
  <c r="D140" i="88"/>
  <c r="D141" i="88"/>
  <c r="D142" i="88"/>
  <c r="D143" i="88"/>
  <c r="D144" i="88"/>
  <c r="D145" i="88"/>
  <c r="D146" i="88"/>
  <c r="D84" i="88"/>
  <c r="D85" i="88"/>
  <c r="D86" i="88"/>
  <c r="D87" i="88"/>
  <c r="D88" i="88"/>
  <c r="D89" i="88"/>
  <c r="D90" i="88"/>
  <c r="D91" i="88"/>
  <c r="D92" i="88"/>
  <c r="D93" i="88"/>
  <c r="D94" i="88"/>
  <c r="D95" i="88"/>
  <c r="D96" i="88"/>
  <c r="D97" i="88"/>
  <c r="D98" i="88"/>
  <c r="D99" i="88"/>
  <c r="D26" i="88"/>
  <c r="D27" i="88"/>
  <c r="D28" i="88"/>
  <c r="D29" i="88"/>
  <c r="D30" i="88"/>
  <c r="D31" i="88"/>
  <c r="D32" i="88"/>
  <c r="D33" i="88"/>
  <c r="D34" i="88"/>
  <c r="D35" i="88"/>
  <c r="D36" i="88"/>
  <c r="D37" i="88"/>
  <c r="D38" i="88"/>
  <c r="D39" i="88"/>
  <c r="D40" i="88"/>
  <c r="D41" i="88"/>
  <c r="D41" i="89"/>
  <c r="D42" i="89"/>
  <c r="D43" i="89"/>
  <c r="D44" i="89"/>
  <c r="D45" i="89"/>
  <c r="C119" i="83" l="1"/>
  <c r="C227" i="83"/>
  <c r="C225" i="83"/>
  <c r="C224" i="83"/>
  <c r="D152" i="65" a="1"/>
  <c r="D152" i="65" s="1"/>
  <c r="D135" i="65" a="1"/>
  <c r="D135" i="65" s="1"/>
  <c r="A133" i="65" a="1"/>
  <c r="A133" i="65" s="1"/>
  <c r="I571" i="56"/>
  <c r="C570" i="56"/>
  <c r="F571" i="56"/>
  <c r="C85" i="95"/>
  <c r="C89" i="95"/>
  <c r="C63" i="95"/>
  <c r="C77" i="95"/>
  <c r="C81" i="95"/>
  <c r="C376" i="68"/>
  <c r="C47" i="92" a="1"/>
  <c r="K47" i="92" s="1"/>
  <c r="C80" i="92" a="1"/>
  <c r="C50" i="92" a="1"/>
  <c r="L18" i="92"/>
  <c r="K18" i="92"/>
  <c r="H18" i="92"/>
  <c r="J18" i="92"/>
  <c r="I18" i="92"/>
  <c r="R18" i="92"/>
  <c r="Q18" i="92"/>
  <c r="G18" i="92"/>
  <c r="P18" i="92"/>
  <c r="F18" i="92"/>
  <c r="O18" i="92"/>
  <c r="E18" i="92"/>
  <c r="N18" i="92"/>
  <c r="D18" i="92"/>
  <c r="M18" i="92"/>
  <c r="C18" i="92"/>
  <c r="J51" i="92"/>
  <c r="I51" i="92"/>
  <c r="R51" i="92"/>
  <c r="H51" i="92"/>
  <c r="Q51" i="92"/>
  <c r="G51" i="92"/>
  <c r="F51" i="92"/>
  <c r="L51" i="92"/>
  <c r="C51" i="92"/>
  <c r="E51" i="92"/>
  <c r="O51" i="92"/>
  <c r="N51" i="92"/>
  <c r="D51" i="92"/>
  <c r="K51" i="92"/>
  <c r="P51" i="92"/>
  <c r="M51" i="92"/>
  <c r="B167" i="90" a="1"/>
  <c r="B134" i="90" a="1"/>
  <c r="F206" i="87"/>
  <c r="F197" i="87"/>
  <c r="F185" i="87" a="1"/>
  <c r="F185" i="87" s="1"/>
  <c r="F187" i="87" a="1"/>
  <c r="F187" i="87" s="1"/>
  <c r="F186" i="87" a="1"/>
  <c r="F186" i="87" s="1"/>
  <c r="F182" i="87" a="1"/>
  <c r="F182" i="87" s="1"/>
  <c r="F180" i="87" a="1"/>
  <c r="F180" i="87" s="1"/>
  <c r="F181" i="87" a="1"/>
  <c r="F181" i="87" s="1"/>
  <c r="F189" i="87" a="1"/>
  <c r="F189" i="87" s="1"/>
  <c r="F190" i="87" a="1"/>
  <c r="F190" i="87" s="1"/>
  <c r="F179" i="87" a="1"/>
  <c r="F179" i="87" s="1"/>
  <c r="F193" i="87" a="1"/>
  <c r="F193" i="87" s="1"/>
  <c r="F183" i="87" a="1"/>
  <c r="F183" i="87" s="1"/>
  <c r="F184" i="87" a="1"/>
  <c r="F184" i="87" s="1"/>
  <c r="F178" i="87"/>
  <c r="F191" i="87" a="1"/>
  <c r="F191" i="87" s="1"/>
  <c r="F188" i="87" a="1"/>
  <c r="F188" i="87" s="1"/>
  <c r="F192" i="87" a="1"/>
  <c r="F192" i="87" s="1"/>
  <c r="F231" i="87"/>
  <c r="B213" i="88"/>
  <c r="G213" i="88"/>
  <c r="B214" i="88"/>
  <c r="G214" i="88"/>
  <c r="B162" i="88"/>
  <c r="G162" i="88"/>
  <c r="B163" i="88"/>
  <c r="G163" i="88"/>
  <c r="C47" i="92" l="1"/>
  <c r="R47" i="92"/>
  <c r="H47" i="92"/>
  <c r="Q47" i="92"/>
  <c r="F47" i="92"/>
  <c r="L47" i="92"/>
  <c r="I47" i="92"/>
  <c r="P47" i="92"/>
  <c r="D47" i="92"/>
  <c r="J47" i="92"/>
  <c r="N47" i="92"/>
  <c r="O47" i="92"/>
  <c r="E47" i="92"/>
  <c r="G47" i="92"/>
  <c r="M47" i="92"/>
  <c r="R50" i="92"/>
  <c r="D50" i="92"/>
  <c r="P50" i="92"/>
  <c r="E50" i="92"/>
  <c r="L50" i="92"/>
  <c r="M50" i="92"/>
  <c r="N50" i="92"/>
  <c r="G50" i="92"/>
  <c r="I50" i="92"/>
  <c r="H50" i="92"/>
  <c r="K50" i="92"/>
  <c r="O50" i="92"/>
  <c r="F50" i="92"/>
  <c r="Q50" i="92"/>
  <c r="J50" i="92"/>
  <c r="C50" i="92"/>
  <c r="Q80" i="92"/>
  <c r="I80" i="92"/>
  <c r="J80" i="92"/>
  <c r="K80" i="92"/>
  <c r="N80" i="92"/>
  <c r="F80" i="92"/>
  <c r="P80" i="92"/>
  <c r="C80" i="92"/>
  <c r="L80" i="92"/>
  <c r="D80" i="92"/>
  <c r="O80" i="92"/>
  <c r="M80" i="92"/>
  <c r="G80" i="92"/>
  <c r="E80" i="92"/>
  <c r="R80" i="92"/>
  <c r="H80" i="92"/>
  <c r="B167" i="90"/>
  <c r="E175" i="90"/>
  <c r="E171" i="90"/>
  <c r="E170" i="90"/>
  <c r="E177" i="90"/>
  <c r="E174" i="90"/>
  <c r="E181" i="90"/>
  <c r="E179" i="90"/>
  <c r="E173" i="90"/>
  <c r="E172" i="90"/>
  <c r="E180" i="90"/>
  <c r="E176" i="90"/>
  <c r="E182" i="90"/>
  <c r="E178" i="90"/>
  <c r="B134" i="90"/>
  <c r="E148" i="90"/>
  <c r="E138" i="90"/>
  <c r="E137" i="90"/>
  <c r="E141" i="90"/>
  <c r="E140" i="90"/>
  <c r="E149" i="90"/>
  <c r="E139" i="90"/>
  <c r="E147" i="90"/>
  <c r="E146" i="90"/>
  <c r="E145" i="90"/>
  <c r="E144" i="90"/>
  <c r="E143" i="90"/>
  <c r="E142" i="90"/>
  <c r="C431" i="56" a="1"/>
  <c r="C431" i="56" s="1"/>
  <c r="K13" i="89"/>
  <c r="K21" i="89"/>
  <c r="K22" i="89"/>
  <c r="K40" i="89"/>
  <c r="B41" i="89"/>
  <c r="F41" i="89"/>
  <c r="H41" i="89"/>
  <c r="I41" i="89"/>
  <c r="J41" i="89"/>
  <c r="C287" i="87" s="1"/>
  <c r="B42" i="89"/>
  <c r="F42" i="89"/>
  <c r="H42" i="89"/>
  <c r="I42" i="89"/>
  <c r="J42" i="89"/>
  <c r="B43" i="89"/>
  <c r="F43" i="89"/>
  <c r="H43" i="89"/>
  <c r="I43" i="89"/>
  <c r="J43" i="89"/>
  <c r="B44" i="89"/>
  <c r="F44" i="89"/>
  <c r="H44" i="89"/>
  <c r="I44" i="89"/>
  <c r="J44" i="89"/>
  <c r="B45" i="89"/>
  <c r="F45" i="89"/>
  <c r="H45" i="89"/>
  <c r="I45" i="89"/>
  <c r="J45" i="89"/>
  <c r="D48" i="89"/>
  <c r="F48" i="89"/>
  <c r="H48" i="89"/>
  <c r="I48" i="89"/>
  <c r="J48" i="89"/>
  <c r="K48" i="89"/>
  <c r="D49" i="89"/>
  <c r="F49" i="89"/>
  <c r="H49" i="89"/>
  <c r="I49" i="89"/>
  <c r="J49" i="89"/>
  <c r="K49" i="89"/>
  <c r="B71" i="89"/>
  <c r="K72" i="89"/>
  <c r="B95" i="89"/>
  <c r="K96" i="89"/>
  <c r="D98" i="89"/>
  <c r="F98" i="89"/>
  <c r="H98" i="89"/>
  <c r="I98" i="89"/>
  <c r="J98" i="89"/>
  <c r="D99" i="89"/>
  <c r="F99" i="89"/>
  <c r="H99" i="89"/>
  <c r="I99" i="89"/>
  <c r="J99" i="89"/>
  <c r="D100" i="89"/>
  <c r="F100" i="89"/>
  <c r="H100" i="89"/>
  <c r="I100" i="89"/>
  <c r="J100" i="89"/>
  <c r="D101" i="89"/>
  <c r="F101" i="89"/>
  <c r="H101" i="89"/>
  <c r="I101" i="89"/>
  <c r="J101" i="89"/>
  <c r="D102" i="89"/>
  <c r="F102" i="89"/>
  <c r="H102" i="89"/>
  <c r="I102" i="89"/>
  <c r="J102" i="89"/>
  <c r="AA115" i="87" l="1"/>
  <c r="AA114" i="87"/>
  <c r="AA113" i="87"/>
  <c r="AA112" i="87"/>
  <c r="H264" i="92" s="1"/>
  <c r="AA111" i="87"/>
  <c r="H265" i="92" s="1"/>
  <c r="AA110" i="87"/>
  <c r="AA109" i="87"/>
  <c r="X115" i="87"/>
  <c r="X114" i="87"/>
  <c r="X113" i="87"/>
  <c r="X112" i="87"/>
  <c r="H231" i="92" s="1"/>
  <c r="X111" i="87"/>
  <c r="H232" i="92" s="1"/>
  <c r="X110" i="87"/>
  <c r="X109" i="87"/>
  <c r="U115" i="87"/>
  <c r="U114" i="87"/>
  <c r="U113" i="87"/>
  <c r="U112" i="87"/>
  <c r="H198" i="92" s="1"/>
  <c r="U111" i="87"/>
  <c r="H199" i="92" s="1"/>
  <c r="U110" i="87"/>
  <c r="U109" i="87"/>
  <c r="R115" i="87"/>
  <c r="R114" i="87"/>
  <c r="R113" i="87"/>
  <c r="R112" i="87"/>
  <c r="H165" i="92" s="1"/>
  <c r="R111" i="87"/>
  <c r="H166" i="92" s="1"/>
  <c r="R110" i="87"/>
  <c r="R109" i="87"/>
  <c r="O115" i="87"/>
  <c r="O114" i="87"/>
  <c r="O113" i="87"/>
  <c r="O112" i="87"/>
  <c r="H132" i="92" s="1"/>
  <c r="O111" i="87"/>
  <c r="H133" i="92" s="1"/>
  <c r="O110" i="87"/>
  <c r="O109" i="87"/>
  <c r="L115" i="87"/>
  <c r="L114" i="87"/>
  <c r="L113" i="87"/>
  <c r="L111" i="87"/>
  <c r="H100" i="92" s="1"/>
  <c r="L110" i="87"/>
  <c r="L109" i="87"/>
  <c r="J183" i="92" l="1"/>
  <c r="I183" i="92"/>
  <c r="F183" i="92"/>
  <c r="R183" i="92"/>
  <c r="H183" i="92"/>
  <c r="P183" i="92"/>
  <c r="Q183" i="92"/>
  <c r="G183" i="92"/>
  <c r="E183" i="92"/>
  <c r="N183" i="92"/>
  <c r="D183" i="92"/>
  <c r="M183" i="92"/>
  <c r="C183" i="92"/>
  <c r="L183" i="92"/>
  <c r="K183" i="92"/>
  <c r="O183" i="92"/>
  <c r="R84" i="92"/>
  <c r="H84" i="92"/>
  <c r="Q84" i="92"/>
  <c r="G84" i="92"/>
  <c r="P84" i="92"/>
  <c r="E84" i="92"/>
  <c r="D84" i="92"/>
  <c r="K84" i="92"/>
  <c r="O84" i="92"/>
  <c r="F84" i="92"/>
  <c r="N84" i="92"/>
  <c r="M84" i="92"/>
  <c r="C84" i="92"/>
  <c r="L84" i="92"/>
  <c r="J84" i="92"/>
  <c r="I84" i="92"/>
  <c r="P150" i="92"/>
  <c r="F150" i="92"/>
  <c r="O150" i="92"/>
  <c r="E150" i="92"/>
  <c r="C150" i="92"/>
  <c r="L150" i="92"/>
  <c r="N150" i="92"/>
  <c r="D150" i="92"/>
  <c r="M150" i="92"/>
  <c r="K150" i="92"/>
  <c r="J150" i="92"/>
  <c r="I150" i="92"/>
  <c r="R150" i="92"/>
  <c r="H150" i="92"/>
  <c r="Q150" i="92"/>
  <c r="G150" i="92"/>
  <c r="R249" i="92"/>
  <c r="H249" i="92"/>
  <c r="Q249" i="92"/>
  <c r="G249" i="92"/>
  <c r="D249" i="92"/>
  <c r="P249" i="92"/>
  <c r="F249" i="92"/>
  <c r="N249" i="92"/>
  <c r="O249" i="92"/>
  <c r="E249" i="92"/>
  <c r="M249" i="92"/>
  <c r="C249" i="92"/>
  <c r="L249" i="92"/>
  <c r="K249" i="92"/>
  <c r="J249" i="92"/>
  <c r="I249" i="92"/>
  <c r="L117" i="92"/>
  <c r="K117" i="92"/>
  <c r="I117" i="92"/>
  <c r="J117" i="92"/>
  <c r="H117" i="92"/>
  <c r="E117" i="92"/>
  <c r="R117" i="92"/>
  <c r="Q117" i="92"/>
  <c r="G117" i="92"/>
  <c r="O117" i="92"/>
  <c r="P117" i="92"/>
  <c r="F117" i="92"/>
  <c r="N117" i="92"/>
  <c r="D117" i="92"/>
  <c r="M117" i="92"/>
  <c r="C117" i="92"/>
  <c r="N216" i="92"/>
  <c r="D216" i="92"/>
  <c r="M216" i="92"/>
  <c r="C216" i="92"/>
  <c r="J216" i="92"/>
  <c r="L216" i="92"/>
  <c r="K216" i="92"/>
  <c r="I216" i="92"/>
  <c r="R216" i="92"/>
  <c r="H216" i="92"/>
  <c r="Q216" i="92"/>
  <c r="G216" i="92"/>
  <c r="P216" i="92"/>
  <c r="F216" i="92"/>
  <c r="O216" i="92"/>
  <c r="E216" i="92"/>
  <c r="AE18" i="87"/>
  <c r="G620" i="88" l="1"/>
  <c r="G619" i="88"/>
  <c r="G618" i="88"/>
  <c r="G560" i="88"/>
  <c r="G559" i="88"/>
  <c r="G558" i="88"/>
  <c r="G501" i="88"/>
  <c r="G500" i="88"/>
  <c r="G499" i="88"/>
  <c r="G441" i="88"/>
  <c r="G440" i="88"/>
  <c r="G439" i="88"/>
  <c r="G380" i="88"/>
  <c r="G379" i="88"/>
  <c r="G321" i="88"/>
  <c r="G319" i="88"/>
  <c r="G320" i="88"/>
  <c r="AA79" i="87" l="1" a="1"/>
  <c r="AA79" i="87" s="1"/>
  <c r="AA78" i="87" a="1"/>
  <c r="AA78" i="87" s="1"/>
  <c r="X79" i="87" a="1"/>
  <c r="X79" i="87" s="1"/>
  <c r="X78" i="87" a="1"/>
  <c r="X78" i="87" s="1"/>
  <c r="U79" i="87" a="1"/>
  <c r="U79" i="87" s="1"/>
  <c r="U78" i="87" a="1"/>
  <c r="U78" i="87" s="1"/>
  <c r="R79" i="87" a="1"/>
  <c r="R79" i="87" s="1"/>
  <c r="O79" i="87" a="1"/>
  <c r="O79" i="87" s="1"/>
  <c r="O78" i="87" a="1"/>
  <c r="O78" i="87" s="1"/>
  <c r="L78" i="87" a="1"/>
  <c r="L78" i="87" s="1"/>
  <c r="L79" i="87" a="1"/>
  <c r="L79" i="87" s="1"/>
  <c r="X54" i="63"/>
  <c r="D669" i="75" s="1"/>
  <c r="X51" i="63"/>
  <c r="X50" i="63"/>
  <c r="C351" i="56" a="1"/>
  <c r="C351" i="56" s="1"/>
  <c r="L74" i="87" l="1"/>
  <c r="O74" i="87"/>
  <c r="R74" i="87"/>
  <c r="U74" i="87"/>
  <c r="X74" i="87"/>
  <c r="AA74" i="87"/>
  <c r="H11" i="87"/>
  <c r="K11" i="87"/>
  <c r="N11" i="87"/>
  <c r="Q11" i="87"/>
  <c r="T11" i="87"/>
  <c r="W11" i="87"/>
  <c r="Z11" i="87"/>
  <c r="H25" i="87"/>
  <c r="K25" i="87"/>
  <c r="N25" i="87"/>
  <c r="Q25" i="87"/>
  <c r="T25" i="87"/>
  <c r="W25" i="87"/>
  <c r="Z25" i="87"/>
  <c r="H39" i="87"/>
  <c r="K39" i="87"/>
  <c r="N39" i="87"/>
  <c r="Q39" i="87"/>
  <c r="T39" i="87"/>
  <c r="W39" i="87"/>
  <c r="Z39" i="87"/>
  <c r="H53" i="87"/>
  <c r="K53" i="87"/>
  <c r="N53" i="87"/>
  <c r="Q53" i="87"/>
  <c r="T53" i="87"/>
  <c r="W53" i="87"/>
  <c r="Z53" i="87"/>
  <c r="L83" i="87"/>
  <c r="J100" i="92" s="1"/>
  <c r="O83" i="87"/>
  <c r="J133" i="92" s="1"/>
  <c r="R83" i="87"/>
  <c r="J166" i="92" s="1"/>
  <c r="U83" i="87"/>
  <c r="J199" i="92" s="1"/>
  <c r="X83" i="87"/>
  <c r="J232" i="92" s="1"/>
  <c r="AA83" i="87"/>
  <c r="J265" i="92" s="1"/>
  <c r="L84" i="87"/>
  <c r="K100" i="92" s="1"/>
  <c r="O84" i="87"/>
  <c r="K133" i="92" s="1"/>
  <c r="R84" i="87"/>
  <c r="K166" i="92" s="1"/>
  <c r="U84" i="87"/>
  <c r="K199" i="92" s="1"/>
  <c r="X84" i="87"/>
  <c r="K232" i="92" s="1"/>
  <c r="AA84" i="87"/>
  <c r="K265" i="92" s="1"/>
  <c r="AE17" i="87"/>
  <c r="L85" i="87"/>
  <c r="J99" i="92" s="1"/>
  <c r="O85" i="87"/>
  <c r="J132" i="92" s="1"/>
  <c r="R85" i="87"/>
  <c r="J165" i="92" s="1"/>
  <c r="U85" i="87"/>
  <c r="J198" i="92" s="1"/>
  <c r="X85" i="87"/>
  <c r="J231" i="92" s="1"/>
  <c r="AA85" i="87"/>
  <c r="J264" i="92" s="1"/>
  <c r="L86" i="87"/>
  <c r="K99" i="92" s="1"/>
  <c r="O86" i="87"/>
  <c r="K132" i="92" s="1"/>
  <c r="R86" i="87"/>
  <c r="K165" i="92" s="1"/>
  <c r="U86" i="87"/>
  <c r="K198" i="92" s="1"/>
  <c r="X86" i="87"/>
  <c r="K231" i="92" s="1"/>
  <c r="AA86" i="87"/>
  <c r="K264" i="92" s="1"/>
  <c r="L87" i="87"/>
  <c r="O87" i="87"/>
  <c r="R87" i="87"/>
  <c r="U87" i="87"/>
  <c r="X87" i="87"/>
  <c r="AA87" i="87"/>
  <c r="L88" i="87"/>
  <c r="O88" i="87"/>
  <c r="R88" i="87"/>
  <c r="U88" i="87"/>
  <c r="X88" i="87"/>
  <c r="AA88" i="87"/>
  <c r="L89" i="87"/>
  <c r="J101" i="92" s="1"/>
  <c r="O89" i="87"/>
  <c r="J134" i="92" s="1"/>
  <c r="R89" i="87"/>
  <c r="J167" i="92" s="1"/>
  <c r="U89" i="87"/>
  <c r="J200" i="92" s="1"/>
  <c r="X89" i="87"/>
  <c r="J233" i="92" s="1"/>
  <c r="AA89" i="87"/>
  <c r="J266" i="92" s="1"/>
  <c r="L90" i="87"/>
  <c r="K101" i="92" s="1"/>
  <c r="O90" i="87"/>
  <c r="K134" i="92" s="1"/>
  <c r="R90" i="87"/>
  <c r="K167" i="92" s="1"/>
  <c r="U90" i="87"/>
  <c r="K200" i="92" s="1"/>
  <c r="X90" i="87"/>
  <c r="K233" i="92" s="1"/>
  <c r="AA90" i="87"/>
  <c r="K266" i="92" s="1"/>
  <c r="L93" i="87"/>
  <c r="O93" i="87"/>
  <c r="R93" i="87"/>
  <c r="U93" i="87"/>
  <c r="X93" i="87"/>
  <c r="AA93" i="87"/>
  <c r="L94" i="87"/>
  <c r="O94" i="87"/>
  <c r="R94" i="87"/>
  <c r="U94" i="87"/>
  <c r="X94" i="87"/>
  <c r="AA94" i="87"/>
  <c r="I119" i="87"/>
  <c r="L119" i="87"/>
  <c r="O119" i="87"/>
  <c r="R119" i="87"/>
  <c r="U119" i="87"/>
  <c r="X119" i="87"/>
  <c r="AA119" i="87"/>
  <c r="L124" i="87"/>
  <c r="O124" i="87"/>
  <c r="R124" i="87"/>
  <c r="U124" i="87"/>
  <c r="X124" i="87"/>
  <c r="AA124" i="87"/>
  <c r="L125" i="87"/>
  <c r="O125" i="87"/>
  <c r="R125" i="87"/>
  <c r="U125" i="87"/>
  <c r="X125" i="87"/>
  <c r="AA125" i="87"/>
  <c r="L126" i="87"/>
  <c r="O126" i="87"/>
  <c r="R126" i="87"/>
  <c r="U126" i="87"/>
  <c r="X126" i="87"/>
  <c r="AA126" i="87"/>
  <c r="L127" i="87"/>
  <c r="O127" i="87"/>
  <c r="R127" i="87"/>
  <c r="U127" i="87"/>
  <c r="X127" i="87"/>
  <c r="AA127" i="87"/>
  <c r="L128" i="87"/>
  <c r="O128" i="87"/>
  <c r="R128" i="87"/>
  <c r="U128" i="87"/>
  <c r="X128" i="87"/>
  <c r="AA128" i="87"/>
  <c r="L129" i="87"/>
  <c r="O129" i="87"/>
  <c r="R129" i="87"/>
  <c r="U129" i="87"/>
  <c r="X129" i="87"/>
  <c r="AA129" i="87"/>
  <c r="L130" i="87"/>
  <c r="O130" i="87"/>
  <c r="R130" i="87"/>
  <c r="U130" i="87"/>
  <c r="X130" i="87"/>
  <c r="AA130" i="87"/>
  <c r="L131" i="87"/>
  <c r="O131" i="87"/>
  <c r="R131" i="87"/>
  <c r="U131" i="87"/>
  <c r="X131" i="87"/>
  <c r="AA131" i="87"/>
  <c r="L132" i="87"/>
  <c r="O132" i="87"/>
  <c r="R132" i="87"/>
  <c r="U132" i="87"/>
  <c r="X132" i="87"/>
  <c r="AA132" i="87"/>
  <c r="L133" i="87"/>
  <c r="O133" i="87"/>
  <c r="R133" i="87"/>
  <c r="U133" i="87"/>
  <c r="X133" i="87"/>
  <c r="AA133" i="87"/>
  <c r="L134" i="87"/>
  <c r="O134" i="87"/>
  <c r="R134" i="87"/>
  <c r="U134" i="87"/>
  <c r="X134" i="87"/>
  <c r="AA134" i="87"/>
  <c r="L135" i="87"/>
  <c r="O135" i="87"/>
  <c r="R135" i="87"/>
  <c r="U135" i="87"/>
  <c r="X135" i="87"/>
  <c r="AA135" i="87"/>
  <c r="L136" i="87"/>
  <c r="O136" i="87"/>
  <c r="R136" i="87"/>
  <c r="U136" i="87"/>
  <c r="X136" i="87"/>
  <c r="AA136" i="87"/>
  <c r="L137" i="87"/>
  <c r="O137" i="87"/>
  <c r="R137" i="87"/>
  <c r="U137" i="87"/>
  <c r="X137" i="87"/>
  <c r="AA137" i="87"/>
  <c r="L138" i="87"/>
  <c r="O138" i="87"/>
  <c r="R138" i="87"/>
  <c r="U138" i="87"/>
  <c r="X138" i="87"/>
  <c r="AA138" i="87"/>
  <c r="L139" i="87"/>
  <c r="O139" i="87"/>
  <c r="R139" i="87"/>
  <c r="U139" i="87"/>
  <c r="X139" i="87"/>
  <c r="AA139" i="87"/>
  <c r="L140" i="87"/>
  <c r="O140" i="87"/>
  <c r="R140" i="87"/>
  <c r="U140" i="87"/>
  <c r="X140" i="87"/>
  <c r="AA140" i="87"/>
  <c r="L141" i="87"/>
  <c r="O141" i="87"/>
  <c r="R141" i="87"/>
  <c r="U141" i="87"/>
  <c r="X141" i="87"/>
  <c r="AA141" i="87"/>
  <c r="L142" i="87"/>
  <c r="O142" i="87"/>
  <c r="R142" i="87"/>
  <c r="U142" i="87"/>
  <c r="X142" i="87"/>
  <c r="AA142" i="87"/>
  <c r="L143" i="87"/>
  <c r="O143" i="87"/>
  <c r="R143" i="87"/>
  <c r="U143" i="87"/>
  <c r="X143" i="87"/>
  <c r="AA143" i="87"/>
  <c r="L144" i="87"/>
  <c r="O144" i="87"/>
  <c r="R144" i="87"/>
  <c r="U144" i="87"/>
  <c r="X144" i="87"/>
  <c r="AA144" i="87"/>
  <c r="L145" i="87"/>
  <c r="O145" i="87"/>
  <c r="R145" i="87"/>
  <c r="U145" i="87"/>
  <c r="X145" i="87"/>
  <c r="AA145" i="87"/>
  <c r="L146" i="87"/>
  <c r="O146" i="87"/>
  <c r="R146" i="87"/>
  <c r="U146" i="87"/>
  <c r="X146" i="87"/>
  <c r="AA146" i="87"/>
  <c r="L147" i="87"/>
  <c r="O147" i="87"/>
  <c r="R147" i="87"/>
  <c r="U147" i="87"/>
  <c r="X147" i="87"/>
  <c r="AA147" i="87"/>
  <c r="L148" i="87"/>
  <c r="O148" i="87"/>
  <c r="R148" i="87"/>
  <c r="U148" i="87"/>
  <c r="X148" i="87"/>
  <c r="AA148" i="87"/>
  <c r="L149" i="87"/>
  <c r="O149" i="87"/>
  <c r="R149" i="87"/>
  <c r="U149" i="87"/>
  <c r="X149" i="87"/>
  <c r="AA149" i="87"/>
  <c r="L150" i="87"/>
  <c r="O150" i="87"/>
  <c r="R150" i="87"/>
  <c r="U150" i="87"/>
  <c r="X150" i="87"/>
  <c r="AA150" i="87"/>
  <c r="L151" i="87"/>
  <c r="O151" i="87"/>
  <c r="R151" i="87"/>
  <c r="U151" i="87"/>
  <c r="X151" i="87"/>
  <c r="AA151" i="87"/>
  <c r="L152" i="87"/>
  <c r="O152" i="87"/>
  <c r="R152" i="87"/>
  <c r="U152" i="87"/>
  <c r="X152" i="87"/>
  <c r="AA152" i="87"/>
  <c r="L153" i="87"/>
  <c r="O153" i="87"/>
  <c r="R153" i="87"/>
  <c r="U153" i="87"/>
  <c r="X153" i="87"/>
  <c r="AA153" i="87"/>
  <c r="L154" i="87"/>
  <c r="O154" i="87"/>
  <c r="R154" i="87"/>
  <c r="U154" i="87"/>
  <c r="X154" i="87"/>
  <c r="AA154" i="87"/>
  <c r="L155" i="87"/>
  <c r="O155" i="87"/>
  <c r="R155" i="87"/>
  <c r="U155" i="87"/>
  <c r="X155" i="87"/>
  <c r="AA155" i="87"/>
  <c r="O159" i="87"/>
  <c r="R159" i="87"/>
  <c r="X159" i="87"/>
  <c r="AA159" i="87"/>
  <c r="O160" i="87"/>
  <c r="R160" i="87"/>
  <c r="X160" i="87"/>
  <c r="AA160" i="87"/>
  <c r="O161" i="87"/>
  <c r="R161" i="87"/>
  <c r="X161" i="87"/>
  <c r="AA161" i="87"/>
  <c r="O162" i="87"/>
  <c r="R162" i="87"/>
  <c r="X162" i="87"/>
  <c r="AA162" i="87"/>
  <c r="O163" i="87"/>
  <c r="R163" i="87"/>
  <c r="X163" i="87"/>
  <c r="AA163" i="87"/>
  <c r="O164" i="87"/>
  <c r="R164" i="87"/>
  <c r="X164" i="87"/>
  <c r="AA164" i="87"/>
  <c r="O165" i="87"/>
  <c r="R165" i="87"/>
  <c r="X165" i="87"/>
  <c r="AA165" i="87"/>
  <c r="O166" i="87"/>
  <c r="R166" i="87"/>
  <c r="X166" i="87"/>
  <c r="AA166" i="87"/>
  <c r="O167" i="87"/>
  <c r="R167" i="87"/>
  <c r="X167" i="87"/>
  <c r="AA167" i="87"/>
  <c r="O168" i="87"/>
  <c r="R168" i="87"/>
  <c r="X168" i="87"/>
  <c r="AA168" i="87"/>
  <c r="O169" i="87"/>
  <c r="R169" i="87"/>
  <c r="X169" i="87"/>
  <c r="AA169" i="87"/>
  <c r="O170" i="87"/>
  <c r="R170" i="87"/>
  <c r="X170" i="87"/>
  <c r="AA170" i="87"/>
  <c r="O171" i="87"/>
  <c r="R171" i="87"/>
  <c r="X171" i="87"/>
  <c r="AA171" i="87"/>
  <c r="O172" i="87"/>
  <c r="R172" i="87"/>
  <c r="X172" i="87"/>
  <c r="AA172" i="87"/>
  <c r="O173" i="87"/>
  <c r="R173" i="87"/>
  <c r="X173" i="87"/>
  <c r="AA173" i="87"/>
  <c r="O174" i="87"/>
  <c r="R174" i="87"/>
  <c r="R193" i="87" s="1"/>
  <c r="X174" i="87"/>
  <c r="X193" i="87" s="1"/>
  <c r="AA174" i="87"/>
  <c r="AA193" i="87" s="1"/>
  <c r="D237" i="65" l="1" a="1"/>
  <c r="D237" i="65" s="1"/>
  <c r="D220" i="65" a="1"/>
  <c r="D220" i="65" s="1"/>
  <c r="D186" i="65" a="1"/>
  <c r="D186" i="65" s="1"/>
  <c r="D169" i="65" a="1"/>
  <c r="D169" i="65" s="1"/>
  <c r="C113" i="92" a="1"/>
  <c r="R113" i="92" s="1"/>
  <c r="C146" i="92" a="1"/>
  <c r="G146" i="92" s="1"/>
  <c r="C248" i="92" a="1"/>
  <c r="N248" i="92" s="1"/>
  <c r="C212" i="92" a="1"/>
  <c r="C215" i="92" a="1"/>
  <c r="C182" i="92" a="1"/>
  <c r="C83" i="92" a="1"/>
  <c r="C116" i="92" a="1"/>
  <c r="C245" i="92" a="1"/>
  <c r="C149" i="92" a="1"/>
  <c r="B331" i="90" a="1"/>
  <c r="B299" i="90" a="1"/>
  <c r="B233" i="90" a="1"/>
  <c r="B200" i="90" a="1"/>
  <c r="B543" i="56" a="1"/>
  <c r="B543" i="56" s="1"/>
  <c r="B527" i="56" a="1"/>
  <c r="B527" i="56" s="1"/>
  <c r="B511" i="56" a="1"/>
  <c r="B511" i="56" s="1"/>
  <c r="B495" i="56" a="1"/>
  <c r="B495" i="56" s="1"/>
  <c r="B479" i="56" a="1"/>
  <c r="B479" i="56" s="1"/>
  <c r="B463" i="56" a="1"/>
  <c r="B463" i="56" s="1"/>
  <c r="L182" i="87"/>
  <c r="X185" i="87"/>
  <c r="O192" i="87"/>
  <c r="L189" i="87"/>
  <c r="L191" i="87"/>
  <c r="AA185" i="87"/>
  <c r="R185" i="87"/>
  <c r="O187" i="87"/>
  <c r="X188" i="87"/>
  <c r="X178" i="87"/>
  <c r="L188" i="87"/>
  <c r="O185" i="87"/>
  <c r="L185" i="87"/>
  <c r="L186" i="87"/>
  <c r="O189" i="87"/>
  <c r="O179" i="87"/>
  <c r="AA187" i="87"/>
  <c r="X191" i="87"/>
  <c r="X181" i="87"/>
  <c r="AA183" i="87"/>
  <c r="AA180" i="87"/>
  <c r="R192" i="87"/>
  <c r="R182" i="87"/>
  <c r="L178" i="87"/>
  <c r="O183" i="87"/>
  <c r="L192" i="87"/>
  <c r="R186" i="87"/>
  <c r="R179" i="87"/>
  <c r="L190" i="87"/>
  <c r="L180" i="87"/>
  <c r="AA181" i="87"/>
  <c r="R189" i="87"/>
  <c r="L184" i="87"/>
  <c r="AA190" i="87"/>
  <c r="O182" i="87"/>
  <c r="L179" i="87"/>
  <c r="R231" i="87"/>
  <c r="O191" i="87"/>
  <c r="AA189" i="87"/>
  <c r="X182" i="87"/>
  <c r="O181" i="87"/>
  <c r="AA179" i="87"/>
  <c r="X189" i="87"/>
  <c r="O188" i="87"/>
  <c r="AA186" i="87"/>
  <c r="L181" i="87"/>
  <c r="X179" i="87"/>
  <c r="O178" i="87"/>
  <c r="R180" i="87"/>
  <c r="R184" i="87"/>
  <c r="AA192" i="87"/>
  <c r="R191" i="87"/>
  <c r="L187" i="87"/>
  <c r="O184" i="87"/>
  <c r="AA182" i="87"/>
  <c r="R181" i="87"/>
  <c r="X190" i="87"/>
  <c r="R188" i="87"/>
  <c r="R178" i="87"/>
  <c r="U231" i="87"/>
  <c r="X231" i="87"/>
  <c r="O231" i="87"/>
  <c r="L231" i="87"/>
  <c r="O193" i="87"/>
  <c r="AA191" i="87"/>
  <c r="R190" i="87"/>
  <c r="AA231" i="87"/>
  <c r="I231" i="87"/>
  <c r="L193" i="87"/>
  <c r="O190" i="87"/>
  <c r="AA188" i="87"/>
  <c r="R187" i="87"/>
  <c r="L183" i="87"/>
  <c r="O180" i="87"/>
  <c r="AA178" i="87"/>
  <c r="X186" i="87"/>
  <c r="X192" i="87"/>
  <c r="X183" i="87"/>
  <c r="X180" i="87"/>
  <c r="X187" i="87"/>
  <c r="O186" i="87"/>
  <c r="AA184" i="87"/>
  <c r="R183" i="87"/>
  <c r="X184" i="87"/>
  <c r="C154" i="69"/>
  <c r="C153" i="69"/>
  <c r="C152" i="69"/>
  <c r="C109" i="86"/>
  <c r="C84" i="86"/>
  <c r="Q113" i="92" l="1"/>
  <c r="K113" i="92"/>
  <c r="M113" i="92"/>
  <c r="C113" i="92"/>
  <c r="J113" i="92"/>
  <c r="F113" i="92"/>
  <c r="P113" i="92"/>
  <c r="D113" i="92"/>
  <c r="E248" i="92"/>
  <c r="R248" i="92"/>
  <c r="M248" i="92"/>
  <c r="F248" i="92"/>
  <c r="H113" i="92"/>
  <c r="Q248" i="92"/>
  <c r="N113" i="92"/>
  <c r="P248" i="92"/>
  <c r="L146" i="92"/>
  <c r="M146" i="92"/>
  <c r="P146" i="92"/>
  <c r="E146" i="92"/>
  <c r="F146" i="92"/>
  <c r="R146" i="92"/>
  <c r="K146" i="92"/>
  <c r="N146" i="92"/>
  <c r="O146" i="92"/>
  <c r="C146" i="92"/>
  <c r="O113" i="92"/>
  <c r="J248" i="92"/>
  <c r="L248" i="92"/>
  <c r="I146" i="92"/>
  <c r="Q146" i="92"/>
  <c r="E113" i="92"/>
  <c r="O248" i="92"/>
  <c r="C248" i="92"/>
  <c r="J146" i="92"/>
  <c r="D146" i="92"/>
  <c r="K248" i="92"/>
  <c r="H248" i="92"/>
  <c r="H146" i="92"/>
  <c r="L113" i="92"/>
  <c r="I113" i="92"/>
  <c r="D248" i="92"/>
  <c r="G248" i="92"/>
  <c r="G113" i="92"/>
  <c r="I248" i="92"/>
  <c r="N182" i="92"/>
  <c r="E182" i="92"/>
  <c r="D182" i="92"/>
  <c r="L182" i="92"/>
  <c r="G182" i="92"/>
  <c r="P182" i="92"/>
  <c r="O182" i="92"/>
  <c r="H182" i="92"/>
  <c r="F182" i="92"/>
  <c r="K182" i="92"/>
  <c r="Q182" i="92"/>
  <c r="I182" i="92"/>
  <c r="C182" i="92"/>
  <c r="R182" i="92"/>
  <c r="M182" i="92"/>
  <c r="J182" i="92"/>
  <c r="N83" i="92"/>
  <c r="E83" i="92"/>
  <c r="L83" i="92"/>
  <c r="F83" i="92"/>
  <c r="C83" i="92"/>
  <c r="Q83" i="92"/>
  <c r="G83" i="92"/>
  <c r="I83" i="92"/>
  <c r="R83" i="92"/>
  <c r="H83" i="92"/>
  <c r="M83" i="92"/>
  <c r="K83" i="92"/>
  <c r="O83" i="92"/>
  <c r="J83" i="92"/>
  <c r="P83" i="92"/>
  <c r="D83" i="92"/>
  <c r="N149" i="92"/>
  <c r="R149" i="92"/>
  <c r="I149" i="92"/>
  <c r="M149" i="92"/>
  <c r="F149" i="92"/>
  <c r="K149" i="92"/>
  <c r="J149" i="92"/>
  <c r="D149" i="92"/>
  <c r="E149" i="92"/>
  <c r="O149" i="92"/>
  <c r="L149" i="92"/>
  <c r="P149" i="92"/>
  <c r="H149" i="92"/>
  <c r="G149" i="92"/>
  <c r="C149" i="92"/>
  <c r="Q149" i="92"/>
  <c r="Q245" i="92"/>
  <c r="H245" i="92"/>
  <c r="O245" i="92"/>
  <c r="R245" i="92"/>
  <c r="I245" i="92"/>
  <c r="F245" i="92"/>
  <c r="M245" i="92"/>
  <c r="P245" i="92"/>
  <c r="K245" i="92"/>
  <c r="L245" i="92"/>
  <c r="G245" i="92"/>
  <c r="C245" i="92"/>
  <c r="D245" i="92"/>
  <c r="N245" i="92"/>
  <c r="J245" i="92"/>
  <c r="E245" i="92"/>
  <c r="N116" i="92"/>
  <c r="G116" i="92"/>
  <c r="J116" i="92"/>
  <c r="D116" i="92"/>
  <c r="R116" i="92"/>
  <c r="L116" i="92"/>
  <c r="K116" i="92"/>
  <c r="H116" i="92"/>
  <c r="I116" i="92"/>
  <c r="P116" i="92"/>
  <c r="E116" i="92"/>
  <c r="O116" i="92"/>
  <c r="Q116" i="92"/>
  <c r="C116" i="92"/>
  <c r="F116" i="92"/>
  <c r="M116" i="92"/>
  <c r="N215" i="92"/>
  <c r="F215" i="92"/>
  <c r="P215" i="92"/>
  <c r="D215" i="92"/>
  <c r="L215" i="92"/>
  <c r="I215" i="92"/>
  <c r="G215" i="92"/>
  <c r="J215" i="92"/>
  <c r="Q215" i="92"/>
  <c r="E215" i="92"/>
  <c r="O215" i="92"/>
  <c r="R215" i="92"/>
  <c r="C215" i="92"/>
  <c r="K215" i="92"/>
  <c r="H215" i="92"/>
  <c r="M215" i="92"/>
  <c r="Q212" i="92"/>
  <c r="D212" i="92"/>
  <c r="H212" i="92"/>
  <c r="R212" i="92"/>
  <c r="J212" i="92"/>
  <c r="N212" i="92"/>
  <c r="O212" i="92"/>
  <c r="E212" i="92"/>
  <c r="C212" i="92"/>
  <c r="F212" i="92"/>
  <c r="P212" i="92"/>
  <c r="M212" i="92"/>
  <c r="I212" i="92"/>
  <c r="L212" i="92"/>
  <c r="G212" i="92"/>
  <c r="K212" i="92"/>
  <c r="B331" i="90"/>
  <c r="E331" i="90" s="1"/>
  <c r="E337" i="90"/>
  <c r="E336" i="90"/>
  <c r="E335" i="90"/>
  <c r="E344" i="90"/>
  <c r="E334" i="90"/>
  <c r="E342" i="90"/>
  <c r="E341" i="90"/>
  <c r="E346" i="90"/>
  <c r="E333" i="90"/>
  <c r="E345" i="90"/>
  <c r="E343" i="90"/>
  <c r="E332" i="90"/>
  <c r="E340" i="90"/>
  <c r="E338" i="90"/>
  <c r="E339" i="90"/>
  <c r="B299" i="90"/>
  <c r="E299" i="90" s="1"/>
  <c r="E311" i="90"/>
  <c r="E301" i="90"/>
  <c r="E308" i="90"/>
  <c r="E307" i="90"/>
  <c r="E314" i="90"/>
  <c r="E302" i="90"/>
  <c r="E310" i="90"/>
  <c r="E300" i="90"/>
  <c r="E306" i="90"/>
  <c r="E305" i="90"/>
  <c r="E303" i="90"/>
  <c r="E309" i="90"/>
  <c r="E304" i="90"/>
  <c r="E313" i="90"/>
  <c r="E312" i="90"/>
  <c r="B233" i="90"/>
  <c r="E239" i="90"/>
  <c r="E245" i="90"/>
  <c r="E242" i="90"/>
  <c r="E241" i="90"/>
  <c r="E248" i="90"/>
  <c r="E238" i="90"/>
  <c r="E236" i="90"/>
  <c r="E244" i="90"/>
  <c r="E240" i="90"/>
  <c r="E247" i="90"/>
  <c r="E237" i="90"/>
  <c r="E246" i="90"/>
  <c r="E243" i="90"/>
  <c r="B200" i="90"/>
  <c r="E212" i="90"/>
  <c r="E207" i="90"/>
  <c r="E206" i="90"/>
  <c r="E205" i="90"/>
  <c r="E214" i="90"/>
  <c r="E203" i="90"/>
  <c r="E211" i="90"/>
  <c r="E210" i="90"/>
  <c r="E215" i="90"/>
  <c r="E204" i="90"/>
  <c r="E213" i="90"/>
  <c r="E209" i="90"/>
  <c r="E208" i="90"/>
  <c r="C527" i="56" a="1"/>
  <c r="C527" i="56" s="1"/>
  <c r="C495" i="56" a="1"/>
  <c r="C495" i="56" s="1"/>
  <c r="C543" i="56" a="1"/>
  <c r="C543" i="56" s="1"/>
  <c r="C463" i="56" a="1"/>
  <c r="C463" i="56" s="1"/>
  <c r="C479" i="56" a="1"/>
  <c r="C479" i="56" s="1"/>
  <c r="J66" i="33"/>
  <c r="K66" i="33"/>
  <c r="D167" i="83"/>
  <c r="R274" i="63"/>
  <c r="D166" i="83" s="1"/>
  <c r="R273" i="63"/>
  <c r="D165" i="83" s="1"/>
  <c r="R269" i="63"/>
  <c r="R272" i="63"/>
  <c r="R271" i="63"/>
  <c r="R270" i="63"/>
  <c r="C169" i="83"/>
  <c r="R268" i="63"/>
  <c r="D169" i="83" s="1"/>
  <c r="R267" i="63"/>
  <c r="D168" i="83" s="1"/>
  <c r="R261" i="63"/>
  <c r="R266" i="63"/>
  <c r="D162" i="83" s="1"/>
  <c r="C210" i="83"/>
  <c r="D164" i="83"/>
  <c r="C149" i="83"/>
  <c r="C141" i="83"/>
  <c r="C140" i="83"/>
  <c r="C133" i="83"/>
  <c r="R263" i="63"/>
  <c r="D133" i="83" s="1"/>
  <c r="C129" i="83"/>
  <c r="C128" i="83"/>
  <c r="C125" i="83"/>
  <c r="C124" i="83"/>
  <c r="C121" i="83"/>
  <c r="R262" i="63"/>
  <c r="D121" i="83" s="1"/>
  <c r="R252" i="63"/>
  <c r="D108" i="83" s="1"/>
  <c r="O161" i="63"/>
  <c r="O160" i="63"/>
  <c r="C116" i="83"/>
  <c r="O166" i="63"/>
  <c r="O171" i="63" s="1"/>
  <c r="O165" i="63"/>
  <c r="C117" i="83"/>
  <c r="C108" i="83"/>
  <c r="R251" i="63"/>
  <c r="C109" i="83"/>
  <c r="C96" i="83"/>
  <c r="C95" i="83"/>
  <c r="C93" i="83"/>
  <c r="C92" i="83"/>
  <c r="D97" i="83"/>
  <c r="D94" i="83"/>
  <c r="C90" i="83"/>
  <c r="C89" i="83"/>
  <c r="R250" i="63"/>
  <c r="R248" i="63"/>
  <c r="R249" i="63"/>
  <c r="D93" i="83" s="1"/>
  <c r="R247" i="63"/>
  <c r="D90" i="83" s="1"/>
  <c r="D89" i="83"/>
  <c r="C79" i="83" a="1"/>
  <c r="C79" i="83" s="1"/>
  <c r="C78" i="83"/>
  <c r="C100" i="83"/>
  <c r="C99" i="83"/>
  <c r="D91" i="83"/>
  <c r="D25" i="83"/>
  <c r="D20" i="83"/>
  <c r="D13" i="83"/>
  <c r="D120" i="83" l="1" a="1"/>
  <c r="D120" i="83" s="1"/>
  <c r="D212" i="83"/>
  <c r="D132" i="83"/>
  <c r="D214" i="83"/>
  <c r="D110" i="83"/>
  <c r="O170" i="63"/>
  <c r="C147" i="83"/>
  <c r="C155" i="83"/>
  <c r="D147" i="83"/>
  <c r="C189" i="83"/>
  <c r="D141" i="83"/>
  <c r="C173" i="83"/>
  <c r="C160" i="83"/>
  <c r="D155" i="83"/>
  <c r="D148" i="83"/>
  <c r="D128" i="83"/>
  <c r="D140" i="83"/>
  <c r="D131" i="83"/>
  <c r="D129" i="83"/>
  <c r="C110" i="83"/>
  <c r="C84" i="83"/>
  <c r="D116" i="83"/>
  <c r="D117" i="83"/>
  <c r="D119" i="83"/>
  <c r="D95" i="83"/>
  <c r="D96" i="83"/>
  <c r="D92" i="83"/>
  <c r="D109" i="83"/>
  <c r="D78" i="83" a="1"/>
  <c r="D78" i="83" s="1"/>
  <c r="D79" i="83" a="1"/>
  <c r="D79" i="83" s="1"/>
  <c r="R254" i="63"/>
  <c r="R118" i="63"/>
  <c r="D237" i="83" l="1"/>
  <c r="D84" i="83"/>
  <c r="D227" i="83"/>
  <c r="D225" i="83"/>
  <c r="D224" i="83"/>
  <c r="D160" i="83"/>
  <c r="D189" i="83"/>
  <c r="D173" i="83"/>
  <c r="R101" i="63" l="1"/>
  <c r="R100" i="63"/>
  <c r="R96" i="63"/>
  <c r="R11" i="63"/>
  <c r="C60" i="66"/>
  <c r="C52" i="66"/>
  <c r="D76" i="66" l="1"/>
  <c r="D68" i="66"/>
  <c r="K42" i="89"/>
  <c r="K14" i="89"/>
  <c r="K15" i="89"/>
  <c r="K44" i="89"/>
  <c r="K17" i="89"/>
  <c r="K43" i="89"/>
  <c r="K16" i="89"/>
  <c r="I113" i="63"/>
  <c r="D119" i="64" s="1"/>
  <c r="D60" i="66" l="1"/>
  <c r="D52" i="66"/>
  <c r="R85" i="63"/>
  <c r="D348" i="70"/>
  <c r="D336" i="70"/>
  <c r="C336" i="70"/>
  <c r="R144" i="63" l="1"/>
  <c r="C145" i="69"/>
  <c r="R111" i="63"/>
  <c r="R110" i="63"/>
  <c r="D193" i="70"/>
  <c r="D205" i="70"/>
  <c r="D180" i="70"/>
  <c r="D113" i="70"/>
  <c r="D145" i="69" l="1"/>
  <c r="D146" i="69"/>
  <c r="C84" i="70"/>
  <c r="C67" i="69"/>
  <c r="Q65" i="63"/>
  <c r="Q66" i="63"/>
  <c r="R67" i="63"/>
  <c r="R68" i="63"/>
  <c r="D85" i="97" s="1"/>
  <c r="Q70" i="63"/>
  <c r="R70" i="63"/>
  <c r="Q71" i="63"/>
  <c r="R71" i="63"/>
  <c r="Q72" i="63"/>
  <c r="R72" i="63"/>
  <c r="Q73" i="63"/>
  <c r="R73" i="63"/>
  <c r="Q74" i="63"/>
  <c r="R74" i="63"/>
  <c r="R75" i="63"/>
  <c r="R76" i="63"/>
  <c r="R77" i="63"/>
  <c r="Q78" i="63"/>
  <c r="R78" i="63"/>
  <c r="Q79" i="63"/>
  <c r="R79" i="63"/>
  <c r="R80" i="63"/>
  <c r="R81" i="63"/>
  <c r="R82" i="63"/>
  <c r="R83" i="63"/>
  <c r="R84" i="63"/>
  <c r="Q86" i="63"/>
  <c r="R86" i="63"/>
  <c r="Q87" i="63"/>
  <c r="R87" i="63"/>
  <c r="D84" i="70" l="1"/>
  <c r="X36" i="63"/>
  <c r="X35" i="63"/>
  <c r="X32" i="63"/>
  <c r="D25" i="69" l="1"/>
  <c r="D20" i="69"/>
  <c r="D25" i="70"/>
  <c r="D20" i="70"/>
  <c r="D25" i="68"/>
  <c r="D20" i="68"/>
  <c r="D13" i="68"/>
  <c r="D13" i="70"/>
  <c r="D13" i="69"/>
  <c r="D29" i="67"/>
  <c r="D28" i="67"/>
  <c r="D26" i="67"/>
  <c r="D25" i="67"/>
  <c r="D193" i="69" l="1"/>
  <c r="C193" i="69"/>
  <c r="D185" i="69"/>
  <c r="C185" i="69"/>
  <c r="C84" i="63" l="1"/>
  <c r="D59" i="69"/>
  <c r="C46" i="69"/>
  <c r="R97" i="63"/>
  <c r="D145" i="68" l="1"/>
  <c r="D214" i="70"/>
  <c r="D118" i="69"/>
  <c r="D46" i="69"/>
  <c r="D67" i="69"/>
  <c r="C131" i="86" l="1"/>
  <c r="C121" i="86"/>
  <c r="C120" i="86"/>
  <c r="D119" i="86"/>
  <c r="D114" i="86"/>
  <c r="C110" i="86"/>
  <c r="D106" i="86"/>
  <c r="R283" i="63"/>
  <c r="D110" i="86" s="1"/>
  <c r="R282" i="63"/>
  <c r="C85" i="86"/>
  <c r="C86" i="86"/>
  <c r="R281" i="63"/>
  <c r="C83" i="86"/>
  <c r="D82" i="86"/>
  <c r="C82" i="86"/>
  <c r="D79" i="86"/>
  <c r="R312" i="63"/>
  <c r="R311" i="63"/>
  <c r="R310" i="63"/>
  <c r="D121" i="86" s="1"/>
  <c r="R309" i="63"/>
  <c r="D120" i="86" s="1"/>
  <c r="R308" i="63"/>
  <c r="R307" i="63"/>
  <c r="D75" i="86" s="1" a="1"/>
  <c r="D75" i="86" s="1"/>
  <c r="R306" i="63"/>
  <c r="D74" i="86" s="1" a="1"/>
  <c r="D74" i="86" s="1"/>
  <c r="R305" i="63"/>
  <c r="D73" i="86" s="1" a="1"/>
  <c r="D73" i="86" s="1"/>
  <c r="R304" i="63"/>
  <c r="D59" i="86" s="1" a="1"/>
  <c r="D59" i="86" s="1"/>
  <c r="R303" i="63"/>
  <c r="D102" i="86"/>
  <c r="R301" i="63"/>
  <c r="D69" i="86" s="1" a="1"/>
  <c r="D69" i="86" s="1"/>
  <c r="R300" i="63" a="1"/>
  <c r="R300" i="63" s="1"/>
  <c r="D62" i="86" s="1" a="1"/>
  <c r="D62" i="86" s="1"/>
  <c r="C74" i="86" a="1"/>
  <c r="C74" i="86" s="1"/>
  <c r="C73" i="86" a="1"/>
  <c r="C73" i="86" s="1"/>
  <c r="C59" i="86" a="1"/>
  <c r="C59" i="86" s="1"/>
  <c r="R299" i="63"/>
  <c r="D52" i="86" s="1" a="1"/>
  <c r="D52" i="86" s="1"/>
  <c r="R298" i="63"/>
  <c r="D58" i="86" s="1"/>
  <c r="C52" i="86" a="1"/>
  <c r="C52" i="86" s="1"/>
  <c r="C51" i="86"/>
  <c r="R297" i="63"/>
  <c r="D46" i="86" s="1" a="1"/>
  <c r="D46" i="86" s="1"/>
  <c r="R296" i="63"/>
  <c r="R295" i="63"/>
  <c r="C40" i="86"/>
  <c r="R294" i="63" a="1"/>
  <c r="R294" i="63" s="1"/>
  <c r="D35" i="86" s="1" a="1"/>
  <c r="D35" i="86" s="1"/>
  <c r="R293" i="63"/>
  <c r="D31" i="86" s="1" a="1"/>
  <c r="D31" i="86" s="1"/>
  <c r="R292" i="63"/>
  <c r="D30" i="86" s="1" a="1"/>
  <c r="D30" i="86" s="1"/>
  <c r="C35" i="86" a="1"/>
  <c r="C35" i="86" s="1"/>
  <c r="C31" i="86" a="1"/>
  <c r="C31" i="86" s="1"/>
  <c r="C30" i="86" a="1"/>
  <c r="C30" i="86" s="1"/>
  <c r="R290" i="63"/>
  <c r="D24" i="86" s="1" a="1"/>
  <c r="D24" i="86" s="1"/>
  <c r="R289" i="63"/>
  <c r="D23" i="86" s="1"/>
  <c r="R291" i="63"/>
  <c r="D25" i="86" s="1"/>
  <c r="R288" i="63"/>
  <c r="D22" i="86" s="1"/>
  <c r="R287" i="63"/>
  <c r="D21" i="86" s="1"/>
  <c r="R286" i="63"/>
  <c r="R285" i="63"/>
  <c r="D19" i="86" s="1"/>
  <c r="C25" i="86" a="1"/>
  <c r="C25" i="86" s="1"/>
  <c r="C24" i="86" a="1"/>
  <c r="C24" i="86" s="1"/>
  <c r="C23" i="86" a="1"/>
  <c r="C23" i="86" s="1"/>
  <c r="C22" i="86" a="1"/>
  <c r="C22" i="86" s="1"/>
  <c r="C21" i="86" a="1"/>
  <c r="C21" i="86" s="1"/>
  <c r="C20" i="86" a="1"/>
  <c r="C20" i="86" s="1"/>
  <c r="C19" i="86" a="1"/>
  <c r="C19" i="86" s="1"/>
  <c r="R284" i="63"/>
  <c r="D14" i="86" s="1" a="1"/>
  <c r="D14" i="86" s="1"/>
  <c r="D20" i="86" l="1"/>
  <c r="D45" i="86"/>
  <c r="D84" i="86"/>
  <c r="D109" i="86"/>
  <c r="D133" i="86"/>
  <c r="D85" i="86" a="1"/>
  <c r="D85" i="86" s="1"/>
  <c r="D115" i="86"/>
  <c r="D107" i="86"/>
  <c r="D86" i="86"/>
  <c r="D94" i="86"/>
  <c r="D93" i="86"/>
  <c r="D101" i="86"/>
  <c r="D80" i="86"/>
  <c r="D95" i="86"/>
  <c r="D51" i="86"/>
  <c r="D53" i="86" a="1"/>
  <c r="D53" i="86" s="1"/>
  <c r="D61" i="86"/>
  <c r="D40" i="86"/>
  <c r="C132" i="86" l="1"/>
  <c r="D132" i="86" s="1"/>
  <c r="D122" i="86"/>
  <c r="D68" i="86"/>
  <c r="D67" i="86"/>
  <c r="D66" i="86"/>
  <c r="D34" i="86"/>
  <c r="D33" i="86"/>
  <c r="D32" i="86"/>
  <c r="D18" i="86"/>
  <c r="K75" i="33"/>
  <c r="J75" i="33"/>
  <c r="F84" i="58" l="1"/>
  <c r="E84" i="58"/>
  <c r="D84" i="58"/>
  <c r="C84" i="58"/>
  <c r="D131" i="86"/>
  <c r="R259" i="63" l="1" a="1"/>
  <c r="R259" i="63" s="1"/>
  <c r="R258" i="63" a="1"/>
  <c r="R258" i="63" s="1"/>
  <c r="D65" i="83"/>
  <c r="D60" i="83"/>
  <c r="D59" i="83" l="1" a="1"/>
  <c r="D59" i="83" s="1"/>
  <c r="D64" i="83" a="1"/>
  <c r="D64" i="83" s="1"/>
  <c r="F91" i="63" a="1"/>
  <c r="F91" i="63" s="1"/>
  <c r="D83" i="65" s="1"/>
  <c r="B263" i="40"/>
  <c r="B52" i="65"/>
  <c r="D89" i="65"/>
  <c r="O128" i="63"/>
  <c r="L117" i="63" a="1"/>
  <c r="L117" i="63" s="1"/>
  <c r="O129" i="63"/>
  <c r="O130" i="63"/>
  <c r="F798" i="56"/>
  <c r="C80" i="65"/>
  <c r="F87" i="63"/>
  <c r="C51" i="65"/>
  <c r="D36" i="65"/>
  <c r="L122" i="63"/>
  <c r="D33" i="65"/>
  <c r="C5" i="93" l="1"/>
  <c r="D80" i="65"/>
  <c r="D223" i="40"/>
  <c r="F96" i="63" s="1"/>
  <c r="D87" i="65" s="1"/>
  <c r="D81" i="65"/>
  <c r="M716" i="56"/>
  <c r="F756" i="56"/>
  <c r="I716" i="56"/>
  <c r="C675" i="56"/>
  <c r="F105" i="63"/>
  <c r="D91" i="65" s="1"/>
  <c r="M752" i="56"/>
  <c r="F782" i="56"/>
  <c r="I755" i="56"/>
  <c r="F167" i="63"/>
  <c r="D226" i="40"/>
  <c r="F99" i="63"/>
  <c r="D88" i="65" s="1"/>
  <c r="F93" i="63"/>
  <c r="D85" i="65" s="1" a="1"/>
  <c r="D85" i="65" s="1"/>
  <c r="F98" i="63"/>
  <c r="F92" i="63"/>
  <c r="F103" i="63" l="1"/>
  <c r="D90" i="65" s="1"/>
  <c r="B152" i="62"/>
  <c r="I66" i="63" l="1"/>
  <c r="D34" i="97" s="1"/>
  <c r="C251" i="68"/>
  <c r="C327" i="68"/>
  <c r="D210" i="83"/>
  <c r="D101" i="64"/>
  <c r="I112" i="63"/>
  <c r="L45" i="63"/>
  <c r="L46" i="63"/>
  <c r="L47" i="63"/>
  <c r="R47" i="63"/>
  <c r="R354" i="63"/>
  <c r="D168" i="62" l="1"/>
  <c r="D16" i="67"/>
  <c r="C211" i="83"/>
  <c r="D211" i="83" s="1"/>
  <c r="B45" i="34"/>
  <c r="R137" i="63"/>
  <c r="R135" i="63"/>
  <c r="U8" i="63"/>
  <c r="D134" i="83" l="1"/>
  <c r="D138" i="70"/>
  <c r="D71" i="69"/>
  <c r="D340" i="70"/>
  <c r="D224" i="70"/>
  <c r="C113" i="70"/>
  <c r="B56" i="64" l="1"/>
  <c r="D30" i="65"/>
  <c r="D14" i="65"/>
  <c r="C14" i="65"/>
  <c r="C69" i="68"/>
  <c r="D104" i="62"/>
  <c r="K9" i="89" l="1"/>
  <c r="K10" i="89"/>
  <c r="C456" i="75"/>
  <c r="C481" i="75"/>
  <c r="C104" i="83"/>
  <c r="C459" i="75"/>
  <c r="C27" i="83"/>
  <c r="C34" i="83"/>
  <c r="C77" i="83"/>
  <c r="C83" i="83"/>
  <c r="C26" i="83"/>
  <c r="C88" i="83"/>
  <c r="C130" i="86"/>
  <c r="C34" i="68"/>
  <c r="C26" i="68"/>
  <c r="C34" i="70"/>
  <c r="C27" i="69"/>
  <c r="C26" i="69"/>
  <c r="C27" i="68"/>
  <c r="C34" i="69"/>
  <c r="C27" i="70"/>
  <c r="C26" i="70"/>
  <c r="C223" i="69"/>
  <c r="C344" i="70"/>
  <c r="C269" i="70"/>
  <c r="C345" i="68"/>
  <c r="C159" i="70"/>
  <c r="C218" i="69"/>
  <c r="C107" i="70"/>
  <c r="C119" i="70"/>
  <c r="C336" i="68"/>
  <c r="C334" i="70"/>
  <c r="C250" i="70"/>
  <c r="C223" i="70"/>
  <c r="C209" i="83"/>
  <c r="C368" i="68"/>
  <c r="C446" i="70"/>
  <c r="C333" i="70"/>
  <c r="C352" i="70"/>
  <c r="C332" i="70"/>
  <c r="C245" i="70"/>
  <c r="C439" i="70"/>
  <c r="C356" i="68"/>
  <c r="C462" i="70"/>
  <c r="C328" i="70"/>
  <c r="C305" i="70"/>
  <c r="C237" i="70"/>
  <c r="C476" i="70"/>
  <c r="C129" i="70"/>
  <c r="C90" i="64"/>
  <c r="C198" i="69"/>
  <c r="C188" i="69"/>
  <c r="C180" i="69"/>
  <c r="C351" i="68"/>
  <c r="C313" i="68"/>
  <c r="C325" i="68"/>
  <c r="C245" i="68"/>
  <c r="C370" i="68"/>
  <c r="C82" i="68"/>
  <c r="C343" i="68"/>
  <c r="C297" i="68"/>
  <c r="C369" i="68"/>
  <c r="C236" i="68"/>
  <c r="C363" i="68"/>
  <c r="C171" i="68"/>
  <c r="C228" i="68"/>
  <c r="C321" i="68"/>
  <c r="C249" i="68"/>
  <c r="C212" i="68"/>
  <c r="C152" i="68"/>
  <c r="C187" i="69"/>
  <c r="C86" i="64"/>
  <c r="C197" i="69"/>
  <c r="C179" i="69"/>
  <c r="C121" i="70"/>
  <c r="C474" i="70"/>
  <c r="C125" i="70"/>
  <c r="C475" i="70"/>
  <c r="C45" i="68"/>
  <c r="C56" i="69"/>
  <c r="C56" i="68"/>
  <c r="C51" i="69"/>
  <c r="C11" i="64"/>
  <c r="C51" i="68"/>
  <c r="C30" i="64"/>
  <c r="C104" i="70"/>
  <c r="C63" i="69"/>
  <c r="C45" i="69"/>
  <c r="C94" i="70"/>
  <c r="C195" i="69"/>
  <c r="C46" i="64"/>
  <c r="C58" i="64"/>
  <c r="C41" i="64"/>
  <c r="C83" i="70"/>
  <c r="C66" i="68"/>
  <c r="C89" i="70"/>
  <c r="C84" i="68"/>
  <c r="C384" i="68"/>
  <c r="C230" i="70"/>
  <c r="C346" i="70"/>
  <c r="C78" i="64"/>
  <c r="C345" i="70"/>
  <c r="C77" i="64"/>
  <c r="C157" i="68"/>
  <c r="C87" i="68"/>
  <c r="C385" i="68"/>
  <c r="C186" i="69"/>
  <c r="C178" i="69"/>
  <c r="C82" i="64"/>
  <c r="C196" i="69"/>
  <c r="C90" i="68"/>
  <c r="C386" i="68"/>
  <c r="C262" i="70"/>
  <c r="K76" i="33"/>
  <c r="B11" i="33"/>
  <c r="D24" i="97" s="1"/>
  <c r="D196" i="85"/>
  <c r="D195" i="85"/>
  <c r="D194" i="85"/>
  <c r="C190" i="85"/>
  <c r="C189" i="85"/>
  <c r="C188" i="85"/>
  <c r="C187" i="85"/>
  <c r="C186" i="85"/>
  <c r="B505" i="40"/>
  <c r="B504" i="40"/>
  <c r="B502" i="40"/>
  <c r="B499" i="40"/>
  <c r="B498" i="40"/>
  <c r="B495" i="40"/>
  <c r="B494" i="40"/>
  <c r="B493" i="40"/>
  <c r="B490" i="40"/>
  <c r="B489" i="40"/>
  <c r="C489" i="40"/>
  <c r="C106" i="83"/>
  <c r="C107" i="83"/>
  <c r="C105" i="83"/>
  <c r="Q88" i="63"/>
  <c r="B44" i="34"/>
  <c r="B42" i="34"/>
  <c r="B41" i="34"/>
  <c r="C176" i="85"/>
  <c r="C177" i="85" s="1"/>
  <c r="D177" i="85" s="1"/>
  <c r="C124" i="85"/>
  <c r="C123" i="85"/>
  <c r="C122" i="85"/>
  <c r="C117" i="85"/>
  <c r="C113" i="85"/>
  <c r="C112" i="85"/>
  <c r="C101" i="85"/>
  <c r="C95" i="85"/>
  <c r="C92" i="85"/>
  <c r="C88" i="85"/>
  <c r="C87" i="85"/>
  <c r="C78" i="85"/>
  <c r="C77" i="85"/>
  <c r="C69" i="85"/>
  <c r="C64" i="85"/>
  <c r="C59" i="85"/>
  <c r="C55" i="85"/>
  <c r="C54" i="85"/>
  <c r="C49" i="85"/>
  <c r="C48" i="85"/>
  <c r="C47" i="85"/>
  <c r="C46" i="85"/>
  <c r="C45" i="85"/>
  <c r="C44" i="85"/>
  <c r="C43" i="85"/>
  <c r="C20" i="85"/>
  <c r="C19" i="85"/>
  <c r="C13" i="85"/>
  <c r="R320" i="63"/>
  <c r="D155" i="85" s="1"/>
  <c r="R316" i="63"/>
  <c r="D166" i="85"/>
  <c r="C146" i="85"/>
  <c r="D116" i="85"/>
  <c r="D115" i="85"/>
  <c r="D114" i="85"/>
  <c r="D68" i="85"/>
  <c r="D58" i="85"/>
  <c r="D57" i="85"/>
  <c r="D56" i="85"/>
  <c r="D42" i="85"/>
  <c r="R347" i="63" a="1"/>
  <c r="R347" i="63" s="1"/>
  <c r="D167" i="85" s="1"/>
  <c r="R346" i="63"/>
  <c r="D151" i="85" s="1"/>
  <c r="R345" i="63" a="1"/>
  <c r="R345" i="63" s="1"/>
  <c r="D143" i="85" s="1"/>
  <c r="R344" i="63" a="1"/>
  <c r="R344" i="63" s="1"/>
  <c r="D133" i="85" s="1"/>
  <c r="R343" i="63"/>
  <c r="D124" i="85" s="1"/>
  <c r="R342" i="63"/>
  <c r="D123" i="85" s="1"/>
  <c r="R341" i="63"/>
  <c r="D122" i="85" s="1"/>
  <c r="R340" i="63"/>
  <c r="R339" i="63"/>
  <c r="D78" i="85" s="1"/>
  <c r="R338" i="63"/>
  <c r="D101" i="85" s="1"/>
  <c r="R337" i="63"/>
  <c r="D107" i="85" s="1"/>
  <c r="R336" i="63"/>
  <c r="D88" i="85" s="1"/>
  <c r="R335" i="63"/>
  <c r="D87" i="85" s="1"/>
  <c r="R334" i="63"/>
  <c r="D59" i="85" s="1"/>
  <c r="R333" i="63"/>
  <c r="D55" i="85" s="1"/>
  <c r="R332" i="63"/>
  <c r="D112" i="85" s="1"/>
  <c r="R331" i="63"/>
  <c r="D54" i="85" s="1"/>
  <c r="R330" i="63"/>
  <c r="D49" i="85" s="1"/>
  <c r="R329" i="63"/>
  <c r="D48" i="85" s="1"/>
  <c r="R328" i="63"/>
  <c r="D47" i="85" s="1"/>
  <c r="R327" i="63"/>
  <c r="D46" i="85" s="1"/>
  <c r="R326" i="63"/>
  <c r="D45" i="85" s="1"/>
  <c r="R325" i="63"/>
  <c r="D44" i="85" s="1"/>
  <c r="R324" i="63"/>
  <c r="D64" i="85" s="1"/>
  <c r="R323" i="63" a="1"/>
  <c r="R323" i="63" s="1"/>
  <c r="D95" i="85" s="1"/>
  <c r="R322" i="63"/>
  <c r="R321" i="63"/>
  <c r="D153" i="85" s="1"/>
  <c r="R319" i="63"/>
  <c r="D72" i="85" s="1"/>
  <c r="R318" i="63"/>
  <c r="D92" i="85" s="1"/>
  <c r="R317" i="63"/>
  <c r="J12" i="33"/>
  <c r="J11" i="33"/>
  <c r="K13" i="33" s="1"/>
  <c r="F302" i="87" l="1"/>
  <c r="F304" i="87"/>
  <c r="F303" i="87"/>
  <c r="C98" i="83"/>
  <c r="D80" i="85"/>
  <c r="D77" i="85"/>
  <c r="D117" i="85"/>
  <c r="D26" i="85"/>
  <c r="D69" i="85"/>
  <c r="D19" i="85"/>
  <c r="D165" i="85"/>
  <c r="D43" i="85"/>
  <c r="D73" i="85"/>
  <c r="D178" i="85"/>
  <c r="D20" i="85"/>
  <c r="D113" i="85"/>
  <c r="D13" i="85" a="1"/>
  <c r="D13" i="85" s="1"/>
  <c r="D176" i="85"/>
  <c r="J17" i="33"/>
  <c r="K12" i="33" l="1"/>
  <c r="K11" i="33"/>
  <c r="K17" i="33"/>
  <c r="C295" i="70" l="1"/>
  <c r="C282" i="70"/>
  <c r="C275" i="70"/>
  <c r="D298" i="70"/>
  <c r="D297" i="70"/>
  <c r="D292" i="70"/>
  <c r="D291" i="70"/>
  <c r="D285" i="70"/>
  <c r="D284" i="70"/>
  <c r="D279" i="70"/>
  <c r="D278" i="70"/>
  <c r="D272" i="70"/>
  <c r="D271" i="70"/>
  <c r="D71" i="70"/>
  <c r="D66" i="70"/>
  <c r="C52" i="70"/>
  <c r="C51" i="70"/>
  <c r="C45" i="70"/>
  <c r="C40" i="70"/>
  <c r="R130" i="63" a="1"/>
  <c r="R130" i="63" s="1"/>
  <c r="R129" i="63" a="1"/>
  <c r="R129" i="63" s="1"/>
  <c r="R128" i="63" a="1"/>
  <c r="R128" i="63" s="1"/>
  <c r="R127" i="63" a="1"/>
  <c r="R127" i="63" s="1"/>
  <c r="R126" i="63" a="1"/>
  <c r="R126" i="63" s="1"/>
  <c r="R125" i="63" a="1"/>
  <c r="R125" i="63" s="1"/>
  <c r="R124" i="63" a="1"/>
  <c r="R124" i="63" s="1"/>
  <c r="D45" i="70" s="1"/>
  <c r="D70" i="70" l="1"/>
  <c r="D65" i="70"/>
  <c r="D295" i="70"/>
  <c r="D40" i="70"/>
  <c r="D275" i="70"/>
  <c r="D52" i="70"/>
  <c r="D282" i="70"/>
  <c r="D51" i="70"/>
  <c r="C76" i="82"/>
  <c r="C67" i="82"/>
  <c r="C66" i="82"/>
  <c r="R360" i="63"/>
  <c r="D67" i="82" s="1"/>
  <c r="R358" i="63"/>
  <c r="R359" i="63"/>
  <c r="D76" i="82" s="1"/>
  <c r="R357" i="63"/>
  <c r="D66" i="82" l="1"/>
  <c r="D32" i="85" l="1" a="1"/>
  <c r="D32" i="85" s="1"/>
  <c r="D33" i="85" a="1"/>
  <c r="D33" i="85" s="1"/>
  <c r="R351" i="63"/>
  <c r="R255" i="63"/>
  <c r="C138" i="68"/>
  <c r="R88" i="63"/>
  <c r="C136" i="68"/>
  <c r="C122" i="68"/>
  <c r="C74" i="68"/>
  <c r="D59" i="68"/>
  <c r="C59" i="68"/>
  <c r="D136" i="68" l="1"/>
  <c r="D122" i="68"/>
  <c r="B23" i="29"/>
  <c r="B22" i="29"/>
  <c r="H125" i="30"/>
  <c r="H124" i="30"/>
  <c r="H123" i="30"/>
  <c r="B122" i="30"/>
  <c r="D74" i="68"/>
  <c r="C46" i="68" l="1"/>
  <c r="D46" i="68"/>
  <c r="C251" i="70" l="1"/>
  <c r="D173" i="69"/>
  <c r="C128" i="69" l="1"/>
  <c r="L116" i="63" l="1"/>
  <c r="L118" i="63" s="1"/>
  <c r="D36" i="54"/>
  <c r="D35" i="54"/>
  <c r="D34" i="54"/>
  <c r="D33" i="54"/>
  <c r="D32" i="54"/>
  <c r="U52" i="58" l="1"/>
  <c r="W52" i="58"/>
  <c r="T52" i="58"/>
  <c r="V52" i="58"/>
  <c r="W51" i="58"/>
  <c r="V51" i="58"/>
  <c r="T51" i="58"/>
  <c r="U51" i="58"/>
  <c r="V50" i="58"/>
  <c r="W50" i="58"/>
  <c r="U50" i="58"/>
  <c r="T50" i="58"/>
  <c r="W49" i="58"/>
  <c r="U49" i="58"/>
  <c r="T49" i="58"/>
  <c r="V49" i="58"/>
  <c r="T48" i="58"/>
  <c r="U48" i="58"/>
  <c r="V48" i="58"/>
  <c r="W48" i="58"/>
  <c r="Q49" i="58"/>
  <c r="S49" i="58"/>
  <c r="R49" i="58"/>
  <c r="Q48" i="58"/>
  <c r="R48" i="58"/>
  <c r="S48" i="58"/>
  <c r="S50" i="58"/>
  <c r="R50" i="58"/>
  <c r="Q50" i="58"/>
  <c r="S51" i="58"/>
  <c r="R51" i="58"/>
  <c r="Q51" i="58"/>
  <c r="S52" i="58"/>
  <c r="R52" i="58"/>
  <c r="Q52" i="58"/>
  <c r="D31" i="54"/>
  <c r="D30" i="54"/>
  <c r="T46" i="58" s="1"/>
  <c r="C29" i="54"/>
  <c r="D29" i="54" s="1"/>
  <c r="W47" i="58" l="1"/>
  <c r="U47" i="58"/>
  <c r="T47" i="58"/>
  <c r="V47" i="58"/>
  <c r="V46" i="58"/>
  <c r="U46" i="58"/>
  <c r="W46" i="58"/>
  <c r="R46" i="58"/>
  <c r="Q46" i="58"/>
  <c r="S46" i="58"/>
  <c r="Q47" i="58"/>
  <c r="S47" i="58"/>
  <c r="R47" i="58"/>
  <c r="X105" i="63" a="1"/>
  <c r="X105" i="63" s="1"/>
  <c r="X104" i="63" a="1"/>
  <c r="X104" i="63" s="1"/>
  <c r="C184" i="83" l="1"/>
  <c r="C178" i="83"/>
  <c r="C177" i="83"/>
  <c r="C183" i="83"/>
  <c r="R260" i="63"/>
  <c r="R256" i="63"/>
  <c r="C46" i="83"/>
  <c r="C45" i="83"/>
  <c r="C39" i="83"/>
  <c r="R253" i="63"/>
  <c r="D149" i="83" l="1"/>
  <c r="D191" i="83"/>
  <c r="D197" i="83"/>
  <c r="D45" i="83" a="1"/>
  <c r="D45" i="83" s="1"/>
  <c r="D178" i="83"/>
  <c r="D181" i="83"/>
  <c r="D175" i="83"/>
  <c r="D184" i="83"/>
  <c r="D177" i="83" a="1"/>
  <c r="D177" i="83" s="1"/>
  <c r="D156" i="83"/>
  <c r="D183" i="83" a="1"/>
  <c r="D183" i="83" s="1"/>
  <c r="D46" i="83"/>
  <c r="D52" i="83" a="1"/>
  <c r="D52" i="83" s="1"/>
  <c r="D39" i="83"/>
  <c r="E314" i="62"/>
  <c r="D143" i="82" l="1"/>
  <c r="D142" i="82"/>
  <c r="D141" i="82"/>
  <c r="D140" i="82"/>
  <c r="C74" i="82"/>
  <c r="D158" i="82" l="1"/>
  <c r="D157" i="82"/>
  <c r="D156" i="82"/>
  <c r="C159" i="82"/>
  <c r="R365" i="63"/>
  <c r="D159" i="82" s="1"/>
  <c r="C139" i="82"/>
  <c r="C136" i="82"/>
  <c r="C129" i="82"/>
  <c r="C118" i="82"/>
  <c r="C98" i="82"/>
  <c r="C97" i="82"/>
  <c r="C96" i="82"/>
  <c r="C101" i="82"/>
  <c r="C85" i="82"/>
  <c r="R355" i="63"/>
  <c r="D101" i="82" s="1"/>
  <c r="C125" i="82"/>
  <c r="C114" i="82"/>
  <c r="C91" i="82"/>
  <c r="C82" i="82"/>
  <c r="C108" i="82"/>
  <c r="C107" i="82"/>
  <c r="C106" i="82"/>
  <c r="R364" i="63"/>
  <c r="D106" i="82" s="1"/>
  <c r="R363" i="63"/>
  <c r="R362" i="63"/>
  <c r="D107" i="82" s="1"/>
  <c r="R361" i="63"/>
  <c r="C53" i="82" a="1"/>
  <c r="C53" i="82" s="1"/>
  <c r="C75" i="82"/>
  <c r="D72" i="82"/>
  <c r="C65" i="82"/>
  <c r="C64" i="82"/>
  <c r="D65" i="82"/>
  <c r="D75" i="82"/>
  <c r="R356" i="63"/>
  <c r="C25" i="82"/>
  <c r="D26" i="82"/>
  <c r="R353" i="63"/>
  <c r="D19" i="82" s="1" a="1"/>
  <c r="D19" i="82" s="1"/>
  <c r="R352" i="63"/>
  <c r="D14" i="82" l="1"/>
  <c r="D82" i="82"/>
  <c r="D25" i="82"/>
  <c r="D138" i="82"/>
  <c r="D74" i="82"/>
  <c r="D18" i="82" a="1"/>
  <c r="D18" i="82" s="1"/>
  <c r="D84" i="82"/>
  <c r="D81" i="82"/>
  <c r="D113" i="82"/>
  <c r="D90" i="82"/>
  <c r="D128" i="82"/>
  <c r="D100" i="82"/>
  <c r="D135" i="82"/>
  <c r="D124" i="82"/>
  <c r="D117" i="82"/>
  <c r="D136" i="82"/>
  <c r="D53" i="82"/>
  <c r="D97" i="82"/>
  <c r="D129" i="82"/>
  <c r="D139" i="82"/>
  <c r="D118" i="82"/>
  <c r="D85" i="82"/>
  <c r="D96" i="82"/>
  <c r="D64" i="82"/>
  <c r="D91" i="82"/>
  <c r="D114" i="82"/>
  <c r="D125" i="82"/>
  <c r="D38" i="82" l="1" a="1"/>
  <c r="D38" i="82" s="1"/>
  <c r="D39" i="82" a="1"/>
  <c r="D39" i="82" s="1"/>
  <c r="D47" i="82" a="1"/>
  <c r="D47" i="82" s="1"/>
  <c r="D32" i="82" a="1"/>
  <c r="D32" i="82" s="1"/>
  <c r="C772" i="75" l="1"/>
  <c r="S61" i="58" l="1"/>
  <c r="R61" i="58"/>
  <c r="Q61" i="58"/>
  <c r="S63" i="58"/>
  <c r="R63" i="58"/>
  <c r="Q63" i="58"/>
  <c r="R60" i="58"/>
  <c r="S60" i="58"/>
  <c r="Q60" i="58"/>
  <c r="Q62" i="58"/>
  <c r="S62" i="58"/>
  <c r="R62" i="58"/>
  <c r="R64" i="58"/>
  <c r="Q64" i="58"/>
  <c r="S64" i="58"/>
  <c r="Q65" i="58"/>
  <c r="R65" i="58"/>
  <c r="S65" i="58"/>
  <c r="J52" i="54"/>
  <c r="L68" i="58" s="1"/>
  <c r="Q68" i="58"/>
  <c r="R68" i="58"/>
  <c r="S68" i="58"/>
  <c r="Q66" i="58"/>
  <c r="R66" i="58"/>
  <c r="S66" i="58"/>
  <c r="Q67" i="58"/>
  <c r="R67" i="58"/>
  <c r="S67" i="58"/>
  <c r="K68" i="58"/>
  <c r="G68" i="58"/>
  <c r="D68" i="58"/>
  <c r="H68" i="58" a="1"/>
  <c r="H68" i="58" s="1"/>
  <c r="E68" i="58"/>
  <c r="P68" i="58"/>
  <c r="F68" i="58"/>
  <c r="J68" i="58" a="1"/>
  <c r="J68" i="58" s="1"/>
  <c r="C68" i="58"/>
  <c r="I63" i="58"/>
  <c r="G64" i="58"/>
  <c r="I64" i="58"/>
  <c r="I65" i="58"/>
  <c r="J66" i="58" a="1"/>
  <c r="J66" i="58" s="1"/>
  <c r="I67" i="58"/>
  <c r="I68" i="58"/>
  <c r="I66" i="58" a="1"/>
  <c r="I66" i="58" s="1"/>
  <c r="C66" i="58"/>
  <c r="K66" i="58" a="1"/>
  <c r="K66" i="58" s="1"/>
  <c r="H66" i="58" a="1"/>
  <c r="H66" i="58" s="1"/>
  <c r="G66" i="58"/>
  <c r="F66" i="58"/>
  <c r="E66" i="58"/>
  <c r="D66" i="58"/>
  <c r="P66" i="58"/>
  <c r="F67" i="58"/>
  <c r="P67" i="58"/>
  <c r="K67" i="58"/>
  <c r="E67" i="58"/>
  <c r="J67" i="58" a="1"/>
  <c r="J67" i="58" s="1"/>
  <c r="D67" i="58"/>
  <c r="C67" i="58"/>
  <c r="H67" i="58" a="1"/>
  <c r="H67" i="58" s="1"/>
  <c r="G67" i="58"/>
  <c r="P65" i="58"/>
  <c r="K65" i="58"/>
  <c r="E65" i="58"/>
  <c r="G65" i="58"/>
  <c r="J65" i="58" a="1"/>
  <c r="J65" i="58" s="1"/>
  <c r="D65" i="58"/>
  <c r="F65" i="58"/>
  <c r="H65" i="58" a="1"/>
  <c r="H65" i="58" s="1"/>
  <c r="C65" i="58"/>
  <c r="K59" i="58"/>
  <c r="D59" i="58"/>
  <c r="F59" i="58"/>
  <c r="J59" i="58" a="1"/>
  <c r="J59" i="58" s="1"/>
  <c r="I59" i="58" a="1"/>
  <c r="I59" i="58" s="1"/>
  <c r="E59" i="58"/>
  <c r="H59" i="58" a="1"/>
  <c r="H59" i="58" s="1"/>
  <c r="P59" i="58"/>
  <c r="C59" i="58"/>
  <c r="G59" i="58"/>
  <c r="F60" i="58"/>
  <c r="E60" i="58"/>
  <c r="C60" i="58"/>
  <c r="I60" i="58" a="1"/>
  <c r="I60" i="58" s="1"/>
  <c r="G60" i="58"/>
  <c r="H61" i="58" a="1"/>
  <c r="H61" i="58" s="1"/>
  <c r="D60" i="58"/>
  <c r="H60" i="58" a="1"/>
  <c r="H60" i="58" s="1"/>
  <c r="K60" i="58"/>
  <c r="J60" i="58" a="1"/>
  <c r="J60" i="58" s="1"/>
  <c r="P60" i="58"/>
  <c r="C62" i="58"/>
  <c r="P62" i="58"/>
  <c r="G62" i="58"/>
  <c r="D62" i="58"/>
  <c r="F62" i="58"/>
  <c r="J62" i="58" a="1"/>
  <c r="J62" i="58" s="1"/>
  <c r="H62" i="58" a="1"/>
  <c r="H62" i="58" s="1"/>
  <c r="E62" i="58"/>
  <c r="K62" i="58"/>
  <c r="I62" i="58" a="1"/>
  <c r="I62" i="58" s="1"/>
  <c r="F63" i="58"/>
  <c r="E63" i="58"/>
  <c r="J63" i="58" a="1"/>
  <c r="J63" i="58" s="1"/>
  <c r="G63" i="58"/>
  <c r="H63" i="58" a="1"/>
  <c r="H63" i="58" s="1"/>
  <c r="P63" i="58"/>
  <c r="K63" i="58"/>
  <c r="C63" i="58"/>
  <c r="D63" i="58"/>
  <c r="D64" i="58"/>
  <c r="C64" i="58"/>
  <c r="J64" i="58" a="1"/>
  <c r="J64" i="58" s="1"/>
  <c r="K64" i="58"/>
  <c r="E64" i="58"/>
  <c r="F64" i="58"/>
  <c r="H64" i="58" a="1"/>
  <c r="H64" i="58" s="1"/>
  <c r="P64" i="58"/>
  <c r="P61" i="58"/>
  <c r="K61" i="58"/>
  <c r="J61" i="58" a="1"/>
  <c r="J61" i="58" s="1"/>
  <c r="C61" i="58"/>
  <c r="F61" i="58"/>
  <c r="E61" i="58"/>
  <c r="G61" i="58"/>
  <c r="D61" i="58"/>
  <c r="I61" i="58" a="1"/>
  <c r="I61" i="58" s="1"/>
  <c r="J46" i="54"/>
  <c r="J50" i="54"/>
  <c r="J48" i="54"/>
  <c r="J51" i="54"/>
  <c r="J47" i="54"/>
  <c r="J49" i="54"/>
  <c r="J44" i="54"/>
  <c r="J45" i="54"/>
  <c r="J43" i="54"/>
  <c r="N68" i="58" l="1"/>
  <c r="O68" i="58"/>
  <c r="M68" i="58"/>
  <c r="M66" i="58"/>
  <c r="L66" i="58"/>
  <c r="O66" i="58"/>
  <c r="N66" i="58"/>
  <c r="L67" i="58"/>
  <c r="N67" i="58"/>
  <c r="O67" i="58"/>
  <c r="M67" i="58"/>
  <c r="L65" i="58"/>
  <c r="M65" i="58"/>
  <c r="O65" i="58"/>
  <c r="N65" i="58"/>
  <c r="O59" i="58"/>
  <c r="M59" i="58"/>
  <c r="N59" i="58"/>
  <c r="L59" i="58"/>
  <c r="N60" i="58"/>
  <c r="M60" i="58"/>
  <c r="L60" i="58"/>
  <c r="O60" i="58"/>
  <c r="M62" i="58"/>
  <c r="O62" i="58"/>
  <c r="N62" i="58"/>
  <c r="L62" i="58"/>
  <c r="N63" i="58"/>
  <c r="O63" i="58"/>
  <c r="M63" i="58"/>
  <c r="L63" i="58"/>
  <c r="L64" i="58"/>
  <c r="M64" i="58"/>
  <c r="N64" i="58"/>
  <c r="O64" i="58"/>
  <c r="M61" i="58"/>
  <c r="N61" i="58"/>
  <c r="L61" i="58"/>
  <c r="O61" i="58"/>
  <c r="D61" i="64"/>
  <c r="C61" i="64"/>
  <c r="C54" i="64"/>
  <c r="X26" i="63"/>
  <c r="D53" i="64" s="1"/>
  <c r="X20" i="63"/>
  <c r="X27" i="63"/>
  <c r="D54" i="64" s="1"/>
  <c r="C52" i="64"/>
  <c r="C47" i="64"/>
  <c r="I29" i="54"/>
  <c r="C143" i="64"/>
  <c r="C142" i="64"/>
  <c r="C120" i="64"/>
  <c r="D88" i="64" l="1"/>
  <c r="D84" i="64"/>
  <c r="D92" i="64"/>
  <c r="C53" i="64"/>
  <c r="C92" i="64"/>
  <c r="C88" i="64"/>
  <c r="C84" i="64"/>
  <c r="J35" i="54"/>
  <c r="J34" i="54"/>
  <c r="J33" i="54"/>
  <c r="J32" i="54"/>
  <c r="P50" i="58"/>
  <c r="P51" i="58"/>
  <c r="P49" i="58"/>
  <c r="P48" i="58"/>
  <c r="B93" i="30"/>
  <c r="J31" i="54"/>
  <c r="L47" i="58" s="1"/>
  <c r="J30" i="54"/>
  <c r="Q54" i="58" l="1"/>
  <c r="R54" i="58"/>
  <c r="S54" i="58"/>
  <c r="J38" i="54"/>
  <c r="L54" i="58" s="1"/>
  <c r="L48" i="58"/>
  <c r="M48" i="58"/>
  <c r="N48" i="58"/>
  <c r="O48" i="58"/>
  <c r="L49" i="58"/>
  <c r="M49" i="58"/>
  <c r="N49" i="58"/>
  <c r="O49" i="58"/>
  <c r="L50" i="58"/>
  <c r="M50" i="58"/>
  <c r="N50" i="58"/>
  <c r="O50" i="58"/>
  <c r="L51" i="58"/>
  <c r="M51" i="58"/>
  <c r="N51" i="58"/>
  <c r="O51" i="58"/>
  <c r="L46" i="58"/>
  <c r="O46" i="58"/>
  <c r="N46" i="58"/>
  <c r="M46" i="58"/>
  <c r="O47" i="58"/>
  <c r="M47" i="58"/>
  <c r="N47" i="58"/>
  <c r="P54" i="58"/>
  <c r="G47" i="58"/>
  <c r="P47" i="58"/>
  <c r="D46" i="58"/>
  <c r="P46" i="58"/>
  <c r="I47" i="58"/>
  <c r="K47" i="58"/>
  <c r="D47" i="58"/>
  <c r="E47" i="58"/>
  <c r="J47" i="58"/>
  <c r="C47" i="58"/>
  <c r="F47" i="58"/>
  <c r="H47" i="58"/>
  <c r="H54" i="58"/>
  <c r="D54" i="58"/>
  <c r="I54" i="58"/>
  <c r="E54" i="58"/>
  <c r="K54" i="58"/>
  <c r="F54" i="58"/>
  <c r="C54" i="58"/>
  <c r="G54" i="58"/>
  <c r="J54" i="58"/>
  <c r="C46" i="58"/>
  <c r="K46" i="58"/>
  <c r="G46" i="58"/>
  <c r="J46" i="58"/>
  <c r="E46" i="58"/>
  <c r="I46" i="58"/>
  <c r="H46" i="58"/>
  <c r="F46" i="58"/>
  <c r="W53" i="58" l="1"/>
  <c r="U53" i="58"/>
  <c r="V53" i="58"/>
  <c r="T53" i="58"/>
  <c r="R53" i="58"/>
  <c r="S53" i="58"/>
  <c r="Q53" i="58"/>
  <c r="N54" i="58"/>
  <c r="M54" i="58"/>
  <c r="J39" i="54"/>
  <c r="O55" i="58" s="1"/>
  <c r="J37" i="54"/>
  <c r="L53" i="58" s="1"/>
  <c r="J40" i="54"/>
  <c r="L56" i="58" s="1"/>
  <c r="J41" i="54"/>
  <c r="N57" i="58" s="1"/>
  <c r="O54" i="58"/>
  <c r="J42" i="54"/>
  <c r="L58" i="58" s="1"/>
  <c r="J36" i="54"/>
  <c r="N52" i="58" s="1"/>
  <c r="E57" i="58"/>
  <c r="I56" i="58"/>
  <c r="D56" i="58"/>
  <c r="E56" i="58"/>
  <c r="J56" i="58"/>
  <c r="G56" i="58"/>
  <c r="C56" i="58"/>
  <c r="K56" i="58"/>
  <c r="G53" i="58"/>
  <c r="C53" i="58"/>
  <c r="F58" i="58"/>
  <c r="F56" i="58"/>
  <c r="H56" i="58"/>
  <c r="C55" i="58"/>
  <c r="K53" i="58"/>
  <c r="K55" i="58"/>
  <c r="F55" i="58"/>
  <c r="F53" i="58"/>
  <c r="E55" i="58"/>
  <c r="J55" i="58"/>
  <c r="H58" i="58"/>
  <c r="E53" i="58"/>
  <c r="D53" i="58"/>
  <c r="I53" i="58"/>
  <c r="P53" i="58"/>
  <c r="H53" i="58"/>
  <c r="I55" i="58"/>
  <c r="G58" i="58"/>
  <c r="J53" i="58"/>
  <c r="P56" i="58"/>
  <c r="D57" i="58"/>
  <c r="G57" i="58"/>
  <c r="F57" i="58"/>
  <c r="K57" i="58"/>
  <c r="C57" i="58"/>
  <c r="J57" i="58"/>
  <c r="D55" i="58"/>
  <c r="H55" i="58"/>
  <c r="E58" i="58"/>
  <c r="J58" i="58"/>
  <c r="I58" i="58"/>
  <c r="G55" i="58"/>
  <c r="P55" i="58"/>
  <c r="C58" i="58"/>
  <c r="K58" i="58"/>
  <c r="Q55" i="58"/>
  <c r="D58" i="58"/>
  <c r="P57" i="58"/>
  <c r="H57" i="58"/>
  <c r="I57" i="58"/>
  <c r="P52" i="58"/>
  <c r="P58" i="58"/>
  <c r="F52" i="58"/>
  <c r="J52" i="58"/>
  <c r="E52" i="58"/>
  <c r="G52" i="58"/>
  <c r="H52" i="58"/>
  <c r="C52" i="58"/>
  <c r="I52" i="58"/>
  <c r="D52" i="58"/>
  <c r="K52" i="58"/>
  <c r="G48" i="58"/>
  <c r="D48" i="58"/>
  <c r="H48" i="58"/>
  <c r="E48" i="58"/>
  <c r="I48" i="58"/>
  <c r="F48" i="58"/>
  <c r="J48" i="58"/>
  <c r="C48" i="58"/>
  <c r="K48" i="58"/>
  <c r="G51" i="58"/>
  <c r="C51" i="58"/>
  <c r="K51" i="58"/>
  <c r="D51" i="58"/>
  <c r="J51" i="58"/>
  <c r="H51" i="58"/>
  <c r="E51" i="58"/>
  <c r="F51" i="58"/>
  <c r="I51" i="58"/>
  <c r="G50" i="58"/>
  <c r="C50" i="58"/>
  <c r="K50" i="58"/>
  <c r="D50" i="58"/>
  <c r="H50" i="58"/>
  <c r="J50" i="58"/>
  <c r="E50" i="58"/>
  <c r="F50" i="58"/>
  <c r="I50" i="58"/>
  <c r="K49" i="58"/>
  <c r="D49" i="58"/>
  <c r="H49" i="58"/>
  <c r="G49" i="58"/>
  <c r="F49" i="58"/>
  <c r="E49" i="58"/>
  <c r="I49" i="58"/>
  <c r="C49" i="58"/>
  <c r="J49" i="58"/>
  <c r="I28" i="63"/>
  <c r="A164" i="74"/>
  <c r="A140" i="74"/>
  <c r="A129" i="74"/>
  <c r="A128" i="74"/>
  <c r="A127" i="74"/>
  <c r="A124" i="74"/>
  <c r="A123" i="74"/>
  <c r="A122" i="74"/>
  <c r="A48" i="74"/>
  <c r="A39" i="74"/>
  <c r="A38" i="74"/>
  <c r="A33" i="74"/>
  <c r="A32" i="74"/>
  <c r="A5" i="74"/>
  <c r="A2" i="74"/>
  <c r="D861" i="75"/>
  <c r="C856" i="75"/>
  <c r="C854" i="75"/>
  <c r="C852" i="75"/>
  <c r="C850" i="75"/>
  <c r="C839" i="75"/>
  <c r="C838" i="75"/>
  <c r="C837" i="75"/>
  <c r="C833" i="75"/>
  <c r="C832" i="75"/>
  <c r="C831" i="75"/>
  <c r="C823" i="75"/>
  <c r="C822" i="75"/>
  <c r="C821" i="75"/>
  <c r="D820" i="75"/>
  <c r="C816" i="75"/>
  <c r="C815" i="75"/>
  <c r="C814" i="75"/>
  <c r="D813" i="75"/>
  <c r="D802" i="75"/>
  <c r="C801" i="75"/>
  <c r="D800" i="75"/>
  <c r="C799" i="75"/>
  <c r="C794" i="75"/>
  <c r="C793" i="75"/>
  <c r="C792" i="75"/>
  <c r="C791" i="75"/>
  <c r="C783" i="75"/>
  <c r="C782" i="75"/>
  <c r="D770" i="75"/>
  <c r="C769" i="75"/>
  <c r="C760" i="75"/>
  <c r="D759" i="75"/>
  <c r="C753" i="75"/>
  <c r="C742" i="75"/>
  <c r="C739" i="75"/>
  <c r="C738" i="75"/>
  <c r="C634" i="75"/>
  <c r="D633" i="75"/>
  <c r="C627" i="75"/>
  <c r="C614" i="75"/>
  <c r="C613" i="75"/>
  <c r="D579" i="75"/>
  <c r="D578" i="75"/>
  <c r="D577" i="75"/>
  <c r="D576" i="75"/>
  <c r="D575" i="75"/>
  <c r="D574" i="75"/>
  <c r="D569" i="75"/>
  <c r="D565" i="75"/>
  <c r="D561" i="75"/>
  <c r="D551" i="75"/>
  <c r="D547" i="75"/>
  <c r="D543" i="75"/>
  <c r="C518" i="75"/>
  <c r="C512" i="75"/>
  <c r="C511" i="75"/>
  <c r="C510" i="75"/>
  <c r="C509" i="75"/>
  <c r="C508" i="75"/>
  <c r="C495" i="75"/>
  <c r="C489" i="75"/>
  <c r="C488" i="75"/>
  <c r="C487" i="75"/>
  <c r="C486" i="75"/>
  <c r="C485" i="75"/>
  <c r="C471" i="75"/>
  <c r="C465" i="75"/>
  <c r="C464" i="75"/>
  <c r="C463" i="75"/>
  <c r="C462" i="75"/>
  <c r="C461" i="75"/>
  <c r="C432" i="75"/>
  <c r="C431" i="75"/>
  <c r="D421" i="75"/>
  <c r="D419" i="75"/>
  <c r="C418" i="75"/>
  <c r="C409" i="75"/>
  <c r="D408" i="75"/>
  <c r="C402" i="75"/>
  <c r="C391" i="75"/>
  <c r="C388" i="75"/>
  <c r="C387" i="75"/>
  <c r="C283" i="75"/>
  <c r="D282" i="75"/>
  <c r="C276" i="75"/>
  <c r="C263" i="75"/>
  <c r="C262" i="75"/>
  <c r="C237" i="75"/>
  <c r="C224" i="75"/>
  <c r="C209" i="75"/>
  <c r="D200" i="75"/>
  <c r="C195" i="75"/>
  <c r="D187" i="75"/>
  <c r="D186" i="75"/>
  <c r="D184" i="75"/>
  <c r="D183" i="75"/>
  <c r="D182" i="75"/>
  <c r="D181" i="75"/>
  <c r="D179" i="75"/>
  <c r="D173" i="75"/>
  <c r="D172" i="75"/>
  <c r="D166" i="75"/>
  <c r="D164" i="75"/>
  <c r="D162" i="75"/>
  <c r="D160" i="75"/>
  <c r="D159" i="75"/>
  <c r="D153" i="75"/>
  <c r="D147" i="75"/>
  <c r="D146" i="75"/>
  <c r="D144" i="75"/>
  <c r="D143" i="75"/>
  <c r="D142" i="75"/>
  <c r="D141" i="75"/>
  <c r="D140" i="75"/>
  <c r="D138" i="75"/>
  <c r="D132" i="75"/>
  <c r="D131" i="75"/>
  <c r="D130" i="75"/>
  <c r="D124" i="75"/>
  <c r="D122" i="75"/>
  <c r="D120" i="75"/>
  <c r="D118" i="75"/>
  <c r="D117" i="75"/>
  <c r="D111" i="75"/>
  <c r="D105" i="75"/>
  <c r="D104" i="75"/>
  <c r="D102" i="75"/>
  <c r="D99" i="75"/>
  <c r="D98" i="75"/>
  <c r="D97" i="75"/>
  <c r="D96" i="75"/>
  <c r="D94" i="75"/>
  <c r="D88" i="75"/>
  <c r="D87" i="75"/>
  <c r="D86" i="75"/>
  <c r="D80" i="75"/>
  <c r="D78" i="75"/>
  <c r="D76" i="75"/>
  <c r="D74" i="75"/>
  <c r="D73" i="75"/>
  <c r="D66" i="75"/>
  <c r="D54" i="75"/>
  <c r="D48" i="75"/>
  <c r="D44" i="75"/>
  <c r="D42" i="75"/>
  <c r="C34" i="75"/>
  <c r="C33" i="75"/>
  <c r="C31" i="75"/>
  <c r="D30" i="75"/>
  <c r="D71" i="71"/>
  <c r="D70" i="71"/>
  <c r="D69" i="71"/>
  <c r="D68" i="71"/>
  <c r="D67" i="71"/>
  <c r="D66" i="71"/>
  <c r="D65" i="71"/>
  <c r="D64" i="71"/>
  <c r="D63" i="71"/>
  <c r="D62" i="71"/>
  <c r="D61" i="71"/>
  <c r="D60" i="71"/>
  <c r="D59" i="71"/>
  <c r="D58" i="71"/>
  <c r="D57" i="71"/>
  <c r="D56" i="71"/>
  <c r="D473" i="70"/>
  <c r="C457" i="70"/>
  <c r="D456" i="70"/>
  <c r="C451" i="70"/>
  <c r="D450" i="70"/>
  <c r="D433" i="70"/>
  <c r="C401" i="70"/>
  <c r="C389" i="70"/>
  <c r="C372" i="70"/>
  <c r="D366" i="70"/>
  <c r="C360" i="70"/>
  <c r="C348" i="70"/>
  <c r="C255" i="70"/>
  <c r="C257" i="70"/>
  <c r="C256" i="70"/>
  <c r="C253" i="70"/>
  <c r="C252" i="70"/>
  <c r="C246" i="70"/>
  <c r="C241" i="70"/>
  <c r="C240" i="70"/>
  <c r="C239" i="70"/>
  <c r="C233" i="70"/>
  <c r="C232" i="70"/>
  <c r="C231" i="70"/>
  <c r="C147" i="70"/>
  <c r="C135" i="70"/>
  <c r="C118" i="70"/>
  <c r="C112" i="70"/>
  <c r="C100" i="70"/>
  <c r="C99" i="70"/>
  <c r="D97" i="70"/>
  <c r="C96" i="70"/>
  <c r="C95" i="70"/>
  <c r="C85" i="70"/>
  <c r="C137" i="69"/>
  <c r="C136" i="69"/>
  <c r="C130" i="69"/>
  <c r="C129" i="69"/>
  <c r="C127" i="69"/>
  <c r="C126" i="69"/>
  <c r="C82" i="69"/>
  <c r="C81" i="69"/>
  <c r="C58" i="69"/>
  <c r="C47" i="69"/>
  <c r="D383" i="68"/>
  <c r="D372" i="68"/>
  <c r="C359" i="68" a="1"/>
  <c r="C359" i="68" s="1"/>
  <c r="C358" i="68" a="1"/>
  <c r="C358" i="68" s="1"/>
  <c r="D357" i="68"/>
  <c r="C352" i="68" a="1"/>
  <c r="C352" i="68" s="1"/>
  <c r="C347" i="68"/>
  <c r="D344" i="68"/>
  <c r="C339" i="68"/>
  <c r="D337" i="68"/>
  <c r="C328" i="68"/>
  <c r="C316" i="68"/>
  <c r="C309" i="68"/>
  <c r="C307" i="68"/>
  <c r="C303" i="68"/>
  <c r="C301" i="68"/>
  <c r="C288" i="68"/>
  <c r="C287" i="68"/>
  <c r="C284" i="68"/>
  <c r="C283" i="68"/>
  <c r="D278" i="68"/>
  <c r="C278" i="68"/>
  <c r="C277" i="68"/>
  <c r="D275" i="68"/>
  <c r="C275" i="68"/>
  <c r="C274" i="68"/>
  <c r="D268" i="68"/>
  <c r="C268" i="68"/>
  <c r="D267" i="68"/>
  <c r="C267" i="68"/>
  <c r="C252" i="68"/>
  <c r="C241" i="68"/>
  <c r="C239" i="68"/>
  <c r="C238" i="68"/>
  <c r="C237" i="68"/>
  <c r="C231" i="68"/>
  <c r="C224" i="68"/>
  <c r="C222" i="68"/>
  <c r="C218" i="68"/>
  <c r="C216" i="68"/>
  <c r="D197" i="68"/>
  <c r="C197" i="68"/>
  <c r="C196" i="68"/>
  <c r="D194" i="68"/>
  <c r="C194" i="68"/>
  <c r="C193" i="68"/>
  <c r="D187" i="68"/>
  <c r="C187" i="68"/>
  <c r="D186" i="68"/>
  <c r="C186" i="68"/>
  <c r="C181" i="68"/>
  <c r="C180" i="68"/>
  <c r="C179" i="68"/>
  <c r="C178" i="68"/>
  <c r="C177" i="68"/>
  <c r="C176" i="68"/>
  <c r="C175" i="68"/>
  <c r="C174" i="68"/>
  <c r="C173" i="68"/>
  <c r="C172" i="68"/>
  <c r="C167" i="68"/>
  <c r="C166" i="68"/>
  <c r="C165" i="68"/>
  <c r="C164" i="68"/>
  <c r="C163" i="68"/>
  <c r="C162" i="68"/>
  <c r="C161" i="68"/>
  <c r="C160" i="68"/>
  <c r="C159" i="68"/>
  <c r="C158" i="68"/>
  <c r="C153" i="68"/>
  <c r="C81" i="68"/>
  <c r="C80" i="68"/>
  <c r="C79" i="68"/>
  <c r="C77" i="68"/>
  <c r="C62" i="68"/>
  <c r="C61" i="68"/>
  <c r="C58" i="68"/>
  <c r="C57" i="68"/>
  <c r="C47" i="68"/>
  <c r="C172" i="67"/>
  <c r="C171" i="67"/>
  <c r="C170" i="67"/>
  <c r="C169" i="67"/>
  <c r="C161" i="67"/>
  <c r="C155" i="67"/>
  <c r="C154" i="67"/>
  <c r="C148" i="67"/>
  <c r="C124" i="67"/>
  <c r="C123" i="67"/>
  <c r="C117" i="67"/>
  <c r="C109" i="67"/>
  <c r="C104" i="67"/>
  <c r="C103" i="67"/>
  <c r="C102" i="67"/>
  <c r="C101" i="67"/>
  <c r="C100" i="67"/>
  <c r="C99" i="67"/>
  <c r="C89" i="67"/>
  <c r="C88" i="67"/>
  <c r="C74" i="67"/>
  <c r="C73" i="67"/>
  <c r="C72" i="67"/>
  <c r="C58" i="67"/>
  <c r="C53" i="67"/>
  <c r="C52" i="67"/>
  <c r="C51" i="67"/>
  <c r="C45" i="67"/>
  <c r="C43" i="67"/>
  <c r="C42" i="67"/>
  <c r="C41" i="67"/>
  <c r="C119" i="66"/>
  <c r="C108" i="66"/>
  <c r="C103" i="66"/>
  <c r="C102" i="66"/>
  <c r="C101" i="66"/>
  <c r="C97" i="66"/>
  <c r="C96" i="66"/>
  <c r="C95" i="66"/>
  <c r="C91" i="66"/>
  <c r="C90" i="66"/>
  <c r="C89" i="66"/>
  <c r="C85" i="66"/>
  <c r="C84" i="66"/>
  <c r="C83" i="66"/>
  <c r="C41" i="66"/>
  <c r="C40" i="66"/>
  <c r="C39" i="66"/>
  <c r="C33" i="66"/>
  <c r="C27" i="66"/>
  <c r="C26" i="66"/>
  <c r="C19" i="66"/>
  <c r="C742" i="65"/>
  <c r="C736" i="65"/>
  <c r="C730" i="65"/>
  <c r="C724" i="65"/>
  <c r="C718" i="65"/>
  <c r="C712" i="65"/>
  <c r="C685" i="65"/>
  <c r="D682" i="65"/>
  <c r="C681" i="65"/>
  <c r="C680" i="65"/>
  <c r="D679" i="65"/>
  <c r="C675" i="65"/>
  <c r="C670" i="65" a="1"/>
  <c r="C670" i="65" s="1"/>
  <c r="C669" i="65"/>
  <c r="D668" i="65"/>
  <c r="C664" i="65" a="1"/>
  <c r="C664" i="65" s="1"/>
  <c r="C654" i="65"/>
  <c r="C645" i="65"/>
  <c r="C638" i="65"/>
  <c r="C636" i="65"/>
  <c r="C613" i="65"/>
  <c r="C612" i="65"/>
  <c r="D611" i="65"/>
  <c r="C610" i="65"/>
  <c r="C607" i="65"/>
  <c r="C606" i="65"/>
  <c r="D605" i="65"/>
  <c r="C604" i="65"/>
  <c r="C601" i="65"/>
  <c r="C600" i="65"/>
  <c r="C587" i="65"/>
  <c r="C586" i="65"/>
  <c r="C585" i="65"/>
  <c r="D582" i="65"/>
  <c r="C571" i="65"/>
  <c r="C570" i="65"/>
  <c r="C569" i="65"/>
  <c r="D566" i="65"/>
  <c r="C555" i="65"/>
  <c r="C554" i="65"/>
  <c r="C553" i="65"/>
  <c r="D550" i="65"/>
  <c r="C540" i="65"/>
  <c r="C535" i="65"/>
  <c r="C517" i="65"/>
  <c r="C508" i="65"/>
  <c r="C507" i="65"/>
  <c r="C506" i="65"/>
  <c r="C505" i="65"/>
  <c r="C489" i="65"/>
  <c r="C447" i="65"/>
  <c r="C442" i="65"/>
  <c r="D437" i="65"/>
  <c r="C428" i="65"/>
  <c r="C423" i="65"/>
  <c r="D418" i="65"/>
  <c r="D408" i="65"/>
  <c r="C408" i="65"/>
  <c r="D407" i="65"/>
  <c r="D405" i="65"/>
  <c r="C403" i="65"/>
  <c r="C402" i="65"/>
  <c r="C401" i="65"/>
  <c r="D400" i="65"/>
  <c r="D399" i="65"/>
  <c r="D398" i="65"/>
  <c r="D397" i="65"/>
  <c r="C395" i="65" a="1"/>
  <c r="C395" i="65" s="1"/>
  <c r="D391" i="65"/>
  <c r="C383" i="65"/>
  <c r="C382" i="65"/>
  <c r="C381" i="65"/>
  <c r="C380" i="65"/>
  <c r="C379" i="65"/>
  <c r="C378" i="65"/>
  <c r="C377" i="65"/>
  <c r="C376" i="65"/>
  <c r="C59" i="65"/>
  <c r="C58" i="65"/>
  <c r="C53" i="65"/>
  <c r="C52" i="65"/>
  <c r="C50" i="65"/>
  <c r="C41" i="65"/>
  <c r="D34" i="65"/>
  <c r="C32" i="65"/>
  <c r="C25" i="65"/>
  <c r="C24" i="65"/>
  <c r="C19" i="65"/>
  <c r="C12" i="65"/>
  <c r="C11" i="65"/>
  <c r="C150" i="64"/>
  <c r="C149" i="64"/>
  <c r="C148" i="64"/>
  <c r="C141" i="64"/>
  <c r="C135" i="64"/>
  <c r="C127" i="64"/>
  <c r="C126" i="64"/>
  <c r="C125" i="64"/>
  <c r="C74" i="64"/>
  <c r="C73" i="64"/>
  <c r="C71" i="64"/>
  <c r="C59" i="64"/>
  <c r="C50" i="64"/>
  <c r="C48" i="64"/>
  <c r="C26" i="64"/>
  <c r="C25" i="64"/>
  <c r="C24" i="64"/>
  <c r="C23" i="64"/>
  <c r="C22" i="64"/>
  <c r="C21" i="64"/>
  <c r="C20" i="64"/>
  <c r="C19" i="64"/>
  <c r="C14" i="64"/>
  <c r="C13" i="64"/>
  <c r="C693" i="62"/>
  <c r="C687" i="62"/>
  <c r="C681" i="62"/>
  <c r="C675" i="62"/>
  <c r="C669" i="62"/>
  <c r="C663" i="62"/>
  <c r="C630" i="62"/>
  <c r="D627" i="62"/>
  <c r="C626" i="62"/>
  <c r="C625" i="62"/>
  <c r="D624" i="62"/>
  <c r="C620" i="62"/>
  <c r="C615" i="62"/>
  <c r="C614" i="62"/>
  <c r="D613" i="62"/>
  <c r="C609" i="62"/>
  <c r="C599" i="62"/>
  <c r="C590" i="62"/>
  <c r="C583" i="62"/>
  <c r="C581" i="62"/>
  <c r="C558" i="62"/>
  <c r="C557" i="62"/>
  <c r="D556" i="62"/>
  <c r="C555" i="62"/>
  <c r="C552" i="62"/>
  <c r="C551" i="62"/>
  <c r="D550" i="62"/>
  <c r="C549" i="62"/>
  <c r="C546" i="62"/>
  <c r="C545" i="62"/>
  <c r="C532" i="62"/>
  <c r="C531" i="62"/>
  <c r="C530" i="62"/>
  <c r="D527" i="62"/>
  <c r="C516" i="62"/>
  <c r="C515" i="62"/>
  <c r="C514" i="62"/>
  <c r="D511" i="62"/>
  <c r="C500" i="62"/>
  <c r="C499" i="62"/>
  <c r="C498" i="62"/>
  <c r="D495" i="62"/>
  <c r="C485" i="62"/>
  <c r="C480" i="62"/>
  <c r="C462" i="62"/>
  <c r="C453" i="62"/>
  <c r="C452" i="62"/>
  <c r="C451" i="62"/>
  <c r="C450" i="62"/>
  <c r="C434" i="62"/>
  <c r="C420" i="62"/>
  <c r="D409" i="62"/>
  <c r="C403" i="62"/>
  <c r="D394" i="62"/>
  <c r="C394" i="62"/>
  <c r="D374" i="62"/>
  <c r="C369" i="62"/>
  <c r="D360" i="62"/>
  <c r="C360" i="62"/>
  <c r="C355" i="62"/>
  <c r="C350" i="62"/>
  <c r="D345" i="62"/>
  <c r="C336" i="62"/>
  <c r="C331" i="62"/>
  <c r="D326" i="62"/>
  <c r="D316" i="62"/>
  <c r="C316" i="62"/>
  <c r="D315" i="62"/>
  <c r="C313" i="62"/>
  <c r="D313" i="62" s="1"/>
  <c r="C311" i="62"/>
  <c r="C310" i="62"/>
  <c r="C309" i="62"/>
  <c r="D308" i="62"/>
  <c r="D307" i="62"/>
  <c r="D306" i="62"/>
  <c r="D305" i="62"/>
  <c r="C303" i="62"/>
  <c r="D299" i="62"/>
  <c r="C276" i="62"/>
  <c r="C275" i="62"/>
  <c r="C274" i="62"/>
  <c r="C273" i="62"/>
  <c r="C272" i="62"/>
  <c r="C271" i="62"/>
  <c r="C270" i="62"/>
  <c r="C269" i="62"/>
  <c r="C268" i="62"/>
  <c r="C267" i="62"/>
  <c r="C263" i="62"/>
  <c r="C262" i="62"/>
  <c r="C261" i="62"/>
  <c r="C260" i="62"/>
  <c r="C259" i="62"/>
  <c r="D257" i="62"/>
  <c r="C253" i="62"/>
  <c r="C252" i="62"/>
  <c r="C251" i="62"/>
  <c r="C250" i="62"/>
  <c r="C249" i="62"/>
  <c r="C248" i="62"/>
  <c r="C247" i="62"/>
  <c r="C246" i="62"/>
  <c r="C242" i="62"/>
  <c r="C241" i="62"/>
  <c r="C240" i="62"/>
  <c r="C234" i="62"/>
  <c r="C233" i="62"/>
  <c r="C232" i="62"/>
  <c r="C227" i="62"/>
  <c r="C226" i="62"/>
  <c r="C225" i="62"/>
  <c r="C219" i="62"/>
  <c r="C218" i="62"/>
  <c r="C213" i="62"/>
  <c r="C212" i="62"/>
  <c r="C205" i="62"/>
  <c r="C204" i="62"/>
  <c r="C203" i="62"/>
  <c r="C202" i="62"/>
  <c r="C201" i="62"/>
  <c r="C200" i="62"/>
  <c r="C199" i="62"/>
  <c r="C194" i="62"/>
  <c r="C187" i="62"/>
  <c r="D184" i="62"/>
  <c r="D183" i="62"/>
  <c r="C171" i="62"/>
  <c r="C170" i="62"/>
  <c r="C168" i="62"/>
  <c r="D155" i="62"/>
  <c r="C151" i="62"/>
  <c r="C150" i="62"/>
  <c r="C149" i="62"/>
  <c r="C148" i="62"/>
  <c r="C147" i="62"/>
  <c r="C146" i="62"/>
  <c r="C145" i="62"/>
  <c r="C144" i="62"/>
  <c r="C143" i="62"/>
  <c r="C127" i="62"/>
  <c r="C126" i="62"/>
  <c r="C124" i="62"/>
  <c r="C123" i="62"/>
  <c r="C120" i="62"/>
  <c r="C119" i="62"/>
  <c r="C118" i="62"/>
  <c r="C100" i="62"/>
  <c r="C99" i="62"/>
  <c r="C98" i="62"/>
  <c r="C95" i="62"/>
  <c r="C94" i="62"/>
  <c r="C93" i="62"/>
  <c r="C90" i="62"/>
  <c r="C89" i="62"/>
  <c r="C86" i="62"/>
  <c r="C80" i="62"/>
  <c r="C79" i="62"/>
  <c r="C31" i="62"/>
  <c r="C27" i="62"/>
  <c r="C15" i="62"/>
  <c r="C14" i="62"/>
  <c r="C13" i="62"/>
  <c r="C12" i="62"/>
  <c r="C11" i="62"/>
  <c r="C10" i="62"/>
  <c r="G37" i="58"/>
  <c r="G38" i="58" s="1"/>
  <c r="F9" i="58" s="1"/>
  <c r="F37" i="58"/>
  <c r="F38" i="58" s="1"/>
  <c r="E9" i="58" s="1"/>
  <c r="E37" i="58"/>
  <c r="E38" i="58" s="1"/>
  <c r="D9" i="58" s="1"/>
  <c r="C37" i="58"/>
  <c r="G30" i="58"/>
  <c r="F30" i="58"/>
  <c r="E30" i="58"/>
  <c r="C30" i="58"/>
  <c r="G27" i="58"/>
  <c r="G28" i="58" s="1"/>
  <c r="F10" i="58" s="1"/>
  <c r="F27" i="58"/>
  <c r="F28" i="58" s="1"/>
  <c r="E10" i="58" s="1"/>
  <c r="E27" i="58"/>
  <c r="E28" i="58" s="1"/>
  <c r="D10" i="58" s="1"/>
  <c r="C27" i="58"/>
  <c r="C10" i="58"/>
  <c r="C9" i="58"/>
  <c r="F8" i="58"/>
  <c r="E8" i="58"/>
  <c r="D8" i="58"/>
  <c r="O136" i="63"/>
  <c r="O135" i="63"/>
  <c r="R240" i="63"/>
  <c r="D780" i="75" s="1"/>
  <c r="O134" i="63"/>
  <c r="R239" i="63"/>
  <c r="R238" i="63"/>
  <c r="D783" i="75" s="1"/>
  <c r="R237" i="63"/>
  <c r="D782" i="75" s="1"/>
  <c r="R236" i="63"/>
  <c r="R235" i="63"/>
  <c r="R234" i="63"/>
  <c r="R233" i="63"/>
  <c r="O127" i="63"/>
  <c r="R232" i="63"/>
  <c r="R231" i="63"/>
  <c r="R230" i="63"/>
  <c r="R229" i="63"/>
  <c r="O45" i="63"/>
  <c r="N45" i="63"/>
  <c r="R228" i="63"/>
  <c r="O44" i="63"/>
  <c r="N44" i="63"/>
  <c r="R227" i="63"/>
  <c r="O43" i="63"/>
  <c r="N43" i="63"/>
  <c r="R226" i="63"/>
  <c r="O42" i="63"/>
  <c r="N42" i="63"/>
  <c r="R225" i="63"/>
  <c r="O41" i="63"/>
  <c r="N41" i="63"/>
  <c r="R224" i="63"/>
  <c r="O40" i="63"/>
  <c r="N40" i="63"/>
  <c r="R223" i="63"/>
  <c r="R222" i="63"/>
  <c r="R218" i="63"/>
  <c r="D429" i="75" s="1"/>
  <c r="R217" i="63"/>
  <c r="R216" i="63"/>
  <c r="O61" i="63"/>
  <c r="R215" i="63"/>
  <c r="O60" i="63"/>
  <c r="R214" i="63"/>
  <c r="D43" i="75" s="1"/>
  <c r="R213" i="63"/>
  <c r="D68" i="68"/>
  <c r="R212" i="63"/>
  <c r="R211" i="63"/>
  <c r="D432" i="75" s="1"/>
  <c r="R210" i="63"/>
  <c r="D431" i="75" s="1"/>
  <c r="X33" i="63"/>
  <c r="R209" i="63"/>
  <c r="O82" i="63"/>
  <c r="R208" i="63"/>
  <c r="O81" i="63"/>
  <c r="D93" i="69" s="1"/>
  <c r="R207" i="63"/>
  <c r="X30" i="63"/>
  <c r="O80" i="63"/>
  <c r="D90" i="69" s="1"/>
  <c r="R206" i="63"/>
  <c r="X29" i="63"/>
  <c r="D73" i="64" s="1"/>
  <c r="O79" i="63"/>
  <c r="R205" i="63"/>
  <c r="X25" i="63"/>
  <c r="R204" i="63"/>
  <c r="X24" i="63"/>
  <c r="R203" i="63"/>
  <c r="X23" i="63"/>
  <c r="D75" i="64" s="1"/>
  <c r="R202" i="63"/>
  <c r="X22" i="63"/>
  <c r="O105" i="63"/>
  <c r="R201" i="63"/>
  <c r="X21" i="63"/>
  <c r="O104" i="63"/>
  <c r="R200" i="63"/>
  <c r="D49" i="64"/>
  <c r="O103" i="63"/>
  <c r="R199" i="63"/>
  <c r="X19" i="63"/>
  <c r="O102" i="63"/>
  <c r="R198" i="63"/>
  <c r="X18" i="63"/>
  <c r="O101" i="63"/>
  <c r="R197" i="63"/>
  <c r="X17" i="63"/>
  <c r="D47" i="64" s="1"/>
  <c r="O100" i="63"/>
  <c r="D106" i="70" s="1"/>
  <c r="R196" i="63"/>
  <c r="X16" i="63"/>
  <c r="R195" i="63"/>
  <c r="X15" i="63"/>
  <c r="R194" i="63"/>
  <c r="R193" i="63"/>
  <c r="X13" i="63"/>
  <c r="O20" i="63"/>
  <c r="R192" i="63"/>
  <c r="X12" i="63"/>
  <c r="O19" i="63"/>
  <c r="D80" i="64" s="1"/>
  <c r="R191" i="63"/>
  <c r="X11" i="63"/>
  <c r="O18" i="63"/>
  <c r="R190" i="63"/>
  <c r="X10" i="63"/>
  <c r="D106" i="83" s="1"/>
  <c r="O17" i="63"/>
  <c r="R189" i="63"/>
  <c r="X9" i="63"/>
  <c r="D32" i="64" s="1"/>
  <c r="O16" i="63"/>
  <c r="D75" i="75" s="1"/>
  <c r="R188" i="63"/>
  <c r="X8" i="63"/>
  <c r="D107" i="83" s="1"/>
  <c r="O15" i="63"/>
  <c r="R187" i="63"/>
  <c r="R186" i="63"/>
  <c r="R185" i="63"/>
  <c r="F222" i="63"/>
  <c r="E222" i="63"/>
  <c r="O12" i="63"/>
  <c r="D12" i="64" s="1"/>
  <c r="F221" i="63"/>
  <c r="E221" i="63"/>
  <c r="F220" i="63"/>
  <c r="E220" i="63"/>
  <c r="R181" i="63"/>
  <c r="F219" i="63"/>
  <c r="E219" i="63"/>
  <c r="R180" i="63"/>
  <c r="F227" i="63"/>
  <c r="D476" i="65" s="1"/>
  <c r="R179" i="63"/>
  <c r="F226" i="63"/>
  <c r="I189" i="63"/>
  <c r="R178" i="63"/>
  <c r="I188" i="63"/>
  <c r="F214" i="63"/>
  <c r="E214" i="63"/>
  <c r="I187" i="63"/>
  <c r="F213" i="63"/>
  <c r="D508" i="65" s="1"/>
  <c r="E213" i="63"/>
  <c r="I186" i="63"/>
  <c r="R175" i="63"/>
  <c r="F212" i="63"/>
  <c r="D507" i="65" s="1"/>
  <c r="E212" i="63"/>
  <c r="I185" i="63"/>
  <c r="R174" i="63"/>
  <c r="F211" i="63"/>
  <c r="D506" i="65" s="1"/>
  <c r="E211" i="63"/>
  <c r="I184" i="63"/>
  <c r="R173" i="63"/>
  <c r="F210" i="63"/>
  <c r="D505" i="65" s="1"/>
  <c r="E210" i="63"/>
  <c r="I183" i="63"/>
  <c r="I182" i="63"/>
  <c r="I181" i="63"/>
  <c r="R169" i="63"/>
  <c r="R168" i="63"/>
  <c r="R167" i="63"/>
  <c r="I180" i="63"/>
  <c r="R166" i="63"/>
  <c r="I179" i="63"/>
  <c r="R165" i="63"/>
  <c r="I178" i="63"/>
  <c r="R164" i="63"/>
  <c r="L110" i="63"/>
  <c r="D690" i="75"/>
  <c r="I177" i="63"/>
  <c r="R163" i="63"/>
  <c r="L109" i="63"/>
  <c r="I176" i="63"/>
  <c r="R162" i="63"/>
  <c r="F74" i="63"/>
  <c r="D687" i="75"/>
  <c r="I175" i="63"/>
  <c r="R161" i="63"/>
  <c r="I174" i="63"/>
  <c r="R160" i="63"/>
  <c r="F121" i="63"/>
  <c r="D63" i="65" s="1"/>
  <c r="D684" i="75"/>
  <c r="I173" i="63"/>
  <c r="R159" i="63"/>
  <c r="F120" i="63"/>
  <c r="D62" i="65" s="1"/>
  <c r="I172" i="63"/>
  <c r="R158" i="63"/>
  <c r="F119" i="63"/>
  <c r="D61" i="65" s="1"/>
  <c r="I171" i="63"/>
  <c r="R153" i="63"/>
  <c r="F118" i="63"/>
  <c r="I170" i="63"/>
  <c r="R152" i="63"/>
  <c r="F117" i="63"/>
  <c r="I169" i="63"/>
  <c r="D540" i="65"/>
  <c r="R151" i="63"/>
  <c r="F116" i="63"/>
  <c r="I168" i="63"/>
  <c r="D537" i="65"/>
  <c r="R150" i="63"/>
  <c r="D258" i="70" s="1"/>
  <c r="F115" i="63"/>
  <c r="I167" i="63"/>
  <c r="D536" i="65"/>
  <c r="R149" i="63"/>
  <c r="F114" i="63"/>
  <c r="I166" i="63"/>
  <c r="D152" i="69" s="1"/>
  <c r="D535" i="65"/>
  <c r="R148" i="63"/>
  <c r="D255" i="70" s="1"/>
  <c r="F113" i="63"/>
  <c r="D55" i="65" s="1"/>
  <c r="I165" i="63"/>
  <c r="D532" i="65"/>
  <c r="R147" i="63"/>
  <c r="F112" i="63"/>
  <c r="D54" i="65" s="1"/>
  <c r="I164" i="63"/>
  <c r="D531" i="65"/>
  <c r="F111" i="63"/>
  <c r="D53" i="65" s="1"/>
  <c r="I163" i="63"/>
  <c r="I162" i="63"/>
  <c r="I161" i="63"/>
  <c r="L107" i="63"/>
  <c r="I160" i="63"/>
  <c r="L106" i="63"/>
  <c r="I159" i="63"/>
  <c r="D124" i="64" s="1"/>
  <c r="L105" i="63"/>
  <c r="I158" i="63"/>
  <c r="D123" i="64" s="1"/>
  <c r="L104" i="63"/>
  <c r="I157" i="63"/>
  <c r="D122" i="64" s="1"/>
  <c r="L103" i="63"/>
  <c r="I156" i="63"/>
  <c r="H156" i="63"/>
  <c r="R134" i="63"/>
  <c r="L102" i="63"/>
  <c r="I155" i="63"/>
  <c r="H155" i="63"/>
  <c r="R133" i="63"/>
  <c r="D75" i="97" s="1"/>
  <c r="L101" i="63"/>
  <c r="R132" i="63"/>
  <c r="L100" i="63"/>
  <c r="R131" i="63"/>
  <c r="L99" i="63"/>
  <c r="L98" i="63"/>
  <c r="I151" i="63"/>
  <c r="L97" i="63"/>
  <c r="D618" i="65" s="1"/>
  <c r="I150" i="63"/>
  <c r="AB47" i="63"/>
  <c r="AA47" i="63"/>
  <c r="L96" i="63"/>
  <c r="L95" i="63"/>
  <c r="R117" i="63"/>
  <c r="D212" i="69" s="1"/>
  <c r="L92" i="63"/>
  <c r="R116" i="63"/>
  <c r="L91" i="63"/>
  <c r="I129" i="63"/>
  <c r="R115" i="63"/>
  <c r="L90" i="63"/>
  <c r="I128" i="63"/>
  <c r="D203" i="68" s="1"/>
  <c r="L89" i="63"/>
  <c r="D395" i="65" s="1"/>
  <c r="I127" i="63"/>
  <c r="L88" i="63"/>
  <c r="F21" i="63"/>
  <c r="D589" i="65" s="1"/>
  <c r="I126" i="63"/>
  <c r="R109" i="63"/>
  <c r="L87" i="63"/>
  <c r="F20" i="63"/>
  <c r="D573" i="65" s="1"/>
  <c r="I125" i="63"/>
  <c r="D202" i="68" s="1"/>
  <c r="R107" i="63"/>
  <c r="F19" i="63"/>
  <c r="I124" i="63"/>
  <c r="R106" i="63"/>
  <c r="F18" i="63"/>
  <c r="D626" i="65" s="1"/>
  <c r="F17" i="63"/>
  <c r="I122" i="63"/>
  <c r="L85" i="63"/>
  <c r="F16" i="63"/>
  <c r="R104" i="63"/>
  <c r="L84" i="63"/>
  <c r="D517" i="65" s="1"/>
  <c r="F15" i="63"/>
  <c r="R103" i="63"/>
  <c r="L83" i="63"/>
  <c r="D43" i="65"/>
  <c r="AB42" i="63"/>
  <c r="R102" i="63"/>
  <c r="L82" i="63"/>
  <c r="D677" i="75"/>
  <c r="I118" i="63"/>
  <c r="L81" i="63"/>
  <c r="O146" i="63"/>
  <c r="I117" i="63"/>
  <c r="D82" i="69"/>
  <c r="L80" i="63"/>
  <c r="O145" i="63"/>
  <c r="D674" i="75"/>
  <c r="D64" i="69"/>
  <c r="L79" i="63"/>
  <c r="R98" i="63"/>
  <c r="L78" i="63"/>
  <c r="D3" i="99" s="1"/>
  <c r="D671" i="75"/>
  <c r="I193" i="63"/>
  <c r="L77" i="63"/>
  <c r="D26" i="65" s="1"/>
  <c r="O141" i="63"/>
  <c r="L76" i="63"/>
  <c r="D25" i="65" s="1"/>
  <c r="O140" i="63"/>
  <c r="L75" i="63"/>
  <c r="I146" i="63"/>
  <c r="R90" i="63"/>
  <c r="I145" i="63"/>
  <c r="R89" i="63"/>
  <c r="I144" i="63"/>
  <c r="I107" i="63"/>
  <c r="I143" i="63"/>
  <c r="C228" i="63"/>
  <c r="D461" i="62" s="1"/>
  <c r="I142" i="63"/>
  <c r="C223" i="63"/>
  <c r="C227" i="63"/>
  <c r="AB37" i="63"/>
  <c r="I141" i="63"/>
  <c r="C222" i="63"/>
  <c r="C221" i="63"/>
  <c r="O68" i="63"/>
  <c r="O75" i="63" s="1"/>
  <c r="I103" i="63"/>
  <c r="D121" i="64" s="1"/>
  <c r="I140" i="63"/>
  <c r="C220" i="63"/>
  <c r="O67" i="63"/>
  <c r="O74" i="63" s="1"/>
  <c r="I102" i="63"/>
  <c r="I139" i="63"/>
  <c r="O66" i="63"/>
  <c r="D339" i="75"/>
  <c r="I138" i="63"/>
  <c r="O65" i="63"/>
  <c r="I137" i="63"/>
  <c r="D336" i="75"/>
  <c r="I136" i="63"/>
  <c r="I98" i="63"/>
  <c r="I135" i="63"/>
  <c r="C215" i="63"/>
  <c r="D462" i="62" s="1"/>
  <c r="D333" i="75"/>
  <c r="I97" i="63"/>
  <c r="AB33" i="63"/>
  <c r="I134" i="63"/>
  <c r="C214" i="63"/>
  <c r="D453" i="62" s="1"/>
  <c r="O89" i="63"/>
  <c r="O96" i="63" s="1"/>
  <c r="I133" i="63"/>
  <c r="C213" i="63"/>
  <c r="D452" i="62" s="1"/>
  <c r="O88" i="63"/>
  <c r="O95" i="63" s="1"/>
  <c r="D330" i="75"/>
  <c r="C212" i="63"/>
  <c r="D451" i="62" s="1"/>
  <c r="O87" i="63"/>
  <c r="C211" i="63"/>
  <c r="D450" i="62" s="1"/>
  <c r="O86" i="63"/>
  <c r="I93" i="63"/>
  <c r="I92" i="63"/>
  <c r="D81" i="68"/>
  <c r="D80" i="68"/>
  <c r="D77" i="68"/>
  <c r="O114" i="63"/>
  <c r="O113" i="63"/>
  <c r="O112" i="63"/>
  <c r="I13" i="63"/>
  <c r="D47" i="68" s="1"/>
  <c r="D513" i="65"/>
  <c r="D92" i="65"/>
  <c r="X80" i="63"/>
  <c r="O111" i="63"/>
  <c r="I12" i="63"/>
  <c r="D97" i="99" s="1"/>
  <c r="O110" i="63"/>
  <c r="I11" i="63"/>
  <c r="D87" i="99" s="1"/>
  <c r="O109" i="63"/>
  <c r="I10" i="63"/>
  <c r="D190" i="99" s="1"/>
  <c r="AB29" i="63"/>
  <c r="L62" i="63"/>
  <c r="D205" i="62" s="1"/>
  <c r="I9" i="63"/>
  <c r="D36" i="99" s="1"/>
  <c r="R50" i="63"/>
  <c r="D47" i="95" s="1"/>
  <c r="L61" i="63"/>
  <c r="D204" i="62" s="1"/>
  <c r="A18" i="74"/>
  <c r="L60" i="63"/>
  <c r="L59" i="63"/>
  <c r="O28" i="63"/>
  <c r="R46" i="63"/>
  <c r="L58" i="63"/>
  <c r="O27" i="63"/>
  <c r="O35" i="63" s="1"/>
  <c r="D188" i="69" s="1"/>
  <c r="A168" i="74"/>
  <c r="D485" i="62"/>
  <c r="L57" i="63"/>
  <c r="O26" i="63"/>
  <c r="O34" i="63" s="1"/>
  <c r="D187" i="69" s="1"/>
  <c r="A167" i="74"/>
  <c r="U76" i="63"/>
  <c r="D484" i="62"/>
  <c r="D354" i="62"/>
  <c r="R44" i="63"/>
  <c r="X71" i="63"/>
  <c r="L56" i="63"/>
  <c r="O25" i="63"/>
  <c r="A126" i="74"/>
  <c r="D481" i="62"/>
  <c r="R43" i="63"/>
  <c r="L55" i="63"/>
  <c r="O24" i="63"/>
  <c r="A125" i="74"/>
  <c r="D480" i="62"/>
  <c r="D350" i="62"/>
  <c r="R39" i="63"/>
  <c r="L54" i="63"/>
  <c r="A121" i="74"/>
  <c r="D477" i="62"/>
  <c r="R38" i="63"/>
  <c r="L53" i="63"/>
  <c r="A120" i="74"/>
  <c r="U72" i="63"/>
  <c r="D478" i="65" s="1"/>
  <c r="D476" i="62"/>
  <c r="R37" i="63"/>
  <c r="L52" i="63"/>
  <c r="R36" i="63"/>
  <c r="L51" i="63"/>
  <c r="O8" i="63"/>
  <c r="R32" i="63"/>
  <c r="L50" i="63"/>
  <c r="D376" i="65" s="1"/>
  <c r="R31" i="63"/>
  <c r="L49" i="63"/>
  <c r="U68" i="63"/>
  <c r="D515" i="65" s="1"/>
  <c r="R30" i="63"/>
  <c r="L48" i="63"/>
  <c r="F206" i="63"/>
  <c r="F205" i="63"/>
  <c r="F69" i="63" s="1"/>
  <c r="D471" i="65" s="1"/>
  <c r="U64" i="63"/>
  <c r="X58" i="63"/>
  <c r="D691" i="62"/>
  <c r="A109" i="74"/>
  <c r="U60" i="63"/>
  <c r="A116" i="74"/>
  <c r="AB25" i="63"/>
  <c r="A102" i="74"/>
  <c r="C24" i="63"/>
  <c r="D534" i="62" s="1"/>
  <c r="R15" i="63"/>
  <c r="X53" i="63"/>
  <c r="C23" i="63"/>
  <c r="D518" i="62" s="1"/>
  <c r="X52" i="63"/>
  <c r="C22" i="63"/>
  <c r="D548" i="62" s="1"/>
  <c r="U56" i="63"/>
  <c r="L34" i="63"/>
  <c r="A66" i="74" s="1"/>
  <c r="C21" i="63"/>
  <c r="D571" i="62" s="1"/>
  <c r="F58" i="63"/>
  <c r="D429" i="65" s="1"/>
  <c r="C20" i="63"/>
  <c r="A155" i="74" s="1"/>
  <c r="X49" i="63"/>
  <c r="C83" i="63"/>
  <c r="D192" i="62" s="1"/>
  <c r="F57" i="63"/>
  <c r="C19" i="63"/>
  <c r="A153" i="74" s="1"/>
  <c r="X48" i="63"/>
  <c r="C82" i="63"/>
  <c r="D191" i="62" s="1"/>
  <c r="F37" i="63"/>
  <c r="F56" i="63" s="1"/>
  <c r="C18" i="63"/>
  <c r="A151" i="74" s="1"/>
  <c r="U52" i="63"/>
  <c r="D423" i="62" s="1"/>
  <c r="X47" i="63"/>
  <c r="D477" i="65" s="1"/>
  <c r="C81" i="63"/>
  <c r="D190" i="62" s="1"/>
  <c r="F36" i="63"/>
  <c r="F55" i="63" s="1"/>
  <c r="C17" i="63"/>
  <c r="A149" i="74" s="1"/>
  <c r="X46" i="63"/>
  <c r="C80" i="63"/>
  <c r="D189" i="62" s="1"/>
  <c r="F35" i="63"/>
  <c r="F54" i="63" s="1"/>
  <c r="D326" i="75"/>
  <c r="X45" i="63"/>
  <c r="C79" i="63"/>
  <c r="A81" i="74" s="1"/>
  <c r="F34" i="63"/>
  <c r="A63" i="74"/>
  <c r="A170" i="74"/>
  <c r="X44" i="63"/>
  <c r="C78" i="63"/>
  <c r="F33" i="63"/>
  <c r="D323" i="75"/>
  <c r="U48" i="63"/>
  <c r="D460" i="62" s="1"/>
  <c r="A107" i="74"/>
  <c r="X43" i="63"/>
  <c r="C77" i="63"/>
  <c r="D43" i="97" s="1"/>
  <c r="F32" i="63"/>
  <c r="A61" i="74"/>
  <c r="A114" i="74"/>
  <c r="X42" i="63"/>
  <c r="C114" i="63"/>
  <c r="F31" i="63"/>
  <c r="D93" i="99" s="1"/>
  <c r="D320" i="75"/>
  <c r="AB21" i="63"/>
  <c r="D21" i="82"/>
  <c r="X41" i="63"/>
  <c r="D422" i="62" s="1"/>
  <c r="C112" i="63"/>
  <c r="A59" i="74"/>
  <c r="X40" i="63"/>
  <c r="L33" i="63"/>
  <c r="D317" i="75"/>
  <c r="U44" i="63"/>
  <c r="D419" i="62" s="1"/>
  <c r="L32" i="63"/>
  <c r="A57" i="74"/>
  <c r="L31" i="63"/>
  <c r="D704" i="62" s="1"/>
  <c r="C16" i="63"/>
  <c r="A30" i="74" s="1"/>
  <c r="L30" i="63"/>
  <c r="D609" i="62" s="1"/>
  <c r="C15" i="63"/>
  <c r="A22" i="74" s="1"/>
  <c r="I56" i="63"/>
  <c r="L29" i="63"/>
  <c r="D626" i="62" s="1"/>
  <c r="F29" i="63"/>
  <c r="C13" i="63"/>
  <c r="D78" i="62" s="1"/>
  <c r="U40" i="63"/>
  <c r="I55" i="63"/>
  <c r="D475" i="65" s="1"/>
  <c r="L28" i="63"/>
  <c r="D665" i="62" s="1"/>
  <c r="I54" i="63" a="1"/>
  <c r="I54" i="63" s="1"/>
  <c r="L27" i="63"/>
  <c r="D604" i="62" s="1"/>
  <c r="I53" i="63"/>
  <c r="I52" i="63"/>
  <c r="D14" i="64" s="1"/>
  <c r="L26" i="63"/>
  <c r="D590" i="62" s="1"/>
  <c r="C207" i="63"/>
  <c r="C73" i="63" s="1"/>
  <c r="I88" i="63"/>
  <c r="U36" i="63"/>
  <c r="A169" i="74"/>
  <c r="I51" i="63"/>
  <c r="D13" i="64" s="1"/>
  <c r="L25" i="63"/>
  <c r="D563" i="62" s="1"/>
  <c r="C206" i="63"/>
  <c r="C72" i="63" s="1"/>
  <c r="I87" i="63"/>
  <c r="A106" i="74"/>
  <c r="I50" i="63"/>
  <c r="L24" i="63"/>
  <c r="D549" i="62" s="1"/>
  <c r="I86" i="63"/>
  <c r="D156" i="99" s="1"/>
  <c r="A113" i="74"/>
  <c r="I48" i="63"/>
  <c r="L23" i="63"/>
  <c r="D558" i="62" s="1"/>
  <c r="AB17" i="63"/>
  <c r="I47" i="63"/>
  <c r="L22" i="63"/>
  <c r="D649" i="62" s="1"/>
  <c r="U32" i="63"/>
  <c r="I41" i="63"/>
  <c r="L21" i="63"/>
  <c r="D301" i="62" s="1"/>
  <c r="I40" i="63"/>
  <c r="D172" i="99" s="1"/>
  <c r="D157" i="62"/>
  <c r="I82" i="63"/>
  <c r="I39" i="63"/>
  <c r="A166" i="74"/>
  <c r="I81" i="63"/>
  <c r="I38" i="63"/>
  <c r="D532" i="62" s="1"/>
  <c r="L20" i="63"/>
  <c r="D314" i="62" s="1"/>
  <c r="I80" i="63"/>
  <c r="U28" i="63"/>
  <c r="I37" i="63"/>
  <c r="D499" i="62" s="1"/>
  <c r="L19" i="63"/>
  <c r="D303" i="62" s="1"/>
  <c r="I79" i="63"/>
  <c r="I36" i="63"/>
  <c r="D514" i="62" s="1"/>
  <c r="L18" i="63"/>
  <c r="I78" i="63"/>
  <c r="I35" i="63"/>
  <c r="D63" i="97" s="1"/>
  <c r="L17" i="63"/>
  <c r="I77" i="63"/>
  <c r="I34" i="63"/>
  <c r="D62" i="97" s="1"/>
  <c r="C64" i="63"/>
  <c r="I76" i="63"/>
  <c r="U24" i="63"/>
  <c r="I33" i="63"/>
  <c r="C100" i="63"/>
  <c r="D127" i="62" s="1"/>
  <c r="C63" i="63"/>
  <c r="I75" i="63"/>
  <c r="U23" i="63"/>
  <c r="I32" i="63"/>
  <c r="C99" i="63"/>
  <c r="D126" i="62" s="1"/>
  <c r="C43" i="63"/>
  <c r="C62" i="63" s="1"/>
  <c r="I74" i="63"/>
  <c r="I31" i="63"/>
  <c r="D94" i="62" s="1"/>
  <c r="C98" i="63"/>
  <c r="D125" i="62" s="1"/>
  <c r="C42" i="63"/>
  <c r="C61" i="63" s="1"/>
  <c r="I73" i="63"/>
  <c r="D68" i="64" s="1"/>
  <c r="I30" i="63"/>
  <c r="C94" i="63"/>
  <c r="A92" i="74" s="1"/>
  <c r="C41" i="63"/>
  <c r="C60" i="63" s="1"/>
  <c r="I72" i="63"/>
  <c r="D32" i="97" s="1"/>
  <c r="I29" i="63"/>
  <c r="C93" i="63"/>
  <c r="A91" i="74" s="1"/>
  <c r="C40" i="63"/>
  <c r="I71" i="63"/>
  <c r="U19" i="63"/>
  <c r="D123" i="83" s="1"/>
  <c r="AA10" i="63"/>
  <c r="D410" i="62" s="1"/>
  <c r="C92" i="63"/>
  <c r="C39" i="63"/>
  <c r="C58" i="63" s="1"/>
  <c r="D60" i="97" s="1"/>
  <c r="I70" i="63"/>
  <c r="U18" i="63"/>
  <c r="AA9" i="63"/>
  <c r="D404" i="62" s="1"/>
  <c r="I27" i="63"/>
  <c r="C38" i="63"/>
  <c r="C57" i="63" s="1"/>
  <c r="D59" i="97" s="1"/>
  <c r="I69" i="63"/>
  <c r="D482" i="65" s="1"/>
  <c r="I26" i="63"/>
  <c r="D15" i="62" s="1"/>
  <c r="L15" i="63"/>
  <c r="C37" i="63"/>
  <c r="C56" i="63" s="1"/>
  <c r="D58" i="97" s="1"/>
  <c r="I68" i="63"/>
  <c r="I25" i="63"/>
  <c r="A3" i="74"/>
  <c r="C36" i="63"/>
  <c r="L13" i="63"/>
  <c r="L12" i="63"/>
  <c r="I65" i="63"/>
  <c r="U13" i="63"/>
  <c r="D73" i="97" s="1"/>
  <c r="L11" i="63"/>
  <c r="D458" i="62"/>
  <c r="A159" i="74"/>
  <c r="I21" i="63"/>
  <c r="L10" i="63"/>
  <c r="I20" i="63"/>
  <c r="C35" i="63"/>
  <c r="D37" i="99" s="1"/>
  <c r="A115" i="74"/>
  <c r="I19" i="63"/>
  <c r="D232" i="62" s="1"/>
  <c r="L8" i="63"/>
  <c r="C34" i="63"/>
  <c r="D169" i="99" s="1"/>
  <c r="C9" i="63"/>
  <c r="D12" i="62" s="1"/>
  <c r="U9" i="63"/>
  <c r="D643" i="62" s="1"/>
  <c r="AB8" i="63"/>
  <c r="A101" i="74"/>
  <c r="I18" i="63" a="1"/>
  <c r="I18" i="63" s="1"/>
  <c r="A24" i="74"/>
  <c r="C32" i="63"/>
  <c r="C51" i="63" s="1"/>
  <c r="C8" i="63"/>
  <c r="D11" i="62" s="1"/>
  <c r="C7" i="63"/>
  <c r="D10" i="62" s="1"/>
  <c r="C258" i="70"/>
  <c r="C371" i="40"/>
  <c r="C32" i="64" s="1"/>
  <c r="L43" i="63"/>
  <c r="D97" i="97" s="1"/>
  <c r="C109" i="64"/>
  <c r="C57" i="82"/>
  <c r="J25" i="33"/>
  <c r="K24" i="33"/>
  <c r="J24" i="33"/>
  <c r="K23" i="33"/>
  <c r="J23" i="33"/>
  <c r="K19" i="33"/>
  <c r="J19" i="33"/>
  <c r="J18" i="33"/>
  <c r="R24" i="63" l="1"/>
  <c r="R29" i="63"/>
  <c r="X81" i="63"/>
  <c r="F132" i="30" s="1"/>
  <c r="D122" i="62"/>
  <c r="D46" i="99"/>
  <c r="A142" i="74"/>
  <c r="D99" i="99"/>
  <c r="D228" i="83"/>
  <c r="D155" i="99"/>
  <c r="D60" i="99"/>
  <c r="D56" i="99"/>
  <c r="D38" i="99"/>
  <c r="D46" i="97"/>
  <c r="A4" i="74"/>
  <c r="D37" i="97"/>
  <c r="D162" i="99"/>
  <c r="D33" i="97"/>
  <c r="D158" i="99"/>
  <c r="D31" i="97"/>
  <c r="D98" i="82"/>
  <c r="D167" i="99"/>
  <c r="D39" i="99"/>
  <c r="D42" i="97"/>
  <c r="D10" i="99"/>
  <c r="D24" i="99"/>
  <c r="D17" i="99"/>
  <c r="D31" i="99"/>
  <c r="D89" i="97"/>
  <c r="D45" i="97"/>
  <c r="D185" i="99"/>
  <c r="A44" i="74"/>
  <c r="D53" i="97"/>
  <c r="D100" i="99"/>
  <c r="D101" i="99"/>
  <c r="A21" i="74"/>
  <c r="D178" i="99"/>
  <c r="D176" i="99"/>
  <c r="D44" i="97"/>
  <c r="D42" i="99"/>
  <c r="D215" i="83"/>
  <c r="R257" i="63"/>
  <c r="F55" i="71"/>
  <c r="F25" i="71"/>
  <c r="F43" i="71"/>
  <c r="F35" i="71"/>
  <c r="F7" i="71"/>
  <c r="F66" i="71"/>
  <c r="F49" i="71"/>
  <c r="F36" i="71"/>
  <c r="F11" i="71"/>
  <c r="F21" i="71"/>
  <c r="F12" i="71"/>
  <c r="F16" i="71"/>
  <c r="F26" i="71"/>
  <c r="F38" i="71"/>
  <c r="F50" i="71"/>
  <c r="F20" i="71"/>
  <c r="F57" i="71"/>
  <c r="F67" i="71"/>
  <c r="F48" i="71"/>
  <c r="F27" i="71"/>
  <c r="F22" i="71"/>
  <c r="F45" i="71"/>
  <c r="F30" i="71"/>
  <c r="F71" i="71"/>
  <c r="F31" i="71"/>
  <c r="F56" i="71"/>
  <c r="F17" i="71"/>
  <c r="F63" i="71"/>
  <c r="F39" i="71"/>
  <c r="F64" i="71"/>
  <c r="F51" i="71"/>
  <c r="F19" i="71"/>
  <c r="F37" i="71"/>
  <c r="F58" i="71"/>
  <c r="F68" i="71"/>
  <c r="F47" i="71"/>
  <c r="F28" i="71"/>
  <c r="F13" i="71"/>
  <c r="F8" i="71"/>
  <c r="F69" i="71"/>
  <c r="F46" i="71"/>
  <c r="F29" i="71"/>
  <c r="F14" i="71"/>
  <c r="F70" i="71"/>
  <c r="F15" i="71"/>
  <c r="F44" i="71"/>
  <c r="F40" i="71"/>
  <c r="F32" i="71"/>
  <c r="F52" i="71"/>
  <c r="F18" i="71"/>
  <c r="F9" i="71"/>
  <c r="F65" i="71"/>
  <c r="F10" i="71"/>
  <c r="F59" i="71"/>
  <c r="F60" i="71"/>
  <c r="F61" i="71"/>
  <c r="F62" i="71"/>
  <c r="D64" i="66"/>
  <c r="D63" i="66"/>
  <c r="D100" i="66"/>
  <c r="D32" i="66"/>
  <c r="D82" i="66"/>
  <c r="D71" i="66"/>
  <c r="D94" i="66"/>
  <c r="D88" i="66"/>
  <c r="D72" i="66"/>
  <c r="D38" i="66"/>
  <c r="C428" i="40"/>
  <c r="C64" i="69" s="1"/>
  <c r="D113" i="30"/>
  <c r="C426" i="40"/>
  <c r="D104" i="30"/>
  <c r="D101" i="30"/>
  <c r="D112" i="30"/>
  <c r="D103" i="30"/>
  <c r="C109" i="69" s="1"/>
  <c r="D102" i="30"/>
  <c r="C88" i="69" s="1"/>
  <c r="C565" i="56"/>
  <c r="F566" i="56"/>
  <c r="I566" i="56"/>
  <c r="M566" i="56"/>
  <c r="F1055" i="56"/>
  <c r="I1011" i="56"/>
  <c r="M1009" i="56"/>
  <c r="C964" i="56"/>
  <c r="I1004" i="56"/>
  <c r="F1048" i="56"/>
  <c r="M1002" i="56"/>
  <c r="C957" i="56"/>
  <c r="C966" i="56"/>
  <c r="I1013" i="56"/>
  <c r="F1057" i="56"/>
  <c r="M1011" i="56"/>
  <c r="F1037" i="56"/>
  <c r="M991" i="56"/>
  <c r="C946" i="56"/>
  <c r="I993" i="56"/>
  <c r="C955" i="56"/>
  <c r="F1046" i="56"/>
  <c r="M1000" i="56"/>
  <c r="I1002" i="56"/>
  <c r="F1039" i="56"/>
  <c r="C948" i="56"/>
  <c r="M993" i="56"/>
  <c r="I995" i="56"/>
  <c r="C563" i="56"/>
  <c r="I564" i="56"/>
  <c r="M564" i="56"/>
  <c r="F564" i="56"/>
  <c r="C975" i="56"/>
  <c r="I1022" i="56"/>
  <c r="M1020" i="56"/>
  <c r="F1066" i="56"/>
  <c r="V569" i="56"/>
  <c r="Q569" i="56"/>
  <c r="C579" i="56"/>
  <c r="I580" i="56"/>
  <c r="M580" i="56"/>
  <c r="F580" i="56"/>
  <c r="D73" i="83"/>
  <c r="D41" i="68"/>
  <c r="D79" i="70"/>
  <c r="D41" i="69"/>
  <c r="V575" i="56"/>
  <c r="Q575" i="56"/>
  <c r="Q574" i="56"/>
  <c r="V574" i="56"/>
  <c r="Q573" i="56"/>
  <c r="V573" i="56"/>
  <c r="Q563" i="56"/>
  <c r="V563" i="56"/>
  <c r="C572" i="56"/>
  <c r="M573" i="56"/>
  <c r="I573" i="56"/>
  <c r="F573" i="56"/>
  <c r="F584" i="56"/>
  <c r="C643" i="56"/>
  <c r="M614" i="56"/>
  <c r="M674" i="56"/>
  <c r="F704" i="56"/>
  <c r="C583" i="56"/>
  <c r="F624" i="56"/>
  <c r="C623" i="56"/>
  <c r="I614" i="56"/>
  <c r="F664" i="56"/>
  <c r="I674" i="56"/>
  <c r="M584" i="56"/>
  <c r="M644" i="56"/>
  <c r="I584" i="56"/>
  <c r="I644" i="56"/>
  <c r="C603" i="56"/>
  <c r="C712" i="56"/>
  <c r="C716" i="56"/>
  <c r="M563" i="56"/>
  <c r="M757" i="56"/>
  <c r="I743" i="56"/>
  <c r="M761" i="56"/>
  <c r="I563" i="56"/>
  <c r="I747" i="56"/>
  <c r="F563" i="56"/>
  <c r="F803" i="56"/>
  <c r="F807" i="56"/>
  <c r="C562" i="56"/>
  <c r="M705" i="56"/>
  <c r="I705" i="56"/>
  <c r="F745" i="56"/>
  <c r="C664" i="56"/>
  <c r="V576" i="56"/>
  <c r="Q576" i="56"/>
  <c r="D410" i="65"/>
  <c r="C10" i="90"/>
  <c r="C621" i="88"/>
  <c r="C322" i="88"/>
  <c r="C442" i="88"/>
  <c r="C561" i="88"/>
  <c r="C262" i="88"/>
  <c r="C382" i="88"/>
  <c r="C502" i="88"/>
  <c r="D30" i="95"/>
  <c r="D479" i="65"/>
  <c r="R49" i="63"/>
  <c r="D165" i="67" s="1"/>
  <c r="D31" i="95"/>
  <c r="D172" i="67"/>
  <c r="D49" i="95"/>
  <c r="D171" i="67"/>
  <c r="D48" i="95"/>
  <c r="D46" i="95"/>
  <c r="D24" i="95"/>
  <c r="D72" i="95"/>
  <c r="D253" i="62"/>
  <c r="D393" i="65"/>
  <c r="D250" i="62"/>
  <c r="D29" i="95"/>
  <c r="D44" i="95"/>
  <c r="D23" i="95"/>
  <c r="D43" i="95"/>
  <c r="D45" i="95"/>
  <c r="D262" i="62"/>
  <c r="D22" i="64"/>
  <c r="M20" i="92"/>
  <c r="C20" i="92"/>
  <c r="M251" i="92"/>
  <c r="C251" i="92"/>
  <c r="M218" i="92"/>
  <c r="C218" i="92"/>
  <c r="M185" i="92"/>
  <c r="C185" i="92"/>
  <c r="M152" i="92"/>
  <c r="C152" i="92"/>
  <c r="M119" i="92"/>
  <c r="C119" i="92"/>
  <c r="M86" i="92"/>
  <c r="C86" i="92"/>
  <c r="M53" i="92"/>
  <c r="C53" i="92"/>
  <c r="L119" i="92"/>
  <c r="L53" i="92"/>
  <c r="J152" i="92"/>
  <c r="L20" i="92"/>
  <c r="L251" i="92"/>
  <c r="L218" i="92"/>
  <c r="L185" i="92"/>
  <c r="L152" i="92"/>
  <c r="L86" i="92"/>
  <c r="K53" i="92"/>
  <c r="J119" i="92"/>
  <c r="P152" i="92"/>
  <c r="F86" i="92"/>
  <c r="K20" i="92"/>
  <c r="K251" i="92"/>
  <c r="K218" i="92"/>
  <c r="K185" i="92"/>
  <c r="K152" i="92"/>
  <c r="K119" i="92"/>
  <c r="K86" i="92"/>
  <c r="J86" i="92"/>
  <c r="J53" i="92"/>
  <c r="I251" i="92"/>
  <c r="I218" i="92"/>
  <c r="J20" i="92"/>
  <c r="J251" i="92"/>
  <c r="J218" i="92"/>
  <c r="J185" i="92"/>
  <c r="I20" i="92"/>
  <c r="I119" i="92"/>
  <c r="I53" i="92"/>
  <c r="F119" i="92"/>
  <c r="P86" i="92"/>
  <c r="P53" i="92"/>
  <c r="R20" i="92"/>
  <c r="H20" i="92"/>
  <c r="R251" i="92"/>
  <c r="H251" i="92"/>
  <c r="R218" i="92"/>
  <c r="H218" i="92"/>
  <c r="R185" i="92"/>
  <c r="H185" i="92"/>
  <c r="R152" i="92"/>
  <c r="H152" i="92"/>
  <c r="R119" i="92"/>
  <c r="H119" i="92"/>
  <c r="R86" i="92"/>
  <c r="H86" i="92"/>
  <c r="R53" i="92"/>
  <c r="H53" i="92"/>
  <c r="P20" i="92"/>
  <c r="P251" i="92"/>
  <c r="F218" i="92"/>
  <c r="P185" i="92"/>
  <c r="Q20" i="92"/>
  <c r="G20" i="92"/>
  <c r="Q251" i="92"/>
  <c r="G251" i="92"/>
  <c r="Q218" i="92"/>
  <c r="G218" i="92"/>
  <c r="Q185" i="92"/>
  <c r="G185" i="92"/>
  <c r="Q152" i="92"/>
  <c r="G152" i="92"/>
  <c r="Q119" i="92"/>
  <c r="G119" i="92"/>
  <c r="Q86" i="92"/>
  <c r="G86" i="92"/>
  <c r="Q53" i="92"/>
  <c r="G53" i="92"/>
  <c r="F20" i="92"/>
  <c r="F251" i="92"/>
  <c r="P218" i="92"/>
  <c r="F185" i="92"/>
  <c r="F53" i="92"/>
  <c r="O20" i="92"/>
  <c r="E20" i="92"/>
  <c r="O251" i="92"/>
  <c r="E251" i="92"/>
  <c r="O218" i="92"/>
  <c r="E218" i="92"/>
  <c r="O185" i="92"/>
  <c r="E185" i="92"/>
  <c r="O152" i="92"/>
  <c r="E152" i="92"/>
  <c r="O119" i="92"/>
  <c r="E119" i="92"/>
  <c r="O86" i="92"/>
  <c r="E86" i="92"/>
  <c r="O53" i="92"/>
  <c r="E53" i="92"/>
  <c r="N53" i="92"/>
  <c r="I185" i="92"/>
  <c r="I86" i="92"/>
  <c r="P119" i="92"/>
  <c r="N20" i="92"/>
  <c r="D20" i="92"/>
  <c r="N251" i="92"/>
  <c r="D251" i="92"/>
  <c r="N218" i="92"/>
  <c r="D218" i="92"/>
  <c r="N185" i="92"/>
  <c r="D185" i="92"/>
  <c r="N152" i="92"/>
  <c r="D152" i="92"/>
  <c r="N119" i="92"/>
  <c r="D119" i="92"/>
  <c r="N86" i="92"/>
  <c r="D86" i="92"/>
  <c r="D53" i="92"/>
  <c r="I152" i="92"/>
  <c r="F152" i="92"/>
  <c r="F51" i="63"/>
  <c r="D45" i="65"/>
  <c r="Q21" i="92"/>
  <c r="G21" i="92"/>
  <c r="Q252" i="92"/>
  <c r="G252" i="92"/>
  <c r="Q219" i="92"/>
  <c r="G219" i="92"/>
  <c r="Q186" i="92"/>
  <c r="G186" i="92"/>
  <c r="Q153" i="92"/>
  <c r="G153" i="92"/>
  <c r="Q120" i="92"/>
  <c r="G120" i="92"/>
  <c r="Q87" i="92"/>
  <c r="G87" i="92"/>
  <c r="Q54" i="92"/>
  <c r="G54" i="92"/>
  <c r="P120" i="92"/>
  <c r="F120" i="92"/>
  <c r="F87" i="92"/>
  <c r="P54" i="92"/>
  <c r="F54" i="92"/>
  <c r="O54" i="92"/>
  <c r="D87" i="92"/>
  <c r="C21" i="92"/>
  <c r="C252" i="92"/>
  <c r="M219" i="92"/>
  <c r="C219" i="92"/>
  <c r="M186" i="92"/>
  <c r="C186" i="92"/>
  <c r="M120" i="92"/>
  <c r="C87" i="92"/>
  <c r="P21" i="92"/>
  <c r="F21" i="92"/>
  <c r="P252" i="92"/>
  <c r="F252" i="92"/>
  <c r="P219" i="92"/>
  <c r="F219" i="92"/>
  <c r="P186" i="92"/>
  <c r="F186" i="92"/>
  <c r="P153" i="92"/>
  <c r="F153" i="92"/>
  <c r="P87" i="92"/>
  <c r="E87" i="92"/>
  <c r="N120" i="92"/>
  <c r="N87" i="92"/>
  <c r="N54" i="92"/>
  <c r="M87" i="92"/>
  <c r="C54" i="92"/>
  <c r="O21" i="92"/>
  <c r="E21" i="92"/>
  <c r="O252" i="92"/>
  <c r="E252" i="92"/>
  <c r="O219" i="92"/>
  <c r="E219" i="92"/>
  <c r="O186" i="92"/>
  <c r="E186" i="92"/>
  <c r="O153" i="92"/>
  <c r="E153" i="92"/>
  <c r="O120" i="92"/>
  <c r="E120" i="92"/>
  <c r="O87" i="92"/>
  <c r="E54" i="92"/>
  <c r="M21" i="92"/>
  <c r="M252" i="92"/>
  <c r="M153" i="92"/>
  <c r="J120" i="92"/>
  <c r="N21" i="92"/>
  <c r="D21" i="92"/>
  <c r="N252" i="92"/>
  <c r="D252" i="92"/>
  <c r="N219" i="92"/>
  <c r="D219" i="92"/>
  <c r="N186" i="92"/>
  <c r="D186" i="92"/>
  <c r="N153" i="92"/>
  <c r="D153" i="92"/>
  <c r="D120" i="92"/>
  <c r="D54" i="92"/>
  <c r="C153" i="92"/>
  <c r="L21" i="92"/>
  <c r="L252" i="92"/>
  <c r="L219" i="92"/>
  <c r="L186" i="92"/>
  <c r="L153" i="92"/>
  <c r="L120" i="92"/>
  <c r="L87" i="92"/>
  <c r="L54" i="92"/>
  <c r="J21" i="92"/>
  <c r="J219" i="92"/>
  <c r="K21" i="92"/>
  <c r="K252" i="92"/>
  <c r="K219" i="92"/>
  <c r="K186" i="92"/>
  <c r="K153" i="92"/>
  <c r="K120" i="92"/>
  <c r="K87" i="92"/>
  <c r="K54" i="92"/>
  <c r="J252" i="92"/>
  <c r="J186" i="92"/>
  <c r="J153" i="92"/>
  <c r="J87" i="92"/>
  <c r="I21" i="92"/>
  <c r="I252" i="92"/>
  <c r="I219" i="92"/>
  <c r="I186" i="92"/>
  <c r="I153" i="92"/>
  <c r="I120" i="92"/>
  <c r="I87" i="92"/>
  <c r="I54" i="92"/>
  <c r="R54" i="92"/>
  <c r="R21" i="92"/>
  <c r="H21" i="92"/>
  <c r="R252" i="92"/>
  <c r="H252" i="92"/>
  <c r="R219" i="92"/>
  <c r="H219" i="92"/>
  <c r="R186" i="92"/>
  <c r="H186" i="92"/>
  <c r="R153" i="92"/>
  <c r="H153" i="92"/>
  <c r="R120" i="92"/>
  <c r="H120" i="92"/>
  <c r="R87" i="92"/>
  <c r="H87" i="92"/>
  <c r="H54" i="92"/>
  <c r="C120" i="92"/>
  <c r="M54" i="92"/>
  <c r="J54" i="92"/>
  <c r="L74" i="63"/>
  <c r="D18" i="65" s="1"/>
  <c r="F52" i="63"/>
  <c r="K25" i="92" a="1"/>
  <c r="K256" i="92" a="1"/>
  <c r="K223" i="92" a="1"/>
  <c r="K190" i="92" a="1"/>
  <c r="K157" i="92" a="1"/>
  <c r="K124" i="92" a="1"/>
  <c r="K91" i="92" a="1"/>
  <c r="K58" i="92" a="1"/>
  <c r="J157" i="92" a="1"/>
  <c r="J91" i="92" a="1"/>
  <c r="I91" i="92" a="1"/>
  <c r="R58" i="92" a="1"/>
  <c r="Q256" i="92" a="1"/>
  <c r="Q157" i="92" a="1"/>
  <c r="Q58" i="92" a="1"/>
  <c r="D124" i="92" a="1"/>
  <c r="N58" i="92" a="1"/>
  <c r="J25" i="92" a="1"/>
  <c r="J256" i="92" a="1"/>
  <c r="J223" i="92" a="1"/>
  <c r="J190" i="92" a="1"/>
  <c r="J124" i="92" a="1"/>
  <c r="J58" i="92" a="1"/>
  <c r="G25" i="92" a="1"/>
  <c r="G256" i="92" a="1"/>
  <c r="G223" i="92" a="1"/>
  <c r="Q190" i="92" a="1"/>
  <c r="G157" i="92" a="1"/>
  <c r="Q124" i="92" a="1"/>
  <c r="I25" i="92" a="1"/>
  <c r="I256" i="92" a="1"/>
  <c r="I223" i="92" a="1"/>
  <c r="I190" i="92" a="1"/>
  <c r="I157" i="92" a="1"/>
  <c r="I124" i="92" a="1"/>
  <c r="I58" i="92" a="1"/>
  <c r="H124" i="92" a="1"/>
  <c r="R91" i="92" a="1"/>
  <c r="H58" i="92" a="1"/>
  <c r="Q223" i="92" a="1"/>
  <c r="G190" i="92" a="1"/>
  <c r="G124" i="92" a="1"/>
  <c r="G91" i="92" a="1"/>
  <c r="G58" i="92" a="1"/>
  <c r="R25" i="92" a="1"/>
  <c r="H25" i="92" a="1"/>
  <c r="R256" i="92" a="1"/>
  <c r="H256" i="92" a="1"/>
  <c r="R223" i="92" a="1"/>
  <c r="H223" i="92" a="1"/>
  <c r="R190" i="92" a="1"/>
  <c r="H190" i="92" a="1"/>
  <c r="R157" i="92" a="1"/>
  <c r="H157" i="92" a="1"/>
  <c r="R124" i="92" a="1"/>
  <c r="H91" i="92" a="1"/>
  <c r="Q25" i="92" a="1"/>
  <c r="P25" i="92" a="1"/>
  <c r="F25" i="92" a="1"/>
  <c r="P256" i="92" a="1"/>
  <c r="F256" i="92" a="1"/>
  <c r="P223" i="92" a="1"/>
  <c r="F223" i="92" a="1"/>
  <c r="P190" i="92" a="1"/>
  <c r="F190" i="92" a="1"/>
  <c r="P157" i="92" a="1"/>
  <c r="F157" i="92" a="1"/>
  <c r="P124" i="92" a="1"/>
  <c r="F124" i="92" a="1"/>
  <c r="P91" i="92" a="1"/>
  <c r="F91" i="92" a="1"/>
  <c r="P58" i="92" a="1"/>
  <c r="F58" i="92" a="1"/>
  <c r="D256" i="92" a="1"/>
  <c r="N223" i="92" a="1"/>
  <c r="D190" i="92" a="1"/>
  <c r="D157" i="92" a="1"/>
  <c r="N124" i="92" a="1"/>
  <c r="N91" i="92" a="1"/>
  <c r="O25" i="92" a="1"/>
  <c r="E25" i="92" a="1"/>
  <c r="O256" i="92" a="1"/>
  <c r="E256" i="92" a="1"/>
  <c r="O223" i="92" a="1"/>
  <c r="E223" i="92" a="1"/>
  <c r="O190" i="92" a="1"/>
  <c r="E190" i="92" a="1"/>
  <c r="O157" i="92" a="1"/>
  <c r="E157" i="92" a="1"/>
  <c r="O124" i="92" a="1"/>
  <c r="E124" i="92" a="1"/>
  <c r="O91" i="92" a="1"/>
  <c r="E91" i="92" a="1"/>
  <c r="O58" i="92" a="1"/>
  <c r="E58" i="92" a="1"/>
  <c r="D25" i="92" a="1"/>
  <c r="N256" i="92" a="1"/>
  <c r="D223" i="92" a="1"/>
  <c r="N190" i="92" a="1"/>
  <c r="N157" i="92" a="1"/>
  <c r="N25" i="92" a="1"/>
  <c r="M25" i="92" a="1"/>
  <c r="C25" i="92" a="1"/>
  <c r="M256" i="92" a="1"/>
  <c r="C256" i="92" a="1"/>
  <c r="M223" i="92" a="1"/>
  <c r="C223" i="92" a="1"/>
  <c r="M190" i="92" a="1"/>
  <c r="C190" i="92" a="1"/>
  <c r="M157" i="92" a="1"/>
  <c r="C157" i="92" a="1"/>
  <c r="M124" i="92" a="1"/>
  <c r="C124" i="92" a="1"/>
  <c r="M91" i="92" a="1"/>
  <c r="C91" i="92" a="1"/>
  <c r="M58" i="92" a="1"/>
  <c r="C58" i="92" a="1"/>
  <c r="D91" i="92" a="1"/>
  <c r="D58" i="92" a="1"/>
  <c r="L25" i="92" a="1"/>
  <c r="L256" i="92" a="1"/>
  <c r="L223" i="92" a="1"/>
  <c r="L190" i="92" a="1"/>
  <c r="L157" i="92" a="1"/>
  <c r="L124" i="92" a="1"/>
  <c r="L91" i="92" a="1"/>
  <c r="L58" i="92" a="1"/>
  <c r="Q91" i="92" a="1"/>
  <c r="C164" i="90"/>
  <c r="C328" i="90"/>
  <c r="C296" i="90"/>
  <c r="C263" i="90"/>
  <c r="C230" i="90"/>
  <c r="C197" i="90"/>
  <c r="C131" i="90"/>
  <c r="C72" i="90"/>
  <c r="C211" i="40"/>
  <c r="C364" i="88"/>
  <c r="C369" i="88"/>
  <c r="C374" i="88"/>
  <c r="C365" i="88"/>
  <c r="C370" i="88"/>
  <c r="C375" i="88"/>
  <c r="C366" i="88"/>
  <c r="C371" i="88"/>
  <c r="C376" i="88"/>
  <c r="C362" i="88"/>
  <c r="C367" i="88"/>
  <c r="C372" i="88"/>
  <c r="C377" i="88"/>
  <c r="C363" i="88"/>
  <c r="C368" i="88"/>
  <c r="C373" i="88"/>
  <c r="D47" i="65"/>
  <c r="D49" i="65"/>
  <c r="D401" i="65"/>
  <c r="D9" i="92"/>
  <c r="J42" i="92"/>
  <c r="P15" i="92"/>
  <c r="F15" i="92"/>
  <c r="L273" i="92"/>
  <c r="R246" i="92"/>
  <c r="H246" i="92"/>
  <c r="N240" i="92"/>
  <c r="D240" i="92"/>
  <c r="J213" i="92"/>
  <c r="P207" i="92"/>
  <c r="F207" i="92"/>
  <c r="L180" i="92"/>
  <c r="R174" i="92"/>
  <c r="H174" i="92"/>
  <c r="N147" i="92"/>
  <c r="D147" i="92"/>
  <c r="J141" i="92"/>
  <c r="P114" i="92"/>
  <c r="F114" i="92"/>
  <c r="L108" i="92"/>
  <c r="R81" i="92"/>
  <c r="H81" i="92"/>
  <c r="N75" i="92"/>
  <c r="D75" i="92"/>
  <c r="J48" i="92"/>
  <c r="G81" i="92"/>
  <c r="M75" i="92"/>
  <c r="I48" i="92"/>
  <c r="R48" i="92"/>
  <c r="F141" i="92"/>
  <c r="J75" i="92"/>
  <c r="E42" i="92"/>
  <c r="L48" i="92"/>
  <c r="I42" i="92"/>
  <c r="O15" i="92"/>
  <c r="E15" i="92"/>
  <c r="K273" i="92"/>
  <c r="Q246" i="92"/>
  <c r="G246" i="92"/>
  <c r="M240" i="92"/>
  <c r="C240" i="92"/>
  <c r="I213" i="92"/>
  <c r="O207" i="92"/>
  <c r="E207" i="92"/>
  <c r="K180" i="92"/>
  <c r="Q174" i="92"/>
  <c r="G174" i="92"/>
  <c r="M147" i="92"/>
  <c r="C147" i="92"/>
  <c r="I141" i="92"/>
  <c r="O114" i="92"/>
  <c r="E114" i="92"/>
  <c r="K108" i="92"/>
  <c r="Q81" i="92"/>
  <c r="C75" i="92"/>
  <c r="N81" i="92"/>
  <c r="F48" i="92"/>
  <c r="C174" i="92"/>
  <c r="R42" i="92"/>
  <c r="H42" i="92"/>
  <c r="N15" i="92"/>
  <c r="D15" i="92"/>
  <c r="J273" i="92"/>
  <c r="P246" i="92"/>
  <c r="F246" i="92"/>
  <c r="L240" i="92"/>
  <c r="R213" i="92"/>
  <c r="H213" i="92"/>
  <c r="N207" i="92"/>
  <c r="D207" i="92"/>
  <c r="J180" i="92"/>
  <c r="P174" i="92"/>
  <c r="F174" i="92"/>
  <c r="L147" i="92"/>
  <c r="R141" i="92"/>
  <c r="H141" i="92"/>
  <c r="N114" i="92"/>
  <c r="D114" i="92"/>
  <c r="J108" i="92"/>
  <c r="P81" i="92"/>
  <c r="F81" i="92"/>
  <c r="L75" i="92"/>
  <c r="H48" i="92"/>
  <c r="R108" i="92"/>
  <c r="D81" i="92"/>
  <c r="I75" i="92"/>
  <c r="C48" i="92"/>
  <c r="Q42" i="92"/>
  <c r="G42" i="92"/>
  <c r="M15" i="92"/>
  <c r="C15" i="92"/>
  <c r="I273" i="92"/>
  <c r="O246" i="92"/>
  <c r="E246" i="92"/>
  <c r="K240" i="92"/>
  <c r="Q213" i="92"/>
  <c r="G213" i="92"/>
  <c r="M207" i="92"/>
  <c r="C207" i="92"/>
  <c r="I180" i="92"/>
  <c r="O174" i="92"/>
  <c r="E174" i="92"/>
  <c r="K147" i="92"/>
  <c r="Q141" i="92"/>
  <c r="G141" i="92"/>
  <c r="M114" i="92"/>
  <c r="C114" i="92"/>
  <c r="I108" i="92"/>
  <c r="O81" i="92"/>
  <c r="E81" i="92"/>
  <c r="K75" i="92"/>
  <c r="Q48" i="92"/>
  <c r="G48" i="92"/>
  <c r="P42" i="92"/>
  <c r="F42" i="92"/>
  <c r="L15" i="92"/>
  <c r="R273" i="92"/>
  <c r="H273" i="92"/>
  <c r="N246" i="92"/>
  <c r="D246" i="92"/>
  <c r="J240" i="92"/>
  <c r="P213" i="92"/>
  <c r="F213" i="92"/>
  <c r="L207" i="92"/>
  <c r="R180" i="92"/>
  <c r="H180" i="92"/>
  <c r="D174" i="92"/>
  <c r="J147" i="92"/>
  <c r="P141" i="92"/>
  <c r="L114" i="92"/>
  <c r="Q273" i="92"/>
  <c r="M246" i="92"/>
  <c r="E213" i="92"/>
  <c r="M174" i="92"/>
  <c r="I147" i="92"/>
  <c r="E141" i="92"/>
  <c r="Q108" i="92"/>
  <c r="C81" i="92"/>
  <c r="E48" i="92"/>
  <c r="R75" i="92"/>
  <c r="N48" i="92"/>
  <c r="M48" i="92"/>
  <c r="N174" i="92"/>
  <c r="I240" i="92"/>
  <c r="O213" i="92"/>
  <c r="Q180" i="92"/>
  <c r="O141" i="92"/>
  <c r="K114" i="92"/>
  <c r="M81" i="92"/>
  <c r="O48" i="92"/>
  <c r="O42" i="92"/>
  <c r="K15" i="92"/>
  <c r="G273" i="92"/>
  <c r="C246" i="92"/>
  <c r="K207" i="92"/>
  <c r="G180" i="92"/>
  <c r="G108" i="92"/>
  <c r="H75" i="92"/>
  <c r="D48" i="92"/>
  <c r="N42" i="92"/>
  <c r="D42" i="92"/>
  <c r="J15" i="92"/>
  <c r="P273" i="92"/>
  <c r="F273" i="92"/>
  <c r="L246" i="92"/>
  <c r="R240" i="92"/>
  <c r="H240" i="92"/>
  <c r="N213" i="92"/>
  <c r="D213" i="92"/>
  <c r="J207" i="92"/>
  <c r="P180" i="92"/>
  <c r="F180" i="92"/>
  <c r="L174" i="92"/>
  <c r="R147" i="92"/>
  <c r="H147" i="92"/>
  <c r="N141" i="92"/>
  <c r="D141" i="92"/>
  <c r="J114" i="92"/>
  <c r="P108" i="92"/>
  <c r="F108" i="92"/>
  <c r="L81" i="92"/>
  <c r="M42" i="92"/>
  <c r="C42" i="92"/>
  <c r="I15" i="92"/>
  <c r="O273" i="92"/>
  <c r="E273" i="92"/>
  <c r="K246" i="92"/>
  <c r="Q240" i="92"/>
  <c r="G240" i="92"/>
  <c r="M213" i="92"/>
  <c r="C213" i="92"/>
  <c r="I207" i="92"/>
  <c r="O180" i="92"/>
  <c r="E180" i="92"/>
  <c r="K174" i="92"/>
  <c r="Q147" i="92"/>
  <c r="G147" i="92"/>
  <c r="M141" i="92"/>
  <c r="C141" i="92"/>
  <c r="I114" i="92"/>
  <c r="O108" i="92"/>
  <c r="E108" i="92"/>
  <c r="K81" i="92"/>
  <c r="Q75" i="92"/>
  <c r="G75" i="92"/>
  <c r="L42" i="92"/>
  <c r="R15" i="92"/>
  <c r="H15" i="92"/>
  <c r="N273" i="92"/>
  <c r="D273" i="92"/>
  <c r="J246" i="92"/>
  <c r="P240" i="92"/>
  <c r="F240" i="92"/>
  <c r="L213" i="92"/>
  <c r="R207" i="92"/>
  <c r="H207" i="92"/>
  <c r="N180" i="92"/>
  <c r="D180" i="92"/>
  <c r="J174" i="92"/>
  <c r="P147" i="92"/>
  <c r="F147" i="92"/>
  <c r="L141" i="92"/>
  <c r="R114" i="92"/>
  <c r="H114" i="92"/>
  <c r="N108" i="92"/>
  <c r="D108" i="92"/>
  <c r="J81" i="92"/>
  <c r="P75" i="92"/>
  <c r="F75" i="92"/>
  <c r="K42" i="92"/>
  <c r="Q15" i="92"/>
  <c r="G15" i="92"/>
  <c r="M273" i="92"/>
  <c r="C273" i="92"/>
  <c r="I246" i="92"/>
  <c r="O240" i="92"/>
  <c r="E240" i="92"/>
  <c r="K213" i="92"/>
  <c r="Q207" i="92"/>
  <c r="G207" i="92"/>
  <c r="M180" i="92"/>
  <c r="C180" i="92"/>
  <c r="I174" i="92"/>
  <c r="O147" i="92"/>
  <c r="E147" i="92"/>
  <c r="K141" i="92"/>
  <c r="Q114" i="92"/>
  <c r="G114" i="92"/>
  <c r="M108" i="92"/>
  <c r="C108" i="92"/>
  <c r="I81" i="92"/>
  <c r="O75" i="92"/>
  <c r="E75" i="92"/>
  <c r="K48" i="92"/>
  <c r="H108" i="92"/>
  <c r="P48" i="92"/>
  <c r="D403" i="65"/>
  <c r="D406" i="65"/>
  <c r="D402" i="65"/>
  <c r="D32" i="65"/>
  <c r="D417" i="65"/>
  <c r="D436" i="65"/>
  <c r="C258" i="40"/>
  <c r="C439" i="88"/>
  <c r="D474" i="65"/>
  <c r="D473" i="65"/>
  <c r="F70" i="63"/>
  <c r="D472" i="65"/>
  <c r="D480" i="65"/>
  <c r="D139" i="83"/>
  <c r="D135" i="83"/>
  <c r="D366" i="62"/>
  <c r="D122" i="83"/>
  <c r="D49" i="30"/>
  <c r="D72" i="30"/>
  <c r="R14" i="63"/>
  <c r="D50" i="66" s="1"/>
  <c r="X60" i="63"/>
  <c r="K38" i="33"/>
  <c r="J38" i="33"/>
  <c r="D298" i="62"/>
  <c r="D679" i="62"/>
  <c r="D676" i="62"/>
  <c r="D673" i="62"/>
  <c r="D667" i="62"/>
  <c r="D664" i="62"/>
  <c r="D661" i="62"/>
  <c r="D658" i="62"/>
  <c r="D670" i="62"/>
  <c r="C319" i="88"/>
  <c r="C618" i="88"/>
  <c r="C558" i="88"/>
  <c r="C499" i="88"/>
  <c r="C259" i="88"/>
  <c r="C379" i="88"/>
  <c r="D176" i="62"/>
  <c r="D311" i="65"/>
  <c r="D370" i="65"/>
  <c r="D100" i="65"/>
  <c r="D369" i="65"/>
  <c r="D310" i="65"/>
  <c r="D178" i="62"/>
  <c r="D102" i="65"/>
  <c r="C89" i="40"/>
  <c r="C111" i="62" s="1"/>
  <c r="C88" i="40"/>
  <c r="C110" i="62" s="1"/>
  <c r="C86" i="40"/>
  <c r="C87" i="40"/>
  <c r="C90" i="40"/>
  <c r="C91" i="40"/>
  <c r="D337" i="40"/>
  <c r="F178" i="63" s="1"/>
  <c r="C214" i="40"/>
  <c r="C288" i="90"/>
  <c r="C222" i="90"/>
  <c r="C123" i="90"/>
  <c r="C156" i="90"/>
  <c r="C189" i="90"/>
  <c r="C95" i="90"/>
  <c r="C38" i="90"/>
  <c r="C320" i="90"/>
  <c r="C255" i="90"/>
  <c r="C9" i="90"/>
  <c r="C64" i="90"/>
  <c r="D262" i="40"/>
  <c r="D713" i="65"/>
  <c r="D710" i="65"/>
  <c r="D728" i="65"/>
  <c r="D707" i="65"/>
  <c r="D725" i="65"/>
  <c r="D722" i="65"/>
  <c r="D719" i="65"/>
  <c r="D716" i="65"/>
  <c r="C69" i="90"/>
  <c r="C631" i="40"/>
  <c r="C153" i="85" s="1"/>
  <c r="C278" i="40"/>
  <c r="C250" i="40"/>
  <c r="C659" i="65" s="1"/>
  <c r="C630" i="40"/>
  <c r="C155" i="85" s="1"/>
  <c r="C277" i="40"/>
  <c r="C244" i="40"/>
  <c r="C650" i="65" s="1"/>
  <c r="C325" i="90"/>
  <c r="C650" i="40"/>
  <c r="C273" i="40"/>
  <c r="C62" i="65" s="1"/>
  <c r="C241" i="40"/>
  <c r="C293" i="90"/>
  <c r="C309" i="40"/>
  <c r="C240" i="40"/>
  <c r="C260" i="90"/>
  <c r="C572" i="40"/>
  <c r="C727" i="75" s="1"/>
  <c r="C237" i="40"/>
  <c r="C564" i="40"/>
  <c r="C609" i="75" s="1"/>
  <c r="C301" i="40"/>
  <c r="C236" i="40"/>
  <c r="C202" i="40"/>
  <c r="C265" i="40"/>
  <c r="C54" i="65" s="1"/>
  <c r="D146" i="30"/>
  <c r="C161" i="90"/>
  <c r="C340" i="40"/>
  <c r="C651" i="40"/>
  <c r="C167" i="85" s="1"/>
  <c r="C308" i="40"/>
  <c r="C271" i="40"/>
  <c r="C60" i="65" s="1"/>
  <c r="C498" i="40"/>
  <c r="C266" i="40"/>
  <c r="C55" i="65" s="1"/>
  <c r="C194" i="90"/>
  <c r="C128" i="90"/>
  <c r="C341" i="40"/>
  <c r="D144" i="30"/>
  <c r="C281" i="40"/>
  <c r="C272" i="40"/>
  <c r="C61" i="65" s="1"/>
  <c r="C227" i="90"/>
  <c r="C96" i="90"/>
  <c r="D132" i="30"/>
  <c r="C333" i="40"/>
  <c r="C200" i="40"/>
  <c r="C251" i="40"/>
  <c r="C738" i="65" s="1"/>
  <c r="D521" i="88"/>
  <c r="D462" i="88"/>
  <c r="D402" i="88"/>
  <c r="D342" i="88"/>
  <c r="D282" i="88"/>
  <c r="D222" i="88"/>
  <c r="D581" i="88"/>
  <c r="D305" i="40" a="1"/>
  <c r="D305" i="40" s="1"/>
  <c r="C15" i="90"/>
  <c r="C28" i="30"/>
  <c r="C26" i="89"/>
  <c r="C300" i="62" s="1"/>
  <c r="K45" i="89"/>
  <c r="C82" i="89"/>
  <c r="C526" i="65" s="1"/>
  <c r="K18" i="89"/>
  <c r="K41" i="89"/>
  <c r="D66" i="30"/>
  <c r="C46" i="65" s="1"/>
  <c r="D67" i="30"/>
  <c r="D69" i="30"/>
  <c r="D68" i="30"/>
  <c r="D70" i="30"/>
  <c r="C563" i="65" s="1"/>
  <c r="D71" i="30"/>
  <c r="C579" i="65" s="1"/>
  <c r="D81" i="30"/>
  <c r="C501" i="65" s="1"/>
  <c r="D63" i="30"/>
  <c r="D65" i="30"/>
  <c r="D64" i="30"/>
  <c r="C15" i="67" s="1"/>
  <c r="C199" i="88"/>
  <c r="C188" i="88"/>
  <c r="C178" i="88"/>
  <c r="F377" i="87" s="1"/>
  <c r="F396" i="87" s="1"/>
  <c r="D686" i="75" s="1"/>
  <c r="C141" i="88"/>
  <c r="C131" i="88"/>
  <c r="C120" i="88"/>
  <c r="C614" i="88"/>
  <c r="C604" i="88"/>
  <c r="C593" i="88"/>
  <c r="C547" i="88"/>
  <c r="C536" i="88"/>
  <c r="C526" i="88"/>
  <c r="C491" i="88"/>
  <c r="C480" i="88"/>
  <c r="C470" i="88"/>
  <c r="C434" i="88"/>
  <c r="C424" i="88"/>
  <c r="C413" i="88"/>
  <c r="C356" i="88"/>
  <c r="C346" i="88"/>
  <c r="C310" i="88"/>
  <c r="C299" i="88"/>
  <c r="C289" i="88"/>
  <c r="C253" i="88"/>
  <c r="C243" i="88"/>
  <c r="C232" i="88"/>
  <c r="D11" i="34"/>
  <c r="C121" i="64" s="1"/>
  <c r="C528" i="40"/>
  <c r="C131" i="40"/>
  <c r="C192" i="62" s="1"/>
  <c r="C97" i="40"/>
  <c r="C698" i="62" s="1"/>
  <c r="C95" i="88"/>
  <c r="C85" i="88"/>
  <c r="C74" i="88"/>
  <c r="C41" i="88"/>
  <c r="C31" i="88"/>
  <c r="C20" i="88"/>
  <c r="C10" i="88"/>
  <c r="D39" i="30"/>
  <c r="D38" i="30"/>
  <c r="C16" i="62" s="1"/>
  <c r="C18" i="30"/>
  <c r="C229" i="83" s="1"/>
  <c r="C208" i="88"/>
  <c r="C198" i="88"/>
  <c r="C187" i="88"/>
  <c r="C177" i="88"/>
  <c r="F376" i="87" s="1"/>
  <c r="F395" i="87" s="1"/>
  <c r="D712" i="75" s="1"/>
  <c r="C140" i="88"/>
  <c r="C129" i="88"/>
  <c r="C119" i="88"/>
  <c r="C613" i="88"/>
  <c r="C603" i="88"/>
  <c r="C592" i="88"/>
  <c r="C556" i="88"/>
  <c r="C546" i="88"/>
  <c r="C535" i="88"/>
  <c r="C525" i="88"/>
  <c r="C490" i="88"/>
  <c r="C479" i="88"/>
  <c r="C469" i="88"/>
  <c r="C433" i="88"/>
  <c r="C423" i="88"/>
  <c r="C412" i="88"/>
  <c r="C355" i="88"/>
  <c r="C345" i="88"/>
  <c r="C309" i="88"/>
  <c r="C298" i="88"/>
  <c r="C288" i="88"/>
  <c r="C252" i="88"/>
  <c r="C242" i="88"/>
  <c r="C231" i="88"/>
  <c r="C267" i="40"/>
  <c r="C56" i="65" s="1"/>
  <c r="C124" i="40"/>
  <c r="C96" i="40"/>
  <c r="C636" i="62" s="1"/>
  <c r="C207" i="88"/>
  <c r="C197" i="88"/>
  <c r="C186" i="88"/>
  <c r="C176" i="88"/>
  <c r="F375" i="87" s="1"/>
  <c r="C139" i="88"/>
  <c r="C128" i="88"/>
  <c r="C118" i="88"/>
  <c r="C612" i="88"/>
  <c r="C602" i="88"/>
  <c r="C591" i="88"/>
  <c r="C555" i="88"/>
  <c r="C545" i="88"/>
  <c r="C534" i="88"/>
  <c r="C524" i="88"/>
  <c r="C489" i="88"/>
  <c r="C478" i="88"/>
  <c r="C468" i="88"/>
  <c r="C432" i="88"/>
  <c r="C422" i="88"/>
  <c r="C411" i="88"/>
  <c r="C354" i="88"/>
  <c r="C308" i="88"/>
  <c r="C297" i="88"/>
  <c r="C287" i="88"/>
  <c r="C251" i="88"/>
  <c r="C240" i="88"/>
  <c r="C230" i="88"/>
  <c r="C206" i="88"/>
  <c r="C201" i="88"/>
  <c r="C190" i="88"/>
  <c r="C180" i="88"/>
  <c r="F379" i="87" s="1"/>
  <c r="F398" i="87" s="1"/>
  <c r="C143" i="88"/>
  <c r="C133" i="88"/>
  <c r="C122" i="88"/>
  <c r="C616" i="88"/>
  <c r="C606" i="88"/>
  <c r="C595" i="88"/>
  <c r="C585" i="88"/>
  <c r="C549" i="88"/>
  <c r="C538" i="88"/>
  <c r="C528" i="88"/>
  <c r="C493" i="88"/>
  <c r="C483" i="88"/>
  <c r="C472" i="88"/>
  <c r="C436" i="88"/>
  <c r="C426" i="88"/>
  <c r="C415" i="88"/>
  <c r="C405" i="88"/>
  <c r="C358" i="88"/>
  <c r="C348" i="88"/>
  <c r="C312" i="88"/>
  <c r="C302" i="88"/>
  <c r="C291" i="88"/>
  <c r="C255" i="88"/>
  <c r="C245" i="88"/>
  <c r="C234" i="88"/>
  <c r="F11" i="34"/>
  <c r="C588" i="40"/>
  <c r="C569" i="40"/>
  <c r="C200" i="88"/>
  <c r="C189" i="88"/>
  <c r="C179" i="88"/>
  <c r="F378" i="87" s="1"/>
  <c r="F397" i="87" s="1"/>
  <c r="D689" i="75" s="1"/>
  <c r="C142" i="88"/>
  <c r="C132" i="88"/>
  <c r="C121" i="88"/>
  <c r="C615" i="88"/>
  <c r="C605" i="88"/>
  <c r="C594" i="88"/>
  <c r="C584" i="88"/>
  <c r="C548" i="88"/>
  <c r="C537" i="88"/>
  <c r="C527" i="88"/>
  <c r="C492" i="88"/>
  <c r="C482" i="88"/>
  <c r="C471" i="88"/>
  <c r="C435" i="88"/>
  <c r="C425" i="88"/>
  <c r="C414" i="88"/>
  <c r="C357" i="88"/>
  <c r="C347" i="88"/>
  <c r="C311" i="88"/>
  <c r="C300" i="88"/>
  <c r="C290" i="88"/>
  <c r="C254" i="88"/>
  <c r="C244" i="88"/>
  <c r="C233" i="88"/>
  <c r="D9" i="34"/>
  <c r="C205" i="88"/>
  <c r="C184" i="88"/>
  <c r="C137" i="88"/>
  <c r="C116" i="88"/>
  <c r="C599" i="88"/>
  <c r="C553" i="88"/>
  <c r="C532" i="88"/>
  <c r="C487" i="88"/>
  <c r="C466" i="88"/>
  <c r="C419" i="88"/>
  <c r="C352" i="88"/>
  <c r="C306" i="88"/>
  <c r="C285" i="88"/>
  <c r="C238" i="88"/>
  <c r="C602" i="40"/>
  <c r="C61" i="86" s="1"/>
  <c r="C97" i="88"/>
  <c r="C86" i="88"/>
  <c r="C73" i="88"/>
  <c r="C39" i="88"/>
  <c r="C28" i="88"/>
  <c r="C16" i="88"/>
  <c r="D118" i="30"/>
  <c r="D44" i="30"/>
  <c r="C96" i="88"/>
  <c r="C72" i="88"/>
  <c r="C38" i="88"/>
  <c r="C15" i="88"/>
  <c r="D157" i="30"/>
  <c r="D45" i="30"/>
  <c r="C105" i="40"/>
  <c r="C659" i="62" s="1"/>
  <c r="C204" i="88"/>
  <c r="C183" i="88"/>
  <c r="C136" i="88"/>
  <c r="C115" i="88"/>
  <c r="C598" i="88"/>
  <c r="C552" i="88"/>
  <c r="C531" i="88"/>
  <c r="C486" i="88"/>
  <c r="C465" i="88"/>
  <c r="C418" i="88"/>
  <c r="C351" i="88"/>
  <c r="C305" i="88"/>
  <c r="C237" i="88"/>
  <c r="C84" i="88"/>
  <c r="C27" i="88"/>
  <c r="C94" i="88"/>
  <c r="C82" i="88"/>
  <c r="C71" i="88"/>
  <c r="C37" i="88"/>
  <c r="C26" i="88"/>
  <c r="C14" i="88"/>
  <c r="D158" i="30"/>
  <c r="D46" i="30"/>
  <c r="C130" i="40"/>
  <c r="C191" i="62" s="1"/>
  <c r="C94" i="40"/>
  <c r="C89" i="88"/>
  <c r="C77" i="88"/>
  <c r="C48" i="88"/>
  <c r="C32" i="88"/>
  <c r="C19" i="88"/>
  <c r="C203" i="88"/>
  <c r="C182" i="88"/>
  <c r="C135" i="88"/>
  <c r="C114" i="88"/>
  <c r="C597" i="88"/>
  <c r="C551" i="88"/>
  <c r="C530" i="88"/>
  <c r="C485" i="88"/>
  <c r="C417" i="88"/>
  <c r="C350" i="88"/>
  <c r="C304" i="88"/>
  <c r="C257" i="88"/>
  <c r="C236" i="88"/>
  <c r="C202" i="88"/>
  <c r="C181" i="88"/>
  <c r="C134" i="88"/>
  <c r="C596" i="88"/>
  <c r="C550" i="88"/>
  <c r="C529" i="88"/>
  <c r="C484" i="88"/>
  <c r="C437" i="88"/>
  <c r="C416" i="88"/>
  <c r="C349" i="88"/>
  <c r="C303" i="88"/>
  <c r="C256" i="88"/>
  <c r="C235" i="88"/>
  <c r="C104" i="40"/>
  <c r="C611" i="62" s="1"/>
  <c r="C93" i="88"/>
  <c r="C81" i="88"/>
  <c r="C70" i="88"/>
  <c r="C36" i="88"/>
  <c r="C24" i="88"/>
  <c r="C13" i="88"/>
  <c r="D47" i="30"/>
  <c r="X79" i="63"/>
  <c r="C196" i="88"/>
  <c r="C153" i="88"/>
  <c r="C127" i="88"/>
  <c r="C611" i="88"/>
  <c r="C590" i="88"/>
  <c r="C544" i="88"/>
  <c r="C477" i="88"/>
  <c r="C431" i="88"/>
  <c r="C410" i="88"/>
  <c r="C317" i="88"/>
  <c r="C296" i="88"/>
  <c r="C250" i="88"/>
  <c r="C229" i="88"/>
  <c r="C134" i="40"/>
  <c r="C83" i="40"/>
  <c r="C125" i="62" s="1"/>
  <c r="C92" i="88"/>
  <c r="C80" i="88"/>
  <c r="C69" i="88"/>
  <c r="C35" i="88"/>
  <c r="C23" i="88"/>
  <c r="C12" i="88"/>
  <c r="C44" i="62" s="1"/>
  <c r="D58" i="30"/>
  <c r="C439" i="62" s="1"/>
  <c r="D48" i="30"/>
  <c r="C195" i="88"/>
  <c r="C148" i="88"/>
  <c r="C711" i="65" s="1"/>
  <c r="C126" i="88"/>
  <c r="C610" i="88"/>
  <c r="C589" i="88"/>
  <c r="C543" i="88"/>
  <c r="C497" i="88"/>
  <c r="C476" i="88"/>
  <c r="C430" i="88"/>
  <c r="C409" i="88"/>
  <c r="C316" i="88"/>
  <c r="C295" i="88"/>
  <c r="C249" i="88"/>
  <c r="C228" i="88"/>
  <c r="C496" i="40"/>
  <c r="C128" i="40"/>
  <c r="C189" i="62" s="1"/>
  <c r="C79" i="40"/>
  <c r="C122" i="62" s="1"/>
  <c r="C91" i="88"/>
  <c r="C79" i="88"/>
  <c r="C68" i="88"/>
  <c r="C34" i="88"/>
  <c r="C22" i="88"/>
  <c r="C11" i="88"/>
  <c r="C58" i="62" s="1"/>
  <c r="X78" i="63"/>
  <c r="C116" i="89" s="1"/>
  <c r="D140" i="30"/>
  <c r="D40" i="30"/>
  <c r="X69" i="63"/>
  <c r="C63" i="89" s="1"/>
  <c r="C531" i="40"/>
  <c r="C383" i="75" s="1"/>
  <c r="C194" i="88"/>
  <c r="C146" i="88"/>
  <c r="C125" i="88"/>
  <c r="C609" i="88"/>
  <c r="C588" i="88"/>
  <c r="C542" i="88"/>
  <c r="C496" i="88"/>
  <c r="C475" i="88"/>
  <c r="C429" i="88"/>
  <c r="C408" i="88"/>
  <c r="C315" i="88"/>
  <c r="C294" i="88"/>
  <c r="C248" i="88"/>
  <c r="C227" i="88"/>
  <c r="C129" i="40"/>
  <c r="C190" i="62" s="1"/>
  <c r="C95" i="40"/>
  <c r="C70" i="40"/>
  <c r="C40" i="90" s="1"/>
  <c r="C90" i="88"/>
  <c r="C78" i="88"/>
  <c r="C67" i="88"/>
  <c r="C33" i="88"/>
  <c r="C21" i="88"/>
  <c r="C9" i="88"/>
  <c r="C11" i="30"/>
  <c r="C193" i="88"/>
  <c r="C145" i="88"/>
  <c r="C124" i="88"/>
  <c r="C608" i="88"/>
  <c r="C587" i="88"/>
  <c r="C541" i="88"/>
  <c r="C495" i="88"/>
  <c r="C474" i="88"/>
  <c r="C428" i="88"/>
  <c r="C407" i="88"/>
  <c r="C360" i="88"/>
  <c r="C314" i="88"/>
  <c r="C293" i="88"/>
  <c r="C247" i="88"/>
  <c r="C226" i="88"/>
  <c r="C629" i="40"/>
  <c r="C191" i="88"/>
  <c r="C144" i="88"/>
  <c r="C123" i="88"/>
  <c r="C607" i="88"/>
  <c r="C586" i="88"/>
  <c r="C539" i="88"/>
  <c r="C494" i="88"/>
  <c r="C473" i="88"/>
  <c r="C427" i="88"/>
  <c r="C406" i="88"/>
  <c r="C359" i="88"/>
  <c r="C313" i="88"/>
  <c r="C292" i="88"/>
  <c r="C246" i="88"/>
  <c r="C225" i="88"/>
  <c r="C619" i="40"/>
  <c r="C75" i="86" s="1" a="1"/>
  <c r="C75" i="86" s="1"/>
  <c r="C121" i="40"/>
  <c r="C92" i="40"/>
  <c r="C706" i="62" s="1"/>
  <c r="X75" i="63"/>
  <c r="C99" i="88"/>
  <c r="C88" i="88"/>
  <c r="C76" i="88"/>
  <c r="C43" i="88"/>
  <c r="C30" i="88"/>
  <c r="C18" i="88"/>
  <c r="D162" i="30"/>
  <c r="D42" i="30"/>
  <c r="X70" i="63"/>
  <c r="C185" i="88"/>
  <c r="C138" i="88"/>
  <c r="C117" i="88"/>
  <c r="C601" i="88"/>
  <c r="C554" i="88"/>
  <c r="C533" i="88"/>
  <c r="C488" i="88"/>
  <c r="C467" i="88"/>
  <c r="C420" i="88"/>
  <c r="C353" i="88"/>
  <c r="C307" i="88"/>
  <c r="C286" i="88"/>
  <c r="C239" i="88"/>
  <c r="C614" i="40"/>
  <c r="C523" i="40"/>
  <c r="C116" i="40"/>
  <c r="X73" i="63"/>
  <c r="F133" i="30" s="1"/>
  <c r="C98" i="88"/>
  <c r="C87" i="88"/>
  <c r="C75" i="88"/>
  <c r="C40" i="88"/>
  <c r="C29" i="88"/>
  <c r="C17" i="88"/>
  <c r="D150" i="30"/>
  <c r="D43" i="30"/>
  <c r="D41" i="30"/>
  <c r="D138" i="30"/>
  <c r="X82" i="63"/>
  <c r="C9" i="30"/>
  <c r="D696" i="75"/>
  <c r="D705" i="75"/>
  <c r="D670" i="75"/>
  <c r="AA29" i="63"/>
  <c r="D727" i="65"/>
  <c r="D715" i="65"/>
  <c r="D709" i="65"/>
  <c r="D721" i="65"/>
  <c r="R51" i="63"/>
  <c r="X72" i="63"/>
  <c r="X74" i="63"/>
  <c r="AE8" i="87"/>
  <c r="AE10" i="87" s="1"/>
  <c r="AE7" i="87"/>
  <c r="X61" i="63"/>
  <c r="X62" i="63"/>
  <c r="X64" i="63"/>
  <c r="X63" i="63"/>
  <c r="AE14" i="87"/>
  <c r="D154" i="69"/>
  <c r="D153" i="69"/>
  <c r="D161" i="83"/>
  <c r="O33" i="63"/>
  <c r="D186" i="69" s="1"/>
  <c r="D683" i="65"/>
  <c r="D144" i="85"/>
  <c r="D134" i="85"/>
  <c r="D464" i="75"/>
  <c r="D488" i="75"/>
  <c r="D511" i="75"/>
  <c r="D83" i="64"/>
  <c r="D61" i="83"/>
  <c r="D194" i="83"/>
  <c r="D193" i="83"/>
  <c r="O121" i="63"/>
  <c r="D138" i="83"/>
  <c r="D126" i="83"/>
  <c r="D125" i="83"/>
  <c r="D124" i="83"/>
  <c r="O123" i="63"/>
  <c r="D137" i="83"/>
  <c r="D136" i="83"/>
  <c r="O120" i="63"/>
  <c r="D125" i="70" s="1"/>
  <c r="D372" i="62"/>
  <c r="D127" i="83"/>
  <c r="D146" i="83"/>
  <c r="D112" i="83"/>
  <c r="D370" i="62"/>
  <c r="D113" i="83"/>
  <c r="D15" i="83"/>
  <c r="D114" i="83"/>
  <c r="D105" i="83"/>
  <c r="D70" i="86"/>
  <c r="D20" i="82"/>
  <c r="D34" i="83"/>
  <c r="D26" i="83"/>
  <c r="D29" i="83"/>
  <c r="D99" i="83"/>
  <c r="D100" i="83"/>
  <c r="D98" i="83"/>
  <c r="R28" i="63"/>
  <c r="R27" i="63"/>
  <c r="R33" i="63"/>
  <c r="R10" i="63"/>
  <c r="D56" i="66"/>
  <c r="D55" i="66"/>
  <c r="D115" i="70"/>
  <c r="D48" i="66"/>
  <c r="D47" i="66"/>
  <c r="D73" i="69"/>
  <c r="D116" i="64"/>
  <c r="D367" i="62"/>
  <c r="D74" i="69"/>
  <c r="D111" i="70"/>
  <c r="D76" i="64"/>
  <c r="D347" i="70"/>
  <c r="R105" i="63"/>
  <c r="R143" i="63"/>
  <c r="R136" i="63"/>
  <c r="D143" i="69"/>
  <c r="D144" i="69"/>
  <c r="D85" i="70"/>
  <c r="R20" i="63"/>
  <c r="D159" i="69"/>
  <c r="R52" i="63"/>
  <c r="R23" i="63"/>
  <c r="D69" i="67" s="1"/>
  <c r="R108" i="63"/>
  <c r="D87" i="67"/>
  <c r="D29" i="69"/>
  <c r="D29" i="70"/>
  <c r="D29" i="68"/>
  <c r="L64" i="63"/>
  <c r="D134" i="86"/>
  <c r="D108" i="86"/>
  <c r="D81" i="86"/>
  <c r="D83" i="86"/>
  <c r="D100" i="86"/>
  <c r="D146" i="85"/>
  <c r="O36" i="63"/>
  <c r="D34" i="68"/>
  <c r="D34" i="70"/>
  <c r="D26" i="70"/>
  <c r="D34" i="69"/>
  <c r="D26" i="69"/>
  <c r="D26" i="68"/>
  <c r="D72" i="86"/>
  <c r="D145" i="85"/>
  <c r="D82" i="85"/>
  <c r="D71" i="86"/>
  <c r="D91" i="86"/>
  <c r="D13" i="86"/>
  <c r="D75" i="85"/>
  <c r="D64" i="86"/>
  <c r="D15" i="70"/>
  <c r="D15" i="69"/>
  <c r="D15" i="68"/>
  <c r="D817" i="75"/>
  <c r="D840" i="75"/>
  <c r="D834" i="75"/>
  <c r="D824" i="75"/>
  <c r="D63" i="86"/>
  <c r="D92" i="86"/>
  <c r="D347" i="68" a="1"/>
  <c r="D347" i="68" s="1"/>
  <c r="D231" i="68"/>
  <c r="D359" i="68"/>
  <c r="D52" i="64"/>
  <c r="C59" i="63"/>
  <c r="C207" i="69"/>
  <c r="F53" i="63"/>
  <c r="D70" i="66" s="1"/>
  <c r="A144" i="74"/>
  <c r="D51" i="65"/>
  <c r="R8" i="63"/>
  <c r="D18" i="66" s="1"/>
  <c r="R12" i="63"/>
  <c r="D20" i="66" s="1"/>
  <c r="D205" i="69"/>
  <c r="D207" i="69"/>
  <c r="D281" i="40"/>
  <c r="L111" i="63" s="1"/>
  <c r="D317" i="68"/>
  <c r="D232" i="68"/>
  <c r="D424" i="70"/>
  <c r="D403" i="70"/>
  <c r="D391" i="70"/>
  <c r="D76" i="68"/>
  <c r="D149" i="70"/>
  <c r="D70" i="69"/>
  <c r="D137" i="70"/>
  <c r="D63" i="64"/>
  <c r="D322" i="70"/>
  <c r="D463" i="70"/>
  <c r="D315" i="70"/>
  <c r="D458" i="70"/>
  <c r="D310" i="70"/>
  <c r="D452" i="70"/>
  <c r="D440" i="70"/>
  <c r="D464" i="70"/>
  <c r="D338" i="70"/>
  <c r="D337" i="70"/>
  <c r="D466" i="70"/>
  <c r="D371" i="68"/>
  <c r="O73" i="63"/>
  <c r="O72" i="63"/>
  <c r="D370" i="68"/>
  <c r="D369" i="68"/>
  <c r="D335" i="70"/>
  <c r="D465" i="70"/>
  <c r="D339" i="70"/>
  <c r="O122" i="63"/>
  <c r="D133" i="70" s="1"/>
  <c r="O119" i="63"/>
  <c r="D333" i="70"/>
  <c r="D334" i="70"/>
  <c r="O118" i="63"/>
  <c r="D96" i="69"/>
  <c r="D226" i="69"/>
  <c r="O94" i="63"/>
  <c r="D89" i="69" s="1"/>
  <c r="D225" i="69"/>
  <c r="O93" i="63"/>
  <c r="D224" i="69"/>
  <c r="D346" i="70"/>
  <c r="D345" i="70"/>
  <c r="O32" i="63"/>
  <c r="F50" i="63"/>
  <c r="F48" i="63"/>
  <c r="F109" i="63"/>
  <c r="D88" i="99" s="1"/>
  <c r="D293" i="70"/>
  <c r="D288" i="70"/>
  <c r="D449" i="70"/>
  <c r="D287" i="70"/>
  <c r="D195" i="83"/>
  <c r="D286" i="70"/>
  <c r="D317" i="70"/>
  <c r="C55" i="63"/>
  <c r="D120" i="66"/>
  <c r="D373" i="70"/>
  <c r="D371" i="70"/>
  <c r="D321" i="70"/>
  <c r="D314" i="70"/>
  <c r="C54" i="63"/>
  <c r="D365" i="70"/>
  <c r="D280" i="70"/>
  <c r="D113" i="66"/>
  <c r="D359" i="70"/>
  <c r="D35" i="64"/>
  <c r="D124" i="66"/>
  <c r="D123" i="66"/>
  <c r="D381" i="70"/>
  <c r="D273" i="70"/>
  <c r="D309" i="70"/>
  <c r="C53" i="63"/>
  <c r="D294" i="70"/>
  <c r="D346" i="68"/>
  <c r="D306" i="68"/>
  <c r="D192" i="83"/>
  <c r="D300" i="68"/>
  <c r="O155" i="63"/>
  <c r="D293" i="68"/>
  <c r="D208" i="68"/>
  <c r="D308" i="70"/>
  <c r="D281" i="70"/>
  <c r="O151" i="63"/>
  <c r="R48" i="63"/>
  <c r="D307" i="70"/>
  <c r="O150" i="63"/>
  <c r="D221" i="68"/>
  <c r="D274" i="70"/>
  <c r="R45" i="63"/>
  <c r="O156" i="63"/>
  <c r="D215" i="68"/>
  <c r="D251" i="68"/>
  <c r="D327" i="68"/>
  <c r="R9" i="63"/>
  <c r="D19" i="66" s="1"/>
  <c r="R157" i="63"/>
  <c r="R155" i="63"/>
  <c r="R154" i="63"/>
  <c r="R156" i="63"/>
  <c r="D251" i="70"/>
  <c r="D426" i="62"/>
  <c r="D481" i="65"/>
  <c r="D521" i="62"/>
  <c r="D505" i="62"/>
  <c r="D537" i="62"/>
  <c r="D592" i="65"/>
  <c r="D576" i="65"/>
  <c r="D560" i="65"/>
  <c r="D20" i="62"/>
  <c r="D651" i="65"/>
  <c r="K33" i="33"/>
  <c r="D320" i="70"/>
  <c r="L112" i="63"/>
  <c r="L108" i="63"/>
  <c r="D179" i="85"/>
  <c r="D239" i="62"/>
  <c r="D203" i="62"/>
  <c r="D190" i="85"/>
  <c r="D593" i="65"/>
  <c r="D538" i="62"/>
  <c r="D577" i="65"/>
  <c r="D522" i="62"/>
  <c r="D91" i="85"/>
  <c r="D89" i="85"/>
  <c r="D79" i="85"/>
  <c r="D38" i="85"/>
  <c r="D100" i="85"/>
  <c r="D94" i="85"/>
  <c r="D103" i="82"/>
  <c r="D93" i="82"/>
  <c r="D105" i="82"/>
  <c r="D95" i="82"/>
  <c r="D74" i="85"/>
  <c r="D46" i="82"/>
  <c r="D106" i="85"/>
  <c r="D495" i="65"/>
  <c r="D427" i="62"/>
  <c r="D440" i="62"/>
  <c r="D200" i="62"/>
  <c r="D187" i="85"/>
  <c r="D137" i="85"/>
  <c r="D594" i="65"/>
  <c r="D539" i="62"/>
  <c r="D523" i="62"/>
  <c r="D578" i="65"/>
  <c r="D507" i="62"/>
  <c r="D562" i="65"/>
  <c r="D60" i="62"/>
  <c r="D23" i="62"/>
  <c r="D25" i="85"/>
  <c r="D596" i="62"/>
  <c r="D83" i="85"/>
  <c r="D22" i="82"/>
  <c r="D136" i="85"/>
  <c r="D198" i="62"/>
  <c r="D185" i="85"/>
  <c r="D202" i="62"/>
  <c r="D189" i="85"/>
  <c r="D201" i="62"/>
  <c r="D188" i="85"/>
  <c r="D85" i="85"/>
  <c r="D199" i="62"/>
  <c r="D186" i="85"/>
  <c r="C92" i="82"/>
  <c r="C155" i="82"/>
  <c r="C71" i="82"/>
  <c r="C151" i="82"/>
  <c r="C63" i="82"/>
  <c r="C102" i="82"/>
  <c r="C147" i="82"/>
  <c r="C130" i="82"/>
  <c r="C175" i="85"/>
  <c r="C126" i="82"/>
  <c r="C119" i="82"/>
  <c r="C115" i="82"/>
  <c r="A117" i="74"/>
  <c r="A110" i="74"/>
  <c r="AA37" i="63"/>
  <c r="D688" i="62"/>
  <c r="D135" i="85"/>
  <c r="D81" i="85"/>
  <c r="D18" i="85"/>
  <c r="D84" i="85"/>
  <c r="D138" i="85"/>
  <c r="D85" i="64"/>
  <c r="D313" i="70"/>
  <c r="D161" i="70"/>
  <c r="D160" i="70"/>
  <c r="D501" i="65"/>
  <c r="D439" i="62"/>
  <c r="D318" i="62"/>
  <c r="D67" i="70"/>
  <c r="D39" i="70"/>
  <c r="D50" i="70"/>
  <c r="D38" i="65"/>
  <c r="D154" i="83"/>
  <c r="D128" i="69"/>
  <c r="C106" i="68"/>
  <c r="C97" i="68"/>
  <c r="L55" i="58"/>
  <c r="N56" i="58"/>
  <c r="N55" i="58"/>
  <c r="M53" i="58"/>
  <c r="N53" i="58"/>
  <c r="O53" i="58"/>
  <c r="D179" i="83"/>
  <c r="D176" i="83"/>
  <c r="D182" i="83"/>
  <c r="D185" i="83"/>
  <c r="D16" i="82"/>
  <c r="D40" i="65"/>
  <c r="D15" i="82"/>
  <c r="D51" i="83"/>
  <c r="D44" i="83"/>
  <c r="M55" i="58"/>
  <c r="M52" i="58"/>
  <c r="L52" i="58"/>
  <c r="O52" i="58"/>
  <c r="M57" i="58"/>
  <c r="O57" i="58"/>
  <c r="L57" i="58"/>
  <c r="N58" i="58"/>
  <c r="M58" i="58"/>
  <c r="M56" i="58"/>
  <c r="O58" i="58"/>
  <c r="O56" i="58"/>
  <c r="D71" i="64"/>
  <c r="D23" i="82"/>
  <c r="D73" i="82"/>
  <c r="D58" i="82"/>
  <c r="D24" i="82"/>
  <c r="A19" i="74"/>
  <c r="D108" i="82"/>
  <c r="D45" i="82"/>
  <c r="D13" i="82"/>
  <c r="D44" i="82"/>
  <c r="D37" i="82"/>
  <c r="D31" i="82"/>
  <c r="D51" i="62"/>
  <c r="D358" i="75"/>
  <c r="D65" i="62"/>
  <c r="D335" i="75"/>
  <c r="D332" i="75"/>
  <c r="D52" i="82"/>
  <c r="D294" i="75"/>
  <c r="D668" i="75"/>
  <c r="D772" i="75"/>
  <c r="D206" i="69"/>
  <c r="AA42" i="63"/>
  <c r="D681" i="75"/>
  <c r="D135" i="64"/>
  <c r="D120" i="64"/>
  <c r="D493" i="62"/>
  <c r="D445" i="62"/>
  <c r="D90" i="62"/>
  <c r="D512" i="62"/>
  <c r="D143" i="64"/>
  <c r="D142" i="64"/>
  <c r="D141" i="64"/>
  <c r="D81" i="64"/>
  <c r="C81" i="64"/>
  <c r="C132" i="64"/>
  <c r="C108" i="64"/>
  <c r="D112" i="70"/>
  <c r="D208" i="75"/>
  <c r="D454" i="62"/>
  <c r="D175" i="62"/>
  <c r="A28" i="74"/>
  <c r="D177" i="62"/>
  <c r="X67" i="63"/>
  <c r="J33" i="33"/>
  <c r="D143" i="70"/>
  <c r="D155" i="70"/>
  <c r="D397" i="70"/>
  <c r="D409" i="70"/>
  <c r="D37" i="62"/>
  <c r="D400" i="62"/>
  <c r="D401" i="62"/>
  <c r="D89" i="62"/>
  <c r="D66" i="69"/>
  <c r="D409" i="75"/>
  <c r="D634" i="75"/>
  <c r="D31" i="75"/>
  <c r="F9" i="34"/>
  <c r="AB9" i="63" a="1"/>
  <c r="AB9" i="63" s="1"/>
  <c r="D760" i="75"/>
  <c r="D283" i="75"/>
  <c r="AB10" i="63" a="1"/>
  <c r="AB10" i="63" s="1"/>
  <c r="C436" i="40"/>
  <c r="X59" i="63"/>
  <c r="C296" i="40" s="1"/>
  <c r="D324" i="75"/>
  <c r="C460" i="40"/>
  <c r="A35" i="74"/>
  <c r="X68" i="63"/>
  <c r="L42" i="63"/>
  <c r="A75" i="74" s="1"/>
  <c r="L37" i="63"/>
  <c r="L39" i="63"/>
  <c r="L41" i="63"/>
  <c r="K25" i="33"/>
  <c r="D79" i="62"/>
  <c r="D13" i="62"/>
  <c r="C226" i="75"/>
  <c r="C568" i="75"/>
  <c r="C550" i="75"/>
  <c r="C498" i="75"/>
  <c r="C590" i="75"/>
  <c r="C532" i="75"/>
  <c r="C169" i="70"/>
  <c r="C483" i="75"/>
  <c r="C217" i="70"/>
  <c r="C192" i="70"/>
  <c r="C128" i="70"/>
  <c r="C464" i="40"/>
  <c r="C441" i="75"/>
  <c r="C442" i="75"/>
  <c r="C15" i="75"/>
  <c r="C21" i="75"/>
  <c r="C448" i="75"/>
  <c r="C24" i="75"/>
  <c r="C447" i="75"/>
  <c r="D404" i="70"/>
  <c r="D150" i="70"/>
  <c r="D392" i="70"/>
  <c r="D365" i="62"/>
  <c r="D399" i="62"/>
  <c r="A15" i="74"/>
  <c r="D79" i="69"/>
  <c r="D40" i="62"/>
  <c r="D166" i="62"/>
  <c r="D403" i="62" a="1"/>
  <c r="D403" i="62" s="1"/>
  <c r="D369" i="62" a="1"/>
  <c r="D369" i="62" s="1"/>
  <c r="D338" i="75"/>
  <c r="D367" i="75"/>
  <c r="C644" i="62"/>
  <c r="C704" i="62"/>
  <c r="C635" i="62"/>
  <c r="A31" i="74"/>
  <c r="D379" i="70"/>
  <c r="D33" i="64"/>
  <c r="D181" i="62"/>
  <c r="D80" i="62"/>
  <c r="D14" i="62"/>
  <c r="D16" i="62"/>
  <c r="C637" i="75"/>
  <c r="D100" i="70"/>
  <c r="D62" i="68"/>
  <c r="A9" i="74"/>
  <c r="D264" i="75"/>
  <c r="D615" i="75"/>
  <c r="D740" i="75"/>
  <c r="D389" i="75"/>
  <c r="D80" i="69"/>
  <c r="D167" i="62"/>
  <c r="D628" i="62"/>
  <c r="C111" i="70"/>
  <c r="C378" i="70"/>
  <c r="C73" i="68"/>
  <c r="C60" i="64"/>
  <c r="C31" i="64"/>
  <c r="A62" i="74"/>
  <c r="D66" i="62"/>
  <c r="D50" i="62"/>
  <c r="D73" i="62"/>
  <c r="D133" i="62"/>
  <c r="D58" i="62"/>
  <c r="D43" i="62"/>
  <c r="C205" i="75"/>
  <c r="C584" i="75"/>
  <c r="C526" i="75"/>
  <c r="C472" i="75"/>
  <c r="C191" i="75"/>
  <c r="C199" i="75"/>
  <c r="C16" i="75"/>
  <c r="C147" i="64"/>
  <c r="A108" i="74"/>
  <c r="D107" i="62"/>
  <c r="C243" i="75"/>
  <c r="C78" i="68"/>
  <c r="D416" i="62"/>
  <c r="C101" i="75"/>
  <c r="C100" i="75"/>
  <c r="C36" i="75"/>
  <c r="C67" i="75"/>
  <c r="C60" i="75"/>
  <c r="C140" i="64"/>
  <c r="C136" i="64"/>
  <c r="C115" i="64"/>
  <c r="D643" i="65"/>
  <c r="D572" i="65"/>
  <c r="D602" i="65"/>
  <c r="G34" i="58"/>
  <c r="F34" i="58"/>
  <c r="E34" i="58"/>
  <c r="D34" i="58"/>
  <c r="C34" i="58"/>
  <c r="C533" i="75"/>
  <c r="C519" i="75"/>
  <c r="C570" i="75"/>
  <c r="C552" i="75"/>
  <c r="C504" i="75"/>
  <c r="C591" i="75"/>
  <c r="C235" i="75"/>
  <c r="C123" i="68"/>
  <c r="C103" i="68"/>
  <c r="C146" i="68"/>
  <c r="C133" i="68"/>
  <c r="C83" i="68"/>
  <c r="C286" i="75"/>
  <c r="C544" i="75"/>
  <c r="C585" i="75"/>
  <c r="C527" i="75"/>
  <c r="C473" i="75"/>
  <c r="C562" i="75"/>
  <c r="C207" i="75"/>
  <c r="C215" i="75"/>
  <c r="C117" i="64"/>
  <c r="C102" i="64"/>
  <c r="C98" i="64"/>
  <c r="C22" i="75"/>
  <c r="C444" i="75"/>
  <c r="C443" i="75"/>
  <c r="D420" i="62"/>
  <c r="D434" i="62"/>
  <c r="C806" i="75"/>
  <c r="C844" i="75"/>
  <c r="C828" i="75"/>
  <c r="C810" i="75"/>
  <c r="C116" i="70"/>
  <c r="C230" i="75"/>
  <c r="C114" i="70"/>
  <c r="C553" i="75"/>
  <c r="C238" i="75"/>
  <c r="C505" i="75"/>
  <c r="C592" i="75"/>
  <c r="C520" i="75"/>
  <c r="C571" i="75"/>
  <c r="C534" i="75"/>
  <c r="C124" i="68"/>
  <c r="C104" i="68"/>
  <c r="C86" i="68"/>
  <c r="C147" i="68"/>
  <c r="C134" i="68"/>
  <c r="C51" i="64"/>
  <c r="C75" i="64"/>
  <c r="D746" i="75"/>
  <c r="A13" i="74"/>
  <c r="D620" i="75"/>
  <c r="D269" i="75"/>
  <c r="D395" i="75"/>
  <c r="D78" i="69"/>
  <c r="D39" i="62"/>
  <c r="D165" i="62"/>
  <c r="D524" i="62"/>
  <c r="E2" i="53"/>
  <c r="D566" i="62"/>
  <c r="A96" i="74"/>
  <c r="D233" i="62"/>
  <c r="D219" i="62"/>
  <c r="D213" i="62"/>
  <c r="D226" i="62"/>
  <c r="A87" i="74"/>
  <c r="A86" i="74"/>
  <c r="A85" i="74"/>
  <c r="A84" i="74"/>
  <c r="A83" i="74"/>
  <c r="D308" i="68"/>
  <c r="D261" i="68"/>
  <c r="D114" i="68"/>
  <c r="D298" i="68"/>
  <c r="D223" i="68"/>
  <c r="D213" i="68"/>
  <c r="D188" i="62"/>
  <c r="C188" i="62"/>
  <c r="C23" i="75" a="1"/>
  <c r="C23" i="75" s="1"/>
  <c r="C446" i="75" a="1"/>
  <c r="C446" i="75" s="1"/>
  <c r="C445" i="75" a="1"/>
  <c r="C445" i="75" s="1"/>
  <c r="C58" i="70"/>
  <c r="C170" i="70"/>
  <c r="A55" i="74"/>
  <c r="P2" i="53"/>
  <c r="G31" i="58"/>
  <c r="F31" i="58"/>
  <c r="P2" i="73"/>
  <c r="E31" i="58"/>
  <c r="D31" i="58"/>
  <c r="C31" i="58"/>
  <c r="K18" i="33"/>
  <c r="C254" i="70"/>
  <c r="A165" i="74"/>
  <c r="A71" i="74"/>
  <c r="D147" i="62"/>
  <c r="A20" i="74"/>
  <c r="D99" i="62"/>
  <c r="D276" i="62"/>
  <c r="A148" i="74"/>
  <c r="D588" i="65"/>
  <c r="D608" i="65"/>
  <c r="D644" i="65"/>
  <c r="A14" i="74"/>
  <c r="D745" i="75"/>
  <c r="D268" i="75"/>
  <c r="D619" i="75"/>
  <c r="D394" i="75"/>
  <c r="D618" i="75"/>
  <c r="D744" i="75"/>
  <c r="D393" i="75"/>
  <c r="D396" i="70"/>
  <c r="D267" i="75"/>
  <c r="D408" i="70"/>
  <c r="D154" i="70"/>
  <c r="D77" i="69"/>
  <c r="D142" i="70"/>
  <c r="D192" i="68"/>
  <c r="D276" i="68"/>
  <c r="D273" i="68"/>
  <c r="D195" i="68"/>
  <c r="D81" i="67"/>
  <c r="D506" i="62"/>
  <c r="D424" i="62"/>
  <c r="D561" i="65"/>
  <c r="D67" i="64"/>
  <c r="D66" i="64"/>
  <c r="A100" i="74"/>
  <c r="D392" i="75"/>
  <c r="D305" i="75"/>
  <c r="D743" i="75"/>
  <c r="D266" i="75"/>
  <c r="D559" i="65"/>
  <c r="D575" i="65"/>
  <c r="D591" i="65"/>
  <c r="D619" i="65"/>
  <c r="D547" i="65"/>
  <c r="D36" i="67"/>
  <c r="D22" i="67"/>
  <c r="D77" i="67"/>
  <c r="D336" i="62"/>
  <c r="D693" i="62"/>
  <c r="D230" i="68"/>
  <c r="D260" i="68"/>
  <c r="D315" i="68"/>
  <c r="D113" i="68"/>
  <c r="D85" i="69"/>
  <c r="D65" i="69"/>
  <c r="D57" i="69"/>
  <c r="D57" i="65"/>
  <c r="D10" i="65"/>
  <c r="I57" i="71"/>
  <c r="I60" i="71"/>
  <c r="I66" i="71"/>
  <c r="I46" i="71"/>
  <c r="I38" i="71"/>
  <c r="I69" i="71"/>
  <c r="I58" i="71"/>
  <c r="I51" i="71"/>
  <c r="I30" i="71"/>
  <c r="I17" i="71"/>
  <c r="I8" i="71"/>
  <c r="I65" i="71"/>
  <c r="I22" i="71"/>
  <c r="I50" i="71"/>
  <c r="I45" i="71"/>
  <c r="I12" i="71"/>
  <c r="I61" i="71"/>
  <c r="I37" i="71"/>
  <c r="I21" i="71"/>
  <c r="I29" i="71"/>
  <c r="I16" i="71"/>
  <c r="I68" i="71"/>
  <c r="I49" i="71"/>
  <c r="I64" i="71"/>
  <c r="I44" i="71"/>
  <c r="I28" i="71"/>
  <c r="I20" i="71"/>
  <c r="I11" i="71"/>
  <c r="I56" i="71"/>
  <c r="I36" i="71"/>
  <c r="I15" i="71"/>
  <c r="I71" i="71"/>
  <c r="I48" i="71"/>
  <c r="I32" i="71"/>
  <c r="I27" i="71"/>
  <c r="I67" i="71"/>
  <c r="I63" i="71"/>
  <c r="I40" i="71"/>
  <c r="I19" i="71"/>
  <c r="I10" i="71"/>
  <c r="I59" i="71"/>
  <c r="I52" i="71"/>
  <c r="I39" i="71"/>
  <c r="I31" i="71"/>
  <c r="I14" i="71"/>
  <c r="I9" i="71"/>
  <c r="I47" i="71"/>
  <c r="I26" i="71"/>
  <c r="I70" i="71"/>
  <c r="I62" i="71"/>
  <c r="I18" i="71"/>
  <c r="I13" i="71"/>
  <c r="D177" i="68"/>
  <c r="D163" i="68"/>
  <c r="D833" i="75"/>
  <c r="D839" i="75"/>
  <c r="D792" i="75"/>
  <c r="D145" i="75"/>
  <c r="D139" i="75"/>
  <c r="D388" i="70"/>
  <c r="D134" i="70"/>
  <c r="D665" i="75"/>
  <c r="D652" i="75"/>
  <c r="D644" i="75"/>
  <c r="D753" i="75"/>
  <c r="D158" i="62"/>
  <c r="D169" i="62"/>
  <c r="D260" i="62"/>
  <c r="D300" i="62"/>
  <c r="D310" i="62"/>
  <c r="D331" i="62"/>
  <c r="D406" i="62"/>
  <c r="D421" i="62"/>
  <c r="D482" i="62"/>
  <c r="D528" i="62"/>
  <c r="D657" i="62"/>
  <c r="D65" i="64"/>
  <c r="A152" i="74"/>
  <c r="D47" i="75"/>
  <c r="D223" i="75"/>
  <c r="D193" i="75"/>
  <c r="D69" i="64"/>
  <c r="D674" i="62"/>
  <c r="L44" i="63"/>
  <c r="D103" i="67"/>
  <c r="D24" i="64"/>
  <c r="D381" i="65"/>
  <c r="A42" i="74"/>
  <c r="D101" i="65"/>
  <c r="D398" i="70"/>
  <c r="D226" i="70"/>
  <c r="D416" i="70"/>
  <c r="D219" i="70"/>
  <c r="D426" i="70"/>
  <c r="D442" i="70"/>
  <c r="D435" i="70"/>
  <c r="D144" i="70"/>
  <c r="D204" i="70"/>
  <c r="D182" i="70"/>
  <c r="D172" i="70"/>
  <c r="D94" i="69"/>
  <c r="D110" i="69"/>
  <c r="D121" i="69"/>
  <c r="D534" i="75"/>
  <c r="D553" i="75"/>
  <c r="D505" i="75"/>
  <c r="D592" i="75"/>
  <c r="D571" i="75"/>
  <c r="D520" i="75"/>
  <c r="D124" i="68"/>
  <c r="D104" i="68"/>
  <c r="D86" i="68"/>
  <c r="D147" i="68"/>
  <c r="D134" i="68"/>
  <c r="D257" i="75"/>
  <c r="D300" i="75"/>
  <c r="D137" i="69"/>
  <c r="D666" i="65"/>
  <c r="D659" i="65"/>
  <c r="D155" i="67"/>
  <c r="D124" i="67"/>
  <c r="D150" i="64"/>
  <c r="D127" i="64"/>
  <c r="D233" i="70"/>
  <c r="D241" i="70"/>
  <c r="E64" i="71"/>
  <c r="E67" i="71"/>
  <c r="E51" i="71"/>
  <c r="E47" i="71"/>
  <c r="E40" i="71"/>
  <c r="E36" i="71"/>
  <c r="E29" i="71"/>
  <c r="E22" i="71"/>
  <c r="E18" i="71"/>
  <c r="E14" i="71"/>
  <c r="E10" i="71"/>
  <c r="E70" i="71"/>
  <c r="E57" i="71"/>
  <c r="E66" i="71"/>
  <c r="E52" i="71"/>
  <c r="E31" i="71"/>
  <c r="E9" i="71"/>
  <c r="E26" i="71"/>
  <c r="E62" i="71"/>
  <c r="E46" i="71"/>
  <c r="E13" i="71"/>
  <c r="E38" i="71"/>
  <c r="E69" i="71"/>
  <c r="E58" i="71"/>
  <c r="E30" i="71"/>
  <c r="E17" i="71"/>
  <c r="E8" i="71"/>
  <c r="E65" i="71"/>
  <c r="E50" i="71"/>
  <c r="E45" i="71"/>
  <c r="E21" i="71"/>
  <c r="E12" i="71"/>
  <c r="E61" i="71"/>
  <c r="E37" i="71"/>
  <c r="E16" i="71"/>
  <c r="E68" i="71"/>
  <c r="E49" i="71"/>
  <c r="E28" i="71"/>
  <c r="E60" i="71"/>
  <c r="E44" i="71"/>
  <c r="E20" i="71"/>
  <c r="E11" i="71"/>
  <c r="E56" i="71"/>
  <c r="E32" i="71"/>
  <c r="E15" i="71"/>
  <c r="E71" i="71"/>
  <c r="E63" i="71"/>
  <c r="E48" i="71"/>
  <c r="E27" i="71"/>
  <c r="E19" i="71"/>
  <c r="E59" i="71"/>
  <c r="E39" i="71"/>
  <c r="D160" i="68"/>
  <c r="D174" i="68"/>
  <c r="D46" i="65"/>
  <c r="D516" i="65"/>
  <c r="D285" i="75"/>
  <c r="D50" i="64"/>
  <c r="D489" i="75"/>
  <c r="D495" i="75"/>
  <c r="D609" i="75"/>
  <c r="D602" i="75"/>
  <c r="D45" i="75"/>
  <c r="D35" i="75"/>
  <c r="D21" i="62"/>
  <c r="D35" i="62"/>
  <c r="D57" i="62"/>
  <c r="D105" i="62"/>
  <c r="D114" i="62"/>
  <c r="D132" i="62"/>
  <c r="D140" i="62"/>
  <c r="D185" i="62"/>
  <c r="D193" i="62"/>
  <c r="D224" i="62"/>
  <c r="D249" i="62"/>
  <c r="D271" i="62"/>
  <c r="D397" i="62"/>
  <c r="D508" i="62"/>
  <c r="D552" i="62"/>
  <c r="D39" i="65"/>
  <c r="D692" i="62"/>
  <c r="D539" i="65"/>
  <c r="D741" i="65"/>
  <c r="D96" i="70"/>
  <c r="D670" i="65"/>
  <c r="D664" i="65"/>
  <c r="D168" i="67"/>
  <c r="D167" i="67"/>
  <c r="D153" i="67"/>
  <c r="D166" i="67"/>
  <c r="D160" i="67"/>
  <c r="D147" i="67"/>
  <c r="D34" i="75"/>
  <c r="D814" i="75"/>
  <c r="D822" i="75"/>
  <c r="D801" i="75"/>
  <c r="D815" i="75"/>
  <c r="D793" i="75"/>
  <c r="D821" i="75"/>
  <c r="D442" i="75"/>
  <c r="D441" i="75"/>
  <c r="D15" i="75"/>
  <c r="D21" i="75"/>
  <c r="D486" i="75"/>
  <c r="D462" i="75"/>
  <c r="D509" i="75"/>
  <c r="D180" i="75"/>
  <c r="D185" i="75"/>
  <c r="D784" i="75"/>
  <c r="D781" i="75"/>
  <c r="D159" i="62"/>
  <c r="D170" i="62"/>
  <c r="D261" i="62"/>
  <c r="D311" i="62"/>
  <c r="D407" i="62"/>
  <c r="D483" i="62"/>
  <c r="D509" i="62"/>
  <c r="A53" i="74"/>
  <c r="A99" i="74"/>
  <c r="D748" i="75"/>
  <c r="D271" i="75"/>
  <c r="D397" i="75"/>
  <c r="D130" i="69"/>
  <c r="D257" i="70"/>
  <c r="A80" i="74"/>
  <c r="D449" i="75"/>
  <c r="D384" i="75"/>
  <c r="D735" i="75"/>
  <c r="D256" i="75"/>
  <c r="D732" i="75"/>
  <c r="D313" i="75"/>
  <c r="D213" i="70"/>
  <c r="D201" i="70"/>
  <c r="D299" i="75"/>
  <c r="D432" i="70"/>
  <c r="D381" i="75"/>
  <c r="D259" i="75"/>
  <c r="D423" i="70"/>
  <c r="D179" i="70"/>
  <c r="D188" i="70"/>
  <c r="D131" i="68"/>
  <c r="D121" i="68"/>
  <c r="D117" i="69"/>
  <c r="D144" i="68"/>
  <c r="D581" i="65"/>
  <c r="D344" i="62"/>
  <c r="D549" i="65"/>
  <c r="D565" i="65"/>
  <c r="D678" i="75"/>
  <c r="D682" i="75"/>
  <c r="D691" i="75"/>
  <c r="D688" i="75"/>
  <c r="D675" i="75"/>
  <c r="D685" i="75"/>
  <c r="D672" i="75"/>
  <c r="D494" i="65"/>
  <c r="D35" i="67"/>
  <c r="D169" i="67"/>
  <c r="D117" i="67"/>
  <c r="D51" i="67"/>
  <c r="D74" i="67"/>
  <c r="D73" i="67"/>
  <c r="D72" i="67"/>
  <c r="D148" i="67"/>
  <c r="D587" i="75"/>
  <c r="D564" i="75"/>
  <c r="D458" i="75"/>
  <c r="D211" i="75"/>
  <c r="D529" i="75"/>
  <c r="D475" i="75"/>
  <c r="D546" i="75"/>
  <c r="D104" i="64"/>
  <c r="D89" i="64"/>
  <c r="D100" i="64"/>
  <c r="D161" i="67"/>
  <c r="D170" i="67"/>
  <c r="D481" i="75"/>
  <c r="D530" i="75"/>
  <c r="D566" i="75"/>
  <c r="D548" i="75"/>
  <c r="D496" i="75"/>
  <c r="D588" i="75"/>
  <c r="D167" i="70"/>
  <c r="D215" i="70"/>
  <c r="D190" i="70"/>
  <c r="D120" i="70"/>
  <c r="D532" i="75"/>
  <c r="D568" i="75"/>
  <c r="D550" i="75"/>
  <c r="D498" i="75"/>
  <c r="D590" i="75"/>
  <c r="D169" i="70"/>
  <c r="D483" i="75"/>
  <c r="D192" i="70"/>
  <c r="D128" i="70"/>
  <c r="D217" i="70"/>
  <c r="D141" i="70"/>
  <c r="D395" i="70"/>
  <c r="D338" i="68"/>
  <c r="D153" i="70"/>
  <c r="D407" i="70"/>
  <c r="D76" i="69"/>
  <c r="D151" i="69"/>
  <c r="D25" i="66"/>
  <c r="D13" i="66"/>
  <c r="D16" i="66"/>
  <c r="D301" i="68"/>
  <c r="D216" i="68"/>
  <c r="D288" i="68"/>
  <c r="D277" i="68"/>
  <c r="D284" i="68"/>
  <c r="D196" i="68"/>
  <c r="D613" i="65"/>
  <c r="D601" i="65"/>
  <c r="D607" i="65"/>
  <c r="D2" i="53"/>
  <c r="D23" i="75"/>
  <c r="D446" i="75"/>
  <c r="D445" i="75"/>
  <c r="D58" i="70"/>
  <c r="D170" i="70"/>
  <c r="D806" i="75"/>
  <c r="D810" i="75"/>
  <c r="D462" i="70"/>
  <c r="D439" i="70"/>
  <c r="D446" i="70"/>
  <c r="D41" i="66" a="1"/>
  <c r="D41" i="66" s="1"/>
  <c r="D33" i="66"/>
  <c r="D77" i="75"/>
  <c r="D87" i="64"/>
  <c r="D376" i="75"/>
  <c r="D383" i="75"/>
  <c r="D411" i="75"/>
  <c r="D420" i="75"/>
  <c r="D400" i="70"/>
  <c r="D146" i="70"/>
  <c r="D95" i="69"/>
  <c r="D613" i="75"/>
  <c r="D22" i="62"/>
  <c r="D36" i="62"/>
  <c r="D44" i="62"/>
  <c r="D72" i="62"/>
  <c r="D106" i="62"/>
  <c r="D115" i="62"/>
  <c r="D123" i="62"/>
  <c r="D141" i="62"/>
  <c r="D186" i="62"/>
  <c r="D194" i="62"/>
  <c r="D211" i="62"/>
  <c r="D225" i="62"/>
  <c r="D272" i="62"/>
  <c r="D432" i="62"/>
  <c r="D659" i="62"/>
  <c r="D698" i="62"/>
  <c r="D253" i="70"/>
  <c r="D127" i="69"/>
  <c r="D241" i="68"/>
  <c r="D684" i="62"/>
  <c r="D690" i="62"/>
  <c r="D544" i="75"/>
  <c r="D585" i="75"/>
  <c r="D527" i="75"/>
  <c r="D473" i="75"/>
  <c r="D562" i="75"/>
  <c r="D207" i="75"/>
  <c r="D456" i="75"/>
  <c r="D102" i="64"/>
  <c r="D98" i="64"/>
  <c r="D153" i="68"/>
  <c r="D239" i="68"/>
  <c r="D31" i="65"/>
  <c r="D734" i="65"/>
  <c r="D533" i="65"/>
  <c r="D638" i="65"/>
  <c r="D636" i="65"/>
  <c r="D645" i="65"/>
  <c r="D526" i="65"/>
  <c r="D392" i="65"/>
  <c r="D181" i="68"/>
  <c r="D167" i="68"/>
  <c r="D258" i="75"/>
  <c r="D251" i="75"/>
  <c r="D119" i="75"/>
  <c r="D122" i="70"/>
  <c r="D93" i="75"/>
  <c r="D85" i="75"/>
  <c r="D116" i="75"/>
  <c r="D129" i="75"/>
  <c r="D53" i="75"/>
  <c r="D110" i="75"/>
  <c r="D72" i="75"/>
  <c r="D65" i="75"/>
  <c r="D178" i="75"/>
  <c r="D158" i="75"/>
  <c r="D59" i="75"/>
  <c r="D41" i="75"/>
  <c r="D137" i="75"/>
  <c r="D152" i="75"/>
  <c r="D171" i="75"/>
  <c r="D627" i="75"/>
  <c r="D160" i="62"/>
  <c r="D171" i="62"/>
  <c r="D240" i="62"/>
  <c r="D302" i="62"/>
  <c r="D408" i="62"/>
  <c r="D471" i="62"/>
  <c r="D500" i="62"/>
  <c r="D510" i="62"/>
  <c r="D554" i="62"/>
  <c r="D615" i="62"/>
  <c r="D72" i="64"/>
  <c r="A29" i="74"/>
  <c r="D41" i="65"/>
  <c r="D612" i="65"/>
  <c r="D554" i="65"/>
  <c r="D551" i="62"/>
  <c r="D515" i="62"/>
  <c r="D606" i="65"/>
  <c r="D531" i="62"/>
  <c r="D669" i="65"/>
  <c r="D614" i="62"/>
  <c r="D570" i="65"/>
  <c r="D586" i="65"/>
  <c r="D377" i="65"/>
  <c r="D20" i="64"/>
  <c r="D102" i="67"/>
  <c r="D25" i="64"/>
  <c r="D382" i="65"/>
  <c r="D15" i="66"/>
  <c r="D58" i="69"/>
  <c r="D135" i="69"/>
  <c r="D84" i="69"/>
  <c r="D337" i="62"/>
  <c r="D58" i="65"/>
  <c r="D11" i="65"/>
  <c r="D178" i="68"/>
  <c r="D164" i="68"/>
  <c r="D48" i="65"/>
  <c r="D816" i="75"/>
  <c r="D794" i="75"/>
  <c r="D823" i="75"/>
  <c r="D98" i="70"/>
  <c r="D110" i="70"/>
  <c r="D60" i="68"/>
  <c r="D72" i="68"/>
  <c r="D510" i="75"/>
  <c r="D463" i="75"/>
  <c r="D487" i="75"/>
  <c r="D161" i="75"/>
  <c r="D85" i="68"/>
  <c r="D90" i="67"/>
  <c r="D24" i="67"/>
  <c r="D717" i="75" a="1"/>
  <c r="D717" i="75" s="1"/>
  <c r="D711" i="75" a="1"/>
  <c r="D711" i="75" s="1"/>
  <c r="D704" i="75" a="1"/>
  <c r="D704" i="75" s="1"/>
  <c r="D698" i="75" a="1"/>
  <c r="D698" i="75" s="1"/>
  <c r="D720" i="75" a="1"/>
  <c r="D720" i="75" s="1"/>
  <c r="D701" i="75" a="1"/>
  <c r="D701" i="75" s="1"/>
  <c r="D707" i="75" a="1"/>
  <c r="D707" i="75" s="1"/>
  <c r="D659" i="75" a="1"/>
  <c r="D659" i="75" s="1"/>
  <c r="D714" i="75" a="1"/>
  <c r="D714" i="75" s="1"/>
  <c r="D59" i="62"/>
  <c r="D93" i="62"/>
  <c r="D116" i="62"/>
  <c r="D124" i="62"/>
  <c r="D134" i="62"/>
  <c r="D142" i="62"/>
  <c r="D212" i="62"/>
  <c r="D251" i="62"/>
  <c r="D273" i="62"/>
  <c r="D711" i="65"/>
  <c r="D717" i="65"/>
  <c r="D57" i="68"/>
  <c r="D79" i="68"/>
  <c r="D262" i="68"/>
  <c r="D115" i="68"/>
  <c r="D554" i="75"/>
  <c r="D521" i="75"/>
  <c r="D506" i="75"/>
  <c r="D593" i="75"/>
  <c r="D572" i="75"/>
  <c r="D535" i="75"/>
  <c r="D148" i="68"/>
  <c r="D135" i="68"/>
  <c r="D105" i="68"/>
  <c r="D89" i="68"/>
  <c r="D125" i="68"/>
  <c r="D705" i="65"/>
  <c r="D720" i="65"/>
  <c r="D677" i="65"/>
  <c r="D714" i="65"/>
  <c r="D738" i="65"/>
  <c r="D754" i="65"/>
  <c r="D708" i="65"/>
  <c r="D692" i="65"/>
  <c r="D732" i="65"/>
  <c r="D726" i="65"/>
  <c r="D231" i="70"/>
  <c r="D239" i="70"/>
  <c r="D423" i="65"/>
  <c r="D736" i="65"/>
  <c r="D442" i="65"/>
  <c r="G67" i="71"/>
  <c r="G51" i="71"/>
  <c r="G47" i="71"/>
  <c r="G40" i="71"/>
  <c r="G36" i="71"/>
  <c r="G29" i="71"/>
  <c r="G22" i="71"/>
  <c r="G18" i="71"/>
  <c r="G14" i="71"/>
  <c r="G10" i="71"/>
  <c r="G70" i="71"/>
  <c r="G60" i="71"/>
  <c r="G26" i="71"/>
  <c r="G62" i="71"/>
  <c r="G46" i="71"/>
  <c r="G13" i="71"/>
  <c r="G38" i="71"/>
  <c r="G69" i="71"/>
  <c r="G58" i="71"/>
  <c r="G30" i="71"/>
  <c r="G17" i="71"/>
  <c r="G8" i="71"/>
  <c r="G65" i="71"/>
  <c r="G50" i="71"/>
  <c r="G45" i="71"/>
  <c r="G21" i="71"/>
  <c r="G12" i="71"/>
  <c r="G61" i="71"/>
  <c r="G57" i="71"/>
  <c r="G37" i="71"/>
  <c r="G16" i="71"/>
  <c r="G68" i="71"/>
  <c r="G49" i="71"/>
  <c r="G28" i="71"/>
  <c r="G64" i="71"/>
  <c r="G44" i="71"/>
  <c r="G20" i="71"/>
  <c r="G11" i="71"/>
  <c r="G56" i="71"/>
  <c r="G32" i="71"/>
  <c r="G15" i="71"/>
  <c r="G71" i="71"/>
  <c r="G63" i="71"/>
  <c r="G48" i="71"/>
  <c r="G27" i="71"/>
  <c r="G19" i="71"/>
  <c r="G59" i="71"/>
  <c r="G39" i="71"/>
  <c r="G66" i="71"/>
  <c r="G52" i="71"/>
  <c r="G31" i="71"/>
  <c r="G9" i="71"/>
  <c r="D161" i="68"/>
  <c r="D175" i="68"/>
  <c r="D286" i="75"/>
  <c r="D387" i="75"/>
  <c r="D48" i="64"/>
  <c r="D614" i="75"/>
  <c r="D856" i="75"/>
  <c r="D621" i="75"/>
  <c r="D161" i="62"/>
  <c r="D241" i="62"/>
  <c r="D263" i="62"/>
  <c r="D355" i="62"/>
  <c r="D545" i="62"/>
  <c r="D555" i="62"/>
  <c r="D620" i="62"/>
  <c r="D638" i="62"/>
  <c r="D51" i="64"/>
  <c r="D590" i="65"/>
  <c r="D558" i="65"/>
  <c r="D574" i="65"/>
  <c r="D563" i="65"/>
  <c r="D620" i="65"/>
  <c r="D43" i="67"/>
  <c r="D41" i="67"/>
  <c r="D52" i="67"/>
  <c r="D99" i="67"/>
  <c r="D23" i="64"/>
  <c r="D380" i="65"/>
  <c r="D79" i="67" a="1"/>
  <c r="D79" i="67" s="1"/>
  <c r="D382" i="75"/>
  <c r="D109" i="67"/>
  <c r="D189" i="70"/>
  <c r="C189" i="70"/>
  <c r="D195" i="70"/>
  <c r="D206" i="70"/>
  <c r="C206" i="70"/>
  <c r="C195" i="70"/>
  <c r="D447" i="65"/>
  <c r="D428" i="65"/>
  <c r="D742" i="65"/>
  <c r="D32" i="75"/>
  <c r="D101" i="66"/>
  <c r="D89" i="66"/>
  <c r="D95" i="66"/>
  <c r="D83" i="66"/>
  <c r="D262" i="75"/>
  <c r="D412" i="75"/>
  <c r="D194" i="70"/>
  <c r="C194" i="70"/>
  <c r="D137" i="68"/>
  <c r="C137" i="68"/>
  <c r="C101" i="64"/>
  <c r="D734" i="75"/>
  <c r="D727" i="75"/>
  <c r="D27" i="62"/>
  <c r="D38" i="62"/>
  <c r="D49" i="62"/>
  <c r="D74" i="62"/>
  <c r="D117" i="62"/>
  <c r="D135" i="62"/>
  <c r="D143" i="62"/>
  <c r="D227" i="62"/>
  <c r="D252" i="62"/>
  <c r="D274" i="62"/>
  <c r="D325" i="62"/>
  <c r="D502" i="62"/>
  <c r="D705" i="62"/>
  <c r="D26" i="64"/>
  <c r="C109" i="70"/>
  <c r="C71" i="68"/>
  <c r="C763" i="75"/>
  <c r="D406" i="70"/>
  <c r="D394" i="70"/>
  <c r="D152" i="70"/>
  <c r="D140" i="70"/>
  <c r="D368" i="62"/>
  <c r="D492" i="62"/>
  <c r="D78" i="67"/>
  <c r="D526" i="75"/>
  <c r="D584" i="75"/>
  <c r="D472" i="75"/>
  <c r="D16" i="75"/>
  <c r="D459" i="75"/>
  <c r="D108" i="69"/>
  <c r="D88" i="69"/>
  <c r="D119" i="69"/>
  <c r="D307" i="68"/>
  <c r="D222" i="68"/>
  <c r="D656" i="75"/>
  <c r="D617" i="75"/>
  <c r="D339" i="68"/>
  <c r="D610" i="65"/>
  <c r="D604" i="65"/>
  <c r="D600" i="65"/>
  <c r="D690" i="65"/>
  <c r="D753" i="65"/>
  <c r="D125" i="64"/>
  <c r="D148" i="64"/>
  <c r="D650" i="75"/>
  <c r="D607" i="75"/>
  <c r="D664" i="75"/>
  <c r="D610" i="75"/>
  <c r="D35" i="65"/>
  <c r="D26" i="66"/>
  <c r="D79" i="75"/>
  <c r="D91" i="64"/>
  <c r="D121" i="75"/>
  <c r="D126" i="70"/>
  <c r="D512" i="75"/>
  <c r="D518" i="75"/>
  <c r="D163" i="75"/>
  <c r="D88" i="68"/>
  <c r="D27" i="67"/>
  <c r="D91" i="67"/>
  <c r="D738" i="75"/>
  <c r="D654" i="75"/>
  <c r="D657" i="75"/>
  <c r="D242" i="62"/>
  <c r="D267" i="62"/>
  <c r="D304" i="62"/>
  <c r="D335" i="62"/>
  <c r="D546" i="62"/>
  <c r="D581" i="62"/>
  <c r="D231" i="75"/>
  <c r="D201" i="75"/>
  <c r="D662" i="62"/>
  <c r="D668" i="62"/>
  <c r="D425" i="62"/>
  <c r="D417" i="62"/>
  <c r="D446" i="62"/>
  <c r="L40" i="63"/>
  <c r="D58" i="67"/>
  <c r="A138" i="74"/>
  <c r="D769" i="75"/>
  <c r="D418" i="75"/>
  <c r="D78" i="68"/>
  <c r="D240" i="68"/>
  <c r="D447" i="75"/>
  <c r="D448" i="75"/>
  <c r="D24" i="75"/>
  <c r="D97" i="68"/>
  <c r="D106" i="68"/>
  <c r="D252" i="68"/>
  <c r="D328" i="68"/>
  <c r="D603" i="65"/>
  <c r="D557" i="65"/>
  <c r="D609" i="65"/>
  <c r="D755" i="65"/>
  <c r="D390" i="65"/>
  <c r="D693" i="65"/>
  <c r="D396" i="65"/>
  <c r="D706" i="65"/>
  <c r="D538" i="65"/>
  <c r="D740" i="65"/>
  <c r="D731" i="65"/>
  <c r="D172" i="68"/>
  <c r="D158" i="68"/>
  <c r="D95" i="75"/>
  <c r="D103" i="75"/>
  <c r="D70" i="64"/>
  <c r="D62" i="64"/>
  <c r="D79" i="64"/>
  <c r="D542" i="75"/>
  <c r="D450" i="75"/>
  <c r="D559" i="75"/>
  <c r="D636" i="75"/>
  <c r="D739" i="75"/>
  <c r="D852" i="75"/>
  <c r="D747" i="75"/>
  <c r="D17" i="62"/>
  <c r="D31" i="62"/>
  <c r="D95" i="62"/>
  <c r="D110" i="62"/>
  <c r="D118" i="62"/>
  <c r="D136" i="62"/>
  <c r="D154" i="62"/>
  <c r="D217" i="62"/>
  <c r="D231" i="62"/>
  <c r="D402" i="62"/>
  <c r="D478" i="62"/>
  <c r="D557" i="62"/>
  <c r="D622" i="62"/>
  <c r="C586" i="75"/>
  <c r="C474" i="75"/>
  <c r="C545" i="75"/>
  <c r="C563" i="75"/>
  <c r="C210" i="75"/>
  <c r="C528" i="75"/>
  <c r="C217" i="75"/>
  <c r="C457" i="75"/>
  <c r="C103" i="64"/>
  <c r="C133" i="64"/>
  <c r="C99" i="64"/>
  <c r="C85" i="64"/>
  <c r="C753" i="65"/>
  <c r="C690" i="65"/>
  <c r="C240" i="68"/>
  <c r="C412" i="75"/>
  <c r="A150" i="74"/>
  <c r="A154" i="74"/>
  <c r="D699" i="62"/>
  <c r="D650" i="62"/>
  <c r="D636" i="62"/>
  <c r="D237" i="75"/>
  <c r="A12" i="74"/>
  <c r="D209" i="75"/>
  <c r="D224" i="75"/>
  <c r="D195" i="75"/>
  <c r="D656" i="62"/>
  <c r="D637" i="62"/>
  <c r="D677" i="62"/>
  <c r="D104" i="67"/>
  <c r="D378" i="65" a="1"/>
  <c r="D378" i="65" s="1"/>
  <c r="D21" i="64" a="1"/>
  <c r="D21" i="64" s="1"/>
  <c r="D651" i="75"/>
  <c r="D608" i="75"/>
  <c r="D59" i="65"/>
  <c r="D12" i="65"/>
  <c r="D179" i="68"/>
  <c r="D165" i="68"/>
  <c r="D99" i="70"/>
  <c r="D61" i="68"/>
  <c r="D850" i="75"/>
  <c r="D388" i="75"/>
  <c r="D471" i="75"/>
  <c r="D465" i="75"/>
  <c r="D360" i="70"/>
  <c r="D372" i="70"/>
  <c r="D165" i="75"/>
  <c r="D91" i="68"/>
  <c r="D742" i="75"/>
  <c r="D246" i="62"/>
  <c r="D268" i="62"/>
  <c r="D362" i="62"/>
  <c r="D418" i="62"/>
  <c r="D683" i="62"/>
  <c r="C588" i="75"/>
  <c r="C530" i="75"/>
  <c r="C566" i="75"/>
  <c r="C496" i="75"/>
  <c r="C548" i="75"/>
  <c r="C222" i="75"/>
  <c r="C167" i="70"/>
  <c r="C215" i="70"/>
  <c r="C190" i="70"/>
  <c r="C120" i="70"/>
  <c r="C554" i="75"/>
  <c r="C506" i="75"/>
  <c r="C593" i="75"/>
  <c r="C535" i="75"/>
  <c r="C521" i="75"/>
  <c r="C572" i="75"/>
  <c r="C239" i="75"/>
  <c r="C148" i="68"/>
  <c r="C135" i="68"/>
  <c r="C105" i="68"/>
  <c r="C89" i="68"/>
  <c r="C125" i="68"/>
  <c r="C110" i="70"/>
  <c r="C98" i="70"/>
  <c r="C60" i="68"/>
  <c r="C72" i="68"/>
  <c r="C462" i="40"/>
  <c r="D440" i="75"/>
  <c r="D46" i="75"/>
  <c r="D439" i="75"/>
  <c r="D256" i="70"/>
  <c r="D129" i="69" a="1"/>
  <c r="D129" i="69" s="1"/>
  <c r="A90" i="74"/>
  <c r="D643" i="75"/>
  <c r="D292" i="75"/>
  <c r="D489" i="65"/>
  <c r="A79" i="74"/>
  <c r="D422" i="70"/>
  <c r="D212" i="70"/>
  <c r="D431" i="70"/>
  <c r="D414" i="70"/>
  <c r="D116" i="69"/>
  <c r="D166" i="70"/>
  <c r="D178" i="70"/>
  <c r="D107" i="69"/>
  <c r="D101" i="69"/>
  <c r="D57" i="70"/>
  <c r="D187" i="70"/>
  <c r="D200" i="70"/>
  <c r="D143" i="68"/>
  <c r="D130" i="68"/>
  <c r="D120" i="68"/>
  <c r="D102" i="68"/>
  <c r="D96" i="68"/>
  <c r="D580" i="65"/>
  <c r="D548" i="65"/>
  <c r="D525" i="62"/>
  <c r="D564" i="65"/>
  <c r="L38" i="63"/>
  <c r="D76" i="67"/>
  <c r="D13" i="67"/>
  <c r="A50" i="74"/>
  <c r="D509" i="65"/>
  <c r="D589" i="75"/>
  <c r="D482" i="75"/>
  <c r="D531" i="75"/>
  <c r="D567" i="75"/>
  <c r="D549" i="75"/>
  <c r="D497" i="75"/>
  <c r="D216" i="70"/>
  <c r="D191" i="70"/>
  <c r="D124" i="70"/>
  <c r="D168" i="70"/>
  <c r="D434" i="70"/>
  <c r="D415" i="70"/>
  <c r="D386" i="70"/>
  <c r="D425" i="70"/>
  <c r="D441" i="70"/>
  <c r="D132" i="70"/>
  <c r="D203" i="70"/>
  <c r="D181" i="70"/>
  <c r="D171" i="70"/>
  <c r="D225" i="70"/>
  <c r="D218" i="70"/>
  <c r="D303" i="68"/>
  <c r="D218" i="68"/>
  <c r="D309" i="68"/>
  <c r="D224" i="68"/>
  <c r="D352" i="68"/>
  <c r="D358" i="68"/>
  <c r="D748" i="65"/>
  <c r="D691" i="65"/>
  <c r="D704" i="65"/>
  <c r="D699" i="65"/>
  <c r="D650" i="65"/>
  <c r="D684" i="65"/>
  <c r="D154" i="67"/>
  <c r="D123" i="67"/>
  <c r="D240" i="70"/>
  <c r="D232" i="70"/>
  <c r="D56" i="65"/>
  <c r="D9" i="65"/>
  <c r="H70" i="71"/>
  <c r="H57" i="71"/>
  <c r="H63" i="71"/>
  <c r="H50" i="71"/>
  <c r="H46" i="71"/>
  <c r="H39" i="71"/>
  <c r="H32" i="71"/>
  <c r="H28" i="71"/>
  <c r="H21" i="71"/>
  <c r="H62" i="71"/>
  <c r="H18" i="71"/>
  <c r="H13" i="71"/>
  <c r="H38" i="71"/>
  <c r="H69" i="71"/>
  <c r="H58" i="71"/>
  <c r="H51" i="71"/>
  <c r="H30" i="71"/>
  <c r="H17" i="71"/>
  <c r="H8" i="71"/>
  <c r="H65" i="71"/>
  <c r="H22" i="71"/>
  <c r="H45" i="71"/>
  <c r="H12" i="71"/>
  <c r="H61" i="71"/>
  <c r="H37" i="71"/>
  <c r="H29" i="71"/>
  <c r="H16" i="71"/>
  <c r="H68" i="71"/>
  <c r="H49" i="71"/>
  <c r="H64" i="71"/>
  <c r="H44" i="71"/>
  <c r="H20" i="71"/>
  <c r="H11" i="71"/>
  <c r="H60" i="71"/>
  <c r="H56" i="71"/>
  <c r="H36" i="71"/>
  <c r="H15" i="71"/>
  <c r="H71" i="71"/>
  <c r="H48" i="71"/>
  <c r="H27" i="71"/>
  <c r="H67" i="71"/>
  <c r="H40" i="71"/>
  <c r="H19" i="71"/>
  <c r="H10" i="71"/>
  <c r="H59" i="71"/>
  <c r="H66" i="71"/>
  <c r="H52" i="71"/>
  <c r="H31" i="71"/>
  <c r="H14" i="71"/>
  <c r="H9" i="71"/>
  <c r="H47" i="71"/>
  <c r="H26" i="71"/>
  <c r="D162" i="68"/>
  <c r="D176" i="68"/>
  <c r="D102" i="66"/>
  <c r="D90" i="66"/>
  <c r="D96" i="66"/>
  <c r="D84" i="66"/>
  <c r="D378" i="70"/>
  <c r="D73" i="68"/>
  <c r="D60" i="64"/>
  <c r="D31" i="64"/>
  <c r="D314" i="75"/>
  <c r="D301" i="75"/>
  <c r="D293" i="75"/>
  <c r="D402" i="75"/>
  <c r="D558" i="75"/>
  <c r="D430" i="75"/>
  <c r="D541" i="75"/>
  <c r="D583" i="75"/>
  <c r="D433" i="75"/>
  <c r="D20" i="75"/>
  <c r="D460" i="75"/>
  <c r="D484" i="75"/>
  <c r="D507" i="75"/>
  <c r="D88" i="67"/>
  <c r="D270" i="75"/>
  <c r="D18" i="62"/>
  <c r="D32" i="62"/>
  <c r="D98" i="62"/>
  <c r="D111" i="62"/>
  <c r="D119" i="62"/>
  <c r="D137" i="62"/>
  <c r="D218" i="62"/>
  <c r="D494" i="62"/>
  <c r="D583" i="62"/>
  <c r="C587" i="75"/>
  <c r="C218" i="75"/>
  <c r="C211" i="75"/>
  <c r="C529" i="75"/>
  <c r="C564" i="75"/>
  <c r="C458" i="75"/>
  <c r="C546" i="75"/>
  <c r="C475" i="75"/>
  <c r="C104" i="64"/>
  <c r="C89" i="64"/>
  <c r="C134" i="64"/>
  <c r="C100" i="64"/>
  <c r="C110" i="64"/>
  <c r="C377" i="70"/>
  <c r="C385" i="70"/>
  <c r="C370" i="70"/>
  <c r="A10" i="74"/>
  <c r="D81" i="69"/>
  <c r="D236" i="75"/>
  <c r="D334" i="75"/>
  <c r="D327" i="75"/>
  <c r="D337" i="75"/>
  <c r="D321" i="75"/>
  <c r="D340" i="75"/>
  <c r="D318" i="75"/>
  <c r="D331" i="75"/>
  <c r="D686" i="62"/>
  <c r="D479" i="62"/>
  <c r="D45" i="67"/>
  <c r="D42" i="67"/>
  <c r="D53" i="67"/>
  <c r="D545" i="75"/>
  <c r="D586" i="75"/>
  <c r="D563" i="75"/>
  <c r="D474" i="75"/>
  <c r="D210" i="75"/>
  <c r="D528" i="75"/>
  <c r="D457" i="75"/>
  <c r="D103" i="64"/>
  <c r="D99" i="64"/>
  <c r="D116" i="70"/>
  <c r="D114" i="70"/>
  <c r="D109" i="69"/>
  <c r="D120" i="69"/>
  <c r="D91" i="69"/>
  <c r="D17" i="66"/>
  <c r="D136" i="69"/>
  <c r="D735" i="65"/>
  <c r="D534" i="65"/>
  <c r="D95" i="70"/>
  <c r="D118" i="70"/>
  <c r="D681" i="65"/>
  <c r="D675" i="65"/>
  <c r="D126" i="64"/>
  <c r="D149" i="64"/>
  <c r="D254" i="70"/>
  <c r="D173" i="68"/>
  <c r="D159" i="68"/>
  <c r="D39" i="66"/>
  <c r="D33" i="75"/>
  <c r="D854" i="75"/>
  <c r="D263" i="75"/>
  <c r="D123" i="75"/>
  <c r="D130" i="70"/>
  <c r="D74" i="64"/>
  <c r="D377" i="70"/>
  <c r="D385" i="70"/>
  <c r="D370" i="70"/>
  <c r="D363" i="75"/>
  <c r="D350" i="75"/>
  <c r="D360" i="75"/>
  <c r="D369" i="75"/>
  <c r="D347" i="75"/>
  <c r="D308" i="75"/>
  <c r="D366" i="75"/>
  <c r="D356" i="75"/>
  <c r="D353" i="75"/>
  <c r="D637" i="75"/>
  <c r="D762" i="75"/>
  <c r="D771" i="75"/>
  <c r="D247" i="62"/>
  <c r="D363" i="62"/>
  <c r="D373" i="62"/>
  <c r="D59" i="64"/>
  <c r="C567" i="75"/>
  <c r="C482" i="75"/>
  <c r="C531" i="75"/>
  <c r="C549" i="75"/>
  <c r="C589" i="75"/>
  <c r="C497" i="75"/>
  <c r="C168" i="70"/>
  <c r="C124" i="70"/>
  <c r="C225" i="75"/>
  <c r="C216" i="70"/>
  <c r="C191" i="70"/>
  <c r="C70" i="64"/>
  <c r="C62" i="64"/>
  <c r="C79" i="64"/>
  <c r="C135" i="69"/>
  <c r="C84" i="69"/>
  <c r="A23" i="74"/>
  <c r="A64" i="74"/>
  <c r="D571" i="65"/>
  <c r="D587" i="65"/>
  <c r="D555" i="65"/>
  <c r="D635" i="62"/>
  <c r="D644" i="62"/>
  <c r="A43" i="74"/>
  <c r="D260" i="75"/>
  <c r="D385" i="75"/>
  <c r="D736" i="75"/>
  <c r="D405" i="70"/>
  <c r="D123" i="70"/>
  <c r="D131" i="70"/>
  <c r="D151" i="70"/>
  <c r="D139" i="70"/>
  <c r="D393" i="70"/>
  <c r="D127" i="70"/>
  <c r="D72" i="69"/>
  <c r="D551" i="65"/>
  <c r="D567" i="65"/>
  <c r="D583" i="65"/>
  <c r="D729" i="65"/>
  <c r="D723" i="65"/>
  <c r="D108" i="66"/>
  <c r="D119" i="66"/>
  <c r="D682" i="62"/>
  <c r="D36" i="75"/>
  <c r="D58" i="68"/>
  <c r="D504" i="75"/>
  <c r="D552" i="75"/>
  <c r="D570" i="75"/>
  <c r="D591" i="75"/>
  <c r="D533" i="75"/>
  <c r="D519" i="75"/>
  <c r="D123" i="68"/>
  <c r="D103" i="68"/>
  <c r="D146" i="68"/>
  <c r="D133" i="68"/>
  <c r="D83" i="68"/>
  <c r="D24" i="65"/>
  <c r="D19" i="65"/>
  <c r="C2" i="53"/>
  <c r="D389" i="70"/>
  <c r="D135" i="70"/>
  <c r="D401" i="70"/>
  <c r="D147" i="70"/>
  <c r="D737" i="65"/>
  <c r="D122" i="67"/>
  <c r="D116" i="67"/>
  <c r="D27" i="66"/>
  <c r="D831" i="75"/>
  <c r="D799" i="75"/>
  <c r="D838" i="75"/>
  <c r="D837" i="75"/>
  <c r="D791" i="75"/>
  <c r="D832" i="75"/>
  <c r="D444" i="75"/>
  <c r="D443" i="75"/>
  <c r="D22" i="75"/>
  <c r="D303" i="75"/>
  <c r="D306" i="75"/>
  <c r="D33" i="62"/>
  <c r="D52" i="62"/>
  <c r="D112" i="62"/>
  <c r="D120" i="62"/>
  <c r="D138" i="62"/>
  <c r="D182" i="62"/>
  <c r="D269" i="62" a="1"/>
  <c r="D269" i="62" s="1"/>
  <c r="D349" i="62"/>
  <c r="D526" i="62"/>
  <c r="D687" i="62"/>
  <c r="D19" i="64"/>
  <c r="D42" i="64"/>
  <c r="A36" i="74"/>
  <c r="A133" i="74"/>
  <c r="A157" i="74"/>
  <c r="A132" i="74"/>
  <c r="A25" i="74"/>
  <c r="A160" i="74"/>
  <c r="A134" i="74"/>
  <c r="A95" i="74"/>
  <c r="A94" i="74"/>
  <c r="A93" i="74"/>
  <c r="D396" i="62"/>
  <c r="D706" i="62"/>
  <c r="D685" i="62"/>
  <c r="D101" i="67"/>
  <c r="D383" i="65"/>
  <c r="D100" i="67"/>
  <c r="D379" i="65"/>
  <c r="D238" i="70"/>
  <c r="D451" i="70"/>
  <c r="D457" i="70"/>
  <c r="C132" i="68"/>
  <c r="D138" i="68"/>
  <c r="D132" i="68"/>
  <c r="D246" i="70"/>
  <c r="D103" i="66"/>
  <c r="D91" i="66"/>
  <c r="D97" i="66"/>
  <c r="D85" i="66"/>
  <c r="D109" i="70"/>
  <c r="D71" i="68"/>
  <c r="D391" i="75"/>
  <c r="D87" i="69"/>
  <c r="D89" i="67"/>
  <c r="D763" i="75"/>
  <c r="D259" i="62"/>
  <c r="D309" i="62"/>
  <c r="D330" i="62"/>
  <c r="D405" i="62"/>
  <c r="D496" i="62"/>
  <c r="D516" i="62"/>
  <c r="D564" i="62"/>
  <c r="D655" i="62"/>
  <c r="D671" i="62"/>
  <c r="D64" i="64"/>
  <c r="C72" i="64"/>
  <c r="C49" i="64"/>
  <c r="A60" i="74"/>
  <c r="A143" i="74"/>
  <c r="D680" i="65"/>
  <c r="D625" i="62"/>
  <c r="D50" i="65"/>
  <c r="D498" i="62"/>
  <c r="D553" i="65"/>
  <c r="D530" i="62"/>
  <c r="D569" i="65"/>
  <c r="D585" i="65"/>
  <c r="D252" i="70"/>
  <c r="D238" i="68"/>
  <c r="D237" i="68"/>
  <c r="D126" i="69"/>
  <c r="D23" i="67"/>
  <c r="D579" i="65"/>
  <c r="D621" i="65"/>
  <c r="D316" i="68"/>
  <c r="D622" i="75"/>
  <c r="D733" i="75"/>
  <c r="D193" i="68"/>
  <c r="D287" i="68"/>
  <c r="D283" i="68"/>
  <c r="D274" i="68"/>
  <c r="D747" i="65"/>
  <c r="D698" i="65"/>
  <c r="D394" i="65"/>
  <c r="D697" i="65"/>
  <c r="D676" i="65"/>
  <c r="D739" i="65"/>
  <c r="D733" i="65"/>
  <c r="D60" i="65"/>
  <c r="D13" i="65"/>
  <c r="D180" i="68"/>
  <c r="D166" i="68"/>
  <c r="D40" i="66"/>
  <c r="D276" i="75"/>
  <c r="D461" i="75"/>
  <c r="D485" i="75"/>
  <c r="D508" i="75"/>
  <c r="D92" i="69"/>
  <c r="D396" i="75"/>
  <c r="D34" i="62"/>
  <c r="D42" i="62"/>
  <c r="D67" i="62"/>
  <c r="D86" i="62"/>
  <c r="D100" i="62"/>
  <c r="D113" i="62"/>
  <c r="D139" i="62"/>
  <c r="D220" i="62"/>
  <c r="D234" i="62"/>
  <c r="D248" i="62" a="1"/>
  <c r="D248" i="62" s="1"/>
  <c r="D270" i="62"/>
  <c r="D565" i="62"/>
  <c r="D611" i="62"/>
  <c r="D689" i="62"/>
  <c r="C42" i="95" l="1"/>
  <c r="C13" i="29"/>
  <c r="E9" i="29"/>
  <c r="C165" i="67"/>
  <c r="F130" i="30"/>
  <c r="G9" i="29"/>
  <c r="C14" i="29"/>
  <c r="C77" i="67"/>
  <c r="D84" i="68"/>
  <c r="D83" i="97"/>
  <c r="D201" i="68"/>
  <c r="D41" i="97"/>
  <c r="D239" i="83"/>
  <c r="D238" i="83"/>
  <c r="A70" i="74"/>
  <c r="D95" i="97"/>
  <c r="A69" i="74"/>
  <c r="D93" i="97"/>
  <c r="A68" i="74"/>
  <c r="D91" i="97"/>
  <c r="D61" i="97"/>
  <c r="D98" i="99"/>
  <c r="C238" i="70"/>
  <c r="D30" i="97"/>
  <c r="E208" i="88"/>
  <c r="E198" i="88"/>
  <c r="E207" i="88"/>
  <c r="E197" i="88"/>
  <c r="E196" i="88"/>
  <c r="E195" i="88"/>
  <c r="E206" i="88"/>
  <c r="E205" i="88"/>
  <c r="E204" i="88"/>
  <c r="E203" i="88"/>
  <c r="E193" i="88"/>
  <c r="E202" i="88"/>
  <c r="E201" i="88"/>
  <c r="E194" i="88"/>
  <c r="E200" i="88"/>
  <c r="E199" i="88"/>
  <c r="E95" i="88"/>
  <c r="E85" i="88"/>
  <c r="E91" i="88"/>
  <c r="E89" i="88"/>
  <c r="E88" i="88"/>
  <c r="E94" i="88"/>
  <c r="E84" i="88"/>
  <c r="E90" i="88"/>
  <c r="E86" i="88"/>
  <c r="E93" i="88"/>
  <c r="E92" i="88"/>
  <c r="E98" i="88"/>
  <c r="E99" i="88"/>
  <c r="E97" i="88"/>
  <c r="E87" i="88"/>
  <c r="E96" i="88"/>
  <c r="F63" i="30"/>
  <c r="F81" i="30"/>
  <c r="C476" i="65" s="1"/>
  <c r="C558" i="40"/>
  <c r="C360" i="75" s="1"/>
  <c r="C583" i="40"/>
  <c r="C720" i="75" s="1"/>
  <c r="C673" i="75"/>
  <c r="E68" i="88"/>
  <c r="E71" i="88"/>
  <c r="E67" i="88"/>
  <c r="E69" i="88"/>
  <c r="E70" i="88"/>
  <c r="D718" i="75"/>
  <c r="K69" i="33"/>
  <c r="C238" i="83"/>
  <c r="C239" i="83"/>
  <c r="C466" i="40"/>
  <c r="C469" i="40"/>
  <c r="C468" i="40"/>
  <c r="C467" i="40"/>
  <c r="C321" i="90"/>
  <c r="C223" i="90"/>
  <c r="C124" i="90"/>
  <c r="C289" i="90"/>
  <c r="C256" i="90"/>
  <c r="C190" i="90"/>
  <c r="C157" i="90"/>
  <c r="C65" i="90"/>
  <c r="C458" i="40"/>
  <c r="K47" i="33"/>
  <c r="J47" i="33"/>
  <c r="C202" i="70"/>
  <c r="C207" i="70" s="1"/>
  <c r="C215" i="83"/>
  <c r="D219" i="83"/>
  <c r="D223" i="83"/>
  <c r="C141" i="67"/>
  <c r="C228" i="83"/>
  <c r="C53" i="83"/>
  <c r="D53" i="83"/>
  <c r="C477" i="40"/>
  <c r="C446" i="40"/>
  <c r="C447" i="40"/>
  <c r="C478" i="40"/>
  <c r="C219" i="40"/>
  <c r="C229" i="40" s="1"/>
  <c r="C69" i="67"/>
  <c r="D134" i="67"/>
  <c r="D128" i="67"/>
  <c r="C128" i="67"/>
  <c r="C473" i="65"/>
  <c r="C474" i="65"/>
  <c r="C134" i="67"/>
  <c r="D75" i="68"/>
  <c r="D52" i="68"/>
  <c r="J40" i="33"/>
  <c r="K39" i="33"/>
  <c r="K40" i="33"/>
  <c r="C201" i="68"/>
  <c r="J39" i="33"/>
  <c r="B101" i="90" a="1"/>
  <c r="F394" i="87"/>
  <c r="D680" i="75" s="1"/>
  <c r="E262" i="88"/>
  <c r="J61" i="33"/>
  <c r="E171" i="88" s="1"/>
  <c r="F75" i="30"/>
  <c r="F64" i="30"/>
  <c r="C43" i="65" s="1"/>
  <c r="F65" i="30"/>
  <c r="C45" i="65" s="1"/>
  <c r="F74" i="30"/>
  <c r="F73" i="30"/>
  <c r="F72" i="30"/>
  <c r="F71" i="30"/>
  <c r="C589" i="65" s="1"/>
  <c r="F68" i="30"/>
  <c r="C626" i="65" s="1"/>
  <c r="F67" i="30"/>
  <c r="C49" i="65" s="1"/>
  <c r="F70" i="30"/>
  <c r="C573" i="65" s="1"/>
  <c r="F66" i="30"/>
  <c r="C47" i="65" s="1"/>
  <c r="F69" i="30"/>
  <c r="C603" i="65" s="1"/>
  <c r="C62" i="66"/>
  <c r="C70" i="66"/>
  <c r="D75" i="66"/>
  <c r="D67" i="66"/>
  <c r="D184" i="69"/>
  <c r="D52" i="69"/>
  <c r="D68" i="69"/>
  <c r="D83" i="69"/>
  <c r="B2" i="53"/>
  <c r="D62" i="66"/>
  <c r="C68" i="69"/>
  <c r="C52" i="69"/>
  <c r="C83" i="69"/>
  <c r="D66" i="66"/>
  <c r="D74" i="66"/>
  <c r="D107" i="70"/>
  <c r="D90" i="70"/>
  <c r="C163" i="83"/>
  <c r="C65" i="66"/>
  <c r="C73" i="66"/>
  <c r="C144" i="69"/>
  <c r="C66" i="66"/>
  <c r="C74" i="66"/>
  <c r="C75" i="66"/>
  <c r="C94" i="66"/>
  <c r="C63" i="66"/>
  <c r="C72" i="66"/>
  <c r="C38" i="66"/>
  <c r="C71" i="66"/>
  <c r="C64" i="66"/>
  <c r="C100" i="66"/>
  <c r="C88" i="66"/>
  <c r="C67" i="66"/>
  <c r="C82" i="66"/>
  <c r="C32" i="66"/>
  <c r="C967" i="56"/>
  <c r="I1014" i="56"/>
  <c r="M1012" i="56"/>
  <c r="F1058" i="56"/>
  <c r="M569" i="56"/>
  <c r="C568" i="56"/>
  <c r="I569" i="56"/>
  <c r="F569" i="56"/>
  <c r="I1005" i="56"/>
  <c r="C958" i="56"/>
  <c r="F1049" i="56"/>
  <c r="M1003" i="56"/>
  <c r="D40" i="68"/>
  <c r="D38" i="68"/>
  <c r="D72" i="83"/>
  <c r="D70" i="83"/>
  <c r="D78" i="70"/>
  <c r="D76" i="70"/>
  <c r="D40" i="69"/>
  <c r="D38" i="69"/>
  <c r="F1040" i="56"/>
  <c r="M994" i="56"/>
  <c r="C949" i="56"/>
  <c r="I996" i="56"/>
  <c r="C665" i="56"/>
  <c r="M706" i="56"/>
  <c r="I706" i="56"/>
  <c r="F746" i="56"/>
  <c r="M574" i="56"/>
  <c r="I574" i="56"/>
  <c r="F574" i="56"/>
  <c r="C573" i="56"/>
  <c r="C41" i="68"/>
  <c r="C41" i="69"/>
  <c r="C73" i="83"/>
  <c r="C79" i="70"/>
  <c r="C194" i="40"/>
  <c r="C78" i="70"/>
  <c r="C38" i="69"/>
  <c r="C76" i="70"/>
  <c r="C70" i="83"/>
  <c r="C40" i="69"/>
  <c r="C72" i="83"/>
  <c r="C40" i="68"/>
  <c r="C38" i="68"/>
  <c r="D23" i="65"/>
  <c r="D828" i="75"/>
  <c r="D10" i="64"/>
  <c r="D18" i="64"/>
  <c r="C18" i="64"/>
  <c r="C10" i="64"/>
  <c r="C109" i="89"/>
  <c r="C536" i="65" s="1"/>
  <c r="C106" i="89"/>
  <c r="C531" i="65" s="1"/>
  <c r="C56" i="89"/>
  <c r="C481" i="62" s="1"/>
  <c r="C53" i="89"/>
  <c r="D42" i="95"/>
  <c r="C22" i="95"/>
  <c r="D17" i="95"/>
  <c r="C479" i="65"/>
  <c r="D85" i="67"/>
  <c r="D14" i="67"/>
  <c r="C17" i="95"/>
  <c r="C45" i="95"/>
  <c r="C29" i="95"/>
  <c r="C23" i="95"/>
  <c r="C43" i="95"/>
  <c r="C44" i="95"/>
  <c r="D104" i="83"/>
  <c r="D81" i="95"/>
  <c r="D85" i="95"/>
  <c r="D89" i="95"/>
  <c r="D63" i="95"/>
  <c r="D77" i="95"/>
  <c r="D21" i="67"/>
  <c r="C698" i="65"/>
  <c r="C28" i="95"/>
  <c r="C71" i="95"/>
  <c r="C58" i="95"/>
  <c r="C16" i="95"/>
  <c r="C21" i="95"/>
  <c r="C35" i="95"/>
  <c r="C53" i="95"/>
  <c r="C67" i="95"/>
  <c r="C12" i="95"/>
  <c r="D70" i="67"/>
  <c r="D22" i="95"/>
  <c r="D86" i="67"/>
  <c r="C217" i="62"/>
  <c r="D82" i="67"/>
  <c r="L92" i="92"/>
  <c r="L91" i="92"/>
  <c r="M59" i="92"/>
  <c r="M58" i="92"/>
  <c r="M224" i="92"/>
  <c r="M223" i="92"/>
  <c r="D26" i="92"/>
  <c r="D25" i="92"/>
  <c r="O191" i="92"/>
  <c r="O190" i="92"/>
  <c r="D190" i="92"/>
  <c r="D191" i="92"/>
  <c r="P158" i="92"/>
  <c r="P157" i="92"/>
  <c r="H92" i="92"/>
  <c r="H91" i="92"/>
  <c r="H26" i="92"/>
  <c r="H25" i="92"/>
  <c r="I58" i="92"/>
  <c r="I59" i="92"/>
  <c r="G223" i="92"/>
  <c r="G224" i="92"/>
  <c r="D125" i="92"/>
  <c r="D124" i="92"/>
  <c r="K125" i="92"/>
  <c r="K124" i="92"/>
  <c r="L125" i="92"/>
  <c r="L124" i="92"/>
  <c r="C92" i="92"/>
  <c r="C91" i="92"/>
  <c r="C257" i="92"/>
  <c r="C256" i="92"/>
  <c r="E58" i="92"/>
  <c r="E59" i="92"/>
  <c r="E224" i="92"/>
  <c r="E223" i="92"/>
  <c r="N224" i="92"/>
  <c r="N223" i="92"/>
  <c r="F191" i="92"/>
  <c r="F190" i="92"/>
  <c r="R125" i="92"/>
  <c r="R124" i="92"/>
  <c r="R26" i="92"/>
  <c r="R25" i="92"/>
  <c r="I124" i="92"/>
  <c r="I125" i="92"/>
  <c r="G256" i="92"/>
  <c r="G257" i="92"/>
  <c r="Q58" i="92"/>
  <c r="Q59" i="92"/>
  <c r="K158" i="92"/>
  <c r="K157" i="92"/>
  <c r="D69" i="68"/>
  <c r="D376" i="68"/>
  <c r="L158" i="92"/>
  <c r="L157" i="92"/>
  <c r="M92" i="92"/>
  <c r="M91" i="92"/>
  <c r="M257" i="92"/>
  <c r="M256" i="92"/>
  <c r="O58" i="92"/>
  <c r="O59" i="92"/>
  <c r="O224" i="92"/>
  <c r="O223" i="92"/>
  <c r="D256" i="92"/>
  <c r="D257" i="92"/>
  <c r="P191" i="92"/>
  <c r="P190" i="92"/>
  <c r="H157" i="92"/>
  <c r="H158" i="92"/>
  <c r="G58" i="92"/>
  <c r="G59" i="92"/>
  <c r="I158" i="92"/>
  <c r="I157" i="92"/>
  <c r="G25" i="92"/>
  <c r="G26" i="92"/>
  <c r="Q157" i="92"/>
  <c r="Q158" i="92"/>
  <c r="K191" i="92"/>
  <c r="K190" i="92"/>
  <c r="L190" i="92"/>
  <c r="L191" i="92"/>
  <c r="C125" i="92"/>
  <c r="C124" i="92"/>
  <c r="C26" i="92"/>
  <c r="C25" i="92"/>
  <c r="E92" i="92"/>
  <c r="E91" i="92"/>
  <c r="E256" i="92"/>
  <c r="E257" i="92"/>
  <c r="F59" i="92"/>
  <c r="F58" i="92"/>
  <c r="F224" i="92"/>
  <c r="F223" i="92"/>
  <c r="R157" i="92"/>
  <c r="R158" i="92"/>
  <c r="G91" i="92"/>
  <c r="G92" i="92"/>
  <c r="I190" i="92"/>
  <c r="I191" i="92"/>
  <c r="J59" i="92"/>
  <c r="J58" i="92"/>
  <c r="Q256" i="92"/>
  <c r="Q257" i="92"/>
  <c r="K224" i="92"/>
  <c r="K223" i="92"/>
  <c r="L224" i="92"/>
  <c r="L223" i="92"/>
  <c r="M125" i="92"/>
  <c r="M124" i="92"/>
  <c r="M26" i="92"/>
  <c r="M25" i="92"/>
  <c r="O92" i="92"/>
  <c r="O91" i="92"/>
  <c r="O256" i="92"/>
  <c r="O257" i="92"/>
  <c r="P59" i="92"/>
  <c r="P58" i="92"/>
  <c r="P224" i="92"/>
  <c r="P223" i="92"/>
  <c r="H191" i="92"/>
  <c r="H190" i="92"/>
  <c r="G124" i="92"/>
  <c r="G125" i="92"/>
  <c r="I224" i="92"/>
  <c r="I223" i="92"/>
  <c r="J125" i="92"/>
  <c r="J124" i="92"/>
  <c r="R59" i="92"/>
  <c r="R58" i="92"/>
  <c r="K256" i="92"/>
  <c r="K257" i="92"/>
  <c r="L257" i="92"/>
  <c r="L256" i="92"/>
  <c r="C158" i="92"/>
  <c r="C157" i="92"/>
  <c r="N26" i="92"/>
  <c r="N25" i="92"/>
  <c r="E125" i="92"/>
  <c r="E124" i="92"/>
  <c r="E25" i="92"/>
  <c r="E26" i="92"/>
  <c r="F92" i="92"/>
  <c r="F91" i="92"/>
  <c r="F257" i="92"/>
  <c r="F256" i="92"/>
  <c r="R191" i="92"/>
  <c r="R190" i="92"/>
  <c r="G190" i="92"/>
  <c r="G191" i="92"/>
  <c r="I257" i="92"/>
  <c r="I256" i="92"/>
  <c r="J191" i="92"/>
  <c r="J190" i="92"/>
  <c r="I92" i="92"/>
  <c r="I91" i="92"/>
  <c r="K25" i="92"/>
  <c r="K26" i="92"/>
  <c r="L26" i="92"/>
  <c r="L25" i="92"/>
  <c r="M158" i="92"/>
  <c r="M157" i="92"/>
  <c r="N158" i="92"/>
  <c r="N157" i="92"/>
  <c r="O125" i="92"/>
  <c r="O124" i="92"/>
  <c r="O25" i="92"/>
  <c r="O26" i="92"/>
  <c r="P92" i="92"/>
  <c r="P91" i="92"/>
  <c r="P257" i="92"/>
  <c r="P256" i="92"/>
  <c r="H223" i="92"/>
  <c r="H224" i="92"/>
  <c r="Q223" i="92"/>
  <c r="Q224" i="92"/>
  <c r="I26" i="92"/>
  <c r="I25" i="92"/>
  <c r="J223" i="92"/>
  <c r="J224" i="92"/>
  <c r="J92" i="92"/>
  <c r="J91" i="92"/>
  <c r="D59" i="92"/>
  <c r="D58" i="92"/>
  <c r="C191" i="92"/>
  <c r="C190" i="92"/>
  <c r="N191" i="92"/>
  <c r="N190" i="92"/>
  <c r="E158" i="92"/>
  <c r="E157" i="92"/>
  <c r="N91" i="92"/>
  <c r="N92" i="92"/>
  <c r="F125" i="92"/>
  <c r="F124" i="92"/>
  <c r="F26" i="92"/>
  <c r="F25" i="92"/>
  <c r="R223" i="92"/>
  <c r="R224" i="92"/>
  <c r="H59" i="92"/>
  <c r="H58" i="92"/>
  <c r="Q124" i="92"/>
  <c r="Q125" i="92"/>
  <c r="J257" i="92"/>
  <c r="J256" i="92"/>
  <c r="J158" i="92"/>
  <c r="J157" i="92"/>
  <c r="Q91" i="92"/>
  <c r="Q92" i="92"/>
  <c r="D92" i="92"/>
  <c r="D91" i="92"/>
  <c r="M191" i="92"/>
  <c r="M190" i="92"/>
  <c r="D224" i="92"/>
  <c r="D223" i="92"/>
  <c r="O158" i="92"/>
  <c r="O157" i="92"/>
  <c r="N125" i="92"/>
  <c r="N124" i="92"/>
  <c r="P125" i="92"/>
  <c r="P124" i="92"/>
  <c r="P26" i="92"/>
  <c r="P25" i="92"/>
  <c r="H257" i="92"/>
  <c r="H256" i="92"/>
  <c r="R92" i="92"/>
  <c r="R91" i="92"/>
  <c r="G157" i="92"/>
  <c r="G158" i="92"/>
  <c r="J25" i="92"/>
  <c r="J26" i="92"/>
  <c r="K59" i="92"/>
  <c r="K58" i="92"/>
  <c r="L59" i="92"/>
  <c r="L58" i="92"/>
  <c r="C58" i="92"/>
  <c r="C59" i="92"/>
  <c r="C224" i="92"/>
  <c r="C223" i="92"/>
  <c r="N256" i="92"/>
  <c r="N257" i="92"/>
  <c r="E191" i="92"/>
  <c r="E190" i="92"/>
  <c r="D158" i="92"/>
  <c r="D157" i="92"/>
  <c r="F158" i="92"/>
  <c r="F157" i="92"/>
  <c r="Q25" i="92"/>
  <c r="Q26" i="92"/>
  <c r="R257" i="92"/>
  <c r="R256" i="92"/>
  <c r="H125" i="92"/>
  <c r="H124" i="92"/>
  <c r="Q190" i="92"/>
  <c r="Q191" i="92"/>
  <c r="N59" i="92"/>
  <c r="N58" i="92"/>
  <c r="K92" i="92"/>
  <c r="K91" i="92"/>
  <c r="C125" i="90"/>
  <c r="C346" i="40"/>
  <c r="D475" i="70"/>
  <c r="D225" i="75"/>
  <c r="C22" i="89"/>
  <c r="C49" i="89" s="1"/>
  <c r="C21" i="89"/>
  <c r="C48" i="89" s="1"/>
  <c r="E40" i="58"/>
  <c r="G40" i="58"/>
  <c r="F13" i="58" s="1"/>
  <c r="F40" i="58"/>
  <c r="C480" i="65"/>
  <c r="C472" i="65"/>
  <c r="C464" i="65"/>
  <c r="D40" i="58"/>
  <c r="K25" i="54"/>
  <c r="C388" i="62"/>
  <c r="C122" i="83"/>
  <c r="F51" i="30"/>
  <c r="F50" i="30"/>
  <c r="F52" i="30"/>
  <c r="F49" i="30"/>
  <c r="C319" i="90"/>
  <c r="C155" i="90"/>
  <c r="C122" i="90"/>
  <c r="C188" i="90"/>
  <c r="C318" i="90"/>
  <c r="C154" i="90"/>
  <c r="C233" i="40"/>
  <c r="C121" i="90"/>
  <c r="C232" i="40"/>
  <c r="C287" i="90"/>
  <c r="C286" i="90"/>
  <c r="C254" i="90"/>
  <c r="C253" i="90"/>
  <c r="C221" i="90"/>
  <c r="C220" i="90"/>
  <c r="C187" i="90"/>
  <c r="E214" i="88"/>
  <c r="E218" i="88"/>
  <c r="E212" i="88"/>
  <c r="E216" i="88"/>
  <c r="E169" i="88"/>
  <c r="E168" i="88"/>
  <c r="E166" i="88"/>
  <c r="E167" i="88"/>
  <c r="C14" i="90"/>
  <c r="C12" i="90"/>
  <c r="C157" i="62" s="1"/>
  <c r="C292" i="90"/>
  <c r="C191" i="90"/>
  <c r="C290" i="90"/>
  <c r="C193" i="90"/>
  <c r="C259" i="90"/>
  <c r="C226" i="90"/>
  <c r="C257" i="90"/>
  <c r="C224" i="90"/>
  <c r="C126" i="90"/>
  <c r="C66" i="90"/>
  <c r="C127" i="90"/>
  <c r="C322" i="90"/>
  <c r="C158" i="90"/>
  <c r="C324" i="90"/>
  <c r="C160" i="90"/>
  <c r="C68" i="90"/>
  <c r="C595" i="62"/>
  <c r="C629" i="62"/>
  <c r="C108" i="40"/>
  <c r="C438" i="40"/>
  <c r="C212" i="69" s="1"/>
  <c r="C314" i="40"/>
  <c r="C305" i="40"/>
  <c r="C337" i="40"/>
  <c r="C41" i="90"/>
  <c r="C39" i="90"/>
  <c r="C97" i="90"/>
  <c r="D172" i="69"/>
  <c r="F147" i="63"/>
  <c r="C30" i="89"/>
  <c r="C688" i="62" s="1"/>
  <c r="C27" i="89"/>
  <c r="C86" i="89"/>
  <c r="C83" i="89"/>
  <c r="C139" i="89"/>
  <c r="C136" i="89"/>
  <c r="AE9" i="87"/>
  <c r="C146" i="89"/>
  <c r="C262" i="40"/>
  <c r="E153" i="88"/>
  <c r="E259" i="88"/>
  <c r="C268" i="40"/>
  <c r="C57" i="65" s="1"/>
  <c r="D111" i="88"/>
  <c r="D387" i="70"/>
  <c r="D237" i="70"/>
  <c r="D218" i="69"/>
  <c r="D250" i="70"/>
  <c r="D332" i="70"/>
  <c r="D844" i="75"/>
  <c r="C13" i="90"/>
  <c r="E107" i="88"/>
  <c r="E105" i="88"/>
  <c r="E103" i="88"/>
  <c r="C323" i="90"/>
  <c r="C192" i="90"/>
  <c r="C258" i="90"/>
  <c r="C67" i="90"/>
  <c r="C225" i="90"/>
  <c r="C291" i="90"/>
  <c r="C159" i="90"/>
  <c r="E56" i="88"/>
  <c r="C140" i="62" s="1"/>
  <c r="E60" i="88"/>
  <c r="C161" i="62" s="1"/>
  <c r="E58" i="88"/>
  <c r="C142" i="62" s="1"/>
  <c r="E62" i="88"/>
  <c r="E165" i="88"/>
  <c r="E163" i="88"/>
  <c r="E161" i="88"/>
  <c r="C274" i="40"/>
  <c r="C63" i="65" s="1"/>
  <c r="C342" i="40"/>
  <c r="C310" i="40"/>
  <c r="C320" i="40"/>
  <c r="C317" i="40"/>
  <c r="C352" i="40"/>
  <c r="C358" i="65" s="1"/>
  <c r="C349" i="40"/>
  <c r="F118" i="30"/>
  <c r="F113" i="30"/>
  <c r="F112" i="30"/>
  <c r="F104" i="30"/>
  <c r="C96" i="69" s="1"/>
  <c r="G21" i="89"/>
  <c r="F103" i="30"/>
  <c r="C93" i="69" s="1"/>
  <c r="F102" i="30"/>
  <c r="C90" i="69" s="1"/>
  <c r="E21" i="89"/>
  <c r="F101" i="30"/>
  <c r="F141" i="30"/>
  <c r="F123" i="30"/>
  <c r="F94" i="30"/>
  <c r="F122" i="30"/>
  <c r="C68" i="68" s="1"/>
  <c r="F93" i="30"/>
  <c r="F117" i="30"/>
  <c r="C212" i="83" s="1"/>
  <c r="F89" i="30"/>
  <c r="F111" i="30"/>
  <c r="F86" i="30"/>
  <c r="C12" i="64" s="1"/>
  <c r="F110" i="30"/>
  <c r="F109" i="30"/>
  <c r="G22" i="89"/>
  <c r="G49" i="89" s="1"/>
  <c r="F108" i="30"/>
  <c r="F97" i="30"/>
  <c r="C80" i="64" s="1"/>
  <c r="E22" i="89"/>
  <c r="C465" i="65" s="1"/>
  <c r="F125" i="30"/>
  <c r="F96" i="30"/>
  <c r="C91" i="64" s="1"/>
  <c r="F124" i="30"/>
  <c r="F95" i="30"/>
  <c r="C98" i="90"/>
  <c r="U76" i="87"/>
  <c r="R76" i="87"/>
  <c r="L76" i="87"/>
  <c r="O76" i="87"/>
  <c r="AA76" i="87"/>
  <c r="I76" i="87"/>
  <c r="X76" i="87"/>
  <c r="L75" i="87"/>
  <c r="O75" i="87"/>
  <c r="R75" i="87"/>
  <c r="X75" i="87"/>
  <c r="AA75" i="87"/>
  <c r="U75" i="87"/>
  <c r="I75" i="87"/>
  <c r="AA77" i="87"/>
  <c r="X77" i="87"/>
  <c r="U77" i="87"/>
  <c r="R77" i="87"/>
  <c r="O77" i="87"/>
  <c r="I77" i="87"/>
  <c r="L77" i="87"/>
  <c r="D159" i="85"/>
  <c r="D158" i="85"/>
  <c r="I183" i="87"/>
  <c r="I189" i="87"/>
  <c r="I191" i="87"/>
  <c r="I188" i="87"/>
  <c r="I179" i="87"/>
  <c r="I185" i="87"/>
  <c r="I182" i="87"/>
  <c r="I184" i="87"/>
  <c r="I180" i="87"/>
  <c r="I186" i="87"/>
  <c r="I192" i="87"/>
  <c r="I181" i="87"/>
  <c r="I190" i="87"/>
  <c r="I178" i="87"/>
  <c r="I187" i="87"/>
  <c r="I193" i="87"/>
  <c r="C254" i="40"/>
  <c r="C109" i="40"/>
  <c r="C255" i="40"/>
  <c r="D223" i="69"/>
  <c r="D336" i="68"/>
  <c r="D368" i="68"/>
  <c r="D245" i="70"/>
  <c r="D230" i="75"/>
  <c r="C295" i="40"/>
  <c r="C102" i="40"/>
  <c r="C563" i="62" s="1"/>
  <c r="C225" i="40"/>
  <c r="C222" i="40"/>
  <c r="C499" i="40"/>
  <c r="C197" i="40"/>
  <c r="C26" i="65" s="1"/>
  <c r="C432" i="40"/>
  <c r="G77" i="89"/>
  <c r="G101" i="89" s="1"/>
  <c r="E116" i="88"/>
  <c r="D153" i="30"/>
  <c r="C143" i="85" s="1"/>
  <c r="G72" i="89"/>
  <c r="G70" i="89"/>
  <c r="C145" i="85" s="1"/>
  <c r="G71" i="89"/>
  <c r="E119" i="88"/>
  <c r="E152" i="88"/>
  <c r="E76" i="89"/>
  <c r="E100" i="89" s="1"/>
  <c r="E124" i="88"/>
  <c r="E137" i="88"/>
  <c r="E115" i="88"/>
  <c r="E135" i="88"/>
  <c r="E145" i="88"/>
  <c r="E144" i="88"/>
  <c r="F144" i="30"/>
  <c r="E127" i="88"/>
  <c r="E129" i="88"/>
  <c r="E164" i="88"/>
  <c r="G74" i="89"/>
  <c r="E134" i="88"/>
  <c r="C677" i="75" s="1"/>
  <c r="E122" i="88"/>
  <c r="E68" i="89"/>
  <c r="E71" i="89"/>
  <c r="E142" i="88"/>
  <c r="E138" i="88"/>
  <c r="E140" i="88"/>
  <c r="G76" i="89"/>
  <c r="G100" i="89" s="1"/>
  <c r="E123" i="88"/>
  <c r="E117" i="88"/>
  <c r="E148" i="88"/>
  <c r="E77" i="89"/>
  <c r="E101" i="89" s="1"/>
  <c r="E157" i="88"/>
  <c r="E150" i="88"/>
  <c r="E120" i="88"/>
  <c r="E78" i="89"/>
  <c r="E102" i="89" s="1"/>
  <c r="E126" i="88"/>
  <c r="E118" i="88"/>
  <c r="E70" i="89"/>
  <c r="E133" i="88"/>
  <c r="C674" i="75" s="1"/>
  <c r="E121" i="88"/>
  <c r="G68" i="89"/>
  <c r="C617" i="75" s="1"/>
  <c r="D152" i="30"/>
  <c r="C133" i="85" s="1"/>
  <c r="G69" i="89"/>
  <c r="C135" i="85" s="1"/>
  <c r="E128" i="88"/>
  <c r="E74" i="89"/>
  <c r="F145" i="30"/>
  <c r="E149" i="88"/>
  <c r="C734" i="65" s="1"/>
  <c r="E132" i="88"/>
  <c r="C671" i="75" s="1"/>
  <c r="E162" i="88"/>
  <c r="E139" i="88"/>
  <c r="E131" i="88"/>
  <c r="E143" i="88"/>
  <c r="E141" i="88"/>
  <c r="E114" i="88"/>
  <c r="E136" i="88"/>
  <c r="E151" i="88"/>
  <c r="E75" i="89"/>
  <c r="E99" i="89" s="1"/>
  <c r="E156" i="88"/>
  <c r="E155" i="88"/>
  <c r="C741" i="65" s="1"/>
  <c r="E170" i="88"/>
  <c r="E125" i="88"/>
  <c r="E146" i="88"/>
  <c r="E160" i="88"/>
  <c r="E72" i="89"/>
  <c r="E73" i="89"/>
  <c r="E154" i="88"/>
  <c r="G73" i="89"/>
  <c r="G78" i="89"/>
  <c r="G102" i="89" s="1"/>
  <c r="E69" i="89"/>
  <c r="G75" i="89"/>
  <c r="G99" i="89" s="1"/>
  <c r="C500" i="40"/>
  <c r="C501" i="40"/>
  <c r="C248" i="40"/>
  <c r="C618" i="65" s="1"/>
  <c r="C37" i="89"/>
  <c r="C39" i="89"/>
  <c r="C40" i="89"/>
  <c r="C38" i="89"/>
  <c r="E82" i="88"/>
  <c r="E72" i="88"/>
  <c r="G40" i="89"/>
  <c r="E104" i="88"/>
  <c r="E80" i="88"/>
  <c r="G38" i="89"/>
  <c r="G39" i="89"/>
  <c r="E106" i="88"/>
  <c r="E79" i="88"/>
  <c r="E78" i="88"/>
  <c r="E37" i="89"/>
  <c r="E73" i="88"/>
  <c r="E102" i="88"/>
  <c r="E77" i="88"/>
  <c r="E38" i="89"/>
  <c r="E76" i="88"/>
  <c r="E75" i="88"/>
  <c r="E40" i="89"/>
  <c r="E74" i="88"/>
  <c r="E39" i="89"/>
  <c r="E81" i="88"/>
  <c r="G37" i="89"/>
  <c r="E46" i="88"/>
  <c r="E35" i="88"/>
  <c r="E24" i="88"/>
  <c r="E14" i="88"/>
  <c r="F138" i="30"/>
  <c r="C270" i="75" s="1"/>
  <c r="F39" i="30"/>
  <c r="G17" i="89"/>
  <c r="G44" i="89" s="1"/>
  <c r="E15" i="89"/>
  <c r="E42" i="89" s="1"/>
  <c r="E52" i="88"/>
  <c r="E40" i="88"/>
  <c r="E29" i="88"/>
  <c r="C326" i="75" s="1"/>
  <c r="E17" i="88"/>
  <c r="F158" i="30"/>
  <c r="F146" i="30"/>
  <c r="F43" i="30"/>
  <c r="C22" i="30"/>
  <c r="G18" i="89"/>
  <c r="G45" i="89" s="1"/>
  <c r="E17" i="89"/>
  <c r="E44" i="89" s="1"/>
  <c r="E51" i="88"/>
  <c r="E28" i="88"/>
  <c r="C323" i="75" s="1"/>
  <c r="F44" i="30"/>
  <c r="C21" i="30"/>
  <c r="E18" i="89"/>
  <c r="E45" i="89" s="1"/>
  <c r="E10" i="89"/>
  <c r="E39" i="88"/>
  <c r="E16" i="88"/>
  <c r="E50" i="88"/>
  <c r="E38" i="88"/>
  <c r="E27" i="88"/>
  <c r="C320" i="75" s="1"/>
  <c r="E15" i="88"/>
  <c r="F45" i="30"/>
  <c r="C571" i="62" s="1"/>
  <c r="C20" i="30"/>
  <c r="G11" i="89"/>
  <c r="C116" i="62" s="1"/>
  <c r="C333" i="75"/>
  <c r="E57" i="88"/>
  <c r="C141" i="62" s="1"/>
  <c r="E44" i="88"/>
  <c r="E32" i="88"/>
  <c r="E20" i="88"/>
  <c r="E9" i="88"/>
  <c r="F162" i="30"/>
  <c r="C19" i="82" s="1"/>
  <c r="E49" i="88"/>
  <c r="E37" i="88"/>
  <c r="E26" i="88"/>
  <c r="C317" i="75" s="1"/>
  <c r="E13" i="88"/>
  <c r="F46" i="30"/>
  <c r="G10" i="89"/>
  <c r="E9" i="89"/>
  <c r="E61" i="88"/>
  <c r="E48" i="88"/>
  <c r="E36" i="88"/>
  <c r="E23" i="88"/>
  <c r="E12" i="88"/>
  <c r="F139" i="30"/>
  <c r="F47" i="30"/>
  <c r="C518" i="62" s="1"/>
  <c r="C339" i="75"/>
  <c r="E47" i="88"/>
  <c r="E34" i="88"/>
  <c r="E22" i="88"/>
  <c r="E11" i="88"/>
  <c r="C137" i="62" s="1"/>
  <c r="F140" i="30"/>
  <c r="F38" i="30"/>
  <c r="F48" i="30"/>
  <c r="C534" i="62" s="1"/>
  <c r="G12" i="89"/>
  <c r="C117" i="62" s="1"/>
  <c r="E11" i="89"/>
  <c r="C113" i="62" s="1"/>
  <c r="G13" i="89"/>
  <c r="C159" i="62" s="1"/>
  <c r="E12" i="89"/>
  <c r="C114" i="62" s="1"/>
  <c r="C336" i="75"/>
  <c r="E59" i="88"/>
  <c r="C160" i="62" s="1"/>
  <c r="E45" i="88"/>
  <c r="E33" i="88"/>
  <c r="E21" i="88"/>
  <c r="E10" i="88"/>
  <c r="E43" i="88"/>
  <c r="E31" i="88"/>
  <c r="E19" i="88"/>
  <c r="F150" i="30"/>
  <c r="F41" i="30"/>
  <c r="C476" i="62"/>
  <c r="G15" i="89"/>
  <c r="G42" i="89" s="1"/>
  <c r="E14" i="89"/>
  <c r="E41" i="89" s="1"/>
  <c r="G9" i="89"/>
  <c r="E55" i="88"/>
  <c r="C139" i="62" s="1"/>
  <c r="E41" i="88"/>
  <c r="E30" i="88"/>
  <c r="E18" i="88"/>
  <c r="F157" i="30"/>
  <c r="F42" i="30"/>
  <c r="C23" i="30"/>
  <c r="G16" i="89"/>
  <c r="G43" i="89" s="1"/>
  <c r="E16" i="89"/>
  <c r="E43" i="89" s="1"/>
  <c r="E13" i="89"/>
  <c r="C158" i="62" s="1"/>
  <c r="F40" i="30"/>
  <c r="C182" i="62" s="1"/>
  <c r="G14" i="89"/>
  <c r="G41" i="89" s="1"/>
  <c r="C405" i="40"/>
  <c r="C16" i="89"/>
  <c r="C43" i="89" s="1"/>
  <c r="C9" i="89"/>
  <c r="C104" i="62" s="1"/>
  <c r="C12" i="89"/>
  <c r="C107" i="62" s="1"/>
  <c r="C11" i="89"/>
  <c r="C13" i="89"/>
  <c r="C14" i="89"/>
  <c r="C41" i="89" s="1"/>
  <c r="C17" i="89"/>
  <c r="C44" i="89" s="1"/>
  <c r="C10" i="89"/>
  <c r="C18" i="89"/>
  <c r="C45" i="89" s="1"/>
  <c r="C15" i="89"/>
  <c r="C42" i="89" s="1"/>
  <c r="F80" i="30"/>
  <c r="F57" i="30"/>
  <c r="F58" i="30"/>
  <c r="C24" i="30"/>
  <c r="C25" i="30"/>
  <c r="G63" i="89"/>
  <c r="C423" i="62" s="1"/>
  <c r="E63" i="89"/>
  <c r="C407" i="40"/>
  <c r="C406" i="40"/>
  <c r="C185" i="40"/>
  <c r="C188" i="40" s="1"/>
  <c r="C553" i="40"/>
  <c r="C186" i="40"/>
  <c r="C554" i="40"/>
  <c r="C512" i="40"/>
  <c r="C437" i="40"/>
  <c r="C187" i="40"/>
  <c r="C189" i="40"/>
  <c r="C556" i="40"/>
  <c r="C555" i="40"/>
  <c r="C43" i="75" s="1"/>
  <c r="C292" i="40"/>
  <c r="C557" i="40"/>
  <c r="D80" i="30"/>
  <c r="D57" i="30"/>
  <c r="C19" i="30"/>
  <c r="C13" i="30"/>
  <c r="C495" i="65" s="1"/>
  <c r="C550" i="40"/>
  <c r="C558" i="75" s="1"/>
  <c r="C12" i="30"/>
  <c r="C580" i="40"/>
  <c r="C293" i="40"/>
  <c r="C294" i="40"/>
  <c r="E116" i="89"/>
  <c r="G116" i="89"/>
  <c r="C478" i="65" s="1"/>
  <c r="G97" i="89"/>
  <c r="G96" i="89"/>
  <c r="E95" i="89"/>
  <c r="E190" i="88"/>
  <c r="G93" i="89"/>
  <c r="E176" i="88"/>
  <c r="E177" i="88"/>
  <c r="E186" i="88"/>
  <c r="E187" i="88"/>
  <c r="E180" i="88"/>
  <c r="E93" i="89"/>
  <c r="E179" i="88"/>
  <c r="E189" i="88"/>
  <c r="C690" i="75"/>
  <c r="E181" i="88"/>
  <c r="G94" i="89"/>
  <c r="E215" i="88"/>
  <c r="E183" i="88"/>
  <c r="E185" i="88"/>
  <c r="E188" i="88"/>
  <c r="E213" i="88"/>
  <c r="E94" i="89"/>
  <c r="G95" i="89"/>
  <c r="E191" i="88"/>
  <c r="E182" i="88"/>
  <c r="C684" i="75"/>
  <c r="E217" i="88"/>
  <c r="E96" i="89"/>
  <c r="E97" i="89"/>
  <c r="C687" i="75"/>
  <c r="E184" i="88"/>
  <c r="E178" i="88"/>
  <c r="E211" i="88"/>
  <c r="C69" i="89"/>
  <c r="C68" i="89"/>
  <c r="C70" i="89"/>
  <c r="C72" i="89"/>
  <c r="C75" i="89"/>
  <c r="C78" i="89"/>
  <c r="C102" i="89" s="1"/>
  <c r="C71" i="89"/>
  <c r="C76" i="89"/>
  <c r="C100" i="89" s="1"/>
  <c r="C73" i="89"/>
  <c r="C74" i="89"/>
  <c r="C77" i="89"/>
  <c r="C101" i="89" s="1"/>
  <c r="C93" i="89"/>
  <c r="C97" i="89"/>
  <c r="C94" i="89"/>
  <c r="C95" i="89"/>
  <c r="C96" i="89"/>
  <c r="C513" i="65" s="1"/>
  <c r="D384" i="68"/>
  <c r="D223" i="70"/>
  <c r="D235" i="75"/>
  <c r="D80" i="67"/>
  <c r="D344" i="70"/>
  <c r="C755" i="65"/>
  <c r="C275" i="89"/>
  <c r="C125" i="89"/>
  <c r="C176" i="89"/>
  <c r="C180" i="89"/>
  <c r="C229" i="89"/>
  <c r="C278" i="89"/>
  <c r="C224" i="89"/>
  <c r="C201" i="89"/>
  <c r="C173" i="89"/>
  <c r="C204" i="89"/>
  <c r="C253" i="89"/>
  <c r="C222" i="89"/>
  <c r="C272" i="89"/>
  <c r="C131" i="89"/>
  <c r="C197" i="89"/>
  <c r="C277" i="89"/>
  <c r="C129" i="89"/>
  <c r="C154" i="89"/>
  <c r="C155" i="89"/>
  <c r="C252" i="89"/>
  <c r="C256" i="89"/>
  <c r="C179" i="89"/>
  <c r="C276" i="89"/>
  <c r="C280" i="89"/>
  <c r="C202" i="89"/>
  <c r="C123" i="89"/>
  <c r="C249" i="89"/>
  <c r="C147" i="89"/>
  <c r="C250" i="89"/>
  <c r="C230" i="89"/>
  <c r="C126" i="89"/>
  <c r="C130" i="89"/>
  <c r="C228" i="89"/>
  <c r="C246" i="89"/>
  <c r="C124" i="89"/>
  <c r="C178" i="89"/>
  <c r="C223" i="89"/>
  <c r="C148" i="89"/>
  <c r="C225" i="89"/>
  <c r="C247" i="89"/>
  <c r="C226" i="89"/>
  <c r="C196" i="89"/>
  <c r="C181" i="89"/>
  <c r="C149" i="89"/>
  <c r="C281" i="89"/>
  <c r="C273" i="89"/>
  <c r="C271" i="89"/>
  <c r="C279" i="89"/>
  <c r="C151" i="89"/>
  <c r="C177" i="89"/>
  <c r="C203" i="89"/>
  <c r="C172" i="89"/>
  <c r="C127" i="89"/>
  <c r="C227" i="89"/>
  <c r="C171" i="89"/>
  <c r="C121" i="89" a="1"/>
  <c r="C121" i="89" s="1"/>
  <c r="C150" i="89"/>
  <c r="C198" i="89"/>
  <c r="C175" i="89"/>
  <c r="C128" i="89"/>
  <c r="C255" i="89"/>
  <c r="C221" i="89"/>
  <c r="C274" i="89"/>
  <c r="C231" i="89"/>
  <c r="C122" i="89"/>
  <c r="C206" i="89"/>
  <c r="C200" i="89"/>
  <c r="C174" i="89"/>
  <c r="C156" i="89"/>
  <c r="C205" i="89"/>
  <c r="C254" i="89"/>
  <c r="C152" i="89"/>
  <c r="C248" i="89"/>
  <c r="C153" i="89"/>
  <c r="C251" i="89"/>
  <c r="C199" i="89"/>
  <c r="D119" i="70"/>
  <c r="D352" i="70"/>
  <c r="D356" i="68"/>
  <c r="D328" i="70"/>
  <c r="K44" i="33"/>
  <c r="D119" i="82"/>
  <c r="D126" i="82"/>
  <c r="D115" i="82"/>
  <c r="D71" i="82"/>
  <c r="D130" i="82"/>
  <c r="D92" i="82"/>
  <c r="C620" i="40"/>
  <c r="K71" i="33"/>
  <c r="C131" i="83"/>
  <c r="C148" i="83"/>
  <c r="D199" i="83"/>
  <c r="D198" i="83"/>
  <c r="C194" i="83"/>
  <c r="C193" i="83"/>
  <c r="C192" i="83"/>
  <c r="C199" i="83"/>
  <c r="C198" i="83"/>
  <c r="C200" i="83"/>
  <c r="D163" i="83"/>
  <c r="R13" i="63"/>
  <c r="I108" i="63"/>
  <c r="C59" i="83" a="1"/>
  <c r="C59" i="83" s="1"/>
  <c r="C161" i="83"/>
  <c r="C168" i="83"/>
  <c r="C162" i="83"/>
  <c r="C64" i="83" a="1"/>
  <c r="C64" i="83" s="1"/>
  <c r="C146" i="83"/>
  <c r="D111" i="83"/>
  <c r="D145" i="83"/>
  <c r="C145" i="83"/>
  <c r="C137" i="83"/>
  <c r="C136" i="83"/>
  <c r="D151" i="82"/>
  <c r="C404" i="70"/>
  <c r="C134" i="83"/>
  <c r="D147" i="82"/>
  <c r="D63" i="82"/>
  <c r="D102" i="82"/>
  <c r="C111" i="83"/>
  <c r="C113" i="83"/>
  <c r="C15" i="83"/>
  <c r="C114" i="83"/>
  <c r="D269" i="70"/>
  <c r="C112" i="83"/>
  <c r="D34" i="67"/>
  <c r="D14" i="83"/>
  <c r="D19" i="83"/>
  <c r="D12" i="83"/>
  <c r="D28" i="83"/>
  <c r="D24" i="83"/>
  <c r="D33" i="83"/>
  <c r="D27" i="83"/>
  <c r="D83" i="83"/>
  <c r="D77" i="83"/>
  <c r="D88" i="83"/>
  <c r="C14" i="83"/>
  <c r="C24" i="83"/>
  <c r="C29" i="83"/>
  <c r="C12" i="83"/>
  <c r="C19" i="83"/>
  <c r="C33" i="83"/>
  <c r="C28" i="83"/>
  <c r="D58" i="66"/>
  <c r="C70" i="70"/>
  <c r="C65" i="70"/>
  <c r="C49" i="66"/>
  <c r="C57" i="66"/>
  <c r="D159" i="70"/>
  <c r="C51" i="66"/>
  <c r="C56" i="66"/>
  <c r="C48" i="66"/>
  <c r="C47" i="66"/>
  <c r="C55" i="66"/>
  <c r="C59" i="66"/>
  <c r="C50" i="66"/>
  <c r="C58" i="66"/>
  <c r="D59" i="66"/>
  <c r="D51" i="66"/>
  <c r="C54" i="66"/>
  <c r="C46" i="66"/>
  <c r="D447" i="70"/>
  <c r="D46" i="66"/>
  <c r="C116" i="64"/>
  <c r="D77" i="64"/>
  <c r="D157" i="68"/>
  <c r="C59" i="82"/>
  <c r="C118" i="64"/>
  <c r="C128" i="64"/>
  <c r="C119" i="64"/>
  <c r="C173" i="70"/>
  <c r="C59" i="70"/>
  <c r="C111" i="69"/>
  <c r="C102" i="69"/>
  <c r="C143" i="69"/>
  <c r="D138" i="69"/>
  <c r="D65" i="67"/>
  <c r="D96" i="67"/>
  <c r="R22" i="63"/>
  <c r="C145" i="67"/>
  <c r="C121" i="67"/>
  <c r="C159" i="67"/>
  <c r="C152" i="67"/>
  <c r="C114" i="67"/>
  <c r="C108" i="67"/>
  <c r="D146" i="67"/>
  <c r="D110" i="67"/>
  <c r="D115" i="67"/>
  <c r="R25" i="63"/>
  <c r="C64" i="67"/>
  <c r="C67" i="67"/>
  <c r="C50" i="67"/>
  <c r="C49" i="67"/>
  <c r="C59" i="67"/>
  <c r="C57" i="67"/>
  <c r="R21" i="63"/>
  <c r="C40" i="67"/>
  <c r="C33" i="67"/>
  <c r="C20" i="67"/>
  <c r="D305" i="70"/>
  <c r="C29" i="69"/>
  <c r="C29" i="70"/>
  <c r="C29" i="68"/>
  <c r="C12" i="67"/>
  <c r="C118" i="69"/>
  <c r="C134" i="86"/>
  <c r="C107" i="86"/>
  <c r="C115" i="86"/>
  <c r="C90" i="86"/>
  <c r="C99" i="86"/>
  <c r="C101" i="86"/>
  <c r="C94" i="86"/>
  <c r="C62" i="86" a="1"/>
  <c r="C62" i="86" s="1"/>
  <c r="C102" i="86"/>
  <c r="C95" i="86"/>
  <c r="C100" i="86"/>
  <c r="C53" i="86" a="1"/>
  <c r="C53" i="86" s="1"/>
  <c r="C58" i="86"/>
  <c r="C80" i="86"/>
  <c r="D262" i="70"/>
  <c r="D130" i="86"/>
  <c r="C12" i="86"/>
  <c r="D27" i="70"/>
  <c r="D27" i="69"/>
  <c r="D27" i="68"/>
  <c r="D90" i="86"/>
  <c r="D24" i="68"/>
  <c r="D19" i="69"/>
  <c r="D33" i="68"/>
  <c r="D12" i="70"/>
  <c r="D12" i="69"/>
  <c r="D33" i="69"/>
  <c r="D24" i="70"/>
  <c r="D33" i="70"/>
  <c r="D14" i="69"/>
  <c r="D28" i="70"/>
  <c r="D19" i="68"/>
  <c r="D14" i="68"/>
  <c r="D28" i="69"/>
  <c r="D12" i="68"/>
  <c r="D99" i="86"/>
  <c r="D60" i="86"/>
  <c r="D19" i="70"/>
  <c r="D28" i="68"/>
  <c r="D14" i="70"/>
  <c r="D24" i="69"/>
  <c r="D12" i="86"/>
  <c r="D93" i="85"/>
  <c r="C14" i="86" a="1"/>
  <c r="C14" i="86" s="1"/>
  <c r="D152" i="85"/>
  <c r="C64" i="86"/>
  <c r="C13" i="86"/>
  <c r="C91" i="86"/>
  <c r="C60" i="86"/>
  <c r="C65" i="86"/>
  <c r="D154" i="85"/>
  <c r="C63" i="86"/>
  <c r="C92" i="86"/>
  <c r="C24" i="70"/>
  <c r="C12" i="68"/>
  <c r="C33" i="70"/>
  <c r="C14" i="69"/>
  <c r="C12" i="69"/>
  <c r="C19" i="68"/>
  <c r="C24" i="69"/>
  <c r="C28" i="69"/>
  <c r="C33" i="68"/>
  <c r="C19" i="70"/>
  <c r="C28" i="68"/>
  <c r="C14" i="70"/>
  <c r="C12" i="70"/>
  <c r="C19" i="69"/>
  <c r="C24" i="68"/>
  <c r="C28" i="70"/>
  <c r="C14" i="68"/>
  <c r="C33" i="69"/>
  <c r="C824" i="75"/>
  <c r="C817" i="75"/>
  <c r="C840" i="75"/>
  <c r="C834" i="75"/>
  <c r="C15" i="69"/>
  <c r="C15" i="70"/>
  <c r="C15" i="68"/>
  <c r="J71" i="33"/>
  <c r="C58" i="83"/>
  <c r="C61" i="83"/>
  <c r="D63" i="83"/>
  <c r="D58" i="83"/>
  <c r="C63" i="83"/>
  <c r="C66" i="83"/>
  <c r="D121" i="66"/>
  <c r="D66" i="83"/>
  <c r="D155" i="82"/>
  <c r="D114" i="66"/>
  <c r="C92" i="69"/>
  <c r="C95" i="69"/>
  <c r="C478" i="70"/>
  <c r="C399" i="70"/>
  <c r="C145" i="70"/>
  <c r="C449" i="70"/>
  <c r="C317" i="70"/>
  <c r="C164" i="69"/>
  <c r="C448" i="70"/>
  <c r="C447" i="70"/>
  <c r="C288" i="70"/>
  <c r="C195" i="83"/>
  <c r="C287" i="70"/>
  <c r="C286" i="70"/>
  <c r="C225" i="69"/>
  <c r="C177" i="69"/>
  <c r="C150" i="69"/>
  <c r="C134" i="69"/>
  <c r="C172" i="69"/>
  <c r="C86" i="69"/>
  <c r="C382" i="68"/>
  <c r="C184" i="69"/>
  <c r="C211" i="69"/>
  <c r="C472" i="70"/>
  <c r="C125" i="69"/>
  <c r="C168" i="69"/>
  <c r="C165" i="69"/>
  <c r="C142" i="69"/>
  <c r="C224" i="69"/>
  <c r="C204" i="69"/>
  <c r="C192" i="69"/>
  <c r="C272" i="68"/>
  <c r="C191" i="68"/>
  <c r="C214" i="68"/>
  <c r="C299" i="68"/>
  <c r="C282" i="68"/>
  <c r="C250" i="68"/>
  <c r="C266" i="68"/>
  <c r="C185" i="68"/>
  <c r="C293" i="70"/>
  <c r="C259" i="68"/>
  <c r="C111" i="68"/>
  <c r="C258" i="68"/>
  <c r="C110" i="68"/>
  <c r="C326" i="68"/>
  <c r="C285" i="68"/>
  <c r="C205" i="69"/>
  <c r="C453" i="70"/>
  <c r="C299" i="70"/>
  <c r="C201" i="83"/>
  <c r="C301" i="70"/>
  <c r="C455" i="70"/>
  <c r="C324" i="70"/>
  <c r="C207" i="68"/>
  <c r="C292" i="68"/>
  <c r="C167" i="69"/>
  <c r="D324" i="70"/>
  <c r="C305" i="68"/>
  <c r="C454" i="70"/>
  <c r="C220" i="68"/>
  <c r="C300" i="70"/>
  <c r="C421" i="70"/>
  <c r="C380" i="70"/>
  <c r="C165" i="70"/>
  <c r="C96" i="64"/>
  <c r="C142" i="68"/>
  <c r="C101" i="68"/>
  <c r="C100" i="69"/>
  <c r="C314" i="70"/>
  <c r="C186" i="70"/>
  <c r="C95" i="68"/>
  <c r="C413" i="70"/>
  <c r="C364" i="70"/>
  <c r="C69" i="69"/>
  <c r="C129" i="68"/>
  <c r="C402" i="70"/>
  <c r="C358" i="70"/>
  <c r="C148" i="70"/>
  <c r="C106" i="69"/>
  <c r="C390" i="70"/>
  <c r="C211" i="70"/>
  <c r="C177" i="70"/>
  <c r="C115" i="69"/>
  <c r="C35" i="64"/>
  <c r="C430" i="70"/>
  <c r="C321" i="70"/>
  <c r="C199" i="70"/>
  <c r="C119" i="68"/>
  <c r="C280" i="70"/>
  <c r="C136" i="70"/>
  <c r="C34" i="64"/>
  <c r="C359" i="70"/>
  <c r="C373" i="70"/>
  <c r="C371" i="70"/>
  <c r="C365" i="70"/>
  <c r="C381" i="70"/>
  <c r="C89" i="69"/>
  <c r="C133" i="70"/>
  <c r="C477" i="70"/>
  <c r="C387" i="70"/>
  <c r="C300" i="68"/>
  <c r="C221" i="68"/>
  <c r="C294" i="70"/>
  <c r="C306" i="68"/>
  <c r="C274" i="70"/>
  <c r="C215" i="68"/>
  <c r="C208" i="68"/>
  <c r="C293" i="68"/>
  <c r="C281" i="70"/>
  <c r="C346" i="68"/>
  <c r="C158" i="69"/>
  <c r="C309" i="70"/>
  <c r="C308" i="70"/>
  <c r="C307" i="70"/>
  <c r="C194" i="69"/>
  <c r="C273" i="70"/>
  <c r="C317" i="68"/>
  <c r="C232" i="68"/>
  <c r="C214" i="70"/>
  <c r="C145" i="68"/>
  <c r="C424" i="70"/>
  <c r="C70" i="69"/>
  <c r="C76" i="68"/>
  <c r="C403" i="70"/>
  <c r="C149" i="70"/>
  <c r="C115" i="70"/>
  <c r="C391" i="70"/>
  <c r="C137" i="70"/>
  <c r="C63" i="64"/>
  <c r="C219" i="69"/>
  <c r="C337" i="70"/>
  <c r="C340" i="70"/>
  <c r="C458" i="70"/>
  <c r="C417" i="70"/>
  <c r="C466" i="70"/>
  <c r="C440" i="70"/>
  <c r="C315" i="70"/>
  <c r="C310" i="70"/>
  <c r="C224" i="70"/>
  <c r="C464" i="70"/>
  <c r="C452" i="70"/>
  <c r="C463" i="70"/>
  <c r="C322" i="70"/>
  <c r="C227" i="69"/>
  <c r="C338" i="70"/>
  <c r="D364" i="68"/>
  <c r="C314" i="68"/>
  <c r="C229" i="68"/>
  <c r="C364" i="68"/>
  <c r="D314" i="68"/>
  <c r="D229" i="68"/>
  <c r="D345" i="68"/>
  <c r="D209" i="83"/>
  <c r="D175" i="85"/>
  <c r="D299" i="70"/>
  <c r="D455" i="70"/>
  <c r="F49" i="63"/>
  <c r="D201" i="83"/>
  <c r="D301" i="70"/>
  <c r="D300" i="70"/>
  <c r="D200" i="83"/>
  <c r="D122" i="66"/>
  <c r="C20" i="66"/>
  <c r="C99" i="66"/>
  <c r="C18" i="66"/>
  <c r="C37" i="66"/>
  <c r="C118" i="66"/>
  <c r="C112" i="66"/>
  <c r="C31" i="66"/>
  <c r="C24" i="66"/>
  <c r="C107" i="66"/>
  <c r="C12" i="66"/>
  <c r="C81" i="66"/>
  <c r="C113" i="66"/>
  <c r="C124" i="66"/>
  <c r="C123" i="66"/>
  <c r="C120" i="66"/>
  <c r="C93" i="66"/>
  <c r="C114" i="66"/>
  <c r="C122" i="66"/>
  <c r="C121" i="66"/>
  <c r="C87" i="66"/>
  <c r="C69" i="70"/>
  <c r="C38" i="70"/>
  <c r="C56" i="70"/>
  <c r="C49" i="70"/>
  <c r="C44" i="70"/>
  <c r="C64" i="70"/>
  <c r="D263" i="70"/>
  <c r="D264" i="70"/>
  <c r="D265" i="70"/>
  <c r="C263" i="70"/>
  <c r="C265" i="70"/>
  <c r="C264" i="70"/>
  <c r="D477" i="70"/>
  <c r="K34" i="33"/>
  <c r="C58" i="75"/>
  <c r="C653" i="65"/>
  <c r="C652" i="65"/>
  <c r="C682" i="62"/>
  <c r="D37" i="85"/>
  <c r="D105" i="85"/>
  <c r="D71" i="85"/>
  <c r="D17" i="85"/>
  <c r="D24" i="85"/>
  <c r="D12" i="85"/>
  <c r="D128" i="85"/>
  <c r="D121" i="85"/>
  <c r="D140" i="85"/>
  <c r="D30" i="85"/>
  <c r="D164" i="85"/>
  <c r="D96" i="85"/>
  <c r="D150" i="85"/>
  <c r="D90" i="85"/>
  <c r="D130" i="85"/>
  <c r="C72" i="85"/>
  <c r="C26" i="85"/>
  <c r="C46" i="82"/>
  <c r="C106" i="85"/>
  <c r="C71" i="85"/>
  <c r="C43" i="82"/>
  <c r="C36" i="82"/>
  <c r="C105" i="85"/>
  <c r="C24" i="85"/>
  <c r="C17" i="85"/>
  <c r="C30" i="82"/>
  <c r="C12" i="85"/>
  <c r="C12" i="82"/>
  <c r="C165" i="85"/>
  <c r="C151" i="85"/>
  <c r="C94" i="82"/>
  <c r="C104" i="82"/>
  <c r="C51" i="82"/>
  <c r="C93" i="85"/>
  <c r="C37" i="85"/>
  <c r="C140" i="85"/>
  <c r="C164" i="85"/>
  <c r="C130" i="85"/>
  <c r="C90" i="85"/>
  <c r="C128" i="85"/>
  <c r="C121" i="85"/>
  <c r="C96" i="85"/>
  <c r="C150" i="85"/>
  <c r="C30" i="85"/>
  <c r="C160" i="85"/>
  <c r="C94" i="85"/>
  <c r="C91" i="85"/>
  <c r="C105" i="82"/>
  <c r="C103" i="82"/>
  <c r="C93" i="82"/>
  <c r="C95" i="82"/>
  <c r="C38" i="85"/>
  <c r="C179" i="85"/>
  <c r="C117" i="82"/>
  <c r="C113" i="82"/>
  <c r="C84" i="82"/>
  <c r="C90" i="82"/>
  <c r="C138" i="82"/>
  <c r="C81" i="82"/>
  <c r="C128" i="82"/>
  <c r="C135" i="82"/>
  <c r="C100" i="82"/>
  <c r="C124" i="82"/>
  <c r="C18" i="82"/>
  <c r="C73" i="85"/>
  <c r="C107" i="85"/>
  <c r="C89" i="85"/>
  <c r="C100" i="85"/>
  <c r="C33" i="85"/>
  <c r="C79" i="85"/>
  <c r="C32" i="85"/>
  <c r="C74" i="85"/>
  <c r="D31" i="85"/>
  <c r="C152" i="85"/>
  <c r="C31" i="85"/>
  <c r="C75" i="85"/>
  <c r="C85" i="85"/>
  <c r="C76" i="85"/>
  <c r="C25" i="85"/>
  <c r="C138" i="85"/>
  <c r="C18" i="85"/>
  <c r="C84" i="85"/>
  <c r="C320" i="70"/>
  <c r="C52" i="83" a="1"/>
  <c r="C52" i="83" s="1"/>
  <c r="C39" i="82" a="1"/>
  <c r="C39" i="82" s="1"/>
  <c r="C32" i="82" a="1"/>
  <c r="C32" i="82" s="1"/>
  <c r="J76" i="33"/>
  <c r="D72" i="70"/>
  <c r="D69" i="70"/>
  <c r="D44" i="70"/>
  <c r="D64" i="70"/>
  <c r="D49" i="70"/>
  <c r="D38" i="70"/>
  <c r="K43" i="33"/>
  <c r="C67" i="70"/>
  <c r="C313" i="70"/>
  <c r="C132" i="70"/>
  <c r="C160" i="70"/>
  <c r="C72" i="70"/>
  <c r="C50" i="70"/>
  <c r="C39" i="70"/>
  <c r="C182" i="70"/>
  <c r="C161" i="70"/>
  <c r="C392" i="65"/>
  <c r="C471" i="62"/>
  <c r="D611" i="75"/>
  <c r="D44" i="65"/>
  <c r="D304" i="68"/>
  <c r="C500" i="65"/>
  <c r="D219" i="68"/>
  <c r="D361" i="75"/>
  <c r="C156" i="83"/>
  <c r="C51" i="83"/>
  <c r="D364" i="75"/>
  <c r="D282" i="68"/>
  <c r="D272" i="68"/>
  <c r="D185" i="68"/>
  <c r="D266" i="68"/>
  <c r="D191" i="68"/>
  <c r="C154" i="83"/>
  <c r="J69" i="33"/>
  <c r="D73" i="58"/>
  <c r="J58" i="33"/>
  <c r="C182" i="83"/>
  <c r="C185" i="83"/>
  <c r="C179" i="83"/>
  <c r="C176" i="83"/>
  <c r="D676" i="75"/>
  <c r="D12" i="82"/>
  <c r="D50" i="83"/>
  <c r="D38" i="83"/>
  <c r="D43" i="83"/>
  <c r="D153" i="83"/>
  <c r="C38" i="83"/>
  <c r="C50" i="83"/>
  <c r="C153" i="83"/>
  <c r="C43" i="83"/>
  <c r="C44" i="83"/>
  <c r="D683" i="75"/>
  <c r="C21" i="67"/>
  <c r="C87" i="67"/>
  <c r="C15" i="82"/>
  <c r="D329" i="75"/>
  <c r="D699" i="75"/>
  <c r="C17" i="82"/>
  <c r="D104" i="82"/>
  <c r="D94" i="82"/>
  <c r="D667" i="75"/>
  <c r="D709" i="75"/>
  <c r="C73" i="82"/>
  <c r="C23" i="82"/>
  <c r="C58" i="82"/>
  <c r="C24" i="82"/>
  <c r="C14" i="82"/>
  <c r="C47" i="82" a="1"/>
  <c r="C47" i="82" s="1"/>
  <c r="C38" i="82" a="1"/>
  <c r="C38" i="82" s="1"/>
  <c r="D78" i="64"/>
  <c r="D57" i="82"/>
  <c r="C16" i="82"/>
  <c r="C13" i="82"/>
  <c r="C44" i="82"/>
  <c r="C37" i="82"/>
  <c r="C45" i="82"/>
  <c r="D715" i="75"/>
  <c r="D36" i="82"/>
  <c r="D30" i="82"/>
  <c r="D43" i="82"/>
  <c r="D82" i="64"/>
  <c r="D51" i="82"/>
  <c r="C31" i="82"/>
  <c r="C52" i="82"/>
  <c r="D230" i="70"/>
  <c r="D115" i="64"/>
  <c r="D136" i="64"/>
  <c r="D101" i="75"/>
  <c r="D67" i="75"/>
  <c r="D100" i="75"/>
  <c r="D60" i="75"/>
  <c r="C445" i="62"/>
  <c r="D500" i="65"/>
  <c r="C651" i="75"/>
  <c r="C314" i="75"/>
  <c r="C644" i="75"/>
  <c r="D864" i="75"/>
  <c r="D390" i="75"/>
  <c r="D140" i="64"/>
  <c r="D132" i="64"/>
  <c r="C438" i="62"/>
  <c r="C444" i="62"/>
  <c r="C181" i="62"/>
  <c r="D117" i="64"/>
  <c r="D444" i="62"/>
  <c r="D438" i="62"/>
  <c r="D108" i="64"/>
  <c r="C60" i="62"/>
  <c r="C167" i="62"/>
  <c r="C748" i="65"/>
  <c r="C746" i="65"/>
  <c r="C699" i="62"/>
  <c r="E73" i="58"/>
  <c r="F73" i="58"/>
  <c r="I67" i="63"/>
  <c r="C73" i="58"/>
  <c r="J34" i="33"/>
  <c r="K59" i="33"/>
  <c r="J59" i="33"/>
  <c r="J60" i="33" s="1"/>
  <c r="C48" i="62"/>
  <c r="C422" i="70"/>
  <c r="C737" i="75"/>
  <c r="C17" i="66"/>
  <c r="C302" i="68"/>
  <c r="C308" i="68"/>
  <c r="C368" i="40"/>
  <c r="C66" i="69" s="1"/>
  <c r="C212" i="70"/>
  <c r="C393" i="65" a="1"/>
  <c r="C393" i="65" s="1"/>
  <c r="D811" i="75"/>
  <c r="C649" i="62"/>
  <c r="D812" i="75"/>
  <c r="C493" i="62"/>
  <c r="C102" i="68"/>
  <c r="C525" i="62"/>
  <c r="C107" i="69"/>
  <c r="C143" i="68"/>
  <c r="C509" i="62"/>
  <c r="C101" i="69"/>
  <c r="C717" i="65"/>
  <c r="C548" i="65"/>
  <c r="C178" i="70"/>
  <c r="C508" i="62"/>
  <c r="C185" i="62"/>
  <c r="C580" i="65"/>
  <c r="C231" i="62"/>
  <c r="C130" i="68"/>
  <c r="C166" i="70"/>
  <c r="C116" i="69"/>
  <c r="C414" i="70"/>
  <c r="C120" i="68"/>
  <c r="C431" i="70"/>
  <c r="C57" i="69"/>
  <c r="C96" i="68"/>
  <c r="C200" i="70"/>
  <c r="D516" i="75"/>
  <c r="C608" i="75"/>
  <c r="C133" i="62"/>
  <c r="C144" i="70"/>
  <c r="C220" i="62"/>
  <c r="C154" i="70"/>
  <c r="C204" i="70"/>
  <c r="D286" i="68"/>
  <c r="C386" i="75"/>
  <c r="C46" i="75"/>
  <c r="D112" i="68"/>
  <c r="D302" i="68"/>
  <c r="D487" i="65"/>
  <c r="D217" i="68"/>
  <c r="C432" i="62"/>
  <c r="C187" i="70"/>
  <c r="C564" i="65"/>
  <c r="C57" i="70"/>
  <c r="C650" i="62"/>
  <c r="C621" i="65"/>
  <c r="C644" i="65"/>
  <c r="D862" i="75"/>
  <c r="C64" i="62"/>
  <c r="D401" i="75"/>
  <c r="C181" i="70"/>
  <c r="C41" i="62"/>
  <c r="D454" i="75"/>
  <c r="C666" i="65"/>
  <c r="C153" i="70"/>
  <c r="C56" i="62"/>
  <c r="D469" i="75"/>
  <c r="C131" i="62"/>
  <c r="D502" i="75"/>
  <c r="C21" i="62"/>
  <c r="D413" i="75"/>
  <c r="C547" i="62"/>
  <c r="C538" i="62"/>
  <c r="D406" i="75"/>
  <c r="D493" i="75"/>
  <c r="C301" i="62"/>
  <c r="C427" i="75"/>
  <c r="D849" i="75"/>
  <c r="C396" i="70"/>
  <c r="C632" i="75"/>
  <c r="C393" i="75"/>
  <c r="C562" i="65"/>
  <c r="C119" i="69"/>
  <c r="C848" i="75"/>
  <c r="C747" i="65"/>
  <c r="C649" i="75"/>
  <c r="C705" i="75"/>
  <c r="C638" i="75"/>
  <c r="C67" i="64"/>
  <c r="C65" i="65"/>
  <c r="C195" i="68"/>
  <c r="C169" i="62"/>
  <c r="C578" i="65"/>
  <c r="C757" i="75"/>
  <c r="C417" i="62"/>
  <c r="C95" i="67"/>
  <c r="C66" i="64"/>
  <c r="C618" i="75"/>
  <c r="C652" i="75"/>
  <c r="C566" i="62"/>
  <c r="C860" i="75"/>
  <c r="C778" i="75"/>
  <c r="C680" i="75"/>
  <c r="C812" i="75"/>
  <c r="C273" i="68"/>
  <c r="C577" i="65"/>
  <c r="C394" i="75"/>
  <c r="C699" i="75"/>
  <c r="C665" i="75"/>
  <c r="C553" i="62"/>
  <c r="C836" i="75"/>
  <c r="C338" i="75"/>
  <c r="C865" i="75"/>
  <c r="C811" i="75"/>
  <c r="C663" i="65"/>
  <c r="C745" i="75"/>
  <c r="C595" i="65"/>
  <c r="C523" i="62"/>
  <c r="C670" i="75"/>
  <c r="C533" i="62"/>
  <c r="C410" i="65"/>
  <c r="C593" i="65"/>
  <c r="C506" i="62"/>
  <c r="C602" i="65"/>
  <c r="C561" i="65"/>
  <c r="C77" i="69"/>
  <c r="C619" i="75"/>
  <c r="C524" i="62"/>
  <c r="C517" i="62"/>
  <c r="C565" i="62"/>
  <c r="C192" i="68"/>
  <c r="C608" i="65"/>
  <c r="C376" i="75"/>
  <c r="C522" i="62"/>
  <c r="C267" i="75"/>
  <c r="C589" i="62"/>
  <c r="C81" i="67"/>
  <c r="C22" i="62"/>
  <c r="C459" i="62"/>
  <c r="C276" i="68"/>
  <c r="C268" i="75"/>
  <c r="C502" i="75"/>
  <c r="C588" i="65"/>
  <c r="C864" i="75"/>
  <c r="C142" i="70"/>
  <c r="D479" i="75"/>
  <c r="C64" i="65"/>
  <c r="C790" i="75"/>
  <c r="C424" i="62"/>
  <c r="C616" i="75"/>
  <c r="C851" i="75"/>
  <c r="C408" i="70"/>
  <c r="C744" i="75"/>
  <c r="D280" i="75"/>
  <c r="C338" i="68"/>
  <c r="C345" i="75"/>
  <c r="C392" i="70"/>
  <c r="C399" i="62"/>
  <c r="C316" i="75"/>
  <c r="C138" i="70"/>
  <c r="C862" i="75"/>
  <c r="C667" i="75"/>
  <c r="C405" i="62"/>
  <c r="C350" i="75"/>
  <c r="C741" i="75"/>
  <c r="C150" i="70"/>
  <c r="C127" i="70"/>
  <c r="C401" i="75"/>
  <c r="C696" i="75"/>
  <c r="C382" i="75"/>
  <c r="C71" i="69"/>
  <c r="C709" i="75"/>
  <c r="C91" i="69"/>
  <c r="C732" i="65"/>
  <c r="C393" i="70"/>
  <c r="C454" i="75"/>
  <c r="C429" i="65"/>
  <c r="C439" i="75"/>
  <c r="C752" i="75"/>
  <c r="C835" i="75"/>
  <c r="C677" i="65"/>
  <c r="C139" i="70"/>
  <c r="C479" i="75"/>
  <c r="C364" i="75"/>
  <c r="C733" i="75"/>
  <c r="C626" i="75"/>
  <c r="C251" i="75"/>
  <c r="C120" i="69"/>
  <c r="C692" i="65"/>
  <c r="C151" i="70"/>
  <c r="C493" i="75"/>
  <c r="C863" i="75"/>
  <c r="C395" i="70"/>
  <c r="C16" i="66"/>
  <c r="C258" i="75"/>
  <c r="C708" i="65"/>
  <c r="C131" i="70"/>
  <c r="C440" i="75"/>
  <c r="C365" i="62"/>
  <c r="C67" i="65"/>
  <c r="C302" i="62"/>
  <c r="C764" i="75"/>
  <c r="C714" i="65"/>
  <c r="C516" i="75"/>
  <c r="C849" i="75"/>
  <c r="C224" i="62"/>
  <c r="C361" i="75"/>
  <c r="C653" i="75"/>
  <c r="C676" i="75"/>
  <c r="C818" i="75"/>
  <c r="C66" i="65"/>
  <c r="C631" i="75"/>
  <c r="C726" i="65"/>
  <c r="C469" i="75"/>
  <c r="C239" i="62"/>
  <c r="C643" i="62"/>
  <c r="C370" i="62"/>
  <c r="C819" i="75"/>
  <c r="C71" i="62"/>
  <c r="C855" i="75"/>
  <c r="C406" i="75"/>
  <c r="C413" i="75"/>
  <c r="C211" i="62"/>
  <c r="C582" i="62"/>
  <c r="C390" i="75"/>
  <c r="C702" i="75"/>
  <c r="C394" i="65" a="1"/>
  <c r="C394" i="65" s="1"/>
  <c r="C526" i="62"/>
  <c r="C684" i="65"/>
  <c r="C677" i="62"/>
  <c r="C622" i="62"/>
  <c r="C665" i="62"/>
  <c r="C57" i="62"/>
  <c r="C549" i="65"/>
  <c r="C734" i="75"/>
  <c r="D835" i="75"/>
  <c r="C441" i="70"/>
  <c r="C683" i="62"/>
  <c r="C132" i="62"/>
  <c r="C642" i="65"/>
  <c r="C203" i="70"/>
  <c r="C689" i="62"/>
  <c r="C72" i="62"/>
  <c r="C581" i="65"/>
  <c r="C257" i="75"/>
  <c r="C705" i="62"/>
  <c r="C49" i="62"/>
  <c r="C627" i="65"/>
  <c r="C507" i="62"/>
  <c r="C434" i="70"/>
  <c r="C588" i="62"/>
  <c r="C637" i="62"/>
  <c r="C540" i="62"/>
  <c r="C683" i="75"/>
  <c r="C65" i="62"/>
  <c r="C96" i="67"/>
  <c r="C117" i="69"/>
  <c r="C658" i="65"/>
  <c r="C594" i="65"/>
  <c r="C671" i="62"/>
  <c r="C565" i="65"/>
  <c r="C42" i="62"/>
  <c r="C656" i="62"/>
  <c r="C433" i="62"/>
  <c r="C59" i="62"/>
  <c r="C319" i="75"/>
  <c r="C259" i="75"/>
  <c r="C82" i="67"/>
  <c r="C829" i="75"/>
  <c r="C446" i="62"/>
  <c r="C369" i="75"/>
  <c r="C348" i="75"/>
  <c r="C217" i="68"/>
  <c r="C313" i="75"/>
  <c r="C80" i="69"/>
  <c r="C425" i="62"/>
  <c r="C353" i="75"/>
  <c r="C381" i="75"/>
  <c r="C389" i="75"/>
  <c r="C286" i="68"/>
  <c r="C487" i="65"/>
  <c r="C735" i="75"/>
  <c r="C264" i="75"/>
  <c r="C366" i="75"/>
  <c r="C299" i="75"/>
  <c r="C539" i="62"/>
  <c r="C740" i="75"/>
  <c r="C14" i="67"/>
  <c r="C112" i="68"/>
  <c r="C23" i="62"/>
  <c r="C615" i="75"/>
  <c r="C556" i="65"/>
  <c r="C689" i="75"/>
  <c r="C281" i="75"/>
  <c r="C73" i="62"/>
  <c r="C407" i="75"/>
  <c r="D851" i="75"/>
  <c r="C85" i="67"/>
  <c r="C547" i="65"/>
  <c r="C544" i="62"/>
  <c r="C255" i="75"/>
  <c r="C417" i="75"/>
  <c r="C435" i="70"/>
  <c r="C723" i="65"/>
  <c r="C635" i="75"/>
  <c r="C284" i="75"/>
  <c r="C637" i="65"/>
  <c r="C491" i="62"/>
  <c r="C779" i="75"/>
  <c r="C322" i="75"/>
  <c r="C50" i="62"/>
  <c r="C66" i="62"/>
  <c r="C521" i="65"/>
  <c r="C619" i="65"/>
  <c r="C437" i="75"/>
  <c r="C432" i="70"/>
  <c r="C689" i="65"/>
  <c r="C470" i="62"/>
  <c r="C442" i="70"/>
  <c r="C729" i="65"/>
  <c r="D853" i="75"/>
  <c r="C488" i="65"/>
  <c r="C761" i="75"/>
  <c r="C351" i="75"/>
  <c r="C530" i="65"/>
  <c r="C514" i="65"/>
  <c r="C674" i="65"/>
  <c r="D741" i="75"/>
  <c r="C625" i="65"/>
  <c r="C14" i="75"/>
  <c r="C380" i="75"/>
  <c r="C179" i="70"/>
  <c r="C475" i="62"/>
  <c r="C426" i="70"/>
  <c r="C48" i="65"/>
  <c r="D829" i="75"/>
  <c r="C425" i="70"/>
  <c r="C494" i="65"/>
  <c r="C280" i="75"/>
  <c r="C529" i="62"/>
  <c r="C601" i="75"/>
  <c r="C525" i="65"/>
  <c r="C298" i="68"/>
  <c r="C219" i="68"/>
  <c r="C304" i="68"/>
  <c r="C562" i="62"/>
  <c r="C206" i="75"/>
  <c r="C731" i="75"/>
  <c r="C188" i="70"/>
  <c r="C631" i="65"/>
  <c r="C623" i="62"/>
  <c r="D265" i="75"/>
  <c r="C386" i="70"/>
  <c r="C300" i="75"/>
  <c r="C718" i="75"/>
  <c r="C109" i="62"/>
  <c r="C606" i="75"/>
  <c r="C379" i="70"/>
  <c r="C643" i="65"/>
  <c r="C655" i="62"/>
  <c r="C706" i="65"/>
  <c r="D752" i="75"/>
  <c r="C312" i="75"/>
  <c r="C410" i="75"/>
  <c r="C121" i="68"/>
  <c r="C201" i="70"/>
  <c r="C466" i="62"/>
  <c r="C416" i="70"/>
  <c r="D287" i="75"/>
  <c r="C513" i="62"/>
  <c r="C493" i="65"/>
  <c r="C768" i="75"/>
  <c r="C396" i="65"/>
  <c r="C375" i="75"/>
  <c r="C213" i="70"/>
  <c r="C635" i="65"/>
  <c r="C619" i="62"/>
  <c r="C226" i="70"/>
  <c r="D302" i="75"/>
  <c r="C853" i="75"/>
  <c r="C497" i="62"/>
  <c r="C499" i="65"/>
  <c r="C758" i="75"/>
  <c r="C693" i="65"/>
  <c r="D764" i="75"/>
  <c r="C223" i="68"/>
  <c r="C9" i="65"/>
  <c r="C546" i="65"/>
  <c r="C428" i="75"/>
  <c r="C186" i="62"/>
  <c r="C131" i="68"/>
  <c r="C423" i="70"/>
  <c r="C667" i="65"/>
  <c r="C594" i="62"/>
  <c r="D863" i="75"/>
  <c r="C415" i="70"/>
  <c r="C275" i="75"/>
  <c r="C584" i="65"/>
  <c r="C486" i="65"/>
  <c r="C642" i="75"/>
  <c r="C617" i="65"/>
  <c r="C525" i="75"/>
  <c r="C390" i="65"/>
  <c r="D818" i="75"/>
  <c r="C213" i="68"/>
  <c r="C599" i="65"/>
  <c r="C830" i="75"/>
  <c r="C510" i="62"/>
  <c r="C144" i="68"/>
  <c r="C449" i="75"/>
  <c r="C398" i="70"/>
  <c r="C225" i="70"/>
  <c r="C265" i="75"/>
  <c r="C568" i="65"/>
  <c r="C663" i="75"/>
  <c r="C431" i="62"/>
  <c r="C363" i="62"/>
  <c r="D757" i="75"/>
  <c r="C620" i="65"/>
  <c r="C250" i="75"/>
  <c r="C325" i="62"/>
  <c r="C732" i="75"/>
  <c r="C219" i="70"/>
  <c r="D275" i="75"/>
  <c r="C218" i="70"/>
  <c r="C287" i="75"/>
  <c r="C552" i="65"/>
  <c r="C37" i="65"/>
  <c r="C634" i="62"/>
  <c r="C798" i="75"/>
  <c r="D819" i="75"/>
  <c r="C572" i="65"/>
  <c r="C298" i="75"/>
  <c r="C726" i="75"/>
  <c r="C344" i="62"/>
  <c r="C256" i="75"/>
  <c r="C172" i="70"/>
  <c r="C302" i="75"/>
  <c r="C261" i="75"/>
  <c r="C43" i="62"/>
  <c r="C686" i="75"/>
  <c r="C42" i="65"/>
  <c r="C649" i="65"/>
  <c r="C678" i="65"/>
  <c r="C397" i="62"/>
  <c r="C33" i="64"/>
  <c r="C291" i="75"/>
  <c r="C494" i="62"/>
  <c r="C384" i="75"/>
  <c r="C171" i="70"/>
  <c r="C15" i="66"/>
  <c r="D145" i="62"/>
  <c r="C123" i="70"/>
  <c r="C193" i="62"/>
  <c r="C405" i="70"/>
  <c r="C108" i="69"/>
  <c r="C704" i="65"/>
  <c r="C115" i="67"/>
  <c r="C512" i="62"/>
  <c r="C699" i="65"/>
  <c r="C567" i="40"/>
  <c r="C636" i="75" s="1"/>
  <c r="C496" i="62"/>
  <c r="C385" i="75"/>
  <c r="C572" i="62"/>
  <c r="C587" i="62"/>
  <c r="C13" i="65"/>
  <c r="C159" i="69"/>
  <c r="C576" i="40"/>
  <c r="C762" i="75" s="1"/>
  <c r="C528" i="62"/>
  <c r="C260" i="75"/>
  <c r="C691" i="65"/>
  <c r="C603" i="62"/>
  <c r="C576" i="62"/>
  <c r="C31" i="65"/>
  <c r="C567" i="65"/>
  <c r="C736" i="75"/>
  <c r="C715" i="75"/>
  <c r="C14" i="66"/>
  <c r="C712" i="75"/>
  <c r="C604" i="62"/>
  <c r="C332" i="75"/>
  <c r="C34" i="67"/>
  <c r="C570" i="62"/>
  <c r="C612" i="62"/>
  <c r="C583" i="65"/>
  <c r="C492" i="62"/>
  <c r="C580" i="62"/>
  <c r="C551" i="65"/>
  <c r="C564" i="62"/>
  <c r="C642" i="62"/>
  <c r="C608" i="62"/>
  <c r="C501" i="62"/>
  <c r="C72" i="69"/>
  <c r="C329" i="75"/>
  <c r="C638" i="62"/>
  <c r="C720" i="65"/>
  <c r="C535" i="40"/>
  <c r="C396" i="62"/>
  <c r="C705" i="65"/>
  <c r="C110" i="67"/>
  <c r="C292" i="75"/>
  <c r="C650" i="75"/>
  <c r="C664" i="75"/>
  <c r="C70" i="67"/>
  <c r="C114" i="68"/>
  <c r="C607" i="75"/>
  <c r="C610" i="75"/>
  <c r="C98" i="67"/>
  <c r="C304" i="62"/>
  <c r="C146" i="67"/>
  <c r="C65" i="67"/>
  <c r="C362" i="62"/>
  <c r="C97" i="67"/>
  <c r="C261" i="68"/>
  <c r="C298" i="62"/>
  <c r="C657" i="62"/>
  <c r="C754" i="65"/>
  <c r="C35" i="65"/>
  <c r="C526" i="40"/>
  <c r="C141" i="70"/>
  <c r="C293" i="75"/>
  <c r="C301" i="75"/>
  <c r="C13" i="66"/>
  <c r="C407" i="70"/>
  <c r="C258" i="62"/>
  <c r="C25" i="66"/>
  <c r="C111" i="64"/>
  <c r="C674" i="62"/>
  <c r="C337" i="62"/>
  <c r="C358" i="75"/>
  <c r="C76" i="69"/>
  <c r="C680" i="62"/>
  <c r="C335" i="75"/>
  <c r="C151" i="69"/>
  <c r="C29" i="75"/>
  <c r="C51" i="62"/>
  <c r="C44" i="65"/>
  <c r="C643" i="75"/>
  <c r="C67" i="62"/>
  <c r="D150" i="62"/>
  <c r="C325" i="75"/>
  <c r="C94" i="69"/>
  <c r="C367" i="75"/>
  <c r="C354" i="75"/>
  <c r="C121" i="69"/>
  <c r="C318" i="62"/>
  <c r="C74" i="62"/>
  <c r="C668" i="62"/>
  <c r="C602" i="75"/>
  <c r="C662" i="62"/>
  <c r="C134" i="62"/>
  <c r="C110" i="69"/>
  <c r="C497" i="40"/>
  <c r="C106" i="62"/>
  <c r="C154" i="62"/>
  <c r="D144" i="62"/>
  <c r="D146" i="62"/>
  <c r="G32" i="58"/>
  <c r="F11" i="58" s="1"/>
  <c r="D702" i="75"/>
  <c r="D673" i="75"/>
  <c r="D417" i="70"/>
  <c r="D59" i="70"/>
  <c r="D173" i="70"/>
  <c r="D219" i="69"/>
  <c r="D227" i="69"/>
  <c r="C707" i="75" a="1"/>
  <c r="D250" i="68"/>
  <c r="D215" i="75"/>
  <c r="D196" i="69"/>
  <c r="D178" i="69"/>
  <c r="D218" i="75"/>
  <c r="D180" i="69"/>
  <c r="D198" i="69"/>
  <c r="D90" i="64"/>
  <c r="D134" i="64"/>
  <c r="D110" i="64"/>
  <c r="D110" i="68"/>
  <c r="D259" i="68"/>
  <c r="D589" i="62"/>
  <c r="D553" i="62"/>
  <c r="D533" i="62"/>
  <c r="D488" i="65"/>
  <c r="D514" i="65"/>
  <c r="D239" i="75"/>
  <c r="D386" i="68"/>
  <c r="D90" i="68"/>
  <c r="D285" i="68"/>
  <c r="D474" i="70"/>
  <c r="D222" i="75"/>
  <c r="D121" i="70"/>
  <c r="D299" i="68"/>
  <c r="F32" i="58"/>
  <c r="E11" i="58" s="1"/>
  <c r="D214" i="68"/>
  <c r="E35" i="58"/>
  <c r="D12" i="58" s="1"/>
  <c r="C12" i="58"/>
  <c r="G35" i="58"/>
  <c r="F12" i="58" s="1"/>
  <c r="F35" i="58"/>
  <c r="E12" i="58" s="1"/>
  <c r="A74" i="74"/>
  <c r="D149" i="62"/>
  <c r="D98" i="67"/>
  <c r="D326" i="68"/>
  <c r="C458" i="62"/>
  <c r="D448" i="70"/>
  <c r="D164" i="69"/>
  <c r="D81" i="66"/>
  <c r="D619" i="62"/>
  <c r="D623" i="62"/>
  <c r="D475" i="62"/>
  <c r="D470" i="62"/>
  <c r="D594" i="62"/>
  <c r="D466" i="62"/>
  <c r="D258" i="68"/>
  <c r="D217" i="75"/>
  <c r="D179" i="69"/>
  <c r="D197" i="69"/>
  <c r="D133" i="64"/>
  <c r="D86" i="64"/>
  <c r="D109" i="64"/>
  <c r="D582" i="62"/>
  <c r="D501" i="62"/>
  <c r="D570" i="62"/>
  <c r="D540" i="62"/>
  <c r="D667" i="65"/>
  <c r="D746" i="65"/>
  <c r="D703" i="65"/>
  <c r="D689" i="65"/>
  <c r="D99" i="66"/>
  <c r="D658" i="65"/>
  <c r="D635" i="65"/>
  <c r="D665" i="65"/>
  <c r="D631" i="65"/>
  <c r="D752" i="65"/>
  <c r="D627" i="65"/>
  <c r="D663" i="65"/>
  <c r="D642" i="65"/>
  <c r="A73" i="74"/>
  <c r="D148" i="62"/>
  <c r="D459" i="62"/>
  <c r="D433" i="62"/>
  <c r="D238" i="75"/>
  <c r="D385" i="68"/>
  <c r="D87" i="68"/>
  <c r="E32" i="58"/>
  <c r="D11" i="58" s="1"/>
  <c r="D32" i="58"/>
  <c r="C11" i="58" s="1"/>
  <c r="D354" i="75"/>
  <c r="D325" i="75"/>
  <c r="D29" i="75"/>
  <c r="D158" i="69"/>
  <c r="D194" i="69"/>
  <c r="D108" i="67"/>
  <c r="D64" i="67"/>
  <c r="D37" i="66"/>
  <c r="D258" i="62"/>
  <c r="D226" i="75"/>
  <c r="D476" i="70"/>
  <c r="D129" i="70"/>
  <c r="D601" i="75"/>
  <c r="D768" i="75"/>
  <c r="D606" i="75"/>
  <c r="D642" i="75"/>
  <c r="D761" i="75"/>
  <c r="D779" i="75"/>
  <c r="D635" i="75"/>
  <c r="D836" i="75"/>
  <c r="D778" i="75"/>
  <c r="D663" i="75"/>
  <c r="D649" i="75"/>
  <c r="D758" i="75"/>
  <c r="D632" i="75"/>
  <c r="D486" i="65"/>
  <c r="D37" i="65"/>
  <c r="D493" i="65"/>
  <c r="D637" i="65"/>
  <c r="D625" i="65"/>
  <c r="D556" i="65"/>
  <c r="D595" i="65"/>
  <c r="A76" i="74"/>
  <c r="D151" i="62"/>
  <c r="D284" i="75"/>
  <c r="D798" i="75"/>
  <c r="D480" i="75"/>
  <c r="D494" i="75"/>
  <c r="D291" i="75"/>
  <c r="D726" i="75"/>
  <c r="D455" i="75"/>
  <c r="D250" i="75"/>
  <c r="D830" i="75"/>
  <c r="D517" i="75"/>
  <c r="D428" i="75"/>
  <c r="D375" i="75"/>
  <c r="D410" i="75"/>
  <c r="D427" i="75"/>
  <c r="D255" i="75"/>
  <c r="D731" i="75"/>
  <c r="D380" i="75"/>
  <c r="D438" i="75"/>
  <c r="D407" i="75"/>
  <c r="D790" i="75"/>
  <c r="D503" i="75"/>
  <c r="D390" i="70"/>
  <c r="D417" i="75"/>
  <c r="D364" i="70"/>
  <c r="D470" i="75"/>
  <c r="D298" i="75"/>
  <c r="D421" i="70"/>
  <c r="D525" i="75"/>
  <c r="D437" i="75"/>
  <c r="D430" i="70"/>
  <c r="D312" i="75"/>
  <c r="D206" i="75"/>
  <c r="D14" i="75"/>
  <c r="D413" i="70"/>
  <c r="D402" i="70"/>
  <c r="D281" i="75"/>
  <c r="D115" i="69"/>
  <c r="D69" i="69"/>
  <c r="D165" i="70"/>
  <c r="D211" i="70"/>
  <c r="D177" i="70"/>
  <c r="D358" i="70"/>
  <c r="D56" i="70"/>
  <c r="D186" i="70"/>
  <c r="D148" i="70"/>
  <c r="D199" i="70"/>
  <c r="D380" i="70"/>
  <c r="D100" i="69"/>
  <c r="D142" i="68"/>
  <c r="D129" i="68"/>
  <c r="D136" i="70"/>
  <c r="D106" i="69"/>
  <c r="D101" i="68"/>
  <c r="D119" i="68"/>
  <c r="D118" i="66"/>
  <c r="D95" i="68"/>
  <c r="D107" i="66"/>
  <c r="D24" i="66"/>
  <c r="D112" i="66"/>
  <c r="D562" i="62"/>
  <c r="D431" i="62"/>
  <c r="D12" i="66"/>
  <c r="D617" i="65"/>
  <c r="D34" i="64"/>
  <c r="D31" i="66"/>
  <c r="D499" i="65"/>
  <c r="D599" i="65"/>
  <c r="D546" i="65"/>
  <c r="D96" i="64"/>
  <c r="D491" i="62"/>
  <c r="D544" i="62"/>
  <c r="D102" i="69"/>
  <c r="D111" i="69"/>
  <c r="D243" i="75"/>
  <c r="D351" i="68"/>
  <c r="D249" i="68"/>
  <c r="D212" i="68"/>
  <c r="D325" i="68"/>
  <c r="D321" i="68"/>
  <c r="D228" i="68"/>
  <c r="D171" i="68"/>
  <c r="D343" i="68"/>
  <c r="D236" i="68"/>
  <c r="D363" i="68"/>
  <c r="D82" i="68"/>
  <c r="D313" i="68"/>
  <c r="D297" i="68"/>
  <c r="D245" i="68"/>
  <c r="D152" i="68"/>
  <c r="D316" i="75"/>
  <c r="D345" i="75"/>
  <c r="D517" i="62"/>
  <c r="D588" i="62"/>
  <c r="D547" i="62"/>
  <c r="D111" i="68"/>
  <c r="D631" i="75"/>
  <c r="D638" i="75"/>
  <c r="D855" i="75"/>
  <c r="D865" i="75"/>
  <c r="D616" i="75"/>
  <c r="D653" i="75"/>
  <c r="D626" i="75"/>
  <c r="D478" i="70"/>
  <c r="D145" i="70"/>
  <c r="D399" i="70"/>
  <c r="D89" i="70"/>
  <c r="D83" i="70"/>
  <c r="D199" i="75"/>
  <c r="D205" i="75"/>
  <c r="D191" i="75"/>
  <c r="D56" i="69"/>
  <c r="D195" i="69"/>
  <c r="D94" i="70"/>
  <c r="D104" i="70"/>
  <c r="D51" i="68"/>
  <c r="D63" i="69"/>
  <c r="D45" i="68"/>
  <c r="D45" i="69"/>
  <c r="D51" i="69"/>
  <c r="D56" i="68"/>
  <c r="D66" i="68"/>
  <c r="D41" i="64"/>
  <c r="D11" i="64"/>
  <c r="D147" i="64"/>
  <c r="D58" i="64"/>
  <c r="D46" i="64"/>
  <c r="D30" i="64"/>
  <c r="D860" i="75"/>
  <c r="D848" i="75"/>
  <c r="D472" i="70"/>
  <c r="D177" i="69"/>
  <c r="D165" i="69"/>
  <c r="D382" i="68"/>
  <c r="D86" i="69"/>
  <c r="D142" i="69"/>
  <c r="D211" i="69"/>
  <c r="D168" i="69"/>
  <c r="D150" i="69"/>
  <c r="D204" i="69"/>
  <c r="D134" i="69"/>
  <c r="D192" i="69"/>
  <c r="D125" i="69"/>
  <c r="D170" i="75"/>
  <c r="D71" i="75"/>
  <c r="D52" i="75"/>
  <c r="D84" i="75"/>
  <c r="D115" i="75"/>
  <c r="D151" i="75"/>
  <c r="D128" i="75"/>
  <c r="D109" i="75"/>
  <c r="D92" i="75"/>
  <c r="D64" i="75"/>
  <c r="D177" i="75"/>
  <c r="D157" i="75"/>
  <c r="D58" i="75"/>
  <c r="D40" i="75"/>
  <c r="D136" i="75"/>
  <c r="D93" i="66"/>
  <c r="D642" i="62"/>
  <c r="D576" i="62"/>
  <c r="D603" i="62"/>
  <c r="D572" i="62"/>
  <c r="D697" i="62"/>
  <c r="D654" i="62"/>
  <c r="D621" i="62"/>
  <c r="D610" i="62"/>
  <c r="D587" i="62"/>
  <c r="D648" i="62"/>
  <c r="D608" i="62"/>
  <c r="D580" i="62"/>
  <c r="D703" i="62"/>
  <c r="D634" i="62"/>
  <c r="D612" i="62"/>
  <c r="D319" i="75"/>
  <c r="D348" i="75"/>
  <c r="D207" i="70"/>
  <c r="D202" i="70"/>
  <c r="D351" i="75"/>
  <c r="D322" i="75"/>
  <c r="D83" i="58" l="1"/>
  <c r="D82" i="58"/>
  <c r="E83" i="58"/>
  <c r="F83" i="58"/>
  <c r="F82" i="58"/>
  <c r="E82" i="58"/>
  <c r="C308" i="75"/>
  <c r="C347" i="75"/>
  <c r="C363" i="75"/>
  <c r="C356" i="75"/>
  <c r="C230" i="40"/>
  <c r="C231" i="40"/>
  <c r="C266" i="75"/>
  <c r="C743" i="75"/>
  <c r="C392" i="75"/>
  <c r="K68" i="33"/>
  <c r="C228" i="40"/>
  <c r="K67" i="33"/>
  <c r="J72" i="33"/>
  <c r="K70" i="33"/>
  <c r="K72" i="33"/>
  <c r="K52" i="33"/>
  <c r="K53" i="33"/>
  <c r="K51" i="33"/>
  <c r="K50" i="33"/>
  <c r="C132" i="83"/>
  <c r="C214" i="83"/>
  <c r="D45" i="90"/>
  <c r="D48" i="90"/>
  <c r="D46" i="90"/>
  <c r="D47" i="90"/>
  <c r="D44" i="90"/>
  <c r="B101" i="90"/>
  <c r="D101" i="90" s="1"/>
  <c r="D113" i="90"/>
  <c r="D108" i="90"/>
  <c r="D114" i="90"/>
  <c r="D116" i="90"/>
  <c r="D115" i="90"/>
  <c r="D106" i="90"/>
  <c r="D110" i="90"/>
  <c r="D111" i="90"/>
  <c r="D107" i="90"/>
  <c r="D109" i="90"/>
  <c r="D112" i="90"/>
  <c r="D103" i="90"/>
  <c r="D105" i="90"/>
  <c r="D102" i="90"/>
  <c r="D104" i="90"/>
  <c r="D65" i="66"/>
  <c r="D73" i="66"/>
  <c r="C974" i="56"/>
  <c r="F1065" i="56"/>
  <c r="M1019" i="56"/>
  <c r="I1021" i="56"/>
  <c r="C360" i="40"/>
  <c r="C359" i="40"/>
  <c r="C358" i="40"/>
  <c r="C326" i="40"/>
  <c r="C328" i="40"/>
  <c r="C327" i="40"/>
  <c r="E623" i="88"/>
  <c r="E382" i="88"/>
  <c r="E443" i="88"/>
  <c r="E263" i="88"/>
  <c r="E384" i="88"/>
  <c r="E622" i="88"/>
  <c r="E444" i="88"/>
  <c r="E264" i="88"/>
  <c r="E504" i="88"/>
  <c r="E503" i="88"/>
  <c r="E324" i="88"/>
  <c r="E323" i="88"/>
  <c r="E561" i="88"/>
  <c r="E621" i="88"/>
  <c r="E562" i="88"/>
  <c r="E383" i="88"/>
  <c r="E442" i="88"/>
  <c r="E502" i="88"/>
  <c r="E563" i="88"/>
  <c r="E322" i="88"/>
  <c r="C353" i="65"/>
  <c r="C346" i="65"/>
  <c r="C287" i="65"/>
  <c r="C44" i="67"/>
  <c r="C73" i="95"/>
  <c r="D21" i="95"/>
  <c r="D35" i="95"/>
  <c r="D53" i="95"/>
  <c r="D67" i="95"/>
  <c r="D71" i="95"/>
  <c r="D28" i="95"/>
  <c r="D12" i="95"/>
  <c r="D58" i="95"/>
  <c r="D16" i="95"/>
  <c r="D97" i="67"/>
  <c r="D44" i="67"/>
  <c r="D73" i="95"/>
  <c r="C356" i="40"/>
  <c r="C338" i="65"/>
  <c r="E454" i="88"/>
  <c r="E452" i="88"/>
  <c r="C355" i="40"/>
  <c r="C357" i="40"/>
  <c r="C737" i="65"/>
  <c r="E364" i="88"/>
  <c r="E362" i="88"/>
  <c r="E372" i="88"/>
  <c r="E367" i="88"/>
  <c r="E374" i="88"/>
  <c r="E368" i="88"/>
  <c r="E375" i="88"/>
  <c r="E369" i="88"/>
  <c r="E376" i="88"/>
  <c r="E373" i="88"/>
  <c r="E377" i="88"/>
  <c r="E371" i="88"/>
  <c r="E365" i="88"/>
  <c r="E366" i="88"/>
  <c r="E363" i="88"/>
  <c r="E370" i="88"/>
  <c r="C10" i="65"/>
  <c r="C386" i="62"/>
  <c r="C462" i="65"/>
  <c r="C471" i="65"/>
  <c r="C384" i="62"/>
  <c r="C460" i="65"/>
  <c r="C477" i="65"/>
  <c r="C515" i="65" s="1"/>
  <c r="C385" i="62"/>
  <c r="C461" i="65"/>
  <c r="C387" i="62"/>
  <c r="C463" i="65"/>
  <c r="G41" i="58"/>
  <c r="F41" i="58"/>
  <c r="E13" i="58" s="1"/>
  <c r="E41" i="58"/>
  <c r="D13" i="58" s="1"/>
  <c r="C13" i="58"/>
  <c r="C127" i="83"/>
  <c r="C389" i="62"/>
  <c r="G48" i="89"/>
  <c r="C139" i="83"/>
  <c r="C324" i="40"/>
  <c r="C325" i="40"/>
  <c r="C323" i="40"/>
  <c r="E575" i="88"/>
  <c r="E515" i="88"/>
  <c r="E456" i="88"/>
  <c r="E396" i="88"/>
  <c r="E635" i="88"/>
  <c r="E336" i="88"/>
  <c r="E397" i="88"/>
  <c r="E275" i="88"/>
  <c r="E392" i="88"/>
  <c r="E395" i="88"/>
  <c r="E634" i="88"/>
  <c r="E335" i="88"/>
  <c r="E571" i="88"/>
  <c r="E511" i="88"/>
  <c r="E455" i="88"/>
  <c r="E332" i="88"/>
  <c r="E272" i="88"/>
  <c r="E276" i="88"/>
  <c r="E631" i="88"/>
  <c r="E574" i="88"/>
  <c r="E514" i="88"/>
  <c r="C123" i="83"/>
  <c r="L86" i="63"/>
  <c r="C393" i="56" a="1"/>
  <c r="C393" i="56" s="1"/>
  <c r="C447" i="56" a="1"/>
  <c r="C447" i="56" s="1"/>
  <c r="C411" i="56" a="1"/>
  <c r="D279" i="65"/>
  <c r="C279" i="65"/>
  <c r="C92" i="65"/>
  <c r="C303" i="65"/>
  <c r="C362" i="65"/>
  <c r="C86" i="65"/>
  <c r="C89" i="65"/>
  <c r="E270" i="88"/>
  <c r="E577" i="88"/>
  <c r="E334" i="88"/>
  <c r="E338" i="88"/>
  <c r="E268" i="88"/>
  <c r="E390" i="88"/>
  <c r="E569" i="88"/>
  <c r="E278" i="88"/>
  <c r="E513" i="88"/>
  <c r="E637" i="88"/>
  <c r="E573" i="88"/>
  <c r="E274" i="88"/>
  <c r="E394" i="88"/>
  <c r="E458" i="88"/>
  <c r="E509" i="88"/>
  <c r="C261" i="89"/>
  <c r="C264" i="89"/>
  <c r="C289" i="89"/>
  <c r="C286" i="89"/>
  <c r="E388" i="88"/>
  <c r="G98" i="89"/>
  <c r="C719" i="75"/>
  <c r="C716" i="75"/>
  <c r="C658" i="75"/>
  <c r="C700" i="75"/>
  <c r="C713" i="75"/>
  <c r="C710" i="75"/>
  <c r="C706" i="75"/>
  <c r="C703" i="75"/>
  <c r="C697" i="75"/>
  <c r="C239" i="89"/>
  <c r="C236" i="89"/>
  <c r="C214" i="89"/>
  <c r="C211" i="89"/>
  <c r="C189" i="89"/>
  <c r="C186" i="89"/>
  <c r="C164" i="89"/>
  <c r="C161" i="89"/>
  <c r="E98" i="89"/>
  <c r="C691" i="75"/>
  <c r="C685" i="75"/>
  <c r="C688" i="75"/>
  <c r="C682" i="75"/>
  <c r="C678" i="75"/>
  <c r="C655" i="75"/>
  <c r="C675" i="75"/>
  <c r="C672" i="75"/>
  <c r="C669" i="75"/>
  <c r="E507" i="88"/>
  <c r="E629" i="88"/>
  <c r="E517" i="88"/>
  <c r="E633" i="88"/>
  <c r="E627" i="88"/>
  <c r="E328" i="88"/>
  <c r="E567" i="88"/>
  <c r="C98" i="89"/>
  <c r="C645" i="75"/>
  <c r="E398" i="88"/>
  <c r="E448" i="88"/>
  <c r="E450" i="88"/>
  <c r="E330" i="88"/>
  <c r="C707" i="65"/>
  <c r="E48" i="89"/>
  <c r="E49" i="89"/>
  <c r="D156" i="85"/>
  <c r="C82" i="65"/>
  <c r="D132" i="85"/>
  <c r="D131" i="85"/>
  <c r="D157" i="85"/>
  <c r="D612" i="75"/>
  <c r="D141" i="85"/>
  <c r="D142" i="85"/>
  <c r="K74" i="89"/>
  <c r="K101" i="89"/>
  <c r="K76" i="89"/>
  <c r="K98" i="89"/>
  <c r="K100" i="89"/>
  <c r="K99" i="89"/>
  <c r="K75" i="89"/>
  <c r="K77" i="89"/>
  <c r="K69" i="89"/>
  <c r="K68" i="89"/>
  <c r="C710" i="65"/>
  <c r="C722" i="65"/>
  <c r="C126" i="83"/>
  <c r="C138" i="83"/>
  <c r="C72" i="86"/>
  <c r="C719" i="65"/>
  <c r="C99" i="89"/>
  <c r="G275" i="89"/>
  <c r="G251" i="89"/>
  <c r="G227" i="89"/>
  <c r="G203" i="89"/>
  <c r="G179" i="89"/>
  <c r="G155" i="89"/>
  <c r="G131" i="89"/>
  <c r="G121" i="89"/>
  <c r="G226" i="89"/>
  <c r="G178" i="89"/>
  <c r="G130" i="89"/>
  <c r="G248" i="89"/>
  <c r="G128" i="89"/>
  <c r="G172" i="89"/>
  <c r="G205" i="89"/>
  <c r="G156" i="89"/>
  <c r="G274" i="89"/>
  <c r="G250" i="89"/>
  <c r="G202" i="89"/>
  <c r="G154" i="89"/>
  <c r="G200" i="89"/>
  <c r="G125" i="89"/>
  <c r="G204" i="89"/>
  <c r="G273" i="89"/>
  <c r="G249" i="89"/>
  <c r="G225" i="89"/>
  <c r="G201" i="89"/>
  <c r="G177" i="89"/>
  <c r="G153" i="89"/>
  <c r="G129" i="89"/>
  <c r="G224" i="89"/>
  <c r="G149" i="89"/>
  <c r="G180" i="89"/>
  <c r="G272" i="89"/>
  <c r="G176" i="89"/>
  <c r="G152" i="89"/>
  <c r="G221" i="89"/>
  <c r="G253" i="89"/>
  <c r="G181" i="89"/>
  <c r="G123" i="89"/>
  <c r="G276" i="89"/>
  <c r="G281" i="89"/>
  <c r="G271" i="89"/>
  <c r="G247" i="89"/>
  <c r="G223" i="89"/>
  <c r="G199" i="89"/>
  <c r="G175" i="89"/>
  <c r="G151" i="89"/>
  <c r="G127" i="89"/>
  <c r="G255" i="89"/>
  <c r="G277" i="89"/>
  <c r="G171" i="89"/>
  <c r="G252" i="89"/>
  <c r="G280" i="89"/>
  <c r="G256" i="89"/>
  <c r="G246" i="89"/>
  <c r="G222" i="89"/>
  <c r="G198" i="89"/>
  <c r="G174" i="89"/>
  <c r="G150" i="89"/>
  <c r="G126" i="89"/>
  <c r="G197" i="89"/>
  <c r="G148" i="89"/>
  <c r="G228" i="89"/>
  <c r="G279" i="89"/>
  <c r="G231" i="89"/>
  <c r="G173" i="89"/>
  <c r="G124" i="89"/>
  <c r="G229" i="89"/>
  <c r="G147" i="89"/>
  <c r="G146" i="89"/>
  <c r="G278" i="89"/>
  <c r="G254" i="89"/>
  <c r="G230" i="89"/>
  <c r="G206" i="89"/>
  <c r="G196" i="89"/>
  <c r="G122" i="89"/>
  <c r="C434" i="65"/>
  <c r="C415" i="65"/>
  <c r="C444" i="65"/>
  <c r="C426" i="65"/>
  <c r="C425" i="65"/>
  <c r="C727" i="65"/>
  <c r="C445" i="65"/>
  <c r="C715" i="65"/>
  <c r="C443" i="65"/>
  <c r="C424" i="65"/>
  <c r="C713" i="65"/>
  <c r="C725" i="65"/>
  <c r="C420" i="65"/>
  <c r="C709" i="65"/>
  <c r="C421" i="65"/>
  <c r="C721" i="65"/>
  <c r="C440" i="65"/>
  <c r="C439" i="65"/>
  <c r="C433" i="65"/>
  <c r="C432" i="65"/>
  <c r="C414" i="65"/>
  <c r="C413" i="65"/>
  <c r="E614" i="88"/>
  <c r="E604" i="88"/>
  <c r="E593" i="88"/>
  <c r="E556" i="88"/>
  <c r="E546" i="88"/>
  <c r="E535" i="88"/>
  <c r="E525" i="88"/>
  <c r="E489" i="88"/>
  <c r="E478" i="88"/>
  <c r="E468" i="88"/>
  <c r="E431" i="88"/>
  <c r="E420" i="88"/>
  <c r="E410" i="88"/>
  <c r="E352" i="88"/>
  <c r="E315" i="88"/>
  <c r="E305" i="88"/>
  <c r="E294" i="88"/>
  <c r="E257" i="88"/>
  <c r="E247" i="88"/>
  <c r="E236" i="88"/>
  <c r="E226" i="88"/>
  <c r="E632" i="88"/>
  <c r="E613" i="88"/>
  <c r="E603" i="88"/>
  <c r="E592" i="88"/>
  <c r="E576" i="88"/>
  <c r="E555" i="88"/>
  <c r="E545" i="88"/>
  <c r="E534" i="88"/>
  <c r="E524" i="88"/>
  <c r="E506" i="88"/>
  <c r="E488" i="88"/>
  <c r="E467" i="88"/>
  <c r="E449" i="88"/>
  <c r="E430" i="88"/>
  <c r="E419" i="88"/>
  <c r="E409" i="88"/>
  <c r="E391" i="88"/>
  <c r="E351" i="88"/>
  <c r="E314" i="88"/>
  <c r="E304" i="88"/>
  <c r="E293" i="88"/>
  <c r="E277" i="88"/>
  <c r="E256" i="88"/>
  <c r="E246" i="88"/>
  <c r="E235" i="88"/>
  <c r="E500" i="88"/>
  <c r="E501" i="88"/>
  <c r="E477" i="88"/>
  <c r="E333" i="88"/>
  <c r="E225" i="88"/>
  <c r="E320" i="88"/>
  <c r="E608" i="88"/>
  <c r="E595" i="88"/>
  <c r="E552" i="88"/>
  <c r="E539" i="88"/>
  <c r="E527" i="88"/>
  <c r="E497" i="88"/>
  <c r="E485" i="88"/>
  <c r="E472" i="88"/>
  <c r="E429" i="88"/>
  <c r="E416" i="88"/>
  <c r="E360" i="88"/>
  <c r="E348" i="88"/>
  <c r="E307" i="88"/>
  <c r="E292" i="88"/>
  <c r="E251" i="88"/>
  <c r="E238" i="88"/>
  <c r="E560" i="88"/>
  <c r="E441" i="88"/>
  <c r="E628" i="88"/>
  <c r="E607" i="88"/>
  <c r="E594" i="88"/>
  <c r="E572" i="88"/>
  <c r="E551" i="88"/>
  <c r="E538" i="88"/>
  <c r="E526" i="88"/>
  <c r="E496" i="88"/>
  <c r="E484" i="88"/>
  <c r="E471" i="88"/>
  <c r="E451" i="88"/>
  <c r="E428" i="88"/>
  <c r="E415" i="88"/>
  <c r="E359" i="88"/>
  <c r="E347" i="88"/>
  <c r="E327" i="88"/>
  <c r="E306" i="88"/>
  <c r="E291" i="88"/>
  <c r="E271" i="88"/>
  <c r="E250" i="88"/>
  <c r="E237" i="88"/>
  <c r="E559" i="88"/>
  <c r="E440" i="88"/>
  <c r="E261" i="88"/>
  <c r="E606" i="88"/>
  <c r="E591" i="88"/>
  <c r="E550" i="88"/>
  <c r="E537" i="88"/>
  <c r="E495" i="88"/>
  <c r="E483" i="88"/>
  <c r="E470" i="88"/>
  <c r="E427" i="88"/>
  <c r="E414" i="88"/>
  <c r="E358" i="88"/>
  <c r="E346" i="88"/>
  <c r="E317" i="88"/>
  <c r="E303" i="88"/>
  <c r="E290" i="88"/>
  <c r="E249" i="88"/>
  <c r="E234" i="88"/>
  <c r="E260" i="88"/>
  <c r="E626" i="88"/>
  <c r="E605" i="88"/>
  <c r="E590" i="88"/>
  <c r="E570" i="88"/>
  <c r="E549" i="88"/>
  <c r="E536" i="88"/>
  <c r="E516" i="88"/>
  <c r="E494" i="88"/>
  <c r="E482" i="88"/>
  <c r="E426" i="88"/>
  <c r="E413" i="88"/>
  <c r="E393" i="88"/>
  <c r="E345" i="88"/>
  <c r="E302" i="88"/>
  <c r="E289" i="88"/>
  <c r="E248" i="88"/>
  <c r="E548" i="88"/>
  <c r="E412" i="88"/>
  <c r="E356" i="88"/>
  <c r="E288" i="88"/>
  <c r="E232" i="88"/>
  <c r="E447" i="88"/>
  <c r="E316" i="88"/>
  <c r="E269" i="88"/>
  <c r="E233" i="88"/>
  <c r="E616" i="88"/>
  <c r="E493" i="88"/>
  <c r="E480" i="88"/>
  <c r="E437" i="88"/>
  <c r="E300" i="88"/>
  <c r="E245" i="88"/>
  <c r="E354" i="88"/>
  <c r="E353" i="88"/>
  <c r="E469" i="88"/>
  <c r="E602" i="88"/>
  <c r="E589" i="88"/>
  <c r="E547" i="88"/>
  <c r="E355" i="88"/>
  <c r="E287" i="88"/>
  <c r="E231" i="88"/>
  <c r="E357" i="88"/>
  <c r="E533" i="88"/>
  <c r="E466" i="88"/>
  <c r="E425" i="88"/>
  <c r="E313" i="88"/>
  <c r="E381" i="88"/>
  <c r="E615" i="88"/>
  <c r="E588" i="88"/>
  <c r="E532" i="88"/>
  <c r="E492" i="88"/>
  <c r="E436" i="88"/>
  <c r="E411" i="88"/>
  <c r="E312" i="88"/>
  <c r="E267" i="88"/>
  <c r="E380" i="88"/>
  <c r="E612" i="88"/>
  <c r="E599" i="88"/>
  <c r="E587" i="88"/>
  <c r="E544" i="88"/>
  <c r="E531" i="88"/>
  <c r="E491" i="88"/>
  <c r="E476" i="88"/>
  <c r="E423" i="88"/>
  <c r="E311" i="88"/>
  <c r="E255" i="88"/>
  <c r="E230" i="88"/>
  <c r="E510" i="88"/>
  <c r="E387" i="88"/>
  <c r="E310" i="88"/>
  <c r="E285" i="88"/>
  <c r="E242" i="88"/>
  <c r="E620" i="88"/>
  <c r="E610" i="88"/>
  <c r="E597" i="88"/>
  <c r="E585" i="88"/>
  <c r="E554" i="88"/>
  <c r="E542" i="88"/>
  <c r="E487" i="88"/>
  <c r="E474" i="88"/>
  <c r="E418" i="88"/>
  <c r="E406" i="88"/>
  <c r="E296" i="88"/>
  <c r="E240" i="88"/>
  <c r="E609" i="88"/>
  <c r="E596" i="88"/>
  <c r="E584" i="88"/>
  <c r="E553" i="88"/>
  <c r="E541" i="88"/>
  <c r="E528" i="88"/>
  <c r="E508" i="88"/>
  <c r="E486" i="88"/>
  <c r="E473" i="88"/>
  <c r="E453" i="88"/>
  <c r="E432" i="88"/>
  <c r="E417" i="88"/>
  <c r="E405" i="88"/>
  <c r="E349" i="88"/>
  <c r="E308" i="88"/>
  <c r="E295" i="88"/>
  <c r="E273" i="88"/>
  <c r="E252" i="88"/>
  <c r="E239" i="88"/>
  <c r="E601" i="88"/>
  <c r="E568" i="88"/>
  <c r="E512" i="88"/>
  <c r="E479" i="88"/>
  <c r="E465" i="88"/>
  <c r="E424" i="88"/>
  <c r="E389" i="88"/>
  <c r="E337" i="88"/>
  <c r="E299" i="88"/>
  <c r="E244" i="88"/>
  <c r="E435" i="88"/>
  <c r="E408" i="88"/>
  <c r="E298" i="88"/>
  <c r="E286" i="88"/>
  <c r="E243" i="88"/>
  <c r="E636" i="88"/>
  <c r="E611" i="88"/>
  <c r="E598" i="88"/>
  <c r="E586" i="88"/>
  <c r="E566" i="88"/>
  <c r="E543" i="88"/>
  <c r="E530" i="88"/>
  <c r="E490" i="88"/>
  <c r="E475" i="88"/>
  <c r="E457" i="88"/>
  <c r="E434" i="88"/>
  <c r="E422" i="88"/>
  <c r="E407" i="88"/>
  <c r="E331" i="88"/>
  <c r="E297" i="88"/>
  <c r="E254" i="88"/>
  <c r="E229" i="88"/>
  <c r="E619" i="88"/>
  <c r="E529" i="88"/>
  <c r="E433" i="88"/>
  <c r="E350" i="88"/>
  <c r="E309" i="88"/>
  <c r="E253" i="88"/>
  <c r="E228" i="88"/>
  <c r="E321" i="88"/>
  <c r="E630" i="88"/>
  <c r="E329" i="88"/>
  <c r="E227" i="88"/>
  <c r="E499" i="88"/>
  <c r="E439" i="88"/>
  <c r="E379" i="88"/>
  <c r="E319" i="88"/>
  <c r="E618" i="88"/>
  <c r="E558" i="88"/>
  <c r="C728" i="65"/>
  <c r="C416" i="65"/>
  <c r="C435" i="65"/>
  <c r="C716" i="65"/>
  <c r="C419" i="65"/>
  <c r="C438" i="65"/>
  <c r="E276" i="89"/>
  <c r="E156" i="89"/>
  <c r="E222" i="89"/>
  <c r="E251" i="89"/>
  <c r="E274" i="89"/>
  <c r="E154" i="89"/>
  <c r="E273" i="89"/>
  <c r="E153" i="89"/>
  <c r="E272" i="89"/>
  <c r="E152" i="89"/>
  <c r="E252" i="89"/>
  <c r="E174" i="89"/>
  <c r="E250" i="89"/>
  <c r="E125" i="89"/>
  <c r="E206" i="89"/>
  <c r="E178" i="89"/>
  <c r="E281" i="89"/>
  <c r="E279" i="89"/>
  <c r="E171" i="89"/>
  <c r="E271" i="89"/>
  <c r="E151" i="89"/>
  <c r="E198" i="89"/>
  <c r="E203" i="89"/>
  <c r="E255" i="89"/>
  <c r="E149" i="89"/>
  <c r="E254" i="89"/>
  <c r="E148" i="89"/>
  <c r="E253" i="89"/>
  <c r="E147" i="89"/>
  <c r="E179" i="89"/>
  <c r="E130" i="89"/>
  <c r="E129" i="89"/>
  <c r="E128" i="89"/>
  <c r="E124" i="89"/>
  <c r="E229" i="89"/>
  <c r="E181" i="89"/>
  <c r="E246" i="89"/>
  <c r="E175" i="89"/>
  <c r="E278" i="89"/>
  <c r="E146" i="89"/>
  <c r="E249" i="89"/>
  <c r="E248" i="89"/>
  <c r="E205" i="89"/>
  <c r="E200" i="89"/>
  <c r="E177" i="89"/>
  <c r="E172" i="89"/>
  <c r="E277" i="89"/>
  <c r="E247" i="89"/>
  <c r="E127" i="89"/>
  <c r="E155" i="89"/>
  <c r="E150" i="89"/>
  <c r="E231" i="89"/>
  <c r="E230" i="89"/>
  <c r="E123" i="89"/>
  <c r="E180" i="89"/>
  <c r="E228" i="89"/>
  <c r="E122" i="89"/>
  <c r="E131" i="89"/>
  <c r="E126" i="89"/>
  <c r="E226" i="89"/>
  <c r="E225" i="89"/>
  <c r="E224" i="89"/>
  <c r="E223" i="89"/>
  <c r="E121" i="89"/>
  <c r="E221" i="89"/>
  <c r="E204" i="89"/>
  <c r="E275" i="89"/>
  <c r="E202" i="89"/>
  <c r="E201" i="89"/>
  <c r="E176" i="89"/>
  <c r="E227" i="89"/>
  <c r="E173" i="89"/>
  <c r="E199" i="89"/>
  <c r="E256" i="89"/>
  <c r="E280" i="89"/>
  <c r="E197" i="89"/>
  <c r="E196" i="89"/>
  <c r="J29" i="54"/>
  <c r="D57" i="66"/>
  <c r="C707" i="75"/>
  <c r="C93" i="86"/>
  <c r="D49" i="66"/>
  <c r="C82" i="58"/>
  <c r="C83" i="58"/>
  <c r="D14" i="66"/>
  <c r="D59" i="82"/>
  <c r="D128" i="64"/>
  <c r="D118" i="64"/>
  <c r="C120" i="83"/>
  <c r="C135" i="83"/>
  <c r="C711" i="75" a="1"/>
  <c r="C711" i="75" s="1"/>
  <c r="C717" i="75" a="1"/>
  <c r="C717" i="75" s="1"/>
  <c r="D54" i="66"/>
  <c r="D60" i="67"/>
  <c r="D95" i="67"/>
  <c r="D121" i="67"/>
  <c r="D145" i="67"/>
  <c r="D114" i="67"/>
  <c r="D159" i="67"/>
  <c r="D152" i="67"/>
  <c r="D50" i="67"/>
  <c r="D59" i="67"/>
  <c r="D57" i="67"/>
  <c r="D40" i="67"/>
  <c r="D49" i="67"/>
  <c r="D67" i="67"/>
  <c r="C16" i="67"/>
  <c r="R26" i="63"/>
  <c r="C69" i="86" a="1"/>
  <c r="C69" i="86" s="1"/>
  <c r="C133" i="86"/>
  <c r="C108" i="86"/>
  <c r="C81" i="86"/>
  <c r="D453" i="70"/>
  <c r="C71" i="86"/>
  <c r="C70" i="86"/>
  <c r="C154" i="85"/>
  <c r="C701" i="75" a="1"/>
  <c r="C701" i="75" s="1"/>
  <c r="C714" i="75" a="1"/>
  <c r="C714" i="75" s="1"/>
  <c r="C698" i="75" a="1"/>
  <c r="C698" i="75" s="1"/>
  <c r="C704" i="75" a="1"/>
  <c r="C704" i="75" s="1"/>
  <c r="C197" i="83"/>
  <c r="C191" i="83"/>
  <c r="C138" i="69"/>
  <c r="C465" i="70"/>
  <c r="C339" i="70"/>
  <c r="C87" i="69"/>
  <c r="C226" i="69"/>
  <c r="C371" i="68"/>
  <c r="C388" i="70"/>
  <c r="C76" i="64"/>
  <c r="C347" i="70"/>
  <c r="C335" i="70"/>
  <c r="C106" i="70"/>
  <c r="C659" i="75"/>
  <c r="C651" i="65"/>
  <c r="D160" i="85"/>
  <c r="C198" i="62"/>
  <c r="C185" i="85"/>
  <c r="C178" i="85"/>
  <c r="C80" i="85"/>
  <c r="C83" i="85"/>
  <c r="C22" i="82"/>
  <c r="F85" i="58" a="1"/>
  <c r="F85" i="58" s="1"/>
  <c r="E85" i="58" a="1"/>
  <c r="E85" i="58" s="1"/>
  <c r="D85" i="58" a="1"/>
  <c r="D85" i="58" s="1"/>
  <c r="C85" i="58"/>
  <c r="C136" i="85"/>
  <c r="C81" i="85"/>
  <c r="C134" i="85"/>
  <c r="C137" i="85"/>
  <c r="C82" i="85"/>
  <c r="C144" i="85"/>
  <c r="C38" i="65"/>
  <c r="C60" i="67"/>
  <c r="C321" i="62"/>
  <c r="D220" i="68"/>
  <c r="D525" i="65"/>
  <c r="D678" i="65"/>
  <c r="D87" i="66"/>
  <c r="D167" i="69"/>
  <c r="D674" i="65"/>
  <c r="D292" i="68"/>
  <c r="D42" i="65"/>
  <c r="D454" i="70"/>
  <c r="D521" i="65"/>
  <c r="D207" i="68"/>
  <c r="D530" i="65"/>
  <c r="D305" i="68"/>
  <c r="D649" i="65"/>
  <c r="C64" i="75"/>
  <c r="C151" i="75"/>
  <c r="C177" i="75"/>
  <c r="C181" i="83"/>
  <c r="C175" i="83"/>
  <c r="C40" i="65"/>
  <c r="C134" i="70"/>
  <c r="D74" i="58"/>
  <c r="C74" i="58"/>
  <c r="C77" i="58"/>
  <c r="C157" i="75"/>
  <c r="C621" i="62"/>
  <c r="C84" i="75"/>
  <c r="C128" i="75"/>
  <c r="C40" i="75"/>
  <c r="C115" i="75"/>
  <c r="C610" i="62"/>
  <c r="C136" i="75"/>
  <c r="C52" i="75"/>
  <c r="C71" i="75"/>
  <c r="C109" i="75"/>
  <c r="C170" i="75"/>
  <c r="C92" i="75"/>
  <c r="C697" i="62"/>
  <c r="C654" i="62"/>
  <c r="C648" i="62"/>
  <c r="C703" i="62"/>
  <c r="C404" i="62" a="1"/>
  <c r="C404" i="62" s="1"/>
  <c r="C410" i="62"/>
  <c r="C294" i="75"/>
  <c r="C21" i="82"/>
  <c r="C20" i="82"/>
  <c r="C668" i="75"/>
  <c r="C681" i="75"/>
  <c r="C206" i="69"/>
  <c r="C394" i="70"/>
  <c r="C152" i="70"/>
  <c r="C402" i="62"/>
  <c r="C406" i="70"/>
  <c r="C366" i="62"/>
  <c r="C73" i="69"/>
  <c r="C140" i="70"/>
  <c r="C400" i="70"/>
  <c r="C401" i="62"/>
  <c r="C400" i="62"/>
  <c r="C368" i="62"/>
  <c r="C74" i="69"/>
  <c r="C367" i="62"/>
  <c r="C83" i="64"/>
  <c r="C146" i="70"/>
  <c r="D111" i="64"/>
  <c r="D244" i="75"/>
  <c r="D216" i="75"/>
  <c r="C752" i="65"/>
  <c r="C697" i="65"/>
  <c r="C703" i="65"/>
  <c r="C676" i="65"/>
  <c r="C665" i="65"/>
  <c r="F74" i="58"/>
  <c r="E74" i="58"/>
  <c r="E77" i="58"/>
  <c r="D77" i="58"/>
  <c r="F77" i="58"/>
  <c r="D45" i="58"/>
  <c r="D69" i="58" s="1"/>
  <c r="H45" i="58"/>
  <c r="H69" i="58" s="1"/>
  <c r="E45" i="58"/>
  <c r="C45" i="58"/>
  <c r="I45" i="58"/>
  <c r="F45" i="58"/>
  <c r="J45" i="58"/>
  <c r="G45" i="58"/>
  <c r="K45" i="58"/>
  <c r="C558" i="65"/>
  <c r="C37" i="62"/>
  <c r="C65" i="69"/>
  <c r="C480" i="75"/>
  <c r="C455" i="75"/>
  <c r="C517" i="75"/>
  <c r="C372" i="62"/>
  <c r="C371" i="62"/>
  <c r="C65" i="64"/>
  <c r="C407" i="62"/>
  <c r="C406" i="62"/>
  <c r="C47" i="75"/>
  <c r="C64" i="64"/>
  <c r="C373" i="62"/>
  <c r="C408" i="62"/>
  <c r="C503" i="75"/>
  <c r="C438" i="75"/>
  <c r="C430" i="75"/>
  <c r="C35" i="75"/>
  <c r="C45" i="75"/>
  <c r="C470" i="75"/>
  <c r="C583" i="75"/>
  <c r="C20" i="75"/>
  <c r="C494" i="75"/>
  <c r="C433" i="75"/>
  <c r="C541" i="75"/>
  <c r="C85" i="69"/>
  <c r="C323" i="62"/>
  <c r="C596" i="62"/>
  <c r="C36" i="67"/>
  <c r="C22" i="67"/>
  <c r="C35" i="67"/>
  <c r="C533" i="65"/>
  <c r="C342" i="62"/>
  <c r="C143" i="70"/>
  <c r="C557" i="65"/>
  <c r="C609" i="65"/>
  <c r="C338" i="62"/>
  <c r="C519" i="62"/>
  <c r="C319" i="62"/>
  <c r="C397" i="75"/>
  <c r="C539" i="65"/>
  <c r="C686" i="62"/>
  <c r="C479" i="62"/>
  <c r="C20" i="62"/>
  <c r="C68" i="64"/>
  <c r="C79" i="69"/>
  <c r="C40" i="62"/>
  <c r="C80" i="67"/>
  <c r="C23" i="65"/>
  <c r="C18" i="65"/>
  <c r="C395" i="75"/>
  <c r="C576" i="65"/>
  <c r="C409" i="70"/>
  <c r="C35" i="62"/>
  <c r="C620" i="75"/>
  <c r="C740" i="65"/>
  <c r="C538" i="65"/>
  <c r="C503" i="62"/>
  <c r="C112" i="62"/>
  <c r="C535" i="62"/>
  <c r="C18" i="62"/>
  <c r="C771" i="75"/>
  <c r="C574" i="65"/>
  <c r="C590" i="65"/>
  <c r="C521" i="62"/>
  <c r="C611" i="75"/>
  <c r="C505" i="62"/>
  <c r="C86" i="67"/>
  <c r="C271" i="75"/>
  <c r="C560" i="65"/>
  <c r="C747" i="75"/>
  <c r="C748" i="75"/>
  <c r="C269" i="75"/>
  <c r="C746" i="75"/>
  <c r="C39" i="62"/>
  <c r="C78" i="69"/>
  <c r="C165" i="62"/>
  <c r="C34" i="62"/>
  <c r="C136" i="62"/>
  <c r="C654" i="75"/>
  <c r="C657" i="75"/>
  <c r="C166" i="62"/>
  <c r="C592" i="65"/>
  <c r="C554" i="62"/>
  <c r="C502" i="62"/>
  <c r="C548" i="62"/>
  <c r="C155" i="70"/>
  <c r="C537" i="62"/>
  <c r="C735" i="65"/>
  <c r="C534" i="65"/>
  <c r="C397" i="70"/>
  <c r="C115" i="68"/>
  <c r="C411" i="75"/>
  <c r="C420" i="75"/>
  <c r="C285" i="75"/>
  <c r="C262" i="68"/>
  <c r="C84" i="67"/>
  <c r="C36" i="62"/>
  <c r="C138" i="62"/>
  <c r="C78" i="62"/>
  <c r="C17" i="62"/>
  <c r="C339" i="62"/>
  <c r="C19" i="62"/>
  <c r="C504" i="62"/>
  <c r="C38" i="62"/>
  <c r="C305" i="75"/>
  <c r="C520" i="62"/>
  <c r="C115" i="62"/>
  <c r="C559" i="65"/>
  <c r="C536" i="62"/>
  <c r="C591" i="65"/>
  <c r="C320" i="62"/>
  <c r="C575" i="65"/>
  <c r="C33" i="62"/>
  <c r="C135" i="62"/>
  <c r="C396" i="75"/>
  <c r="C340" i="62"/>
  <c r="C341" i="62"/>
  <c r="C322" i="62"/>
  <c r="C460" i="62"/>
  <c r="C422" i="62"/>
  <c r="C482" i="62"/>
  <c r="C691" i="62"/>
  <c r="C692" i="62"/>
  <c r="C483" i="62"/>
  <c r="C330" i="75"/>
  <c r="C303" i="75"/>
  <c r="C306" i="75"/>
  <c r="C324" i="75"/>
  <c r="C334" i="75"/>
  <c r="C321" i="75"/>
  <c r="C340" i="75"/>
  <c r="C331" i="75"/>
  <c r="C337" i="75"/>
  <c r="C304" i="75"/>
  <c r="C318" i="75"/>
  <c r="C327" i="75"/>
  <c r="C672" i="62"/>
  <c r="C329" i="62"/>
  <c r="C328" i="62"/>
  <c r="C348" i="62"/>
  <c r="C347" i="62"/>
  <c r="C660" i="62"/>
  <c r="C683" i="65"/>
  <c r="C478" i="62"/>
  <c r="C685" i="62"/>
  <c r="C597" i="62"/>
  <c r="C368" i="75"/>
  <c r="C359" i="75"/>
  <c r="C355" i="75"/>
  <c r="C346" i="75"/>
  <c r="C349" i="75"/>
  <c r="C362" i="75"/>
  <c r="C352" i="75"/>
  <c r="C365" i="75"/>
  <c r="C307" i="75"/>
  <c r="C598" i="62"/>
  <c r="C731" i="65"/>
  <c r="C353" i="62"/>
  <c r="C678" i="62"/>
  <c r="C666" i="62"/>
  <c r="C334" i="62"/>
  <c r="C333" i="62"/>
  <c r="C352" i="62"/>
  <c r="C75" i="75"/>
  <c r="C27" i="67"/>
  <c r="C91" i="67"/>
  <c r="C484" i="75"/>
  <c r="C507" i="75"/>
  <c r="C460" i="75"/>
  <c r="C161" i="75"/>
  <c r="C85" i="68"/>
  <c r="C32" i="75"/>
  <c r="C185" i="75"/>
  <c r="C180" i="75"/>
  <c r="C23" i="67"/>
  <c r="C78" i="67"/>
  <c r="C628" i="62"/>
  <c r="C658" i="62"/>
  <c r="C670" i="62"/>
  <c r="C673" i="62"/>
  <c r="C346" i="62"/>
  <c r="C327" i="62"/>
  <c r="C661" i="62"/>
  <c r="C416" i="62"/>
  <c r="C784" i="75"/>
  <c r="C781" i="75"/>
  <c r="C139" i="75"/>
  <c r="C145" i="75"/>
  <c r="C621" i="75"/>
  <c r="C79" i="67"/>
  <c r="C440" i="62"/>
  <c r="C482" i="65"/>
  <c r="C427" i="62"/>
  <c r="C163" i="75"/>
  <c r="C88" i="68"/>
  <c r="C90" i="67"/>
  <c r="C24" i="67"/>
  <c r="C77" i="75"/>
  <c r="C87" i="64"/>
  <c r="C103" i="75"/>
  <c r="C95" i="75"/>
  <c r="C679" i="62"/>
  <c r="C676" i="62"/>
  <c r="C332" i="62"/>
  <c r="C667" i="62"/>
  <c r="C351" i="62"/>
  <c r="C664" i="62"/>
  <c r="C622" i="75"/>
  <c r="C430" i="65"/>
  <c r="C411" i="65"/>
  <c r="C39" i="65"/>
  <c r="C431" i="65"/>
  <c r="C412" i="65"/>
  <c r="C656" i="75"/>
  <c r="C116" i="75"/>
  <c r="C171" i="75"/>
  <c r="C129" i="75"/>
  <c r="C110" i="75"/>
  <c r="C93" i="75"/>
  <c r="C72" i="75"/>
  <c r="C65" i="75"/>
  <c r="C178" i="75"/>
  <c r="C158" i="75"/>
  <c r="C59" i="75"/>
  <c r="C41" i="75"/>
  <c r="C137" i="75"/>
  <c r="C152" i="75"/>
  <c r="C53" i="75"/>
  <c r="C85" i="75"/>
  <c r="C121" i="75"/>
  <c r="C126" i="70"/>
  <c r="C119" i="75"/>
  <c r="C122" i="70"/>
  <c r="C450" i="75"/>
  <c r="C559" i="75"/>
  <c r="C542" i="75"/>
  <c r="C165" i="75"/>
  <c r="C91" i="68"/>
  <c r="C123" i="75"/>
  <c r="C130" i="70"/>
  <c r="C343" i="62"/>
  <c r="C324" i="62"/>
  <c r="C231" i="75"/>
  <c r="C244" i="75"/>
  <c r="C201" i="75"/>
  <c r="C216" i="75"/>
  <c r="C418" i="62"/>
  <c r="C419" i="62"/>
  <c r="C52" i="62"/>
  <c r="C32" i="62"/>
  <c r="C105" i="62"/>
  <c r="C76" i="67"/>
  <c r="C13" i="67"/>
  <c r="C516" i="65"/>
  <c r="C426" i="62"/>
  <c r="C481" i="65"/>
  <c r="C421" i="62"/>
  <c r="C461" i="62"/>
  <c r="C223" i="75"/>
  <c r="C193" i="75"/>
  <c r="C69" i="64"/>
  <c r="C236" i="75"/>
  <c r="C208" i="75"/>
  <c r="C122" i="67"/>
  <c r="C116" i="67"/>
  <c r="C168" i="67"/>
  <c r="C167" i="67"/>
  <c r="C166" i="67"/>
  <c r="C160" i="67"/>
  <c r="C153" i="67"/>
  <c r="C147" i="67"/>
  <c r="I596" i="56" l="1"/>
  <c r="I656" i="56"/>
  <c r="I715" i="56"/>
  <c r="F591" i="56"/>
  <c r="F755" i="56"/>
  <c r="C650" i="56"/>
  <c r="F596" i="56"/>
  <c r="C590" i="56"/>
  <c r="M686" i="56"/>
  <c r="F716" i="56"/>
  <c r="C595" i="56"/>
  <c r="C731" i="56"/>
  <c r="I621" i="56"/>
  <c r="C674" i="56"/>
  <c r="M621" i="56"/>
  <c r="M681" i="56"/>
  <c r="F711" i="56"/>
  <c r="C655" i="56"/>
  <c r="C615" i="56"/>
  <c r="C752" i="56"/>
  <c r="F671" i="56"/>
  <c r="C610" i="56"/>
  <c r="M591" i="56"/>
  <c r="I626" i="56"/>
  <c r="I686" i="56"/>
  <c r="C794" i="56"/>
  <c r="M651" i="56"/>
  <c r="F676" i="56"/>
  <c r="M596" i="56"/>
  <c r="M656" i="56"/>
  <c r="F631" i="56"/>
  <c r="C630" i="56"/>
  <c r="M715" i="56"/>
  <c r="I591" i="56"/>
  <c r="I651" i="56"/>
  <c r="F636" i="56"/>
  <c r="C635" i="56"/>
  <c r="M626" i="56"/>
  <c r="I681" i="56"/>
  <c r="C773" i="56"/>
  <c r="D12" i="67"/>
  <c r="D82" i="65"/>
  <c r="C411" i="56"/>
  <c r="C2" i="73"/>
  <c r="B2" i="73"/>
  <c r="E2" i="73"/>
  <c r="D2" i="73"/>
  <c r="C84" i="89"/>
  <c r="C107" i="89"/>
  <c r="C532" i="65" s="1"/>
  <c r="C28" i="89"/>
  <c r="C87" i="89"/>
  <c r="C110" i="89"/>
  <c r="C537" i="65" s="1"/>
  <c r="C31" i="89"/>
  <c r="C54" i="89"/>
  <c r="C477" i="62" s="1"/>
  <c r="C57" i="89"/>
  <c r="C484" i="62" s="1"/>
  <c r="K102" i="89"/>
  <c r="K78" i="89"/>
  <c r="C212" i="89"/>
  <c r="C265" i="89"/>
  <c r="C140" i="89"/>
  <c r="C165" i="89"/>
  <c r="C262" i="89"/>
  <c r="C240" i="89"/>
  <c r="C190" i="89"/>
  <c r="C290" i="89"/>
  <c r="C137" i="89"/>
  <c r="C187" i="89"/>
  <c r="C237" i="89"/>
  <c r="C287" i="89"/>
  <c r="C162" i="89"/>
  <c r="C215" i="89"/>
  <c r="D15" i="67"/>
  <c r="D33" i="67"/>
  <c r="D20" i="67"/>
  <c r="C131" i="85"/>
  <c r="C156" i="85"/>
  <c r="C157" i="85"/>
  <c r="C132" i="85"/>
  <c r="C141" i="85"/>
  <c r="C142" i="85"/>
  <c r="C612" i="75"/>
  <c r="C158" i="85"/>
  <c r="C159" i="85"/>
  <c r="I69" i="58"/>
  <c r="K69" i="58"/>
  <c r="F69" i="58"/>
  <c r="E14" i="58" s="1"/>
  <c r="G69" i="58"/>
  <c r="F14" i="58" s="1"/>
  <c r="J69" i="58"/>
  <c r="E69" i="58"/>
  <c r="D14" i="58" s="1"/>
  <c r="L45" i="58"/>
  <c r="L69" i="58" s="1"/>
  <c r="M45" i="58"/>
  <c r="N45" i="58"/>
  <c r="O45" i="58"/>
  <c r="X91" i="63"/>
  <c r="X92" i="63"/>
  <c r="C315" i="68"/>
  <c r="C230" i="68"/>
  <c r="C260" i="68"/>
  <c r="C113" i="68"/>
  <c r="C14" i="58"/>
  <c r="D84" i="67" l="1"/>
  <c r="C78" i="58"/>
  <c r="F78" i="58"/>
  <c r="D78" i="58"/>
  <c r="E78" i="58"/>
  <c r="C354" i="62"/>
  <c r="C335" i="62"/>
  <c r="C446" i="65"/>
  <c r="C427" i="65"/>
  <c r="C739" i="65"/>
  <c r="C441" i="65"/>
  <c r="C733" i="65"/>
  <c r="C422" i="65"/>
  <c r="C690" i="62"/>
  <c r="C684" i="62"/>
  <c r="C330" i="62"/>
  <c r="C349" i="62"/>
  <c r="M69" i="58"/>
  <c r="D15" i="58" s="1"/>
  <c r="N69" i="58"/>
  <c r="E15" i="58" s="1"/>
  <c r="O69" i="58"/>
  <c r="F15" i="58" s="1"/>
  <c r="C15" i="58"/>
  <c r="J67" i="33" l="1"/>
  <c r="J68" i="33" l="1"/>
  <c r="J43" i="33"/>
  <c r="X103" i="63"/>
  <c r="J44" i="33"/>
  <c r="J70" i="33"/>
  <c r="K60" i="33" s="1"/>
  <c r="J74" i="33" l="1"/>
  <c r="E76" i="58"/>
  <c r="E75" i="58"/>
  <c r="F76" i="58"/>
  <c r="X90" i="63"/>
  <c r="D75" i="58"/>
  <c r="F75" i="58"/>
  <c r="D76" i="58"/>
  <c r="X89" i="63"/>
  <c r="C76" i="58"/>
  <c r="F86" i="58" l="1"/>
  <c r="C86" i="58"/>
  <c r="D86" i="58"/>
  <c r="E86" i="58"/>
  <c r="C75" i="58"/>
  <c r="X100" i="63"/>
  <c r="X101" i="63"/>
  <c r="X99" i="63"/>
  <c r="X102" i="63"/>
  <c r="K73" i="33" l="1"/>
  <c r="J73" i="33"/>
  <c r="X94" i="63" l="1"/>
  <c r="X95" i="63"/>
  <c r="X93" i="63"/>
  <c r="D79" i="58" l="1"/>
  <c r="D80" i="58"/>
  <c r="F80" i="58"/>
  <c r="E80" i="58"/>
  <c r="C80" i="58"/>
  <c r="E79" i="58"/>
  <c r="X98" i="63"/>
  <c r="X96" i="63"/>
  <c r="L29" i="54"/>
  <c r="C79" i="58"/>
  <c r="X97" i="63"/>
  <c r="F79" i="58"/>
  <c r="R45" i="58" l="1"/>
  <c r="Q45" i="58"/>
  <c r="S45" i="58"/>
  <c r="P45" i="58"/>
  <c r="P69" i="58" s="1"/>
  <c r="C81" i="58" s="1"/>
  <c r="R69" i="58" l="1"/>
  <c r="E81" i="58" s="1"/>
  <c r="E87" i="58" s="1"/>
  <c r="E17" i="58" s="1"/>
  <c r="S69" i="58"/>
  <c r="F81" i="58" s="1"/>
  <c r="F87" i="58" s="1"/>
  <c r="F17" i="58" s="1"/>
  <c r="Q69" i="58"/>
  <c r="D81" i="58" s="1"/>
  <c r="D87" i="58" s="1"/>
  <c r="D17" i="58" s="1"/>
  <c r="C87" i="58"/>
  <c r="C17" i="58" s="1"/>
  <c r="D47" i="69" l="1"/>
  <c r="C135" i="89" l="1"/>
  <c r="C185" i="89"/>
  <c r="C235" i="89"/>
  <c r="C285" i="89"/>
  <c r="C210" i="89"/>
  <c r="C260" i="89"/>
  <c r="C160" i="89"/>
  <c r="U167" i="87" l="1"/>
  <c r="U186" i="87" s="1"/>
  <c r="U169" i="87"/>
  <c r="U188" i="87" s="1"/>
  <c r="U160" i="87"/>
  <c r="U179" i="87" s="1"/>
  <c r="U172" i="87"/>
  <c r="U191" i="87" s="1"/>
  <c r="U163" i="87"/>
  <c r="U164" i="87"/>
  <c r="U183" i="87" s="1"/>
  <c r="U170" i="87"/>
  <c r="U189" i="87" s="1"/>
  <c r="U165" i="87"/>
  <c r="U184" i="87" s="1"/>
  <c r="U171" i="87"/>
  <c r="U190" i="87" s="1"/>
  <c r="U162" i="87"/>
  <c r="U181" i="87" s="1"/>
  <c r="U161" i="87"/>
  <c r="U180" i="87" s="1"/>
  <c r="U168" i="87"/>
  <c r="U187" i="87" s="1"/>
  <c r="U173" i="87"/>
  <c r="U192" i="87" s="1"/>
  <c r="U166" i="87"/>
  <c r="U185" i="87" s="1"/>
  <c r="U159" i="87"/>
  <c r="U174" i="87"/>
  <c r="U193" i="87" s="1"/>
  <c r="D203" i="65" l="1" a="1"/>
  <c r="D203" i="65" s="1"/>
  <c r="C179" i="92" a="1"/>
  <c r="B266" i="90" a="1"/>
  <c r="U178" i="87"/>
  <c r="U182" i="87"/>
  <c r="Q179" i="92" l="1"/>
  <c r="H179" i="92"/>
  <c r="N179" i="92"/>
  <c r="C179" i="92"/>
  <c r="R179" i="92"/>
  <c r="E179" i="92"/>
  <c r="I179" i="92"/>
  <c r="O179" i="92"/>
  <c r="J179" i="92"/>
  <c r="F179" i="92"/>
  <c r="P179" i="92"/>
  <c r="K179" i="92"/>
  <c r="L179" i="92"/>
  <c r="M179" i="92"/>
  <c r="D179" i="92"/>
  <c r="G179" i="92"/>
  <c r="B266" i="90"/>
  <c r="E274" i="90"/>
  <c r="E281" i="90"/>
  <c r="E271" i="90"/>
  <c r="E280" i="90"/>
  <c r="E270" i="90"/>
  <c r="E279" i="90"/>
  <c r="E269" i="90"/>
  <c r="E273" i="90"/>
  <c r="E278" i="90"/>
  <c r="E276" i="90"/>
  <c r="E272" i="90"/>
  <c r="E277" i="90"/>
  <c r="E275" i="90"/>
  <c r="C511" i="56" a="1"/>
  <c r="C511" i="56" s="1"/>
  <c r="D497" i="62"/>
  <c r="D17" i="82"/>
  <c r="D737" i="75"/>
  <c r="D109" i="62"/>
  <c r="D76" i="85"/>
  <c r="D584" i="65"/>
  <c r="D568" i="65"/>
  <c r="D261" i="75"/>
  <c r="D386" i="75"/>
  <c r="D552" i="65"/>
  <c r="A103" i="74"/>
  <c r="D65" i="86"/>
  <c r="C302" i="87"/>
  <c r="E429" i="56" l="1" a="1"/>
  <c r="D56" i="62"/>
  <c r="A58" i="74"/>
  <c r="D64" i="62"/>
  <c r="D48" i="62"/>
  <c r="D131" i="62"/>
  <c r="D71" i="62"/>
  <c r="D41" i="62"/>
  <c r="D86" i="65"/>
  <c r="F432" i="56" l="1"/>
  <c r="M615" i="56" s="1"/>
  <c r="F433" i="56"/>
  <c r="M645" i="56" s="1"/>
  <c r="F434" i="56"/>
  <c r="M675" i="56" s="1"/>
  <c r="E429" i="56"/>
  <c r="F431" i="56" s="1"/>
  <c r="M585" i="56" s="1"/>
  <c r="K431" i="56" l="1" a="1"/>
  <c r="K431" i="56" s="1"/>
  <c r="M866" i="56" s="1"/>
  <c r="I585" i="56"/>
  <c r="F585" i="56"/>
  <c r="C584" i="56"/>
  <c r="I645" i="56"/>
  <c r="I675" i="56"/>
  <c r="I615" i="56"/>
  <c r="C644" i="56"/>
  <c r="F705" i="56"/>
  <c r="C624" i="56"/>
  <c r="F665" i="56"/>
  <c r="C604" i="56"/>
  <c r="F625" i="56"/>
  <c r="K432" i="56" a="1"/>
  <c r="K432" i="56" s="1"/>
  <c r="M881" i="56" s="1"/>
  <c r="I431" i="56" a="1"/>
  <c r="I431" i="56" s="1"/>
  <c r="G431" i="56" a="1"/>
  <c r="G431" i="56" s="1"/>
  <c r="H431" i="56" a="1"/>
  <c r="H431" i="56" s="1"/>
  <c r="L431" i="56" a="1"/>
  <c r="L431" i="56" s="1"/>
  <c r="M921" i="56" s="1"/>
  <c r="J431" i="56" a="1"/>
  <c r="J431" i="56" s="1"/>
  <c r="M865" i="56" s="1"/>
  <c r="M431" i="56" a="1"/>
  <c r="M431" i="56" s="1"/>
  <c r="M861" i="56" s="1"/>
  <c r="N431" i="56" a="1"/>
  <c r="N431" i="56" s="1"/>
  <c r="M862" i="56" s="1"/>
  <c r="C821" i="56" l="1"/>
  <c r="I868" i="56"/>
  <c r="M858" i="56"/>
  <c r="M774" i="56"/>
  <c r="F912" i="56"/>
  <c r="M771" i="56"/>
  <c r="M587" i="56" a="1"/>
  <c r="M587" i="56" s="1"/>
  <c r="M920" i="56"/>
  <c r="M775" i="56"/>
  <c r="I864" i="56"/>
  <c r="I863" i="56"/>
  <c r="I867" i="56"/>
  <c r="I923" i="56"/>
  <c r="I860" i="56"/>
  <c r="I776" i="56"/>
  <c r="I587" i="56" a="1"/>
  <c r="I587" i="56" s="1"/>
  <c r="I773" i="56"/>
  <c r="F927" i="56"/>
  <c r="I883" i="56"/>
  <c r="I922" i="56"/>
  <c r="I777" i="56"/>
  <c r="C817" i="56"/>
  <c r="F908" i="56"/>
  <c r="C816" i="56"/>
  <c r="F907" i="56"/>
  <c r="C820" i="56"/>
  <c r="F911" i="56"/>
  <c r="C876" i="56"/>
  <c r="F967" i="56"/>
  <c r="F904" i="56"/>
  <c r="F820" i="56"/>
  <c r="F587" i="56" a="1"/>
  <c r="F587" i="56" s="1"/>
  <c r="F817" i="56"/>
  <c r="F966" i="56"/>
  <c r="F821" i="56"/>
  <c r="C813" i="56"/>
  <c r="C729" i="56"/>
  <c r="C586" i="56" a="1"/>
  <c r="C586" i="56" s="1"/>
  <c r="C726" i="56"/>
  <c r="C875" i="56"/>
  <c r="C730" i="56"/>
  <c r="C836" i="56"/>
  <c r="K434" i="56" a="1"/>
  <c r="K434" i="56" s="1"/>
  <c r="M911" i="56" s="1"/>
  <c r="K433" i="56" a="1"/>
  <c r="K433" i="56" s="1"/>
  <c r="M896" i="56" s="1"/>
  <c r="I433" i="56" a="1"/>
  <c r="I433" i="56" s="1"/>
  <c r="J433" i="56" a="1"/>
  <c r="J433" i="56" s="1"/>
  <c r="M895" i="56" s="1"/>
  <c r="N433" i="56" a="1"/>
  <c r="N433" i="56" s="1"/>
  <c r="M892" i="56" s="1"/>
  <c r="L433" i="56" a="1"/>
  <c r="L433" i="56" s="1"/>
  <c r="M951" i="56" s="1"/>
  <c r="M433" i="56" a="1"/>
  <c r="M433" i="56" s="1"/>
  <c r="M891" i="56" s="1"/>
  <c r="G433" i="56" a="1"/>
  <c r="G433" i="56" s="1"/>
  <c r="H433" i="56" a="1"/>
  <c r="H433" i="56" s="1"/>
  <c r="L434" i="56" a="1"/>
  <c r="L434" i="56" s="1"/>
  <c r="M966" i="56" s="1"/>
  <c r="I434" i="56" a="1"/>
  <c r="I434" i="56" s="1"/>
  <c r="N434" i="56" a="1"/>
  <c r="N434" i="56" s="1"/>
  <c r="M907" i="56" s="1"/>
  <c r="G434" i="56" a="1"/>
  <c r="G434" i="56" s="1"/>
  <c r="J434" i="56" a="1"/>
  <c r="J434" i="56" s="1"/>
  <c r="M910" i="56" s="1"/>
  <c r="M434" i="56" a="1"/>
  <c r="M434" i="56" s="1"/>
  <c r="M906" i="56" s="1"/>
  <c r="H434" i="56" a="1"/>
  <c r="H434" i="56" s="1"/>
  <c r="M432" i="56" a="1"/>
  <c r="M432" i="56" s="1"/>
  <c r="M876" i="56" s="1"/>
  <c r="I432" i="56" a="1"/>
  <c r="I432" i="56" s="1"/>
  <c r="H432" i="56" a="1"/>
  <c r="H432" i="56" s="1"/>
  <c r="L432" i="56" a="1"/>
  <c r="L432" i="56" s="1"/>
  <c r="M936" i="56" s="1"/>
  <c r="N432" i="56" a="1"/>
  <c r="N432" i="56" s="1"/>
  <c r="M877" i="56" s="1"/>
  <c r="J432" i="56" a="1"/>
  <c r="J432" i="56" s="1"/>
  <c r="M880" i="56" s="1"/>
  <c r="G432" i="56" a="1"/>
  <c r="G432" i="56" s="1"/>
  <c r="M873" i="56" l="1"/>
  <c r="M795" i="56"/>
  <c r="M796" i="56"/>
  <c r="M935" i="56"/>
  <c r="M950" i="56"/>
  <c r="M817" i="56"/>
  <c r="M647" i="56"/>
  <c r="M813" i="56"/>
  <c r="M617" i="56"/>
  <c r="M792" i="56"/>
  <c r="M888" i="56"/>
  <c r="M816" i="56"/>
  <c r="M903" i="56"/>
  <c r="M837" i="56"/>
  <c r="M834" i="56"/>
  <c r="M677" i="56"/>
  <c r="M965" i="56"/>
  <c r="M838" i="56"/>
  <c r="I893" i="56"/>
  <c r="I894" i="56"/>
  <c r="I878" i="56"/>
  <c r="I908" i="56"/>
  <c r="I909" i="56"/>
  <c r="I879" i="56"/>
  <c r="F997" i="56"/>
  <c r="I953" i="56"/>
  <c r="I905" i="56"/>
  <c r="I839" i="56"/>
  <c r="F956" i="56"/>
  <c r="I912" i="56"/>
  <c r="I617" i="56"/>
  <c r="I794" i="56"/>
  <c r="F926" i="56"/>
  <c r="I882" i="56"/>
  <c r="F941" i="56"/>
  <c r="I897" i="56"/>
  <c r="I836" i="56"/>
  <c r="I677" i="56"/>
  <c r="F982" i="56"/>
  <c r="I938" i="56"/>
  <c r="I819" i="56"/>
  <c r="I952" i="56"/>
  <c r="I967" i="56"/>
  <c r="I840" i="56"/>
  <c r="F1012" i="56"/>
  <c r="I968" i="56"/>
  <c r="F942" i="56"/>
  <c r="I898" i="56"/>
  <c r="I875" i="56"/>
  <c r="I797" i="56"/>
  <c r="I890" i="56"/>
  <c r="I818" i="56"/>
  <c r="I798" i="56"/>
  <c r="I937" i="56"/>
  <c r="I647" i="56"/>
  <c r="I815" i="56"/>
  <c r="F957" i="56"/>
  <c r="I913" i="56"/>
  <c r="F841" i="56"/>
  <c r="F919" i="56"/>
  <c r="C861" i="56"/>
  <c r="F952" i="56"/>
  <c r="F707" i="56"/>
  <c r="F880" i="56"/>
  <c r="C847" i="56"/>
  <c r="F938" i="56"/>
  <c r="F863" i="56"/>
  <c r="F996" i="56"/>
  <c r="F842" i="56"/>
  <c r="F981" i="56"/>
  <c r="C846" i="56"/>
  <c r="F937" i="56"/>
  <c r="C862" i="56"/>
  <c r="F953" i="56"/>
  <c r="F934" i="56"/>
  <c r="F862" i="56"/>
  <c r="F859" i="56"/>
  <c r="F667" i="56"/>
  <c r="C831" i="56"/>
  <c r="F922" i="56"/>
  <c r="F949" i="56"/>
  <c r="F883" i="56"/>
  <c r="F838" i="56"/>
  <c r="F627" i="56"/>
  <c r="C832" i="56"/>
  <c r="F923" i="56"/>
  <c r="F884" i="56"/>
  <c r="F1011" i="56"/>
  <c r="C751" i="56"/>
  <c r="C890" i="56"/>
  <c r="C866" i="56"/>
  <c r="C789" i="56"/>
  <c r="C646" i="56"/>
  <c r="C906" i="56"/>
  <c r="C850" i="56"/>
  <c r="C606" i="56"/>
  <c r="C747" i="56"/>
  <c r="C626" i="56"/>
  <c r="C768" i="56"/>
  <c r="C865" i="56"/>
  <c r="C835" i="56"/>
  <c r="C792" i="56"/>
  <c r="C858" i="56"/>
  <c r="C772" i="56"/>
  <c r="C905" i="56"/>
  <c r="C920" i="56"/>
  <c r="C793" i="56"/>
  <c r="C891" i="56"/>
  <c r="C921" i="56"/>
  <c r="C851" i="56"/>
  <c r="C828" i="56"/>
  <c r="C750" i="56"/>
  <c r="C843" i="56"/>
  <c r="C771" i="56"/>
  <c r="C6" i="93" l="1" a="1"/>
  <c r="C6" i="93" s="1"/>
  <c r="E82" i="90"/>
  <c r="E83" i="90"/>
  <c r="E84" i="90"/>
  <c r="E86" i="90"/>
  <c r="E90" i="90"/>
  <c r="E85" i="90"/>
  <c r="E81" i="90"/>
  <c r="E87" i="90"/>
  <c r="E89" i="90"/>
  <c r="E80" i="90"/>
  <c r="E88" i="90"/>
  <c r="J54" i="33"/>
  <c r="L258" i="87"/>
  <c r="D306" i="65" s="1"/>
  <c r="L254" i="87"/>
  <c r="D305" i="65" s="1"/>
  <c r="L259" i="87"/>
  <c r="D303" i="65" s="1"/>
  <c r="L264" i="87"/>
  <c r="V714" i="56" s="1"/>
  <c r="O264" i="87"/>
  <c r="V751" i="56" s="1"/>
  <c r="F110" i="63"/>
  <c r="D113" i="65" s="1"/>
  <c r="L241" i="87"/>
  <c r="Q629" i="56" s="1"/>
  <c r="L261" i="87"/>
  <c r="V691" i="56" s="1"/>
  <c r="O260" i="87"/>
  <c r="D293" i="65" s="1"/>
  <c r="L260" i="87"/>
  <c r="D309" i="65" s="1"/>
  <c r="L248" i="87"/>
  <c r="V718" i="56" s="1"/>
  <c r="O247" i="87"/>
  <c r="V680" i="56" s="1"/>
  <c r="O235" i="87"/>
  <c r="Q655" i="56" s="1" a="1"/>
  <c r="Q655" i="56" s="1"/>
  <c r="L249" i="87"/>
  <c r="Q645" i="56" s="1"/>
  <c r="O261" i="87"/>
  <c r="V728" i="56" s="1"/>
  <c r="O253" i="87"/>
  <c r="V609" i="56" s="1"/>
  <c r="L263" i="87"/>
  <c r="V703" i="56" s="1"/>
  <c r="O236" i="87"/>
  <c r="Q656" i="56" s="1"/>
  <c r="O240" i="87"/>
  <c r="Q665" i="56" s="1"/>
  <c r="O241" i="87"/>
  <c r="V666" i="56" s="1"/>
  <c r="O259" i="87"/>
  <c r="D287" i="65" s="1"/>
  <c r="O248" i="87"/>
  <c r="V755" i="56" s="1"/>
  <c r="L243" i="87"/>
  <c r="V633" i="56" s="1"/>
  <c r="L238" i="87"/>
  <c r="Q595" i="56" s="1"/>
  <c r="O254" i="87"/>
  <c r="D289" i="65" s="1"/>
  <c r="L245" i="87"/>
  <c r="Q639" i="56" s="1"/>
  <c r="O238" i="87"/>
  <c r="V610" i="56" s="1"/>
  <c r="O263" i="87"/>
  <c r="V740" i="56" s="1"/>
  <c r="L251" i="87"/>
  <c r="Q590" i="56" s="1"/>
  <c r="O252" i="87"/>
  <c r="Q606" i="56" s="1"/>
  <c r="L252" i="87"/>
  <c r="Q591" i="56" s="1"/>
  <c r="O250" i="87"/>
  <c r="V732" i="56" s="1"/>
  <c r="O258" i="87"/>
  <c r="D365" i="65" s="1"/>
  <c r="L257" i="87"/>
  <c r="D308" i="65" s="1"/>
  <c r="O249" i="87"/>
  <c r="Q682" i="56" s="1"/>
  <c r="L247" i="87"/>
  <c r="V717" i="56" s="1"/>
  <c r="O255" i="87"/>
  <c r="O245" i="87"/>
  <c r="Q676" i="56" s="1"/>
  <c r="O234" i="87"/>
  <c r="V654" i="56" s="1" a="1"/>
  <c r="V654" i="56" s="1"/>
  <c r="O237" i="87"/>
  <c r="V688" i="56" s="1"/>
  <c r="L255" i="87"/>
  <c r="L234" i="87"/>
  <c r="V617" i="56" s="1"/>
  <c r="O246" i="87"/>
  <c r="Q677" i="56" s="1"/>
  <c r="O243" i="87"/>
  <c r="Q670" i="56" s="1"/>
  <c r="O251" i="87"/>
  <c r="Q605" i="56" s="1"/>
  <c r="L253" i="87"/>
  <c r="Q594" i="56" s="1"/>
  <c r="O239" i="87"/>
  <c r="V734" i="56" s="1"/>
  <c r="L236" i="87"/>
  <c r="V619" i="56" s="1"/>
  <c r="L262" i="87" a="1"/>
  <c r="L262" i="87" s="1"/>
  <c r="V692" i="56" s="1"/>
  <c r="L235" i="87"/>
  <c r="Q618" i="56" s="1"/>
  <c r="L244" i="87"/>
  <c r="V634" i="56" s="1"/>
  <c r="O244" i="87"/>
  <c r="V745" i="56" s="1"/>
  <c r="O262" i="87"/>
  <c r="V729" i="56" s="1"/>
  <c r="M29" i="54"/>
  <c r="L242" i="87"/>
  <c r="Q632" i="56" s="1"/>
  <c r="L239" i="87"/>
  <c r="V623" i="56" s="1"/>
  <c r="L246" i="87"/>
  <c r="Q640" i="56" s="1"/>
  <c r="L237" i="87"/>
  <c r="V651" i="56" s="1"/>
  <c r="O242" i="87"/>
  <c r="V743" i="56" s="1"/>
  <c r="O257" i="87"/>
  <c r="D351" i="65" s="1"/>
  <c r="L250" i="87"/>
  <c r="Q621" i="56" s="1"/>
  <c r="L240" i="87"/>
  <c r="V628" i="56" s="1"/>
  <c r="J48" i="33"/>
  <c r="J53" i="33"/>
  <c r="B364" i="56" a="1"/>
  <c r="B364" i="56" s="1"/>
  <c r="B559" i="56"/>
  <c r="O256" i="87"/>
  <c r="J52" i="33"/>
  <c r="K54" i="33"/>
  <c r="L256" i="87"/>
  <c r="C417" i="65"/>
  <c r="J50" i="33"/>
  <c r="C436" i="65"/>
  <c r="J51" i="33"/>
  <c r="K49" i="33" l="1"/>
  <c r="K48" i="33"/>
  <c r="J49" i="33"/>
  <c r="C376" i="56"/>
  <c r="C247" i="90" s="1"/>
  <c r="V643" i="56"/>
  <c r="C385" i="56"/>
  <c r="C346" i="90" s="1"/>
  <c r="V600" i="56"/>
  <c r="Q671" i="56"/>
  <c r="Q651" i="56"/>
  <c r="V618" i="56"/>
  <c r="V658" i="56"/>
  <c r="V645" i="56"/>
  <c r="Q600" i="56"/>
  <c r="V595" i="56"/>
  <c r="V670" i="56"/>
  <c r="V681" i="56"/>
  <c r="D349" i="65"/>
  <c r="V697" i="56"/>
  <c r="D352" i="65"/>
  <c r="V632" i="56"/>
  <c r="D426" i="65"/>
  <c r="Q643" i="56"/>
  <c r="Q609" i="56"/>
  <c r="D292" i="65"/>
  <c r="Q660" i="56"/>
  <c r="D368" i="65"/>
  <c r="D367" i="65"/>
  <c r="V719" i="56"/>
  <c r="V660" i="56"/>
  <c r="V594" i="56"/>
  <c r="V750" i="56"/>
  <c r="D290" i="65"/>
  <c r="Q610" i="56"/>
  <c r="V621" i="56"/>
  <c r="Q585" i="56"/>
  <c r="V754" i="56"/>
  <c r="V629" i="56"/>
  <c r="V695" i="56"/>
  <c r="Q680" i="56"/>
  <c r="Q633" i="56"/>
  <c r="Q617" i="56"/>
  <c r="V640" i="56"/>
  <c r="Q623" i="56"/>
  <c r="V671" i="56"/>
  <c r="D307" i="65"/>
  <c r="V707" i="56"/>
  <c r="Q669" i="56"/>
  <c r="V713" i="56"/>
  <c r="V644" i="56"/>
  <c r="V585" i="56"/>
  <c r="V669" i="56"/>
  <c r="V756" i="56"/>
  <c r="D346" i="65"/>
  <c r="C370" i="56"/>
  <c r="C167" i="90" s="1"/>
  <c r="E167" i="90" s="1"/>
  <c r="V706" i="56"/>
  <c r="V676" i="56"/>
  <c r="D362" i="65"/>
  <c r="V725" i="56"/>
  <c r="V744" i="56"/>
  <c r="V590" i="56"/>
  <c r="V702" i="56"/>
  <c r="D350" i="65"/>
  <c r="V655" i="56" a="1"/>
  <c r="V655" i="56" s="1"/>
  <c r="V45" i="58"/>
  <c r="U45" i="58"/>
  <c r="W45" i="58"/>
  <c r="T45" i="58"/>
  <c r="C364" i="56"/>
  <c r="V677" i="56"/>
  <c r="V762" i="56"/>
  <c r="Q658" i="56"/>
  <c r="V591" i="56"/>
  <c r="D348" i="65"/>
  <c r="V656" i="56"/>
  <c r="Q688" i="56"/>
  <c r="D364" i="65"/>
  <c r="Q666" i="56"/>
  <c r="V730" i="56"/>
  <c r="Q644" i="56"/>
  <c r="C367" i="56"/>
  <c r="C373" i="56"/>
  <c r="C379" i="56"/>
  <c r="Q654" i="56" a="1"/>
  <c r="Q654" i="56" s="1"/>
  <c r="V682" i="56"/>
  <c r="D366" i="65"/>
  <c r="V606" i="56"/>
  <c r="Q681" i="56"/>
  <c r="V739" i="56"/>
  <c r="Q628" i="56"/>
  <c r="V708" i="56"/>
  <c r="Q619" i="56"/>
  <c r="D291" i="65"/>
  <c r="V605" i="56"/>
  <c r="V639" i="56"/>
  <c r="V665" i="56"/>
  <c r="D52" i="65"/>
  <c r="C382" i="56"/>
  <c r="Q634" i="56"/>
  <c r="V693" i="56"/>
  <c r="C6" i="94" l="1" a="1"/>
  <c r="C6" i="94" s="1"/>
  <c r="C246" i="90"/>
  <c r="C241" i="90"/>
  <c r="C248" i="90"/>
  <c r="C240" i="90"/>
  <c r="C244" i="90"/>
  <c r="C237" i="90"/>
  <c r="C234" i="90"/>
  <c r="E234" i="90" s="1"/>
  <c r="C243" i="90"/>
  <c r="C245" i="90"/>
  <c r="C233" i="90"/>
  <c r="E233" i="90" s="1"/>
  <c r="C236" i="90"/>
  <c r="C242" i="90"/>
  <c r="C239" i="90"/>
  <c r="C235" i="90"/>
  <c r="E235" i="90" s="1"/>
  <c r="C238" i="90"/>
  <c r="C176" i="90"/>
  <c r="C337" i="90"/>
  <c r="C345" i="90"/>
  <c r="C343" i="90"/>
  <c r="C339" i="90"/>
  <c r="C338" i="90"/>
  <c r="C331" i="90"/>
  <c r="C340" i="90"/>
  <c r="C342" i="90"/>
  <c r="C341" i="90"/>
  <c r="C332" i="90"/>
  <c r="C335" i="90"/>
  <c r="C334" i="90"/>
  <c r="C333" i="90"/>
  <c r="C336" i="90"/>
  <c r="C344" i="90"/>
  <c r="C174" i="90"/>
  <c r="C179" i="90"/>
  <c r="C171" i="90"/>
  <c r="C173" i="90"/>
  <c r="C180" i="90"/>
  <c r="C177" i="90"/>
  <c r="C172" i="90"/>
  <c r="C182" i="90"/>
  <c r="C175" i="90"/>
  <c r="C170" i="90"/>
  <c r="C181" i="90"/>
  <c r="C168" i="90"/>
  <c r="E168" i="90" s="1"/>
  <c r="C178" i="90"/>
  <c r="C169" i="90"/>
  <c r="E169" i="90" s="1"/>
  <c r="W69" i="58"/>
  <c r="F16" i="58" s="1"/>
  <c r="F18" i="58" s="1"/>
  <c r="N8" i="58" s="1"/>
  <c r="U69" i="58"/>
  <c r="D16" i="58" s="1"/>
  <c r="D18" i="58" s="1"/>
  <c r="T69" i="58"/>
  <c r="C16" i="58" s="1"/>
  <c r="C18" i="58" s="1"/>
  <c r="V69" i="58"/>
  <c r="E16" i="58" s="1"/>
  <c r="E18" i="58" s="1"/>
  <c r="N9" i="58" s="1"/>
  <c r="C268" i="90"/>
  <c r="E268" i="90" s="1"/>
  <c r="C276" i="90"/>
  <c r="C269" i="90"/>
  <c r="C270" i="90"/>
  <c r="C279" i="90"/>
  <c r="C275" i="90"/>
  <c r="C280" i="90"/>
  <c r="C266" i="90"/>
  <c r="E266" i="90" s="1"/>
  <c r="C271" i="90"/>
  <c r="C267" i="90"/>
  <c r="E267" i="90" s="1"/>
  <c r="C273" i="90"/>
  <c r="C278" i="90"/>
  <c r="C272" i="90"/>
  <c r="C281" i="90"/>
  <c r="C277" i="90"/>
  <c r="C274" i="90"/>
  <c r="C82" i="90"/>
  <c r="C79" i="90"/>
  <c r="E79" i="90" s="1"/>
  <c r="C83" i="90"/>
  <c r="C88" i="90"/>
  <c r="C86" i="90"/>
  <c r="C75" i="90"/>
  <c r="E75" i="90" s="1"/>
  <c r="C78" i="90"/>
  <c r="E78" i="90" s="1"/>
  <c r="C89" i="90"/>
  <c r="C80" i="90"/>
  <c r="C81" i="90"/>
  <c r="C90" i="90"/>
  <c r="C84" i="90"/>
  <c r="C87" i="90"/>
  <c r="C76" i="90"/>
  <c r="E76" i="90" s="1"/>
  <c r="C77" i="90"/>
  <c r="E77" i="90" s="1"/>
  <c r="C85" i="90"/>
  <c r="C311" i="90"/>
  <c r="C307" i="90"/>
  <c r="C306" i="90"/>
  <c r="C303" i="90"/>
  <c r="C300" i="90"/>
  <c r="C308" i="90"/>
  <c r="C302" i="90"/>
  <c r="C312" i="90"/>
  <c r="C313" i="90"/>
  <c r="C314" i="90"/>
  <c r="C301" i="90"/>
  <c r="C304" i="90"/>
  <c r="C305" i="90"/>
  <c r="C310" i="90"/>
  <c r="C299" i="90"/>
  <c r="C309" i="90"/>
  <c r="C213" i="90"/>
  <c r="C209" i="90"/>
  <c r="C205" i="90"/>
  <c r="C201" i="90"/>
  <c r="E201" i="90" s="1"/>
  <c r="C210" i="90"/>
  <c r="C206" i="90"/>
  <c r="C214" i="90"/>
  <c r="C203" i="90"/>
  <c r="C211" i="90"/>
  <c r="C202" i="90"/>
  <c r="E202" i="90" s="1"/>
  <c r="C212" i="90"/>
  <c r="C208" i="90"/>
  <c r="C200" i="90"/>
  <c r="E200" i="90" s="1"/>
  <c r="C215" i="90"/>
  <c r="C204" i="90"/>
  <c r="C207" i="90"/>
  <c r="C146" i="90"/>
  <c r="C145" i="90"/>
  <c r="C136" i="90"/>
  <c r="E136" i="90" s="1"/>
  <c r="C144" i="90"/>
  <c r="C137" i="90"/>
  <c r="C142" i="90"/>
  <c r="C149" i="90"/>
  <c r="C140" i="90"/>
  <c r="C134" i="90"/>
  <c r="E134" i="90" s="1"/>
  <c r="C139" i="90"/>
  <c r="C143" i="90"/>
  <c r="C135" i="90"/>
  <c r="E135" i="90" s="1"/>
  <c r="C138" i="90"/>
  <c r="C141" i="90"/>
  <c r="C148" i="90"/>
  <c r="C147" i="90"/>
  <c r="J8" i="58" l="1"/>
  <c r="N10" i="58"/>
  <c r="N11" i="58" s="1"/>
  <c r="N12" i="58" s="1"/>
  <c r="N13" i="58" s="1"/>
  <c r="N14" i="58" l="1"/>
  <c r="N15" i="58" s="1"/>
  <c r="C52" i="6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<sst xmlns="http://schemas.openxmlformats.org/spreadsheetml/2006/main" count="17959" uniqueCount="5170">
  <si>
    <t>Deployment Options</t>
  </si>
  <si>
    <t>Use this page to select your options for a VMware Cloud Foundation Deployment</t>
  </si>
  <si>
    <t>VMware Values</t>
  </si>
  <si>
    <t>Understanding the Tabs</t>
  </si>
  <si>
    <t>At VMware we value inclusion. To foster this principle within our customer, partner, and internal community, we are replacing some of the terminology in our content. We have updated this document to remove instances of non-inclusive language.</t>
  </si>
  <si>
    <t>Inputs</t>
  </si>
  <si>
    <t>Management Domain: Deployment</t>
  </si>
  <si>
    <t>VMware Cloud Foundation</t>
  </si>
  <si>
    <t>Select Option</t>
  </si>
  <si>
    <t>Feature</t>
  </si>
  <si>
    <t>Final Result</t>
  </si>
  <si>
    <t>Information</t>
  </si>
  <si>
    <t>Multi-Instance Integration Model</t>
  </si>
  <si>
    <t>Included</t>
  </si>
  <si>
    <t>Exclude</t>
  </si>
  <si>
    <t>DHCP</t>
  </si>
  <si>
    <t>Host Overlay Network IP Addressing Model</t>
  </si>
  <si>
    <t>Management Deployment</t>
  </si>
  <si>
    <t>Workload Deployment</t>
  </si>
  <si>
    <t>Solution Deployment</t>
  </si>
  <si>
    <t>Important: Using this Document</t>
  </si>
  <si>
    <t>Consolidated Management Domain</t>
  </si>
  <si>
    <t>Deploy Management Domain using ESXi Hosts with External Certificates</t>
  </si>
  <si>
    <t>Management Domain: Post-Deployment</t>
  </si>
  <si>
    <t>Apply Signed Certificates</t>
  </si>
  <si>
    <t>Tab Shortcuts</t>
  </si>
  <si>
    <t>NSX Routing for Management Domain</t>
  </si>
  <si>
    <t>Input</t>
  </si>
  <si>
    <t>Management Domain Sizing Inputs</t>
  </si>
  <si>
    <t>NSX Federation for Management Domain</t>
  </si>
  <si>
    <t>Stretched Cluster</t>
  </si>
  <si>
    <t>Active Directory Inputs</t>
  </si>
  <si>
    <t>Deployment</t>
  </si>
  <si>
    <t>Include</t>
  </si>
  <si>
    <t>Management Domain CertGen File</t>
  </si>
  <si>
    <t>VCF Aware Workspace ONE Access</t>
  </si>
  <si>
    <t>Management Domain</t>
  </si>
  <si>
    <t>Virtual Infrastructure (VI) Workload Domain: Deployment</t>
  </si>
  <si>
    <t>VI Workload Domain CertGen File</t>
  </si>
  <si>
    <t>VI Workload Domain</t>
  </si>
  <si>
    <t>Deploy Virtual Infrastructure (VI) Workload Domain</t>
  </si>
  <si>
    <t>Identity &amp; Access Management</t>
  </si>
  <si>
    <t>Developer Ready Infrastructure</t>
  </si>
  <si>
    <t>vSAN</t>
  </si>
  <si>
    <t>Principal Storage Model</t>
  </si>
  <si>
    <t>Private Cloud Automation</t>
  </si>
  <si>
    <t>Baselines</t>
  </si>
  <si>
    <t>vSphere Lifecycle Manager Management Model</t>
  </si>
  <si>
    <t>Intelligent Logging &amp; Analytics</t>
  </si>
  <si>
    <t>Deploy Workload Domain using ESXi Hosts with External Certificates</t>
  </si>
  <si>
    <t>Deployment Reference</t>
  </si>
  <si>
    <t>Prepare Workload Domain for Secondary NFS Storage</t>
  </si>
  <si>
    <t>Intelligent Operations Management</t>
  </si>
  <si>
    <t>Virtual Infrastructure (VI) Workload Domain: Post-Deployment</t>
  </si>
  <si>
    <t>Site Protection &amp; Disaster Recovery</t>
  </si>
  <si>
    <t>NSX Routing for VI Workload Domain</t>
  </si>
  <si>
    <t>NSX Federation for VI Workload Domain</t>
  </si>
  <si>
    <t>Aria Operations Alert List</t>
  </si>
  <si>
    <t>Validated Solutions: Deployment</t>
  </si>
  <si>
    <t>Health Reporting and Monitoring</t>
  </si>
  <si>
    <t>Identity and Access Management for VMware Cloud Foundation</t>
  </si>
  <si>
    <t>Feedback</t>
  </si>
  <si>
    <t>Developer Ready Infrastructure using VMware Cloud Foundation</t>
  </si>
  <si>
    <t>Was this document useful? Do you have feedback or questions on Validated Solutions? Please use this Feedback section to help us improve:</t>
  </si>
  <si>
    <t>Planning &amp; Preparation Workbook and Validated Solution Feedback</t>
  </si>
  <si>
    <t>Private Cloud Automation for VMware Cloud Foundation</t>
  </si>
  <si>
    <t>Intelligent Logging and Analytics for VMware Cloud Foundation</t>
  </si>
  <si>
    <t>Useful Links</t>
  </si>
  <si>
    <t>Initial Deployment</t>
  </si>
  <si>
    <t>Intelligent Operations Management for VMware Cloud Foundation</t>
  </si>
  <si>
    <t>Getting Started with VMware Cloud Foundation</t>
  </si>
  <si>
    <t>Site Protection and Disaster Recovery for VMware Cloud Foundation</t>
  </si>
  <si>
    <t>VMware Cloud Foundation Deployment Guide</t>
  </si>
  <si>
    <t>VMware Cloud Foundation Platform Design</t>
  </si>
  <si>
    <t>Using CertGen VVS</t>
  </si>
  <si>
    <t>VMware Cloud Foundation Administration Guide</t>
  </si>
  <si>
    <t xml:space="preserve">Values on the CertGen File tab are populated as and when relevant options are enabled on Deployment Options tab. The CertGen File tab itself is unformatted so that it may be copied and saved as a seperate file (e.g. RegionA-Hosts.csv). The resulting file can then be used as the inputs file for the CertGen Tool. </t>
  </si>
  <si>
    <t>VMware Cloud Foundation Operations Guide</t>
  </si>
  <si>
    <t>VMware Validated Solutions FAQ</t>
  </si>
  <si>
    <t>Health Reporting and Monitoring for VMware Cloud Foundation</t>
  </si>
  <si>
    <t>Version History</t>
  </si>
  <si>
    <t>The folllowing table displays the history of versions of the Planning and Preparation Workbook over time</t>
  </si>
  <si>
    <t>History</t>
  </si>
  <si>
    <t>Version</t>
  </si>
  <si>
    <t>Date</t>
  </si>
  <si>
    <t>Details</t>
  </si>
  <si>
    <t>v1.5.0.004</t>
  </si>
  <si>
    <t>v1.5.0.003</t>
  </si>
  <si>
    <t>July Release to support updates to VMware Validated Solutions
- Updated vRealize Log Insight Alert List to be conditional based on selected VMware Validated Solutions
- Fixed incorrect sample values for Intelligent Logging and Analytics VMware Validated Solution
- Fixed incorrect sample values for Intelligent Operations Management VMware Validated Solution
- Fixed incorrect sample value and customer value for First Availability Zone VM Group name across all VMware Validation Solutions</t>
  </si>
  <si>
    <t>v1.5.0.002</t>
  </si>
  <si>
    <t>June Release to support updates to VMware Validated Solutions
- Updated support for Identity and Access Management and Developer Ready Infrastructure with VMware Cloud Foundation 5.0
- Updated support for cloud based VMware Validated Solutions with VMware Cloud Foundation 5.0 
- Updated support for cloud based VMware Validated Solutions with Isolated Workload Domains 
- Fixed Conditional Formatting</t>
  </si>
  <si>
    <t>v1.5.0.001</t>
  </si>
  <si>
    <t>01/06/2023</t>
  </si>
  <si>
    <t xml:space="preserve">Added Support for VMware Cloud Foundation 5.0
- Isolated VI Workload Domain
- Management Domain Sizing Input Tab Updates
- Increased number of supported VI Workload Domains 
- EVC Updated to include vSphere 8.0U1 Compatability 
- Updated Useful Links
</t>
  </si>
  <si>
    <t>v1.4.5.017</t>
  </si>
  <si>
    <t>30/05/2023</t>
  </si>
  <si>
    <t xml:space="preserve">May Release to support updates to VMware Validated Solutions
- Added support for Cloud-Based Network Visibility
Cloud-Based Intelligent Logging
- Updated for vRealize to Aria Branding
Cloud-Based Intelligent Operations
- Udpated for vRealize to Aria Branding
Cloud-Based Automation
- Updated for vRealize to Aria Branding
</t>
  </si>
  <si>
    <t>v1.4.5.016</t>
  </si>
  <si>
    <t>19/05/2023</t>
  </si>
  <si>
    <t xml:space="preserve">Fix Conditional Formatting
- Selecting Images for vLCM will restrict Stretched Cluster
- Added Artic Gateway Task Deploy Task
- Fix the vSphere replication default VLAN in Additional Domain mode
- Set Edge Form Factor to Large for MGMT - based on deployment option selection
- Fixed vVOLS on NFS information
- Added VVS Cloud Based Proxys to MGMT WLD Sizing. 
- Fixed Default Gateway for vCenter in AZ1 WLD </t>
  </si>
  <si>
    <t>v1.4.5.015</t>
  </si>
  <si>
    <t>03/28/2023</t>
  </si>
  <si>
    <t>March Release to support updates to VMware Validated Solutions
Cloud-Based Intelligent Logging
- Added Cloud-Based Intelligent Logging for VMware Cloud Foundation Solution Tab
Health Reporting and Monitoring
- Added Health Reporting and Monitoring for VMware Cloud Foundation Solution Tab
Identity and Access Management
- PowerShell Procedure `Add Active Directory as Identity Provider to the Management vCenter Server` added new input variable $sddcDomainName to support Isolated Workload Domains
- PowerShell Procedure `Define Custom Role in vSphere for NSX-T Data Center Service Accounts` added new input variable $sddcDomainName to support Isolated Workload Domains
Private Cloud Automation
- PowerShell Procedure `Define Custom Roles in vSphere for vRealize Automation and vRealize Orchestrator` added new input variable $sddcDomainName to support Isolated Workload Domains
Cloud-Based Intelligent Operations
- PowerShell Procedure `Define a Custom Role in vSphere for vRealize Operations Cloud and VMware Cloud Foundation Integration` added new input variable $sddcDomainName to support Isolated Workload Domains
- Fixed issue with `Create a VM Group and Define the Startup Order of the vRealize Log Insight Cluster` and the Workspace ONE Access Group Name</t>
  </si>
  <si>
    <t>v1.4.5.014</t>
  </si>
  <si>
    <t>03/01/2023</t>
  </si>
  <si>
    <t>Identity and Access Management: Added missing input for the VM Group name</t>
  </si>
  <si>
    <t>v1.4.5.013</t>
  </si>
  <si>
    <t>02/28/2023</t>
  </si>
  <si>
    <t>February Release to support updates to VMware Validated Solutions
Cloud-Based Intelligent Operations
- Added PowerShell procedure to `Assign SDDC Manager Role to a Service Account for VMware Cloud Foundation Integration`
- Added PowerShell procedure to `Define a Custom Role in vSphere for vRealize Operations Cloud and VMware Cloud Foundation Integration`
- Added PowerShell procedure to `Assign vCenter Server Role to a Service Account for VMware Cloud Foundation Integration`
- Added PowerShell procedure to `Create a Virtual Machine and Template Folder for Cloud Proxy Appliances`
- Added PowerShell procedure to `Configure vSphere Anti-Affinity Rules for the Cloud Proxy Appliances`
- Added PowerShell procedure to `Add the Cloud Proxy Appliances to the First Availability Zone VM Group`</t>
  </si>
  <si>
    <t>v1.4.5.012</t>
  </si>
  <si>
    <t>02/15/2023</t>
  </si>
  <si>
    <t>Fixed multiple issues with cells being locked in the Network Inputs tab
Fixed multiple issues with cells being locked in the Name &amp; IP Address Inputs tab
Fixed multiple issues with cells being locked in the SDDC Inputs tab
Fixed multiple issues with cells being locked in the Active Directory Inputs tab</t>
  </si>
  <si>
    <t>v1.4.5.011</t>
  </si>
  <si>
    <t>01/31/2023</t>
  </si>
  <si>
    <t>January Release to support updates to VMware Validated Solutions
- Added support for Cloud-Based Intelligent Operations</t>
  </si>
  <si>
    <t>v1.4.5.010</t>
  </si>
  <si>
    <t>01/03/2023</t>
  </si>
  <si>
    <t>- Remove Password Policy inputs for Identity and Access Management</t>
  </si>
  <si>
    <t>v1.4.5.009</t>
  </si>
  <si>
    <t>11/28/2022</t>
  </si>
  <si>
    <t>November Release to support updates to VMware Validated Solutions
Site Protection and Disaster Recovery
- PowerShell Update for `Register vSphere Replication with vCenter Single Sign-On` removed the need to pass $ssoAdminUser and $ssAdminPass
- PowerShell Update for `Create Virtual Machine Folders for SDDC Management Components in the Recovery VMware Cloud Foundation Instance` updated folder variable names
- PowerShell Updates across a number of functions, updated variables to ensure consistent use across procedures</t>
  </si>
  <si>
    <t>v1.4.5.008</t>
  </si>
  <si>
    <t>10/25/2022</t>
  </si>
  <si>
    <t>October Release to support updates to VMware Validated Solutions
Private Cloud Automation
- Added PowerShell procedure to `Install the vRealize Orchestrator Content Pack for vRealize Log Insight`
Intelligent Operations Management
- Fixed some PowerShell Variable names for consistency in Intelligent Operations Validated Solution
- Added PowerShell procedure to `Add the Management Domain vCenter Server in the Additional VMware Cloud Foundation Instance to vRealize Suite Lifecycle Manager`
- Fixed issue with SMTP Server and Port not populating from input values
Intelligent Logging and Analytics
- Added PowerShell procedure to `Configure Event Forwarding Between VMware Cloud Foundation Instances'		
Site Protection and Disaster Recovery
- Added PowerShell procedure to `Add vSphere Replication Adapter Instances to vRealize Operations Manager`
- Added PowerShell procedure to `Add Site Recovery Manager Adapter Instances to vRealize Operations Manager`
- Added PowerShell procedure to `Create Notifications in vRealize Operations Manager for Site Protection and Disaster Recovery Issues`</t>
  </si>
  <si>
    <t>v1.4.5.007</t>
  </si>
  <si>
    <t xml:space="preserve">Added Support for Subscription Based Licenses
</t>
  </si>
  <si>
    <t>v1.4.5.006</t>
  </si>
  <si>
    <t>10/07/2022</t>
  </si>
  <si>
    <t xml:space="preserve">Added VCF Aware Workspace ONE Access Standard and Clustered options
Removed Join Domain Option
Added Support for HCI Mesh Server Cluster
Enhanced Management Domain Sizing
Updated Stretched Clusters processes to align with VMware Cloud Foundation Documentation
Fixed Intelligent Operations reference value
</t>
  </si>
  <si>
    <t>v1.4.4.005</t>
  </si>
  <si>
    <t>09/27/2022</t>
  </si>
  <si>
    <t>September Release to support updates to VMware Validated Solutions
Fixed vCenter Storage Sizing
Fixed VVS Documentation Links</t>
  </si>
  <si>
    <t>v1.4.4.004</t>
  </si>
  <si>
    <t>09/08/2022</t>
  </si>
  <si>
    <t>Intelliigent Operations Management
- Added PowerShell procedure to `Configure Service Account Permissions in vSphere for Integration with vRealize Suite Lifecycle Manager`
Site Protection and Disaster Recovery:
- Added PowerShell procedure to `Create vSphere Single Sign-On Users for Integration of vRealize Operations Manager with Site Protection and Disaster Recovery Components`
- Added PowerShell procedure to `Configure Service Account Permissions in vSphere for the Integration of vRealize Operations Manager with Site Protection and Disaster Recovery Solution Components
- Added PowerShell procedure to `Install the vRealize Operations Manager Management Packs for vSphere Replication and Site Recovery Manager`</t>
  </si>
  <si>
    <t>v1.4.4.003</t>
  </si>
  <si>
    <t>08/18/2022</t>
  </si>
  <si>
    <t>New Solution Added - Cloud-Based Automation for VMware Cloud Foundation
Fixed Disk Size for vRSLCM Appliance from 148 GB &gt; 178 GB</t>
  </si>
  <si>
    <t>v1.4.4.001</t>
  </si>
  <si>
    <t>07/05/2022</t>
  </si>
  <si>
    <t>Intelliigent Operations Management
- Added PowerShell procedure to `Create a vCenter Server Single Sign-On User for Integration with vRealize Suite Lifecycle Manager`
- Added PowerShell procedure to `Add the vCenter Server Password for the Additional VMware Cloud Foundation Instance to vRealize Suite Lifecycle Manager`</t>
  </si>
  <si>
    <t>v1.4.3.002</t>
  </si>
  <si>
    <t>05/31/2022</t>
  </si>
  <si>
    <t>May Release to support updates to VMware Validated Solutions</t>
  </si>
  <si>
    <t>v1.4.3.001</t>
  </si>
  <si>
    <t>05/24/2022</t>
  </si>
  <si>
    <t xml:space="preserve">Site Protection and Disaster Recovery:
- Added PowerShell procedure to `Add a Network Adapter and Configure Static Routes for vSphere Replication`
- Added PowerShell procedure to `Create a VMkernel Adapter on the ESXi Hosts for vSphere Replication Traffic`
- Added PowerShell procedure to `Configure ESXi Host Static Routes for vSphere Replication`
- Added PowerShell procedure to `Assign Licenses to Site Recovery Manager`
</t>
  </si>
  <si>
    <t>v1.4.2.008</t>
  </si>
  <si>
    <t>04/28/2022</t>
  </si>
  <si>
    <t>April Release to support updates to VMware Validated Solutions</t>
  </si>
  <si>
    <t>v1.4.2.007</t>
  </si>
  <si>
    <t>04/22/2022</t>
  </si>
  <si>
    <t>Identity and Access Management:
- Added PowerShell procedure to `Add a VMware Identity Manager Adapter for the Standalone Workspace ONE Access Instance`
- Added PowerShell procedure to `Add Ping Adapter for the Standalone Workspace ONE Access Instance`
Intelligent Logging and Analytics:
- Added PowerShell procedure to `Reconfigure the Remote Collector Group for the vRealize Log Insight Integration`
Site Protection and Disaster Recovery:
- Added PowerShell procedure to `Reconfigure DNS and Domain Search on the vRealize Automation Nodes`
- Added PowerShell procedure to `Reconfigure NTP on vRealize Automation`
- Added PowerShell procedure to `Create a Port Group for vSphere Replication Traffic`
- Added PowerShell procedure to `Create a Site Pair Between the Protected and Recovery VMware Cloud Foundation Instances`
- Added PowerShell procedure to `Configure Mappings between the Protected and the Recovery VMware Cloud Foundation Instances`</t>
  </si>
  <si>
    <t>v1.4.2.006</t>
  </si>
  <si>
    <t>04/14/2022</t>
  </si>
  <si>
    <t>Internal housekeeping update. No user facing changes.</t>
  </si>
  <si>
    <t>v1.4.2.005</t>
  </si>
  <si>
    <t>03/29/2022</t>
  </si>
  <si>
    <t>March Release to support updates to VMware Validated Solutions</t>
  </si>
  <si>
    <t>v1.4.2.004</t>
  </si>
  <si>
    <t>03/25/2022</t>
  </si>
  <si>
    <t>Added PowerValidatedSolution autoamtion to `Replace the Supervisor Cluster Kubernetes API Endpoint Certificate for Developer Ready Infrastructure`
Updated PCA Solution Interoperability section to include documentation enhancements and PowerValidatedSolution automation:
-  Updated procedure name and added PowerShell automation `Create a vRealize Log Insight Photon OS Agent Group for the vRealize Automation Cluster Nodes`
- Added missing procedure `Install the vRealize Orchestrator Content Pack for vRealize Log Insight`
Updated PDR implementation procedure documentation with PowerValidatedSolution automation:
- Added PowerShell automation for `Reconfigure DNS and Domain Search on the vRealize Suite Lifecycle Manager Appliance`
- Added PowerShell automation for `Reconfigure NTP on the vRealize Suite Lifecycle Manager Appliance` and fixed incorrect sample value against the name
- Added PowerShell automation for `Reconfigure DNS and Domain Search on the Clustered Workspace ONE Access Nodes`
- Added PowerShell automation for `Reconfigure NTP on the Clustered Workspace ONE Access Nodes`
- Added PowerShell automation for `Reconfigure DNS and Domain Search on the vRealize Operations Manager Analytics Cluster Nodes`
- Added PowerShell automation for `Reconfigure NTP on the vRealize Operations Manager Analytics Cluster Nodes`
Updated procedure name and added PowerShell automation for `Create a vRealize Log Insight Photon OS Agent Group for the vRealize Operations Manager Nodes`</t>
  </si>
  <si>
    <t>v1.4.2.003</t>
  </si>
  <si>
    <t>03/18/2022</t>
  </si>
  <si>
    <t>Updated PDR Solution Interoperability section to include documentation enhancements and PowerValidatedSolution automation:
- Updated procedure name and added PowerShell automation `Create a vRealize Log Insight Photon OS Agent Group for Site Recovery Manager and the vSphere Replication`
- Combined procedure and added PowerShell autoamtion `Install and Configure the vRealize Log Insight Agent on the Site Recovery Manager and vSphere Replication Appliances`</t>
  </si>
  <si>
    <t>v1.4.2.002</t>
  </si>
  <si>
    <t>03/15/2022</t>
  </si>
  <si>
    <t>Updated IAM Solution Interoperability section to include documentation enhancements and PowerValidatedSolution automation:
- Combined procedure and added PowerShell autoamtion `Install and Configure the vRealize Log Insight Agent on the Standalone Workspace ONE Access Appliance`
- Updated procedure name and added PowerShell automation `Create a vRealize Log Insight Identity Manager Agent Group for the Standalone Workspace ONE Access`
- Updated procedure name and added PowerShell automation `Create a vRealize Log Insight Photon OS Agent Group for Standalone Workspace ONE Access`
Updated ILA procedures and Solution Interoperability section using PowerValidatedSolutions for new variables:
- Added $agentGroupName to `Create a vRealize Log Insight Photon OS Agent Group for the Management Nodes`
- Added $agentGroupName to `Configure the vRealize Log Insight Agent Group for the Clustered Workspace ONE Access`
- Added PowerShell automation to `Add a Ping Adapter for the vRealize Log Insight Cluster`
Updated PCS Solution Interoperability section to include PowerValidatedSolutions automation:
- Added PowerShell automation to `Add a Ping Adapter for the vRealize Automation Cluster Nodes`
Updated DRI procedure using PowerValidatedSolutions automation:
- Added PowerShell automation to `License the Supervisor Cluster for Developer Ready Infrastructure`</t>
  </si>
  <si>
    <t>v1.4.2.001</t>
  </si>
  <si>
    <t>02/23/2022</t>
  </si>
  <si>
    <t>Addressed Private Cloud Automation mismatches between the Solution Guide and Planning and Preparation Workbook:
- Update group name for `Add the vRealize Automation Cluster Virtual Machines to the First Availability Zone VM Group`</t>
  </si>
  <si>
    <t>v1.4.1.001</t>
  </si>
  <si>
    <t>02/11/2022</t>
  </si>
  <si>
    <t>Added Ping Adapter procedure for Clustered Workspace ONE Access in the IOM solution.
Added Ping Adapter procedure for Standalone Workspace ONE Access in the Solution Interoperability of the IAM solution.
Removed duplicate table for adding vRealize Operations Manager nodes to the Photon OS Agent group under Solution Interoperability section.
Updated Configure the NSX Edge Nodes to Forward Log Events to vRealize Log Insight proceure for ILA solution.
Remove the `Add Storage to the vRealize Operations Manager Analytics Cluster Nodes` procedure and added Advanced configuration for a Datastore to expand during deployment`</t>
  </si>
  <si>
    <t>v1.4.0.001</t>
  </si>
  <si>
    <t>01/28/2022</t>
  </si>
  <si>
    <t>Updated the version for VMware Cloud Foundation 4.4.0
Fixed default size of Supervisor Cluster from 'Tiny' to 'Small' as per the design
Removed steps for creating bespoke users for vRSLCM to vCenter integration as this is not automated.
Adjusted entries for bespoke users for vRSLCM to vCenter integration to match new username format</t>
  </si>
  <si>
    <t>v1.3.2.005</t>
  </si>
  <si>
    <t>01/25/2022</t>
  </si>
  <si>
    <t>Added missing DNS record for Tanzu cluster for the Developer Ready Infrastructure solution
Fixed an issue with sample values of the Tier-0 gateway within the Developer Ready Infrastructure solution</t>
  </si>
  <si>
    <t>v1.3.2.004</t>
  </si>
  <si>
    <t>01/12/2022</t>
  </si>
  <si>
    <t>Added new PowerShell prcedures for PCA, ILA (See individual solution Update History)
Fixed an issue where user groups are called out in a procedure where they are not used.</t>
  </si>
  <si>
    <t>v1.3.2.003</t>
  </si>
  <si>
    <t>12/24/2021</t>
  </si>
  <si>
    <t>Added new PowerShell prcedures for PCA (See individual solution Update History)</t>
  </si>
  <si>
    <t>v1.3.2.002</t>
  </si>
  <si>
    <t>12/17/2021</t>
  </si>
  <si>
    <t>Added new PowerShell prcedures for PCA, PDR (See individual solution Update History)
Fixed some procedure headings for PCA.
Adding missing procedure `Restrict the vRealize Automation and vRealize Orchestrator Service Accounts Access to Virtual Machine and Datastore Folders in the VI Workload Domain` for PCA</t>
  </si>
  <si>
    <t>v1.3.2.001</t>
  </si>
  <si>
    <t>12/13/2021</t>
  </si>
  <si>
    <t>Added new PowerShell prcedures for PCA, IOM (See individual solution Update History)
Fixed a typo in the name displayed for the vRealize Automation Role name in vCenter Server
Renamed `Configure Email Alerts for vRealize Operations Manager` to `Configure Outbound Email Alert Plugin Settings for vRealize Operations Manager` and updated the Sender Details for IOM</t>
  </si>
  <si>
    <t>v1.3.1.001</t>
  </si>
  <si>
    <t>11/30/2021</t>
  </si>
  <si>
    <t>Removed vRealize Log Insight Agent Group names as inputs to procedures
Added new PowerShell prcedures for PCA, IOM and ILA (See individual solution Update History)
Relocated the 'Procedure 'Set the Currency for Cost Calculation in vRealize Operations Manager' under IOM Worksheet
Relocated the 'Configure Email Alerts for vRealize Operations Manager' under IOM Worksheet</t>
  </si>
  <si>
    <t>v1.3.0.034</t>
  </si>
  <si>
    <t>10/26/2021</t>
  </si>
  <si>
    <t>Added new PowerShell procedures to PCA, IOM and ILA (See individual solution Update History)
Fixed conditional formatting on ILA procedure not greyed out when set to excluded
Fixed headings on three procedures where `Members` should have been `PowerShell Procedure`
Added procedure for creating a VM Group within IAM Solution
Address a number of errors for ILA procedures</t>
  </si>
  <si>
    <t>v1.3.0.033</t>
  </si>
  <si>
    <t>10/13/2021</t>
  </si>
  <si>
    <t>Resolved incorrect output for folder name during creation of folders in Intelligent Operations Management solution</t>
  </si>
  <si>
    <t>v1.3.0.032</t>
  </si>
  <si>
    <t>10/07/2021</t>
  </si>
  <si>
    <t>Updated labels/inputs on vROPS adapter creation in Solutions Interoperability section of Site Protection &amp; DR Workflow tab
Added missing process for creating vROPS notifications and vRLI integration in Solutions Interoperability section of Site Protection &amp; DR Workflow tab</t>
  </si>
  <si>
    <t>v1.3.0.031</t>
  </si>
  <si>
    <t>10/05/2021</t>
  </si>
  <si>
    <t xml:space="preserve">Added Support for Site Protection &amp; Disaster Recovery
Added navigation buttons for VVS Worklow Tabs
Fixed incorrect calculation of Validated Solution sizing requirements
</t>
  </si>
  <si>
    <t>v1.3.0.030</t>
  </si>
  <si>
    <t>09/23/2021</t>
  </si>
  <si>
    <t>Fixed bug in Developer Ready Values presentation for Management Gateway in CIDR format</t>
  </si>
  <si>
    <t>v1.3.0.029</t>
  </si>
  <si>
    <t>09/21/2021</t>
  </si>
  <si>
    <t>Removed unnecessary inputs from 'Deploy vRealize Operations Manager by Using vRealize Suite Lifecycle Manager'
Added missing Log Retention Value to Intelligent Logging Solution. Adjusted same solution to reflect subtle sequence changes.
Fixed minor value mapping bugs
Added support for CertgenVVS creation of Kubernetes Signed Certificates
Added missing BGP password references in NSX Federation guidance</t>
  </si>
  <si>
    <t>v1.3.0.028</t>
  </si>
  <si>
    <t>08/27/2021</t>
  </si>
  <si>
    <t>Adjusted dependencies for IOM solution</t>
  </si>
  <si>
    <t>v1.3.0.027</t>
  </si>
  <si>
    <t>08/26/2021</t>
  </si>
  <si>
    <t>Updated messaging for Developer Ready Infrastructure.
Fixed Reference Value for Cross Instance segment network CIDR in Join or Additional Domain contexts</t>
  </si>
  <si>
    <t>v1.3.0.026</t>
  </si>
  <si>
    <t>08/24/2021</t>
  </si>
  <si>
    <t>Initial Release.</t>
  </si>
  <si>
    <t>Notes</t>
  </si>
  <si>
    <t>File Version Availability</t>
  </si>
  <si>
    <t>This file changes as new versions of VMware Cloud Foundation / VMware Validated Solutions are released. To verify you have the correct and most accurate version of this file please visit either https://docs.vmware.com/en/VMware-Cloud-Foundation/ and click the link for ' Planning and Preparation Workbook'.</t>
  </si>
  <si>
    <t>Prerequisite Checklist</t>
  </si>
  <si>
    <t>The following pre-requisites need to be completed before proceeding with deployments</t>
  </si>
  <si>
    <t>Hardware (Management Domain)</t>
  </si>
  <si>
    <t>Server Component</t>
  </si>
  <si>
    <t>Minimum Requirements</t>
  </si>
  <si>
    <t>Server Type</t>
  </si>
  <si>
    <t>4x VMware vSAN™ ReadyNode - Hybrid (HY) profile servers
or
4x servers certified as vSAN-compliant on VMware Compatibility Guide</t>
  </si>
  <si>
    <t>- All Flash is the recommendation for VMware Validated Design.
- Homogenous servers are required per cluster
- VMware Cloud Foundation also supports the Hybrid Profile. For information about vSAN ReadyNode, see the VMware Compatibility Guide at https://www.vmware.com/resources/compatibility/search.php.</t>
  </si>
  <si>
    <t>CPU</t>
  </si>
  <si>
    <t>Supported Configurations</t>
  </si>
  <si>
    <t>None</t>
  </si>
  <si>
    <t>Memory</t>
  </si>
  <si>
    <r>
      <t xml:space="preserve">Rainpole example suggests
- 256GB per host based on 4 hosts with ability to tolerate failure of a single host.
</t>
    </r>
    <r>
      <rPr>
        <b/>
        <sz val="12"/>
        <color theme="1"/>
        <rFont val="Helvetica"/>
        <family val="2"/>
      </rPr>
      <t>Use Domain Sizing Inputs / Management Domain Sizing for sizing based on your chosen options.</t>
    </r>
  </si>
  <si>
    <t>Storage (Boot)</t>
  </si>
  <si>
    <t>32 GB SATA-DOM</t>
  </si>
  <si>
    <t>SD-Cards are considered legacy and not recommended.</t>
  </si>
  <si>
    <r>
      <t xml:space="preserve">Rainpole example suggests 
- 1.2TB of Raw Capacity for the Caching Tier (All-Flash) per host. 
- Two disk groups, 600GB cache per disk group (based on full VMware Validated Design Deployment with default values).
Ensure no existing partitions exist on disks intended for use
See Designing and Sizing a vSAN Cluster from the VMware vSAN documentation for guidelines about cache sizing.
</t>
    </r>
    <r>
      <rPr>
        <b/>
        <sz val="12"/>
        <color theme="1"/>
        <rFont val="Helvetica"/>
        <family val="2"/>
      </rPr>
      <t>Use Domain Sizing Inputs / Management Domain Sizing for sizing based on your chosen options.</t>
    </r>
  </si>
  <si>
    <r>
      <t xml:space="preserve">Rainpole example suggests
- 12.5TB of Raw Capacity for the Capacity Tier (All-Flash) per host.
- Two disk groups, 6.25TB per disk group (based on full VMware Validated Design Deployment with default values).
Ensure no existing partitions exist on disks intended for use
</t>
    </r>
    <r>
      <rPr>
        <b/>
        <sz val="12"/>
        <color theme="1"/>
        <rFont val="Helvetica"/>
        <family val="2"/>
      </rPr>
      <t>Use Domain Sizing Inputs / Management Domain Sizing for sizing based on your chosen options.</t>
    </r>
  </si>
  <si>
    <t>NICs per server</t>
  </si>
  <si>
    <t>- Two 10 GbE NICs
- One 1 GbE BMC NIC</t>
  </si>
  <si>
    <t xml:space="preserve">Management Domain: Supports a maximum of 6 x pNICs per host (greater than 4 requires use of Public API)
</t>
  </si>
  <si>
    <t>Hardware (Workload Domain)</t>
  </si>
  <si>
    <t>Type</t>
  </si>
  <si>
    <t>Three Supported Servers</t>
  </si>
  <si>
    <t>Refer to the VMware Compatibility Guide at https://www.vmware.com/resources/compatibility/search.php for supported configurations. Note that VMware Cloud Foundation supports three node vSAN clusters in Workload Domains. VMware Validated Design recommends a minimum of four nodes for production.
Ensure no existing partitions exist on disks intended for use</t>
  </si>
  <si>
    <t>Supported configurations</t>
  </si>
  <si>
    <t>Network Requirements</t>
  </si>
  <si>
    <t>Configuration</t>
  </si>
  <si>
    <t>Physical Network</t>
  </si>
  <si>
    <t>Jumbo frames</t>
  </si>
  <si>
    <t>Required for the following traffic types:
- vSAN
- vSphere vMotion
- ESXi Host Overlay (Geneve)
- NFS
- NSX-T Edge Overlay</t>
  </si>
  <si>
    <t>BGP adjacency and BGP autonomous system (AS) numbers</t>
  </si>
  <si>
    <t>Required for Dynamic routing in the SDDC</t>
  </si>
  <si>
    <t>Teaming Configurations</t>
  </si>
  <si>
    <t>Use teaming options within vSphere Distributed Switch and N-VDS to provide load-balancing and failover. VMware Cloud Foundation and VMware Validated Solutions do not support the use of EtherChannel configurations such as LAG, LACP or VPC</t>
  </si>
  <si>
    <t>Multi-path routing</t>
  </si>
  <si>
    <t>Verfiy that Equal-cost multi-path routing (ECMP) is supported on interfaces between NSX-T Edge uplinks and Top-of Rack Switchs (ToRs)</t>
  </si>
  <si>
    <t>Stretched Network Requirements
(Multiple Availability Zone Environments Only)</t>
  </si>
  <si>
    <t>VMware Software, Scripts, and Tools</t>
  </si>
  <si>
    <t>Software</t>
  </si>
  <si>
    <t>Download Location</t>
  </si>
  <si>
    <t>Download</t>
  </si>
  <si>
    <t>VMware Cloud Builder™ appliance</t>
  </si>
  <si>
    <t>my.vmware.com</t>
  </si>
  <si>
    <t>VMware-Cloud-Builder-x.x.x.x-xxxxxxxx_OVF10.ova</t>
  </si>
  <si>
    <t>You deploy and configure the VMware Cloud Builder appliance per VMware Cloud Foundation instance and use it to perform the automated implementation of the Management Domain for that instance.</t>
  </si>
  <si>
    <t>Deployment Parameters Workbook</t>
  </si>
  <si>
    <t>vcf-ems-deployment-parameter.xlsx</t>
  </si>
  <si>
    <t>The Deployment Parameters Workbook is a Microsoft® Excel® file that provide the deployment specification. You use the fils as an input for an automated deployment of the Management Domain with VMware Cloud Builder.</t>
  </si>
  <si>
    <t>Certificate generation utility for VMware Validated Solutions</t>
  </si>
  <si>
    <t>VMware Knowledge Base article 85527</t>
  </si>
  <si>
    <t>CertGenVVS</t>
  </si>
  <si>
    <t>Use this tool to generate Certificate Signing Request (CSR), OpenSSL CA-signed certificates, and Microsoft CA-signed certificates for all VMware products that are included in the VMware Validated Design.
In the context of VMware Validated Solutions, use the CertGenVVS tool to save time in creating signed certificates.</t>
  </si>
  <si>
    <t>vSAN Witness Appliance</t>
  </si>
  <si>
    <t>VMware-VirtualSAN-Witness-x.x.x-xxxxxxxx.ova</t>
  </si>
  <si>
    <t>You use this when deploying a witness appliance to a different fault domain when adding secodary availability zones.</t>
  </si>
  <si>
    <t>Third Party Software</t>
  </si>
  <si>
    <t>Vendor</t>
  </si>
  <si>
    <t>Product / Version</t>
  </si>
  <si>
    <t xml:space="preserve">Virtual Infrastructure
</t>
  </si>
  <si>
    <t>Any Supported</t>
  </si>
  <si>
    <t>Operating system for VMware vSphere® deployment.</t>
  </si>
  <si>
    <t>A host machine in the data center that has access to the ESXi management network.</t>
  </si>
  <si>
    <t>Active Directory</t>
  </si>
  <si>
    <t>Active Directory Element</t>
  </si>
  <si>
    <t>Domain Instance</t>
  </si>
  <si>
    <t>Rainpole</t>
  </si>
  <si>
    <t>Active Directory Forest Configuration</t>
  </si>
  <si>
    <t>Parent Active Directory</t>
  </si>
  <si>
    <t>rainpole.io</t>
  </si>
  <si>
    <t>Contains Domain Name System (DNS) server, time server, and universal groups that contain global groups from the child domains and are members of local groups in the child domains.</t>
  </si>
  <si>
    <t>Child Active Directory</t>
  </si>
  <si>
    <t xml:space="preserve">sfo.rainpole.io
</t>
  </si>
  <si>
    <t>Contains DNS records that replicate to all DNS servers in the forest. This child domain contains all SDDC users, and global and local groups.</t>
  </si>
  <si>
    <t>Active Directory Users and Groups</t>
  </si>
  <si>
    <t>All user accounts and groups from the Active Directory Inputs tab must exist in the Active Directory before installing and configuring the SDDC.</t>
  </si>
  <si>
    <t>Active Directory Connectivity</t>
  </si>
  <si>
    <t>All Active Directory domain controllers must be accessible by all management components within the SDDC.</t>
  </si>
  <si>
    <t>Active Directory Version</t>
  </si>
  <si>
    <t>DHCP Server</t>
  </si>
  <si>
    <t>The subnet and associated VLAN that provides IPv4 transport for the ESXi Host Overlay VMkernel ports must be configured for IPv4 address auto-assignment by using DHCP. You will need 1 IP address per NIC, per host available in the DHCP scope e.g a 4 node cluster with 2 NICs per node would require a minimum of 8 IP addresses in the DHCP scope.</t>
  </si>
  <si>
    <t>DNS</t>
  </si>
  <si>
    <t>Entries</t>
  </si>
  <si>
    <t>DNS host entries</t>
  </si>
  <si>
    <t>Parent Instance</t>
  </si>
  <si>
    <t>Contains DNS Entries for Parent Domain</t>
  </si>
  <si>
    <t xml:space="preserve">DNS Entries resides in the parent domain. </t>
  </si>
  <si>
    <t>Child Instances</t>
  </si>
  <si>
    <t>Contain DNS Entries for Respective Child Domains</t>
  </si>
  <si>
    <t>Configure both DNS servers with the following settings
- Dynamic updates for the domain set to Nonsecure and secure. 
- Zone replication scope for the domain set to All DNS server in this forest.  
- Create all hosts listed in the Name and IP Addresses input tab.</t>
  </si>
  <si>
    <t>DNS Configuration</t>
  </si>
  <si>
    <t>All Instances</t>
  </si>
  <si>
    <t>Configure a DNS Canonical Name (CNAME) record that maps the two time sources to one DNS name.</t>
  </si>
  <si>
    <t>NTP</t>
  </si>
  <si>
    <t>Target</t>
  </si>
  <si>
    <t>NTP Sources</t>
  </si>
  <si>
    <t>An NTP source, for Rainpole, must be available and accessible from all nodes of the SDDC.
Use the ToR switches in the Management Workload Domain as the NTP servers or the upstream physical router. These switches must synchronize with different upstream NTP servers and provide time synchronization capabilities in the SDDC. As a best practice, make the NTP servers available under a friendly FQDN, for Rainpole, ntp.sfo.rainpole.io.</t>
  </si>
  <si>
    <t>NTP Configuration</t>
  </si>
  <si>
    <t>ESXi hosts
AD domain controllers
Virtual appliances of the management applications</t>
  </si>
  <si>
    <t>Configure two time sources per instance that are external to the SDDC. These sources can be physical radio or GPS time servers, or even NTP servers running on physical routers or servers. You may share the same time sources across instances if they are part of the same fault domain / location. Different time sources should be used if the instances are in different fault domains / locations. Within DNS, ensure that you have two identical hostnames referencing the individual IP addresses of your time sources, and one CNAME that references the identical hostname. This provides round robin high availablity via a single FQDN which is important when setting NTP on Cross-Instance components. Also consider placing the individual NTP servers on different networks to further improve high availability e.g. 
A Records
ntpserver.sfo.rainpole.io -&gt; 172.16.10.251
ntpserver.sfo.rainpole.io -&gt; 172.16.30.251
CNAME
ntp.sfo.rainpole.io -&gt; ntpserver.sfo.rainpole.io
If desired have two additional A Records for direct management of the NTP servers via FQDN e.g 
A Records
ntp0.sfo.rainpole.io -&gt; 172.16.10.251
ntp1.sfo.rainpole.io -&gt; 172.16.30.251
Ensure that the external time servers are synchronized to different time sources to ensure desirable NTP dispersion.
Ensure that NTP is configured properly in your Microsoft Active Directory Domain.
See https://blogs.technet.microsoft.com/nepapfe/2013/03/01/its-simple-time-configuration-in-active-directory/ and https://blogs.technet.microsoft.com/nepapfe/2013/03/01/its-simple-time-configuration-in-active-directory/</t>
  </si>
  <si>
    <t>SMTP Mail Relay</t>
  </si>
  <si>
    <t>SMTP mail relay</t>
  </si>
  <si>
    <t>A mail relay instance, must be reachable from each SDDC component. As a best practice, limit the relay function to the management IP range(s) of the SDDC deployment.</t>
  </si>
  <si>
    <t>Certificate Authority</t>
  </si>
  <si>
    <t>CA must be able to ingest a Certificate Signing Request (CSR) from the SDDC components and issue a signed certificate.
Microsoft CAs must support basic authentication.</t>
  </si>
  <si>
    <t>CA must be able to ingest a Certificate Signing Request (CSR) from the SDDC components and issue a signed certificate.
For this validated design, use the Microsoft Windows Enterprise CA that is available in the Windows Server 2016 operating system of a root domain controller. The domain controller must be configured with the Certificate Authority Service and the Certificate Authority Web Enrollment roles.</t>
  </si>
  <si>
    <t>SFTP Server</t>
  </si>
  <si>
    <t>An SFTP server must be used to provide backups for VMware NSX-T Data Center instances and SDDC Manager which is configured through SDDC Manager.</t>
  </si>
  <si>
    <t>Host Machine Access</t>
  </si>
  <si>
    <t>A virtual machine or physical server must be available to that is permitted to route to
 - ESXi Management networks
 - Internet for software downloads</t>
  </si>
  <si>
    <t xml:space="preserve"> </t>
  </si>
  <si>
    <t>Static Reference Tables</t>
  </si>
  <si>
    <t>The following values are used for lookups throughout the rest of the workbook</t>
  </si>
  <si>
    <t>Sizing Value References</t>
  </si>
  <si>
    <t>Constant</t>
  </si>
  <si>
    <t>Value</t>
  </si>
  <si>
    <t>vCenter Appliance Size List</t>
  </si>
  <si>
    <t>Tiny</t>
  </si>
  <si>
    <t>Small</t>
  </si>
  <si>
    <t>Medium</t>
  </si>
  <si>
    <t>Large</t>
  </si>
  <si>
    <t>X-Large</t>
  </si>
  <si>
    <t>vCenter Storage Size List</t>
  </si>
  <si>
    <t>Default</t>
  </si>
  <si>
    <t>NSX-T Manager Size List</t>
  </si>
  <si>
    <t>Extra_Small</t>
  </si>
  <si>
    <t>NSX-T Edge Size List</t>
  </si>
  <si>
    <t>Lookup Tables</t>
  </si>
  <si>
    <t>SDDC Manager</t>
  </si>
  <si>
    <t>RAM</t>
  </si>
  <si>
    <t>Disk</t>
  </si>
  <si>
    <t>vCenter Cloud Gateway Appliance CPU</t>
  </si>
  <si>
    <t>vCenter Cloud Gateway Appliance RAM</t>
  </si>
  <si>
    <t>vCenter Cloud Gateway Appliance Disk</t>
  </si>
  <si>
    <t>vCenter Appliance CPU</t>
  </si>
  <si>
    <t>vCenter Appliance RAM</t>
  </si>
  <si>
    <t>vCenter Disk</t>
  </si>
  <si>
    <t>TinyDefault</t>
  </si>
  <si>
    <t>TinyLarge</t>
  </si>
  <si>
    <t>TinyX-Large</t>
  </si>
  <si>
    <t>SmallDefault</t>
  </si>
  <si>
    <t>SmallLarge</t>
  </si>
  <si>
    <t>SmallX-Large</t>
  </si>
  <si>
    <t>MediumDefault</t>
  </si>
  <si>
    <t>MediumLarge</t>
  </si>
  <si>
    <t>MediumX-Large</t>
  </si>
  <si>
    <t>LargeDefault</t>
  </si>
  <si>
    <t>LargeLarge</t>
  </si>
  <si>
    <t>LargeX-Large</t>
  </si>
  <si>
    <t>X-LargeDefault</t>
  </si>
  <si>
    <t>X-LargeLarge</t>
  </si>
  <si>
    <t>X-LargeX-Large</t>
  </si>
  <si>
    <t>NSX-T Manager CPU</t>
  </si>
  <si>
    <t>NSX-T Manager RAM</t>
  </si>
  <si>
    <t>NSX-T Manager Disk</t>
  </si>
  <si>
    <t>NSX-T Edge CPU</t>
  </si>
  <si>
    <t>NSX-T Edge RAM</t>
  </si>
  <si>
    <t>NSX-T Edge Disk</t>
  </si>
  <si>
    <t>vCLS Virtual Machines</t>
  </si>
  <si>
    <t>WSA CPU</t>
  </si>
  <si>
    <t>Extra Small</t>
  </si>
  <si>
    <t>Extra Large</t>
  </si>
  <si>
    <t>Extra Extra Large</t>
  </si>
  <si>
    <t>WSA RAM</t>
  </si>
  <si>
    <t>WSA Disk</t>
  </si>
  <si>
    <t>vRA CPU</t>
  </si>
  <si>
    <t>vRA RAM</t>
  </si>
  <si>
    <t>vRA Disk</t>
  </si>
  <si>
    <t>vRLI CPU</t>
  </si>
  <si>
    <t>vRLI RAM</t>
  </si>
  <si>
    <t>vRLI Disk</t>
  </si>
  <si>
    <t>vROPS Cluster CPU</t>
  </si>
  <si>
    <t>vROPS Cluster RAM</t>
  </si>
  <si>
    <t>vROPS Cluster Disk</t>
  </si>
  <si>
    <t>vROPS Remote Collector CPU</t>
  </si>
  <si>
    <t>Standard</t>
  </si>
  <si>
    <t>vROPS Remote Collector RAM</t>
  </si>
  <si>
    <t>vROPS Remote Collector Disk</t>
  </si>
  <si>
    <t>VRMS CPU</t>
  </si>
  <si>
    <t>Light</t>
  </si>
  <si>
    <t>VRMS RAM</t>
  </si>
  <si>
    <t>VRMS Disk</t>
  </si>
  <si>
    <t>SRM CPU</t>
  </si>
  <si>
    <t>SRM RAM</t>
  </si>
  <si>
    <t>SRM Disk</t>
  </si>
  <si>
    <t>Health Reporting and Monitoring - HVM</t>
  </si>
  <si>
    <t>CIDR</t>
  </si>
  <si>
    <t>Mask</t>
  </si>
  <si>
    <t>255.255.255.255</t>
  </si>
  <si>
    <t>255.255.255.254</t>
  </si>
  <si>
    <t>255.255.255.252</t>
  </si>
  <si>
    <t>255.255.255.248</t>
  </si>
  <si>
    <t>255.255.255.240</t>
  </si>
  <si>
    <t>255.255.255.224</t>
  </si>
  <si>
    <t>255.255.255.192</t>
  </si>
  <si>
    <t>255.255.255.128</t>
  </si>
  <si>
    <t>255.255.255.0</t>
  </si>
  <si>
    <t>255.255.254.0</t>
  </si>
  <si>
    <t>255.255.252.0</t>
  </si>
  <si>
    <t>255.255.248.0</t>
  </si>
  <si>
    <t>255.255.240.0</t>
  </si>
  <si>
    <t>255.255.224.0</t>
  </si>
  <si>
    <t>255.255.192.0</t>
  </si>
  <si>
    <t>255.255.128.0</t>
  </si>
  <si>
    <t>255.255.0.0</t>
  </si>
  <si>
    <t>255.254.0.0</t>
  </si>
  <si>
    <t>255.252.0.0</t>
  </si>
  <si>
    <t>255.248.0.0</t>
  </si>
  <si>
    <t>255.240.0.0</t>
  </si>
  <si>
    <t>255.224.0.0</t>
  </si>
  <si>
    <t>255.192.0.0</t>
  </si>
  <si>
    <t>255.128.0.0</t>
  </si>
  <si>
    <t>255.0.0.0</t>
  </si>
  <si>
    <t>254.0.0.0</t>
  </si>
  <si>
    <t>252.0.0.0</t>
  </si>
  <si>
    <t>248.0.0.0</t>
  </si>
  <si>
    <t>240.0.0.0</t>
  </si>
  <si>
    <t>224.0.0.0</t>
  </si>
  <si>
    <t>192.0.0.0</t>
  </si>
  <si>
    <t>128.0.0.0</t>
  </si>
  <si>
    <t>0.0.0.0</t>
  </si>
  <si>
    <t>NSX-T Deployment</t>
  </si>
  <si>
    <t>Shared</t>
  </si>
  <si>
    <t>Dedicated</t>
  </si>
  <si>
    <t>VI Workload Domain Type</t>
  </si>
  <si>
    <t>Isolated VI Workload Domain</t>
  </si>
  <si>
    <t xml:space="preserve">EVC </t>
  </si>
  <si>
    <t>N/A</t>
  </si>
  <si>
    <t>AMD Opteron Generation 1 (Rev. E)</t>
  </si>
  <si>
    <t>AMD Opteron Generation 2 (Rev. F)</t>
  </si>
  <si>
    <t>AMD Opteron Generation 3 (Greyhound)</t>
  </si>
  <si>
    <t>AMD Opteron Generation 3 (no 3Dnow!) (Greyhound)</t>
  </si>
  <si>
    <t>AMD Opteron Generation 4 (Bulldozer)</t>
  </si>
  <si>
    <t>AMD Opteron "Piledriver" Generation</t>
  </si>
  <si>
    <t>AMD Opteron "Steamroller" Generation</t>
  </si>
  <si>
    <t>AMD "Zen" Generation</t>
  </si>
  <si>
    <t>AMD "Zen 2" Generation</t>
  </si>
  <si>
    <t>AMD "Zen 3" Generation</t>
  </si>
  <si>
    <t>AMD "Zen 4" Generation</t>
  </si>
  <si>
    <t>Intel "Merom" Generation (Intel Xeon Core 2)</t>
  </si>
  <si>
    <t>Intel "Penryn" Generation (Intel Xeon 45nm Core2)</t>
  </si>
  <si>
    <t>Intel "Nehalem" Generation (Intel Xeon Core i7)</t>
  </si>
  <si>
    <t>Intel "Westmere" Generation (Intel Xeon 32nm Core i7)</t>
  </si>
  <si>
    <t>Intel "Sandy Bridge" Generation</t>
  </si>
  <si>
    <t>Intel "Ivy Bridge" Generation</t>
  </si>
  <si>
    <t>Intel "Haswell" Generation</t>
  </si>
  <si>
    <t>Intel "Broadwell" Generation</t>
  </si>
  <si>
    <t>Intel "Skylake" Generation</t>
  </si>
  <si>
    <t>Intel "Cascade Lake" Generation</t>
  </si>
  <si>
    <t>Intel "Ice Lake" Generation</t>
  </si>
  <si>
    <t>Intel "Sapphire Rapids" Generation</t>
  </si>
  <si>
    <t>Use this page to provide environment parameters regarding the final configuration of the management domain. These inputs, in combination with the options chosen on 'Deployment Options' tab will populate the results show in 'Management Domain Sizing"</t>
  </si>
  <si>
    <t>Management Domain Assumptions</t>
  </si>
  <si>
    <t>Component</t>
  </si>
  <si>
    <t>Virtual Machine Overhead (Percent)</t>
  </si>
  <si>
    <t>Estimated Growth (Percent)</t>
  </si>
  <si>
    <t xml:space="preserve">Management Domain Host Parameters </t>
  </si>
  <si>
    <t>Attribute</t>
  </si>
  <si>
    <t>CPU Cores</t>
  </si>
  <si>
    <t>RAM Count (GB)</t>
  </si>
  <si>
    <t>CPU Oversubscription (X:1)</t>
  </si>
  <si>
    <t>Memory Oversubscription (X:1)</t>
  </si>
  <si>
    <t>vSAN Disk Groups per Host</t>
  </si>
  <si>
    <t>2</t>
  </si>
  <si>
    <t>Domain</t>
  </si>
  <si>
    <t>Select</t>
  </si>
  <si>
    <t>Result</t>
  </si>
  <si>
    <t>vCenter Appliance Size</t>
  </si>
  <si>
    <t>vCenter Storage Size</t>
  </si>
  <si>
    <t>NSX-T Model</t>
  </si>
  <si>
    <t>NSX-T Local Manager Appliance Size</t>
  </si>
  <si>
    <t>NSX-T Edge Size</t>
  </si>
  <si>
    <t>NST-T Global Manager Appliance Size</t>
  </si>
  <si>
    <t>m01</t>
  </si>
  <si>
    <t>Workload Domains</t>
  </si>
  <si>
    <t>Federation</t>
  </si>
  <si>
    <t>Federation Result</t>
  </si>
  <si>
    <t>w01</t>
  </si>
  <si>
    <t>Mandatory</t>
  </si>
  <si>
    <t>w02</t>
  </si>
  <si>
    <t>w03</t>
  </si>
  <si>
    <t>w04</t>
  </si>
  <si>
    <t>w05</t>
  </si>
  <si>
    <t>w06</t>
  </si>
  <si>
    <t>w07</t>
  </si>
  <si>
    <t>w08</t>
  </si>
  <si>
    <t>w09</t>
  </si>
  <si>
    <t>w10</t>
  </si>
  <si>
    <t>w11</t>
  </si>
  <si>
    <t>w12</t>
  </si>
  <si>
    <t>w13</t>
  </si>
  <si>
    <t>w14</t>
  </si>
  <si>
    <t>w15</t>
  </si>
  <si>
    <t>w16</t>
  </si>
  <si>
    <t>w17</t>
  </si>
  <si>
    <t>w18</t>
  </si>
  <si>
    <t>w19</t>
  </si>
  <si>
    <t>w20</t>
  </si>
  <si>
    <t>w21</t>
  </si>
  <si>
    <t>w22</t>
  </si>
  <si>
    <t>w23</t>
  </si>
  <si>
    <t>w24</t>
  </si>
  <si>
    <t>To be completed by a member of the Customer Networking Team. Inputs are enabled by choices made on Deployment Options Tab and values will be presented in relevant sections of Workflow Execution Tabs</t>
  </si>
  <si>
    <t>Management Domain VLAN and IP Subnet Requirements (Primary Availability Zone)</t>
  </si>
  <si>
    <t>VLAN Backed</t>
  </si>
  <si>
    <t>Function</t>
  </si>
  <si>
    <t>Reference VLAN ID</t>
  </si>
  <si>
    <t>Your VLAN ID</t>
  </si>
  <si>
    <t>Reference Subnet</t>
  </si>
  <si>
    <t>Your Subnet</t>
  </si>
  <si>
    <t>Reference Gateway</t>
  </si>
  <si>
    <t>Your Gateway</t>
  </si>
  <si>
    <t>Reference MTU</t>
  </si>
  <si>
    <t>Your MTU</t>
  </si>
  <si>
    <t>Management Network</t>
  </si>
  <si>
    <t>vMotion Network</t>
  </si>
  <si>
    <t>vSAN Network</t>
  </si>
  <si>
    <t>Host Isolation</t>
  </si>
  <si>
    <t>NSX Host Overlay</t>
  </si>
  <si>
    <t>NSX Edge Uplink 1</t>
  </si>
  <si>
    <t>NSX Edge Uplink 2</t>
  </si>
  <si>
    <t>NSX Edge Overlay</t>
  </si>
  <si>
    <t>NSX RTEP Overlay</t>
  </si>
  <si>
    <t>vSphere Replication</t>
  </si>
  <si>
    <t>NSX Segments</t>
  </si>
  <si>
    <t>Local Instance Segment</t>
  </si>
  <si>
    <t>Cross Instance Segment</t>
  </si>
  <si>
    <t>Management Domain BGP Requirements (Primary Availability Zone)</t>
  </si>
  <si>
    <t>Purpose</t>
  </si>
  <si>
    <t>Reference Value</t>
  </si>
  <si>
    <t>Your Value</t>
  </si>
  <si>
    <t>NSX Edge Nodes Autonomous System ID</t>
  </si>
  <si>
    <t>Top of Rack 1 - IP Address</t>
  </si>
  <si>
    <t>Top of Rack 1 - Autonomous System ID</t>
  </si>
  <si>
    <t>Top of Rack 1 - BGP Neighbor Password</t>
  </si>
  <si>
    <t>Top of Rack 2 - IP Address</t>
  </si>
  <si>
    <t>Top of Rack 2 - Autonomous System ID</t>
  </si>
  <si>
    <t>Top of Rack 2 - BGP Neighbor Password</t>
  </si>
  <si>
    <t>Management Domain VLAN and IP Subnet Requirements (Secondary Availability Zone)</t>
  </si>
  <si>
    <t>Management Domain BGP Requirements (Secondary Availability Zone)</t>
  </si>
  <si>
    <t>Management Domain VLAN and IP Subnet Requirements (vSAN Witness Zone)</t>
  </si>
  <si>
    <t>Secondary Storage Network (NFS)</t>
  </si>
  <si>
    <t>Kubernetes Network Segments Requirements (Primary Availability Zone Only)</t>
  </si>
  <si>
    <t>Kubernetes Management Segment IP Network</t>
  </si>
  <si>
    <t>n/a</t>
  </si>
  <si>
    <t>Kubernetes IP Pool Subnet Requirements (Primary Availability Zone Only)</t>
  </si>
  <si>
    <r>
      <t>Pod Pool</t>
    </r>
    <r>
      <rPr>
        <i/>
        <sz val="12"/>
        <color theme="1"/>
        <rFont val="Helvetica"/>
        <family val="2"/>
      </rPr>
      <t xml:space="preserve"> (Supervisor Cluster)</t>
    </r>
  </si>
  <si>
    <t>100.100.0.0/20</t>
  </si>
  <si>
    <r>
      <t>Service Pool</t>
    </r>
    <r>
      <rPr>
        <i/>
        <sz val="12"/>
        <color theme="1"/>
        <rFont val="Helvetica"/>
        <family val="2"/>
      </rPr>
      <t xml:space="preserve"> (Supervisor Cluster)</t>
    </r>
  </si>
  <si>
    <r>
      <t>Pod Pool</t>
    </r>
    <r>
      <rPr>
        <i/>
        <sz val="12"/>
        <color theme="1"/>
        <rFont val="Helvetica"/>
        <family val="2"/>
      </rPr>
      <t xml:space="preserve"> (Tanzu Kubernetes Cluster)</t>
    </r>
  </si>
  <si>
    <t>192.0.2.0/16</t>
  </si>
  <si>
    <r>
      <t>Service Pool</t>
    </r>
    <r>
      <rPr>
        <i/>
        <sz val="12"/>
        <color theme="1"/>
        <rFont val="Helvetica"/>
        <family val="2"/>
      </rPr>
      <t xml:space="preserve"> (Tanzu Kubernetes Cluster)</t>
    </r>
  </si>
  <si>
    <t>198.51.100.0/12</t>
  </si>
  <si>
    <t>Private Cloud Automation Requirements</t>
  </si>
  <si>
    <t>10.244.0.0/22</t>
  </si>
  <si>
    <t>10.244.4.0/22</t>
  </si>
  <si>
    <t>To be completed by a member of the Customer DNS / IP Allocation Team. Inputs are enabled by choices made on Deployment Options Tab and values will be presented in relevant sections of Workflow Execution Tabs</t>
  </si>
  <si>
    <t>External Services Naming and IP Addressing</t>
  </si>
  <si>
    <t>Group / Component</t>
  </si>
  <si>
    <t>NTP Server 1 (Local Instance Components)</t>
  </si>
  <si>
    <t>Rainpole uses a CNAME based round robin NTP time source, therefore this is the only entry required per instance.</t>
  </si>
  <si>
    <t>NTP Server 2 (Local Instance Components)</t>
  </si>
  <si>
    <t>(optional) Rainpole does not use this entry as high-availability is already provided in the CNAME entry. You may use values suitable for your environment, bearing in mind high-availability within the instance.</t>
  </si>
  <si>
    <t>NTP Server 1 (Cross-Instance Components)</t>
  </si>
  <si>
    <t>Rainpole uses a CNAME based round robin NTP time source from the first instance for the first entry. You may use values suitable for your environment, bearing in mind high-availability within and across instances.</t>
  </si>
  <si>
    <t>NTP Server 2 (Cross-Instance Components)</t>
  </si>
  <si>
    <t>(optional) Rainpole uses this entry only when intending to deploy a second instance now or in the future. Using a CNAME based ntp server from alternate instance avoids reconfiguration of components later.</t>
  </si>
  <si>
    <t>NTP Server 1 (Witness Components)</t>
  </si>
  <si>
    <t>Rainpole uses a CNAME based round robin NTP time source located in the Witness Zone for the first entry. You may use values suitable for your environment, bearing in mind high-availability within and across instances.</t>
  </si>
  <si>
    <t>NTP Server 2 (Witness Components)</t>
  </si>
  <si>
    <t>Parent DNS Zone</t>
  </si>
  <si>
    <t>DNS Zone Name for Parent Domain. Avoid using .local TLDs if deploying vSphere with Kubernetes workload domains</t>
  </si>
  <si>
    <t>Child DNS Zone</t>
  </si>
  <si>
    <t>DNS Zone Name for Child Domain. Avoid using .local TLDs if deploying vSphere with Kubernetes workload domains</t>
  </si>
  <si>
    <t>vSAN Witness DNS Zone</t>
  </si>
  <si>
    <t>DNS Zone Name for Zone that host the vSAN witness. This can be located in any location, and even be the same as the  child DNS zone, as long as the witness is in a different fault domain to AZ1 and AZ2</t>
  </si>
  <si>
    <t>DNS Server 1 (Local Instance Components)</t>
  </si>
  <si>
    <t>First DNS Server to assign to Local Instance Components</t>
  </si>
  <si>
    <t>DNS Server 2 (Local Instance Components)</t>
  </si>
  <si>
    <t>Second DNS Server to assign to Local Instance Components. Should be in a different fault domain to DNS Server 1</t>
  </si>
  <si>
    <t>DNS Server 1 (Cross-Instance Components)</t>
  </si>
  <si>
    <t>First DNS Server to assign to Cross Instance Components</t>
  </si>
  <si>
    <t>DNS Server 2 (Cross-Instance Components)</t>
  </si>
  <si>
    <t>Second DNS Server to assign to Cross Instance Components. Should be in a different fault domain to DNS Server 1</t>
  </si>
  <si>
    <t>DNS Server 1 (Witness Components)</t>
  </si>
  <si>
    <t>First DNS Server to assign to Witness Components</t>
  </si>
  <si>
    <t>DNS Server 2 (Witness Components)</t>
  </si>
  <si>
    <t>Second DNS Server to assign to Witness Components. Should be in a different fault domain to DNS Server 1</t>
  </si>
  <si>
    <t>Other External Services</t>
  </si>
  <si>
    <t>Domain Controller</t>
  </si>
  <si>
    <t>Domain Controller required for integration of vSphere integration with Active Directory. Only required for Identify and Access Management Validated Solution</t>
  </si>
  <si>
    <t>Certificate Authority FQDN</t>
  </si>
  <si>
    <t>Microsoft Certificate Authority FQDN</t>
  </si>
  <si>
    <t>Certificate Authority Name</t>
  </si>
  <si>
    <t>rainpole-DC-RPL01-CA</t>
  </si>
  <si>
    <t>Microsoft Certificate Authority Name</t>
  </si>
  <si>
    <t>SFTP server for NSX-T Data Center Backups</t>
  </si>
  <si>
    <t>SMTP Server</t>
  </si>
  <si>
    <t>smtp.rainpole.io</t>
  </si>
  <si>
    <t>SMTP Server for Email Notifications</t>
  </si>
  <si>
    <t>SMTP Server Port</t>
  </si>
  <si>
    <t>SMTP Server Port for Email Notifications</t>
  </si>
  <si>
    <t>Management Domain Virtual Infrastructure Naming and IP Addresses (Primary Availability Zone)</t>
  </si>
  <si>
    <t>Hostnames</t>
  </si>
  <si>
    <t>Reference Hostname</t>
  </si>
  <si>
    <t>Your Hostname</t>
  </si>
  <si>
    <t>Reference IP Address</t>
  </si>
  <si>
    <t>Your IP Address</t>
  </si>
  <si>
    <t>Cloud Builder</t>
  </si>
  <si>
    <t>Child</t>
  </si>
  <si>
    <t>Automation appliance for deployment and configuration of SDDC components</t>
  </si>
  <si>
    <t xml:space="preserve">SDDC Manager Appliance </t>
  </si>
  <si>
    <t>vCenter Server</t>
  </si>
  <si>
    <t>Management vCenter Server</t>
  </si>
  <si>
    <t>ESXi</t>
  </si>
  <si>
    <t>Management IP (ESXi Host 1)</t>
  </si>
  <si>
    <t>vSphere Replication IP (ESXi Host 1)</t>
  </si>
  <si>
    <t>Management IP (ESXi Host 2)</t>
  </si>
  <si>
    <t>vSphere Replication IP (ESXi Host 2)</t>
  </si>
  <si>
    <t>Management IP (ESXi Host 3)</t>
  </si>
  <si>
    <t>vSphere Replication IP (ESXi Host 3)</t>
  </si>
  <si>
    <t>Management IP (ESXi Host 4)</t>
  </si>
  <si>
    <t>vSphere Replication IP (ESXi Host 4)</t>
  </si>
  <si>
    <t>NSX-T Data Center</t>
  </si>
  <si>
    <t>NSX Manager / Local Manager VIP</t>
  </si>
  <si>
    <t>NSX Manager / Local Manager Node A</t>
  </si>
  <si>
    <t>NSX Manager / Local Manager Node B</t>
  </si>
  <si>
    <t>NSX Manager / Local Manager Node C</t>
  </si>
  <si>
    <t>NSX Global Manager VIP</t>
  </si>
  <si>
    <t>NSX Global Manager Node A</t>
  </si>
  <si>
    <t>NSX Global Manager Node B</t>
  </si>
  <si>
    <t>NSX Global Manager Node C</t>
  </si>
  <si>
    <t>Edge Node 1</t>
  </si>
  <si>
    <t>Uplink 1 IP Address for Edge Node 1</t>
  </si>
  <si>
    <t>Uplink 2 IP Address for Edge Node 1</t>
  </si>
  <si>
    <t>Overlay IP Address #01 for Edge Node 1</t>
  </si>
  <si>
    <t>Overlay IP Address #02  for Edge Node 1</t>
  </si>
  <si>
    <t>Edge Node 2</t>
  </si>
  <si>
    <t>Uplink 1 IP Address for Edge Node 2</t>
  </si>
  <si>
    <t>Uplink 2 IP Address for Edge Node 2</t>
  </si>
  <si>
    <t>Overlay IP Address #01 for Edge Node 2</t>
  </si>
  <si>
    <t xml:space="preserve">Overlay IP Address #02 for Edge Node 2 </t>
  </si>
  <si>
    <t>Network Pool Ranges</t>
  </si>
  <si>
    <t>Use</t>
  </si>
  <si>
    <t>Rainpole IP</t>
  </si>
  <si>
    <t>vMotion Pool: Start IP</t>
  </si>
  <si>
    <t>Start IP of the vMotion Network Pool Range</t>
  </si>
  <si>
    <t>vMotion Pool: End IP</t>
  </si>
  <si>
    <t>End IP of the vMotion Network Pool Range</t>
  </si>
  <si>
    <t>vSAN Pool: Start IP</t>
  </si>
  <si>
    <t>Start IP of the vSAN Network Pool Range</t>
  </si>
  <si>
    <t>vSAN Pool: End IP</t>
  </si>
  <si>
    <t>Host Overlay Pool: Start IP</t>
  </si>
  <si>
    <t>Start IP of the Host Overlay Network Pool Range</t>
  </si>
  <si>
    <t>Host Overlay Pool: End IP</t>
  </si>
  <si>
    <t>End IP of the Host Overlay Network Pool Range</t>
  </si>
  <si>
    <t>RTEP Overlay Pool: Start IP</t>
  </si>
  <si>
    <t>Start IP of the RTEP Overlay IP Pool Range. Note if including Secondary Availability Zone, this should include enough addresses for all hosts.</t>
  </si>
  <si>
    <t>RTEP Overlay Pool: End IP</t>
  </si>
  <si>
    <t>End IP of the RTEP Overlay IP Pool Range. Note if including Secondary Availability Zone, this should include enough addresses for all hosts.</t>
  </si>
  <si>
    <t>Management Domain Virtual Infrastructure Naming and IP Addresses (vSAN Witness Zone)</t>
  </si>
  <si>
    <t>vCenter Server outside of AZ1 and AZ2 to host the vSAN Witness</t>
  </si>
  <si>
    <t>vSAN Witness</t>
  </si>
  <si>
    <t>vSAN Witness management IP</t>
  </si>
  <si>
    <t>Workload Domain Virtual Infrastructure Naming and IP Addressing (Primary Availability Zone)</t>
  </si>
  <si>
    <t>Workload Domain vCenter Server</t>
  </si>
  <si>
    <t>Secondary Storage Network Pool (NFS): Start IP</t>
  </si>
  <si>
    <t>Start IP of the Secondary Storage NFS Pool Range</t>
  </si>
  <si>
    <t>Secondary Storage Network Pool (NFS): End IP</t>
  </si>
  <si>
    <t>End IP of the Secondary Storage NFS Pool Range</t>
  </si>
  <si>
    <t>Start IP of the vMotion Network Range</t>
  </si>
  <si>
    <t>End IP of the vMotion Network Range</t>
  </si>
  <si>
    <t>Workload Domain Virtual Infrastructure Naming and IP Addresses (vSAN Witness Zone)</t>
  </si>
  <si>
    <t>Load Balancer</t>
  </si>
  <si>
    <t>Rainpole Object Name</t>
  </si>
  <si>
    <t>Actual Object Name</t>
  </si>
  <si>
    <t>NSX Service Interface on Standalone T1 (LB)</t>
  </si>
  <si>
    <t>Parent</t>
  </si>
  <si>
    <t xml:space="preserve">VCF Aware Workspace ONE Access </t>
  </si>
  <si>
    <t>Primary node of the cross-instance Workspace ONE Access cluster</t>
  </si>
  <si>
    <t>Secondary node 1 of the cross-instance Workspace ONE Access cluster</t>
  </si>
  <si>
    <t>Secondary node 2 of the cross-instance Workspace ONE Access cluster</t>
  </si>
  <si>
    <t>Postgres Database IP of the cross-instance Workspace ONE Access cluster</t>
  </si>
  <si>
    <t>Identity and Access Management</t>
  </si>
  <si>
    <t>Intelligent Logging and Analytics</t>
  </si>
  <si>
    <t>Kubernetes Management Segment Start IP</t>
  </si>
  <si>
    <t>Start IP of the Kubernetes Management Segment configured during Supervisor Cluster deployment</t>
  </si>
  <si>
    <t xml:space="preserve">Kubernetes API Endpoint </t>
  </si>
  <si>
    <t>Customer should populate this value, but it will always be the first available IP address in the load balancer subnet, e.g., 192.168.21.1</t>
  </si>
  <si>
    <t>Site Protection and Disaster Recovery</t>
  </si>
  <si>
    <t>Management Interface for vSphere Replication in Management Domain</t>
  </si>
  <si>
    <t>Incoming Storage Traffic Interface for vSphere Replication in Management Domain</t>
  </si>
  <si>
    <t>Site Recovery Manager</t>
  </si>
  <si>
    <t>Management Interface for Site Recovery Manager in Management Domain</t>
  </si>
  <si>
    <t>Recovery NSX Tier-1 Service Interface</t>
  </si>
  <si>
    <t>Management Interface for vSphere Replication in VI Workload Domain</t>
  </si>
  <si>
    <t>Incoming Storage Traffic Interface for vSphere Replication in VI Workload Domain</t>
  </si>
  <si>
    <t>Management Interface for Site Recovery Manager in VI Workload Domain</t>
  </si>
  <si>
    <t>Cloud Proxy</t>
  </si>
  <si>
    <t>HCX Appliance</t>
  </si>
  <si>
    <t>DRaaS Connector Appliance</t>
  </si>
  <si>
    <t>Chid</t>
  </si>
  <si>
    <t>HCX Network Profiles</t>
  </si>
  <si>
    <t>Reference IP Range</t>
  </si>
  <si>
    <t>Your IP Range</t>
  </si>
  <si>
    <t>Management</t>
  </si>
  <si>
    <t>vMotion</t>
  </si>
  <si>
    <t>Host Virtual Machine</t>
  </si>
  <si>
    <t xml:space="preserve">To be completed by a member of the Customer Virtual Infrastructure Team. Inputs are enabled by choices made on Deployment Options Tab and values will be presented in relevant sections of Workflow Execution Tabs								</t>
  </si>
  <si>
    <t>Cloud Builder Inputs</t>
  </si>
  <si>
    <t>Name</t>
  </si>
  <si>
    <t>Infrastructure Host FQDN</t>
  </si>
  <si>
    <t>infra-esx01.rainpole.io</t>
  </si>
  <si>
    <t>Target host for Cloud Builder Deployment. May also be a vCenter server.</t>
  </si>
  <si>
    <t>Infrastructure Datatastore Name</t>
  </si>
  <si>
    <t>infra-vmfs01</t>
  </si>
  <si>
    <t>Target datastore for Cloud Builder Deployment</t>
  </si>
  <si>
    <t>Infrastructure Network Portgroup Name</t>
  </si>
  <si>
    <t>infra-portgroup01</t>
  </si>
  <si>
    <t>Target network portgroup for Cloud Builder Deployment</t>
  </si>
  <si>
    <t>Username (admin)</t>
  </si>
  <si>
    <t>admin</t>
  </si>
  <si>
    <t>Password (admin)</t>
  </si>
  <si>
    <t>Password (root)</t>
  </si>
  <si>
    <t>Common Licenses</t>
  </si>
  <si>
    <t>vCenter Server Standard</t>
  </si>
  <si>
    <r>
      <t>ESXi Enterprise Plus</t>
    </r>
    <r>
      <rPr>
        <sz val="12"/>
        <color theme="1"/>
        <rFont val="Helvetica"/>
        <family val="2"/>
      </rPr>
      <t xml:space="preserve"> </t>
    </r>
    <r>
      <rPr>
        <i/>
        <sz val="12"/>
        <color theme="1"/>
        <rFont val="Helvetica"/>
        <family val="2"/>
      </rPr>
      <t>(Management and Workload)</t>
    </r>
  </si>
  <si>
    <t>vSAN Advanced or Higher</t>
  </si>
  <si>
    <t>Tanzu Edition</t>
  </si>
  <si>
    <t>Virtual Infrastructure Credentials</t>
  </si>
  <si>
    <r>
      <t xml:space="preserve">Password </t>
    </r>
    <r>
      <rPr>
        <i/>
        <sz val="12"/>
        <color theme="1"/>
        <rFont val="Helvetica"/>
        <family val="2"/>
      </rPr>
      <t>(root)</t>
    </r>
  </si>
  <si>
    <r>
      <t xml:space="preserve">Password </t>
    </r>
    <r>
      <rPr>
        <i/>
        <sz val="12"/>
        <color rgb="FF000000"/>
        <rFont val="Helvetica"/>
        <family val="2"/>
      </rPr>
      <t>(administrator@vsphere.local)</t>
    </r>
  </si>
  <si>
    <r>
      <t xml:space="preserve">Password </t>
    </r>
    <r>
      <rPr>
        <i/>
        <sz val="12"/>
        <color rgb="FF000000"/>
        <rFont val="Helvetica"/>
        <family val="2"/>
      </rPr>
      <t>(root)</t>
    </r>
  </si>
  <si>
    <r>
      <t xml:space="preserve">Password </t>
    </r>
    <r>
      <rPr>
        <i/>
        <sz val="12"/>
        <color rgb="FF000000"/>
        <rFont val="Helvetica"/>
        <family val="2"/>
      </rPr>
      <t>(root for Local Managers)</t>
    </r>
  </si>
  <si>
    <r>
      <t xml:space="preserve">Password </t>
    </r>
    <r>
      <rPr>
        <i/>
        <sz val="12"/>
        <color rgb="FF000000"/>
        <rFont val="Helvetica"/>
        <family val="2"/>
      </rPr>
      <t>(admin for Local Managers)</t>
    </r>
  </si>
  <si>
    <r>
      <t xml:space="preserve">Password </t>
    </r>
    <r>
      <rPr>
        <i/>
        <sz val="12"/>
        <color rgb="FF000000"/>
        <rFont val="Helvetica"/>
        <family val="2"/>
      </rPr>
      <t>(audit for Local Managers)</t>
    </r>
  </si>
  <si>
    <r>
      <t xml:space="preserve">Password </t>
    </r>
    <r>
      <rPr>
        <i/>
        <sz val="12"/>
        <color rgb="FF000000"/>
        <rFont val="Helvetica"/>
        <family val="2"/>
      </rPr>
      <t>(root for Edge Nodes)</t>
    </r>
  </si>
  <si>
    <r>
      <t xml:space="preserve">Password </t>
    </r>
    <r>
      <rPr>
        <i/>
        <sz val="12"/>
        <color rgb="FF000000"/>
        <rFont val="Helvetica"/>
        <family val="2"/>
      </rPr>
      <t>(admin for Edge Nodes)</t>
    </r>
  </si>
  <si>
    <r>
      <t xml:space="preserve">Password </t>
    </r>
    <r>
      <rPr>
        <i/>
        <sz val="12"/>
        <color rgb="FF000000"/>
        <rFont val="Helvetica"/>
        <family val="2"/>
      </rPr>
      <t>(audit for Edge Nodes)</t>
    </r>
  </si>
  <si>
    <r>
      <t xml:space="preserve">Password </t>
    </r>
    <r>
      <rPr>
        <i/>
        <sz val="12"/>
        <color rgb="FF000000"/>
        <rFont val="Helvetica"/>
        <family val="2"/>
      </rPr>
      <t>(root for Global Managers)</t>
    </r>
  </si>
  <si>
    <r>
      <t xml:space="preserve">Password </t>
    </r>
    <r>
      <rPr>
        <i/>
        <sz val="12"/>
        <color rgb="FF000000"/>
        <rFont val="Helvetica"/>
        <family val="2"/>
      </rPr>
      <t>(admin for Global Managers)</t>
    </r>
  </si>
  <si>
    <r>
      <t xml:space="preserve">Password </t>
    </r>
    <r>
      <rPr>
        <i/>
        <sz val="12"/>
        <color rgb="FF000000"/>
        <rFont val="Helvetica"/>
        <family val="2"/>
      </rPr>
      <t>(audit for Global Managers)</t>
    </r>
  </si>
  <si>
    <r>
      <t xml:space="preserve">Password </t>
    </r>
    <r>
      <rPr>
        <i/>
        <sz val="12"/>
        <color rgb="FF000000"/>
        <rFont val="Helvetica"/>
        <family val="2"/>
      </rPr>
      <t>(vcf)</t>
    </r>
  </si>
  <si>
    <r>
      <t xml:space="preserve">Password </t>
    </r>
    <r>
      <rPr>
        <i/>
        <sz val="12"/>
        <color rgb="FF000000"/>
        <rFont val="Helvetica"/>
        <family val="2"/>
      </rPr>
      <t>(admin@local)</t>
    </r>
  </si>
  <si>
    <t>svc-my-vmware</t>
  </si>
  <si>
    <r>
      <t xml:space="preserve">Username </t>
    </r>
    <r>
      <rPr>
        <i/>
        <sz val="12"/>
        <color theme="1"/>
        <rFont val="Helvetica"/>
        <family val="2"/>
      </rPr>
      <t>(SFTP Backup User)</t>
    </r>
  </si>
  <si>
    <t>svc-vcf-bck</t>
  </si>
  <si>
    <r>
      <t xml:space="preserve">Password </t>
    </r>
    <r>
      <rPr>
        <i/>
        <sz val="12"/>
        <color rgb="FF000000"/>
        <rFont val="Helvetica"/>
        <family val="2"/>
      </rPr>
      <t>(SFTP Backup User)</t>
    </r>
  </si>
  <si>
    <r>
      <t xml:space="preserve">Username </t>
    </r>
    <r>
      <rPr>
        <i/>
        <sz val="12"/>
        <color theme="1"/>
        <rFont val="Helvetica"/>
        <family val="2"/>
      </rPr>
      <t>(Cerfiticate Authority Administrator)</t>
    </r>
  </si>
  <si>
    <t>Administrator</t>
  </si>
  <si>
    <r>
      <t xml:space="preserve">Password </t>
    </r>
    <r>
      <rPr>
        <i/>
        <sz val="12"/>
        <color rgb="FF000000"/>
        <rFont val="Helvetica"/>
        <family val="2"/>
      </rPr>
      <t>(Cerfiticate Authority Administrator)</t>
    </r>
  </si>
  <si>
    <r>
      <t>Username</t>
    </r>
    <r>
      <rPr>
        <i/>
        <sz val="12"/>
        <color theme="1"/>
        <rFont val="Helvetica"/>
        <family val="2"/>
      </rPr>
      <t xml:space="preserve"> (User for sending mail notifications)</t>
    </r>
  </si>
  <si>
    <r>
      <t xml:space="preserve">Password </t>
    </r>
    <r>
      <rPr>
        <i/>
        <sz val="12"/>
        <color rgb="FF000000"/>
        <rFont val="Helvetica"/>
        <family val="2"/>
      </rPr>
      <t>(User for sending mail notifications)</t>
    </r>
  </si>
  <si>
    <r>
      <t xml:space="preserve">Password </t>
    </r>
    <r>
      <rPr>
        <i/>
        <sz val="12"/>
        <color rgb="FF000000"/>
        <rFont val="Helvetica"/>
        <family val="2"/>
      </rPr>
      <t>(root for management domain witness)</t>
    </r>
  </si>
  <si>
    <r>
      <t xml:space="preserve">Password </t>
    </r>
    <r>
      <rPr>
        <i/>
        <sz val="12"/>
        <color rgb="FF000000"/>
        <rFont val="Helvetica"/>
        <family val="2"/>
      </rPr>
      <t>(root for workload domain witness)</t>
    </r>
  </si>
  <si>
    <t>Management Domain Virtual Infrastructure Inputs (Primary Availability Zone)</t>
  </si>
  <si>
    <t>Network Pool Name</t>
  </si>
  <si>
    <t>Cloud Foundation Management Domain Name</t>
  </si>
  <si>
    <t>Certificate Authority Model</t>
  </si>
  <si>
    <t>Microsoft CA Username</t>
  </si>
  <si>
    <t>svc-vcf-ca</t>
  </si>
  <si>
    <t>General</t>
  </si>
  <si>
    <t>Enable CEIP</t>
  </si>
  <si>
    <t>Yes</t>
  </si>
  <si>
    <t>Enable FIPS</t>
  </si>
  <si>
    <t>No</t>
  </si>
  <si>
    <t>Networking</t>
  </si>
  <si>
    <t>Primary vSphere Distributed Switch: Name</t>
  </si>
  <si>
    <t>Primary vSphere Distributed Switch: pNICS</t>
  </si>
  <si>
    <t>vmnic0,vmnic1</t>
  </si>
  <si>
    <t>Primary vSphere Distributed Switch: MTU</t>
  </si>
  <si>
    <t>9000</t>
  </si>
  <si>
    <t>Secondary vSphere Distributed Switch: Name (optional)</t>
  </si>
  <si>
    <t>Secondary vSphere Distributed Switch: pNICS (optional)</t>
  </si>
  <si>
    <t>vmnic2,vmnic3</t>
  </si>
  <si>
    <t>Secondary vSphere Distributed Switch: MTU (optional)</t>
  </si>
  <si>
    <t>vSphere Distributed Switch Profile</t>
  </si>
  <si>
    <t>Profile-1</t>
  </si>
  <si>
    <t>vMotion Network Portgroup</t>
  </si>
  <si>
    <t>vSAN Network Portgroup</t>
  </si>
  <si>
    <t>Host Overlay Network Pool Description</t>
  </si>
  <si>
    <t>ESXi Host Overlay TEP IP Pool</t>
  </si>
  <si>
    <t>Host Overlay Network Pool Name</t>
  </si>
  <si>
    <t>NSX Edge Uplink 1 Portgroup</t>
  </si>
  <si>
    <t>NSX Edge Uplink 2 Portgroup</t>
  </si>
  <si>
    <t>NSX Edge Cluster Name</t>
  </si>
  <si>
    <t>NSX Edge Cluster Profile Type</t>
  </si>
  <si>
    <t>NSX Local Instance Virtual Network Segment Name</t>
  </si>
  <si>
    <t>NSX Cross Instance Virtual Network Segment Name</t>
  </si>
  <si>
    <t>NSX Tier-0 Gateway Name</t>
  </si>
  <si>
    <t>NSX Tier-1 Gateway Name</t>
  </si>
  <si>
    <t>NSX RTEP IP Pool Name</t>
  </si>
  <si>
    <t>NSX Local Manager Virtual Server Fingerprint</t>
  </si>
  <si>
    <t>05:CC:8C:D4:AF:B3:22:E1:C5:27:70:24:F5:2A:3B:F9:F3:98:4A:8D:7D:8C:37:F2:4F:EE:8D:78:CB:9E:43:FD</t>
  </si>
  <si>
    <t>Leave blank initially. Retrieved after management domain bringup.</t>
  </si>
  <si>
    <t>NSX Global Manager Cluster ID</t>
  </si>
  <si>
    <t>ca3bd7dc-aa06-4f2d-a9e1-0c4999354c9b</t>
  </si>
  <si>
    <t>Leave blank initially. Retrieved after deployment of first global manager.</t>
  </si>
  <si>
    <t>NSX Global Manager API Certificate Thumbprint</t>
  </si>
  <si>
    <t>c7a6264cd8f74033e851944a205110afdeb046386af42ce47240939c417acb93</t>
  </si>
  <si>
    <t>NSX Global Manager Anti-Affinity Rule Name</t>
  </si>
  <si>
    <t>NSX Global Manager Signed Certificate ID</t>
  </si>
  <si>
    <t>a900065b-aeb5-457e-aca6-4612b17d06d9</t>
  </si>
  <si>
    <t>Leave blank initially. Retrieved during certifcate installation process.</t>
  </si>
  <si>
    <t>NSX Federation Global Manager Name</t>
  </si>
  <si>
    <t>NSX Federation Location Name</t>
  </si>
  <si>
    <t>NSX Cross Instance T1 Gateway Name</t>
  </si>
  <si>
    <t>NSX Global Manager Virtual Server Fingerprint</t>
  </si>
  <si>
    <t>C7:A6:26:4C:D8:F7:40:33:E8:51:94:4A:20:51:10:AF:DE:B0:46:38:6A:F4:2C:E4:72:40:93:9C:41:7A:CB:93</t>
  </si>
  <si>
    <t>Leave blank initially. Retrieved after active global manager deployment.</t>
  </si>
  <si>
    <t>Existing: NSX Active Global Manager Virtual Server Name</t>
  </si>
  <si>
    <t>Needed for reference when adding additional instances to Federation</t>
  </si>
  <si>
    <t>Existing: NSX Cross-Instance T0 Name</t>
  </si>
  <si>
    <t>Datastore</t>
  </si>
  <si>
    <t>vSAN Datastore Name</t>
  </si>
  <si>
    <t>Enable vSAN Deduplication and Compression</t>
  </si>
  <si>
    <t>Datacenter</t>
  </si>
  <si>
    <t>Datacenter Name</t>
  </si>
  <si>
    <t>Cluster</t>
  </si>
  <si>
    <t>Management Cluster Name</t>
  </si>
  <si>
    <t>EVC Setting</t>
  </si>
  <si>
    <t>vSphere Resource Pools</t>
  </si>
  <si>
    <t>Resource Pool SDDC Management</t>
  </si>
  <si>
    <t>Resource Pool SDDC Edge</t>
  </si>
  <si>
    <t>Resource Pool User Edge</t>
  </si>
  <si>
    <t>Resource Pool User VM</t>
  </si>
  <si>
    <t>Virtual Machine Groups</t>
  </si>
  <si>
    <t>Primary Availability Zone Virtual Machine Group</t>
  </si>
  <si>
    <t>Thumbprint Validation</t>
  </si>
  <si>
    <t>Host 1 SSH RSA Key Fingerprints (SHA256)</t>
  </si>
  <si>
    <t>SHA256:RBA2O5XImupEfJSaoBcYYzc0aR9gWjlkY8VqptIub9w</t>
  </si>
  <si>
    <t>Host 1 SSL Thumbprints (SHA1)</t>
  </si>
  <si>
    <t>Host 2 SSH RSA Key Fingerprints (SHA256)</t>
  </si>
  <si>
    <t>SHA256:gC6mtEWkCIcYH/AvrP68XTOkynMFVqgN3OsI292dnWE</t>
  </si>
  <si>
    <t>Host 2 SSL Thumbprints (SHA1)</t>
  </si>
  <si>
    <t>Host 3 SSH RSA Key Fingerprints (SHA256)</t>
  </si>
  <si>
    <t>SHA256:8XZOzXNJrTFV1pAsWcran3EXpvRmA8NbWBZ8UyCII0Q</t>
  </si>
  <si>
    <t>Host 3 SSL Thumbprints (SHA1)</t>
  </si>
  <si>
    <t>Host 4 SSH RSA Key Fingerprints (SHA256)</t>
  </si>
  <si>
    <t>SHA256:OIPBfY9cc1huP0VLY8zNJLBcAM3UPmDBbzMVZvjmnLo</t>
  </si>
  <si>
    <t>Host 4 SSL Thumbprints (SHA1)</t>
  </si>
  <si>
    <t>Template Name</t>
  </si>
  <si>
    <t>VMware</t>
  </si>
  <si>
    <t>Country</t>
  </si>
  <si>
    <t>US</t>
  </si>
  <si>
    <t>Algorithm</t>
  </si>
  <si>
    <t>RSA</t>
  </si>
  <si>
    <t>Key Size</t>
  </si>
  <si>
    <t>Email</t>
  </si>
  <si>
    <t>administrator@rainpole.io</t>
  </si>
  <si>
    <t>Locality</t>
  </si>
  <si>
    <t>San Francisco</t>
  </si>
  <si>
    <t>Organization</t>
  </si>
  <si>
    <t>Organization Unit</t>
  </si>
  <si>
    <t>IT</t>
  </si>
  <si>
    <t>State</t>
  </si>
  <si>
    <t>CA</t>
  </si>
  <si>
    <t>SFTP Server Settings</t>
  </si>
  <si>
    <t>Port</t>
  </si>
  <si>
    <t>Protocol</t>
  </si>
  <si>
    <t>SFTP</t>
  </si>
  <si>
    <t>Backup Directory</t>
  </si>
  <si>
    <t>/backups/</t>
  </si>
  <si>
    <t>SSH FingerPrint</t>
  </si>
  <si>
    <t>SHA256:JYFI4GSJS3V9BpPzHMX8NDpo3R0sAJvM5QpB0cWs61Y</t>
  </si>
  <si>
    <t>Encryption Passphrase</t>
  </si>
  <si>
    <t>Management Domain Virtual Infrastructure Inputs (Secondary Availability Zone)</t>
  </si>
  <si>
    <t>ESXi Node 1 SDDC ID</t>
  </si>
  <si>
    <t>64d34a69-104d-443e-bd92-d949e278da83</t>
  </si>
  <si>
    <t>Available after host is comissioned in SDDC Manager</t>
  </si>
  <si>
    <t>ESXi Node 2 SDDC ID</t>
  </si>
  <si>
    <t>61ae8e47-7dee-420b-83b2-b4136af0aef6</t>
  </si>
  <si>
    <t>ESXi Node 3 SDDC ID</t>
  </si>
  <si>
    <t>785d7869-018a-4185-b08e-f168236adc11</t>
  </si>
  <si>
    <t>ESXi Node 4 SDDC ID</t>
  </si>
  <si>
    <t>eafaa6a2-a673-4dee-9cd8-8d1f4d33065d</t>
  </si>
  <si>
    <t>Management Cluster SDDC ID</t>
  </si>
  <si>
    <t>b39f8008-6db0-4f13-82de-c46ccfd03c49</t>
  </si>
  <si>
    <t>Available after Management Domain deplyoment</t>
  </si>
  <si>
    <t>Management Domain Virtual Infrastructure Inputs (vSAN Witness Zone)</t>
  </si>
  <si>
    <t>Domain Name</t>
  </si>
  <si>
    <t>Cluster Name</t>
  </si>
  <si>
    <t>Workload Domain Virtual Infrastructure Inputs (Primary Availability Zone)</t>
  </si>
  <si>
    <t>vCenter for vSphere Lifecycle Manager Image Creation</t>
  </si>
  <si>
    <t>ClusterForImage</t>
  </si>
  <si>
    <t>Cluster (ID)</t>
  </si>
  <si>
    <t>domain-c02</t>
  </si>
  <si>
    <t>Cluster Image Name</t>
  </si>
  <si>
    <t>Virtual Infrastructure Name</t>
  </si>
  <si>
    <t>Organization Name</t>
  </si>
  <si>
    <t>SSO Domain Name</t>
  </si>
  <si>
    <t>SSO Administration Password</t>
  </si>
  <si>
    <t>Workload Cluster SDDC ID</t>
  </si>
  <si>
    <t>Available after Workload Domain deplyoment in SDDC Manager</t>
  </si>
  <si>
    <t>Constucted from other Inputs</t>
  </si>
  <si>
    <t>Workload Cluster Name</t>
  </si>
  <si>
    <t>vSphere Distributed Switch Name</t>
  </si>
  <si>
    <t>NSX Edge Cluster Profile Name</t>
  </si>
  <si>
    <t>NSX Edge Node Appliance Size (Default Large)</t>
  </si>
  <si>
    <t>Retrieved after management domain bringup</t>
  </si>
  <si>
    <t>da3bd7dc-aa06-4f2d-a9e1-0c4999354c9b</t>
  </si>
  <si>
    <t>d7a6264cd8f74033e851944a205110afdeb046386af42ce47240939c417acb93</t>
  </si>
  <si>
    <t>NSX Global Manager Certificate ID</t>
  </si>
  <si>
    <t>b900065b-aeb5-457e-aca6-4612b17d06d9</t>
  </si>
  <si>
    <t>Retrieved after certifcate installation on first global manager node</t>
  </si>
  <si>
    <t>D7:A6:26:4C:D8:F7:40:33:E8:51:94:4A:20:51:10:AF:DE:B0:46:38:6A:F4:2C:E4:72:40:93:9C:41:7A:CB:93</t>
  </si>
  <si>
    <t>Storage</t>
  </si>
  <si>
    <t>vSAN: Datastore Name</t>
  </si>
  <si>
    <t>vSAN: Failures to Tolerate (FTT)</t>
  </si>
  <si>
    <t>vSAN: Deduplication and Compression</t>
  </si>
  <si>
    <t>Configured</t>
  </si>
  <si>
    <t>VMFS on FC: Datastore Name</t>
  </si>
  <si>
    <t>vVOLS: Datastore Name</t>
  </si>
  <si>
    <t>vVOLS: VASA Provider Name</t>
  </si>
  <si>
    <t>Name to give to VASA Provider in SDDC Manager</t>
  </si>
  <si>
    <t>vVOLS: VASA Provider URL</t>
  </si>
  <si>
    <t>vVOLS: VASA Provider User Name</t>
  </si>
  <si>
    <t>storage-admin</t>
  </si>
  <si>
    <t>vVOLS: VASA Provider Password</t>
  </si>
  <si>
    <t>vVOLS: VASA Provider Container Name</t>
  </si>
  <si>
    <t>NFS: Datastore Name</t>
  </si>
  <si>
    <t>NFS: Share Path</t>
  </si>
  <si>
    <t>NFS: Address of NFS Server</t>
  </si>
  <si>
    <t>Kubernetes</t>
  </si>
  <si>
    <t>Supervisor Namespace</t>
  </si>
  <si>
    <t>Kubernetes Cluster Name</t>
  </si>
  <si>
    <t>Resource Pool for vRA Deployed Workload VMs</t>
  </si>
  <si>
    <t>Workload Domain Virtual Infrastructure Inputs (Secondary Availability Zone)</t>
  </si>
  <si>
    <t>Workload Domain Virtual Infrastructure Inputs (Witness Zone)</t>
  </si>
  <si>
    <r>
      <t xml:space="preserve">Password </t>
    </r>
    <r>
      <rPr>
        <i/>
        <sz val="12"/>
        <color rgb="FF000000"/>
        <rFont val="Helvetica"/>
        <family val="2"/>
      </rPr>
      <t>(vcfadmin@local)</t>
    </r>
  </si>
  <si>
    <r>
      <t>Password</t>
    </r>
    <r>
      <rPr>
        <i/>
        <sz val="12"/>
        <color rgb="FF000000"/>
        <rFont val="Helvetica"/>
        <family val="2"/>
      </rPr>
      <t xml:space="preserve"> (root)</t>
    </r>
  </si>
  <si>
    <r>
      <t xml:space="preserve">Datacenter Name </t>
    </r>
    <r>
      <rPr>
        <i/>
        <sz val="12"/>
        <color theme="1"/>
        <rFont val="Helvetica"/>
        <family val="2"/>
      </rPr>
      <t>(Local Instance)</t>
    </r>
  </si>
  <si>
    <r>
      <t>Environment Name</t>
    </r>
    <r>
      <rPr>
        <i/>
        <sz val="12"/>
        <color theme="1"/>
        <rFont val="Helvetica"/>
        <family val="2"/>
      </rPr>
      <t xml:space="preserve"> (Cross Instance)</t>
    </r>
  </si>
  <si>
    <r>
      <t xml:space="preserve">Datacenter Name </t>
    </r>
    <r>
      <rPr>
        <i/>
        <sz val="12"/>
        <color theme="1"/>
        <rFont val="Helvetica"/>
        <family val="2"/>
      </rPr>
      <t>(Cross Instance)</t>
    </r>
  </si>
  <si>
    <r>
      <t xml:space="preserve">Datacenter Location </t>
    </r>
    <r>
      <rPr>
        <i/>
        <sz val="12"/>
        <color theme="1"/>
        <rFont val="Helvetica"/>
        <family val="2"/>
      </rPr>
      <t>(Cross Instance)</t>
    </r>
  </si>
  <si>
    <r>
      <t xml:space="preserve">Password Alias </t>
    </r>
    <r>
      <rPr>
        <i/>
        <sz val="12"/>
        <color theme="1"/>
        <rFont val="Helvetica"/>
        <family val="2"/>
      </rPr>
      <t>(Cross Instance Admin)</t>
    </r>
  </si>
  <si>
    <r>
      <t>Password</t>
    </r>
    <r>
      <rPr>
        <i/>
        <sz val="12"/>
        <color theme="1"/>
        <rFont val="Helvetica"/>
        <family val="2"/>
      </rPr>
      <t xml:space="preserve"> (Cross Instance Admin)</t>
    </r>
  </si>
  <si>
    <r>
      <t xml:space="preserve">User Name </t>
    </r>
    <r>
      <rPr>
        <i/>
        <sz val="12"/>
        <color theme="1"/>
        <rFont val="Helvetica"/>
        <family val="2"/>
      </rPr>
      <t>(Cross Instance Admin)</t>
    </r>
  </si>
  <si>
    <r>
      <t xml:space="preserve">Password </t>
    </r>
    <r>
      <rPr>
        <i/>
        <sz val="12"/>
        <color theme="1"/>
        <rFont val="Helvetica"/>
        <family val="2"/>
      </rPr>
      <t>(vRSLCM to vSphere User)</t>
    </r>
  </si>
  <si>
    <t>Existing: vRSLCM Instance used to deploy vROPS / vRA</t>
  </si>
  <si>
    <t>VCF Aware Workspace ONE Access Inputs</t>
  </si>
  <si>
    <t>VCF Aware Workspace ONE Access Certificate Name</t>
  </si>
  <si>
    <t>VCF Aware Workspace ONE Access VM Folder</t>
  </si>
  <si>
    <r>
      <t xml:space="preserve">Password alias </t>
    </r>
    <r>
      <rPr>
        <i/>
        <sz val="12"/>
        <color theme="1"/>
        <rFont val="Helvetica"/>
        <family val="2"/>
      </rPr>
      <t>(Global Environment Administrator)</t>
    </r>
  </si>
  <si>
    <t>global-env-admin</t>
  </si>
  <si>
    <r>
      <t xml:space="preserve">Password </t>
    </r>
    <r>
      <rPr>
        <i/>
        <sz val="12"/>
        <color theme="1"/>
        <rFont val="Helvetica"/>
        <family val="2"/>
      </rPr>
      <t>(Global Environment Administrator)</t>
    </r>
  </si>
  <si>
    <r>
      <t xml:space="preserve">User name </t>
    </r>
    <r>
      <rPr>
        <i/>
        <sz val="12"/>
        <color theme="1"/>
        <rFont val="Helvetica"/>
        <family val="2"/>
      </rPr>
      <t>(Global Environment Administrator)</t>
    </r>
  </si>
  <si>
    <r>
      <t xml:space="preserve">Password alias </t>
    </r>
    <r>
      <rPr>
        <i/>
        <sz val="12"/>
        <color theme="1"/>
        <rFont val="Helvetica"/>
        <family val="2"/>
      </rPr>
      <t>(Local Administrator)</t>
    </r>
  </si>
  <si>
    <r>
      <t xml:space="preserve">Password </t>
    </r>
    <r>
      <rPr>
        <sz val="12"/>
        <color theme="1"/>
        <rFont val="Helvetica"/>
        <family val="2"/>
      </rPr>
      <t>(Local Administrator)</t>
    </r>
  </si>
  <si>
    <r>
      <t xml:space="preserve">User name </t>
    </r>
    <r>
      <rPr>
        <sz val="12"/>
        <color theme="1"/>
        <rFont val="Helvetica"/>
        <family val="2"/>
      </rPr>
      <t>(Local Administrator)</t>
    </r>
  </si>
  <si>
    <r>
      <t xml:space="preserve">Password alias </t>
    </r>
    <r>
      <rPr>
        <i/>
        <sz val="12"/>
        <color theme="1"/>
        <rFont val="Helvetica"/>
        <family val="2"/>
      </rPr>
      <t>(Local Configuration Administrator)</t>
    </r>
  </si>
  <si>
    <r>
      <t xml:space="preserve">Password </t>
    </r>
    <r>
      <rPr>
        <i/>
        <sz val="12"/>
        <color theme="1"/>
        <rFont val="Helvetica"/>
        <family val="2"/>
      </rPr>
      <t>(Local Configuration Administrator)</t>
    </r>
  </si>
  <si>
    <r>
      <t xml:space="preserve">User name </t>
    </r>
    <r>
      <rPr>
        <i/>
        <sz val="12"/>
        <color theme="1"/>
        <rFont val="Helvetica"/>
        <family val="2"/>
      </rPr>
      <t>(Local Configuration Administrator)</t>
    </r>
  </si>
  <si>
    <t>configadmin</t>
  </si>
  <si>
    <r>
      <t xml:space="preserve">Password alias </t>
    </r>
    <r>
      <rPr>
        <i/>
        <sz val="12"/>
        <color theme="1"/>
        <rFont val="Helvetica"/>
        <family val="2"/>
      </rPr>
      <t>(Appliance Root User)</t>
    </r>
  </si>
  <si>
    <r>
      <t xml:space="preserve">Password </t>
    </r>
    <r>
      <rPr>
        <i/>
        <sz val="12"/>
        <color theme="1"/>
        <rFont val="Helvetica"/>
        <family val="2"/>
      </rPr>
      <t>(Appliance Root User)</t>
    </r>
  </si>
  <si>
    <r>
      <t xml:space="preserve">Email Address </t>
    </r>
    <r>
      <rPr>
        <i/>
        <sz val="12"/>
        <color theme="1"/>
        <rFont val="Helvetica"/>
        <family val="2"/>
      </rPr>
      <t>(Local Configuration Administrator)</t>
    </r>
  </si>
  <si>
    <t>configadmin@rainpole.io</t>
  </si>
  <si>
    <t>Identity and Access Management Inputs</t>
  </si>
  <si>
    <t>VM Folder</t>
  </si>
  <si>
    <t>Appliance Size</t>
  </si>
  <si>
    <t>UTC</t>
  </si>
  <si>
    <t>NSX to vSphere Integration Role Name</t>
  </si>
  <si>
    <t>NSX to vSphere Integration</t>
  </si>
  <si>
    <t>Developer Ready Infrastructure Inputs</t>
  </si>
  <si>
    <t>NSX Kubernetes Management Virtual Network Segment Name</t>
  </si>
  <si>
    <t>NSX Kubernetes IP Prefix List Name</t>
  </si>
  <si>
    <t>NSX Kubernetes IP Route Map Name</t>
  </si>
  <si>
    <t>vCenter Kubernetes Category Name</t>
  </si>
  <si>
    <t>vsphere-with-tanzu-category</t>
  </si>
  <si>
    <t>vCenter Kubernetes Tag Name</t>
  </si>
  <si>
    <t>vsphere-with-tanzu-tag</t>
  </si>
  <si>
    <t>vCenter Kubernetes Storage Policy Name</t>
  </si>
  <si>
    <t>vsphere-with-tanzu-storage-policy</t>
  </si>
  <si>
    <t>vCenter Kubernetes Content Library Name</t>
  </si>
  <si>
    <t>Path to kubectl</t>
  </si>
  <si>
    <t>c:\kube\bin\</t>
  </si>
  <si>
    <t>Initial Virtual Machine Class for Tanzu Kubernetes Cluster</t>
  </si>
  <si>
    <t>guaranteed-small</t>
  </si>
  <si>
    <t>Private Cloud Automation Inputs</t>
  </si>
  <si>
    <r>
      <t xml:space="preserve">Password Alias </t>
    </r>
    <r>
      <rPr>
        <i/>
        <sz val="12"/>
        <color theme="1"/>
        <rFont val="Helvetica"/>
        <family val="2"/>
      </rPr>
      <t>(root)</t>
    </r>
  </si>
  <si>
    <r>
      <t>Password</t>
    </r>
    <r>
      <rPr>
        <i/>
        <sz val="12"/>
        <color theme="1"/>
        <rFont val="Helvetica"/>
        <family val="2"/>
      </rPr>
      <t xml:space="preserve"> (root)</t>
    </r>
  </si>
  <si>
    <t>SDDC Manager Integration Name</t>
  </si>
  <si>
    <t>Workload Domain Cloud Account Name</t>
  </si>
  <si>
    <t>Storage Folder Requiring Reduced Access</t>
  </si>
  <si>
    <t>Read-Only Storage Folder Requiring Reduced Access</t>
  </si>
  <si>
    <t>Workload Domain Datacenter ID</t>
  </si>
  <si>
    <t>Datacenter:datacenter-3</t>
  </si>
  <si>
    <t>Needed for Terraform use. Available after VI Workload Domain deployment.</t>
  </si>
  <si>
    <t>private</t>
  </si>
  <si>
    <t>SMTP Notification Sender Name</t>
  </si>
  <si>
    <t>Rainpole Cloud</t>
  </si>
  <si>
    <t>SMTP Notification Sender Email Address</t>
  </si>
  <si>
    <t>Intelligent Logging and Analytics Inputs</t>
  </si>
  <si>
    <r>
      <t xml:space="preserve">Password Alias </t>
    </r>
    <r>
      <rPr>
        <i/>
        <sz val="12"/>
        <color theme="1"/>
        <rFont val="Helvetica"/>
        <family val="2"/>
      </rPr>
      <t>(admin)</t>
    </r>
  </si>
  <si>
    <r>
      <t xml:space="preserve">Password </t>
    </r>
    <r>
      <rPr>
        <i/>
        <sz val="12"/>
        <color theme="1"/>
        <rFont val="Helvetica"/>
        <family val="2"/>
      </rPr>
      <t>(admin)</t>
    </r>
  </si>
  <si>
    <t>Local Instance Environment Name</t>
  </si>
  <si>
    <t>Administrator Email Address</t>
  </si>
  <si>
    <t>Retention notification threshold</t>
  </si>
  <si>
    <t>Email Sender Address</t>
  </si>
  <si>
    <t>NFS Server</t>
  </si>
  <si>
    <t>Share Name</t>
  </si>
  <si>
    <t>Datastore Size</t>
  </si>
  <si>
    <t>400GB</t>
  </si>
  <si>
    <t>Log Retention Period</t>
  </si>
  <si>
    <t>Used for log-forwarding in Disaster Recovery Scenarios</t>
  </si>
  <si>
    <t>Intelligent Operations Management Inputs</t>
  </si>
  <si>
    <t>vSphere Custom Role Name</t>
  </si>
  <si>
    <t>NSX Principal Identity User - Management Domain</t>
  </si>
  <si>
    <t>NSX Principal Identity User - VI Workload Domain</t>
  </si>
  <si>
    <t>Currency</t>
  </si>
  <si>
    <t>SMTP Notification Receiver Email Address</t>
  </si>
  <si>
    <t>Notify Interval (mins)</t>
  </si>
  <si>
    <t>Max Notifications (number)</t>
  </si>
  <si>
    <t>Notification Delay (mins)</t>
  </si>
  <si>
    <t>Existing: Management vCenter hosting initial vROPS deployment</t>
  </si>
  <si>
    <t>Site Protection and Disaster Recovery Inputs (Common)</t>
  </si>
  <si>
    <t>Recovery Site Details</t>
  </si>
  <si>
    <t>Existing: Recovery Site SDDC Manager FQDN</t>
  </si>
  <si>
    <t>Existing: Recovery Site SDDC Manager User</t>
  </si>
  <si>
    <t>administrator@vsphere.local</t>
  </si>
  <si>
    <t>Existing: Recovery Site SDDC Manager Password</t>
  </si>
  <si>
    <t>Site Protection and Disaster Recovery Inputs (Management Domain)</t>
  </si>
  <si>
    <t>vSphere Replcation</t>
  </si>
  <si>
    <t>VM Folder Name</t>
  </si>
  <si>
    <t>Initial Root Password</t>
  </si>
  <si>
    <t>Initial Admin Password</t>
  </si>
  <si>
    <t>Site Name</t>
  </si>
  <si>
    <t>Portgroup Name</t>
  </si>
  <si>
    <t>P12 Cert File Password</t>
  </si>
  <si>
    <t>Initial Database Password</t>
  </si>
  <si>
    <t>Recovery Point Objective</t>
  </si>
  <si>
    <t>Instances per Day</t>
  </si>
  <si>
    <t>Days</t>
  </si>
  <si>
    <r>
      <t xml:space="preserve">Protection Group Name </t>
    </r>
    <r>
      <rPr>
        <i/>
        <sz val="12"/>
        <color theme="1"/>
        <rFont val="Helvetica"/>
        <family val="2"/>
      </rPr>
      <t>(vRSLCM &amp; Clustered WSA)</t>
    </r>
  </si>
  <si>
    <r>
      <t xml:space="preserve">Recovery Plan Name </t>
    </r>
    <r>
      <rPr>
        <i/>
        <sz val="12"/>
        <color theme="1"/>
        <rFont val="Helvetica"/>
        <family val="2"/>
      </rPr>
      <t>(vRSLCM &amp; Clustered WSA)</t>
    </r>
  </si>
  <si>
    <t>Intelligent Operations Management PG</t>
  </si>
  <si>
    <t>Intelligent Operations Management RP</t>
  </si>
  <si>
    <t>Private Cloud Automation PG</t>
  </si>
  <si>
    <t>Private Cloud Automation RP</t>
  </si>
  <si>
    <t>PowerShell</t>
  </si>
  <si>
    <t>PowerShell recommended to avoid lengthy and error prone UI configuration</t>
  </si>
  <si>
    <t>Existing: Recovery Site vCenter FQDN</t>
  </si>
  <si>
    <t>Existing: Recovery Site vCenter Username</t>
  </si>
  <si>
    <t>Existing: Recovery Site vCenter Password</t>
  </si>
  <si>
    <t>Existing: Recovery Site SDDC Manager Domain</t>
  </si>
  <si>
    <t>Existing: Recovery Site NSX Location Name</t>
  </si>
  <si>
    <t>Existing: Recovery Site NSX Edge Cluster Name</t>
  </si>
  <si>
    <t>Existing: Recovery Site vSphere Cluster Name</t>
  </si>
  <si>
    <t>Existing: Recovery Site Target Datastore</t>
  </si>
  <si>
    <t>Existing: Target vSphere Replication Network CIDR</t>
  </si>
  <si>
    <t>Existing: Recovery Site SSO Model</t>
  </si>
  <si>
    <t>Same SSO Domain</t>
  </si>
  <si>
    <t>Site Protection and Disaster Recovery Inputs (Workload Domain)</t>
  </si>
  <si>
    <t>VM Group Name</t>
  </si>
  <si>
    <t>Sender Email Address</t>
  </si>
  <si>
    <t>Sender Name</t>
  </si>
  <si>
    <t>Receiver Email Address</t>
  </si>
  <si>
    <t>Data Collector Folder</t>
  </si>
  <si>
    <r>
      <t xml:space="preserve">vSphere Custom Role name </t>
    </r>
    <r>
      <rPr>
        <i/>
        <sz val="12"/>
        <color theme="1"/>
        <rFont val="Helvetica"/>
        <family val="2"/>
      </rPr>
      <t>(VMware Cloud Disaster Recovery to vSphere)</t>
    </r>
  </si>
  <si>
    <r>
      <t xml:space="preserve">vSphere Custom Role Role name </t>
    </r>
    <r>
      <rPr>
        <i/>
        <sz val="12"/>
        <color theme="1"/>
        <rFont val="Helvetica"/>
        <family val="2"/>
      </rPr>
      <t>(VMware HCX to vSphere)</t>
    </r>
  </si>
  <si>
    <t>VMware HCX to vSphere Integration</t>
  </si>
  <si>
    <r>
      <t xml:space="preserve">VM Folder </t>
    </r>
    <r>
      <rPr>
        <i/>
        <sz val="12"/>
        <color theme="1"/>
        <rFont val="Helvetica"/>
        <family val="2"/>
      </rPr>
      <t>(HCX Appliances)</t>
    </r>
  </si>
  <si>
    <r>
      <t xml:space="preserve">Resource Pool </t>
    </r>
    <r>
      <rPr>
        <i/>
        <sz val="12"/>
        <color theme="1"/>
        <rFont val="Helvetica"/>
        <family val="2"/>
      </rPr>
      <t>(HCX Appliances)</t>
    </r>
  </si>
  <si>
    <t>Recovery SDDC Name</t>
  </si>
  <si>
    <t>aws-recovery-sddc</t>
  </si>
  <si>
    <t>AWS Region</t>
  </si>
  <si>
    <t>US West (Oregon)</t>
  </si>
  <si>
    <t>Host Type</t>
  </si>
  <si>
    <t>I3 (Local SSD)</t>
  </si>
  <si>
    <t>Number of Hosts</t>
  </si>
  <si>
    <t>VPC</t>
  </si>
  <si>
    <t>&lt;generated&gt;</t>
  </si>
  <si>
    <t>Subnet</t>
  </si>
  <si>
    <t>Management Subnet</t>
  </si>
  <si>
    <t>10.2.0.0/16</t>
  </si>
  <si>
    <r>
      <t xml:space="preserve">Firewall Rule Name </t>
    </r>
    <r>
      <rPr>
        <i/>
        <sz val="12"/>
        <color theme="1"/>
        <rFont val="Helvetica"/>
        <family val="2"/>
      </rPr>
      <t>(vCenter Server Inbound)</t>
    </r>
  </si>
  <si>
    <t>vCenter Inbound Rule</t>
  </si>
  <si>
    <r>
      <t xml:space="preserve">Firewall Rule Name </t>
    </r>
    <r>
      <rPr>
        <i/>
        <sz val="12"/>
        <color theme="1"/>
        <rFont val="Helvetica"/>
        <family val="2"/>
      </rPr>
      <t>(HCX Inbound)</t>
    </r>
  </si>
  <si>
    <t>HCX Inbound Rule</t>
  </si>
  <si>
    <r>
      <t xml:space="preserve">User Defined Group </t>
    </r>
    <r>
      <rPr>
        <i/>
        <sz val="12"/>
        <color theme="1"/>
        <rFont val="Helvetica"/>
        <family val="2"/>
      </rPr>
      <t>(Firewall Access)</t>
    </r>
  </si>
  <si>
    <t>External-Access</t>
  </si>
  <si>
    <r>
      <t xml:space="preserve">IP Address(es) </t>
    </r>
    <r>
      <rPr>
        <i/>
        <sz val="12"/>
        <color theme="1"/>
        <rFont val="Helvetica"/>
        <family val="2"/>
      </rPr>
      <t>(Firewall Access)</t>
    </r>
  </si>
  <si>
    <t>69.34.34.11</t>
  </si>
  <si>
    <t>HCX License key</t>
  </si>
  <si>
    <t>xxxxx-xxxxx-xxxxx-xxxxx-xxxxx</t>
  </si>
  <si>
    <t>Datacenter Location</t>
  </si>
  <si>
    <t>San Francisco, United States of America</t>
  </si>
  <si>
    <r>
      <t xml:space="preserve">CLI Admin Password </t>
    </r>
    <r>
      <rPr>
        <i/>
        <sz val="12"/>
        <color theme="1"/>
        <rFont val="Helvetica"/>
        <family val="2"/>
      </rPr>
      <t>(HCX Connector)</t>
    </r>
  </si>
  <si>
    <r>
      <t xml:space="preserve">Root Password </t>
    </r>
    <r>
      <rPr>
        <i/>
        <sz val="12"/>
        <color theme="1"/>
        <rFont val="Helvetica"/>
        <family val="2"/>
      </rPr>
      <t>(HCX Connector)</t>
    </r>
  </si>
  <si>
    <t>Remote HCX URL</t>
  </si>
  <si>
    <t>https://hcx.sddc-44-231-98-23.vmwarevmc.com/</t>
  </si>
  <si>
    <r>
      <t xml:space="preserve">Username </t>
    </r>
    <r>
      <rPr>
        <i/>
        <sz val="12"/>
        <color theme="1"/>
        <rFont val="Helvetica"/>
        <family val="2"/>
      </rPr>
      <t>(VMC on AWS Administrator)</t>
    </r>
  </si>
  <si>
    <t>cloudadmin@vmc.local</t>
  </si>
  <si>
    <r>
      <t xml:space="preserve">Password </t>
    </r>
    <r>
      <rPr>
        <i/>
        <sz val="12"/>
        <color theme="1"/>
        <rFont val="Helvetica"/>
        <family val="2"/>
      </rPr>
      <t>(VMC on AWS Administrator)</t>
    </r>
  </si>
  <si>
    <t>TBvAZf-Aj*1ap6T</t>
  </si>
  <si>
    <t>HCX Compute Profile</t>
  </si>
  <si>
    <t>HCX Service Mesh</t>
  </si>
  <si>
    <r>
      <t xml:space="preserve">Cloud Console API Token Name </t>
    </r>
    <r>
      <rPr>
        <i/>
        <sz val="12"/>
        <color theme="1"/>
        <rFont val="Helvetica"/>
        <family val="2"/>
      </rPr>
      <t>(VMware Cloud Disaster Recovery)</t>
    </r>
  </si>
  <si>
    <r>
      <t xml:space="preserve">Cloud Console API </t>
    </r>
    <r>
      <rPr>
        <i/>
        <sz val="12"/>
        <color theme="1"/>
        <rFont val="Helvetica"/>
        <family val="2"/>
      </rPr>
      <t>(VMware Cloud Disaster Recovery)</t>
    </r>
  </si>
  <si>
    <r>
      <t>Cloud File System</t>
    </r>
    <r>
      <rPr>
        <i/>
        <sz val="12"/>
        <color theme="1"/>
        <rFont val="Helvetica"/>
        <family val="2"/>
      </rPr>
      <t xml:space="preserve"> (VMware Cloud Disaster Recovery)</t>
    </r>
  </si>
  <si>
    <t>usw2-az2-cfs01</t>
  </si>
  <si>
    <r>
      <t xml:space="preserve">On-Premises Site Name </t>
    </r>
    <r>
      <rPr>
        <i/>
        <sz val="12"/>
        <color theme="1"/>
        <rFont val="Helvetica"/>
        <family val="2"/>
      </rPr>
      <t>(VMware Cloud Disaster Recovery)</t>
    </r>
  </si>
  <si>
    <r>
      <t xml:space="preserve">Timezone </t>
    </r>
    <r>
      <rPr>
        <i/>
        <sz val="12"/>
        <color theme="1"/>
        <rFont val="Helvetica"/>
        <family val="2"/>
      </rPr>
      <t>(VMware Cloud Disaster Recovery)</t>
    </r>
  </si>
  <si>
    <t>DRaaS OVA Download Link</t>
  </si>
  <si>
    <t>https://vcdr-34-212-247-60.app.vcdr.vmware.com:443/vmware-cloud-connector.ova</t>
  </si>
  <si>
    <t>Orchestrator FQDN</t>
  </si>
  <si>
    <t>vcdr-34-212-247-60.app.vcdr.vmware.com</t>
  </si>
  <si>
    <t>Passcode</t>
  </si>
  <si>
    <t>Label</t>
  </si>
  <si>
    <r>
      <t xml:space="preserve">Anti-Affinity Rule </t>
    </r>
    <r>
      <rPr>
        <i/>
        <sz val="12"/>
        <color theme="1"/>
        <rFont val="Helvetica"/>
        <family val="2"/>
      </rPr>
      <t>(VMware Cloud Disaster Recovery)</t>
    </r>
  </si>
  <si>
    <t>Email alert recipients</t>
  </si>
  <si>
    <t>cloudadmins@rainpole.io</t>
  </si>
  <si>
    <t>Sender email address</t>
  </si>
  <si>
    <t>Aria Operations for Logs - URL</t>
  </si>
  <si>
    <t>Aria Operations for Logs - Key</t>
  </si>
  <si>
    <t>Windows Administrator Password</t>
  </si>
  <si>
    <t>Photon Root Password</t>
  </si>
  <si>
    <t>HRM Rest API Access</t>
  </si>
  <si>
    <t>REST API Access for Health Reporting and Monitoring</t>
  </si>
  <si>
    <t>HRM Access Scope</t>
  </si>
  <si>
    <t>HRM Access Scope for Health Reporting and Monitoring</t>
  </si>
  <si>
    <t>Notification Email Address</t>
  </si>
  <si>
    <t xml:space="preserve">To be completed by a member of the Customer Active Directory Team. Inputs are enabled by choices made on Deployment Options Tab and values will be presented in relevant sections of Workflow Execution Tabs								</t>
  </si>
  <si>
    <t>Active Directory Details</t>
  </si>
  <si>
    <t>Reference Fully Qualified Name</t>
  </si>
  <si>
    <t>Your Fully Qualified Name</t>
  </si>
  <si>
    <t>Reference NETBIOS Name</t>
  </si>
  <si>
    <r>
      <t xml:space="preserve">FQDN &amp; NetBIOS </t>
    </r>
    <r>
      <rPr>
        <sz val="12"/>
        <color theme="1"/>
        <rFont val="Helvetica"/>
        <family val="2"/>
      </rPr>
      <t>(Parent)</t>
    </r>
  </si>
  <si>
    <t>RAINPOLE</t>
  </si>
  <si>
    <r>
      <t xml:space="preserve">FQDN &amp; NetBIOS </t>
    </r>
    <r>
      <rPr>
        <sz val="12"/>
        <color theme="1"/>
        <rFont val="Helvetica"/>
        <family val="2"/>
      </rPr>
      <t>(Child)</t>
    </r>
  </si>
  <si>
    <r>
      <t xml:space="preserve">User and Group OUs </t>
    </r>
    <r>
      <rPr>
        <sz val="12"/>
        <color theme="1"/>
        <rFont val="Helvetica"/>
        <family val="2"/>
      </rPr>
      <t>(Parent)</t>
    </r>
  </si>
  <si>
    <t>ou=Security Groups,dc=rainpole,dc=io</t>
  </si>
  <si>
    <t>ou=Security Users,dc=rainpole,dc=io</t>
  </si>
  <si>
    <r>
      <t xml:space="preserve">User and Group OUs </t>
    </r>
    <r>
      <rPr>
        <sz val="12"/>
        <color theme="1"/>
        <rFont val="Helvetica"/>
        <family val="2"/>
      </rPr>
      <t>(Child)</t>
    </r>
  </si>
  <si>
    <t>Active Directory Users (Service Accounts for Application to External Service Communication)</t>
  </si>
  <si>
    <t>Reference Username</t>
  </si>
  <si>
    <t>Your Username</t>
  </si>
  <si>
    <t>Reference Password</t>
  </si>
  <si>
    <t>Your Password</t>
  </si>
  <si>
    <t>Certificate Authority Access</t>
  </si>
  <si>
    <t>Clustered Workspace ONE Access</t>
  </si>
  <si>
    <t>Active Directory Bind (WSA)</t>
  </si>
  <si>
    <t>svc-wsa-ad</t>
  </si>
  <si>
    <t>Active Directory Bind (vSphere)</t>
  </si>
  <si>
    <t>svc-vsphere-ad</t>
  </si>
  <si>
    <t>Active Directory Users (Service Accounts for Application to Application Communication)</t>
  </si>
  <si>
    <t>svc-vrops-vra</t>
  </si>
  <si>
    <t>Private Cloud Automation on VMware Cloud Foundation</t>
  </si>
  <si>
    <t>svc-vra-vsphere</t>
  </si>
  <si>
    <t>svc-vra-nsx</t>
  </si>
  <si>
    <t>svc-vra-vcf</t>
  </si>
  <si>
    <t>svc-vro-vsphere</t>
  </si>
  <si>
    <t>svc-vra-vrops</t>
  </si>
  <si>
    <t>VMware HCX to vCenter Server</t>
  </si>
  <si>
    <t>svc-hcx-vsphere</t>
  </si>
  <si>
    <t>VMware HCX to NSX</t>
  </si>
  <si>
    <t>svc-hcx-nsx</t>
  </si>
  <si>
    <t>HRM to SDDC Manager</t>
  </si>
  <si>
    <t>svc-hrm-vcf</t>
  </si>
  <si>
    <t>Active Directory Groups</t>
  </si>
  <si>
    <t>Product</t>
  </si>
  <si>
    <t>Reference Group Name</t>
  </si>
  <si>
    <t>Your Group Name</t>
  </si>
  <si>
    <t>gg-vrslcm-admins</t>
  </si>
  <si>
    <t>gg-vrslcm-content-developers</t>
  </si>
  <si>
    <t>Workspace ONE Access</t>
  </si>
  <si>
    <t>gg-vcf-admins</t>
  </si>
  <si>
    <t>gg-vcf-operators</t>
  </si>
  <si>
    <t>gg-vcf-viewers</t>
  </si>
  <si>
    <t>gg-vc-admins</t>
  </si>
  <si>
    <t>gg-vc-read-only</t>
  </si>
  <si>
    <t>gg-sso-admins</t>
  </si>
  <si>
    <t>gg-nsx-enterprise-admins</t>
  </si>
  <si>
    <t>gg-nsx-network-admins</t>
  </si>
  <si>
    <t>gg-nsx-auditors</t>
  </si>
  <si>
    <t>gg-vrops-admins</t>
  </si>
  <si>
    <t>gg-vrops-content-admins</t>
  </si>
  <si>
    <t>gg-vrops-read-only</t>
  </si>
  <si>
    <t>gg-vrli-admins</t>
  </si>
  <si>
    <t>gg-vrli-users</t>
  </si>
  <si>
    <t>gg-vrli-viewers</t>
  </si>
  <si>
    <t>gg-vra-org-owners</t>
  </si>
  <si>
    <t>gg-vra-cloud-assembly-admins</t>
  </si>
  <si>
    <t>gg-vra-cloud-assembly-users</t>
  </si>
  <si>
    <t>gg-vra-cloud-assembly-viewers</t>
  </si>
  <si>
    <t>gg-vra-service-broker-admins</t>
  </si>
  <si>
    <t>gg-vra-service-broker-users</t>
  </si>
  <si>
    <t>gg-vra-service-broker-viewers</t>
  </si>
  <si>
    <t>gg-vra-orchestrator-admins</t>
  </si>
  <si>
    <t>gg-vra-orchestrator-designers</t>
  </si>
  <si>
    <t>gg-vra-orchestrator-viewers</t>
  </si>
  <si>
    <t>gg-vra-project-admins-sample</t>
  </si>
  <si>
    <t>gg-vra-project-users-sample</t>
  </si>
  <si>
    <t xml:space="preserve">Kubernetes </t>
  </si>
  <si>
    <t>gg-kub-admins</t>
  </si>
  <si>
    <t>gg-kub-readonly</t>
  </si>
  <si>
    <t>Transposed and Calculated Values. All values are named cells for reference in other areas of the Workbook</t>
  </si>
  <si>
    <t>Management Domain VLANs</t>
  </si>
  <si>
    <t>Management Domain Virtual Network Segment Names</t>
  </si>
  <si>
    <t>VMware Cloud Builder Infrastructure Details</t>
  </si>
  <si>
    <t>Management Domain Hostnames (Primary AZ)</t>
  </si>
  <si>
    <t xml:space="preserve">Management Domain VI Inputs (Primary Availability Zone)								</t>
  </si>
  <si>
    <t>Virtual Infrastructure Usernames</t>
  </si>
  <si>
    <t>Identity &amp; Access Management References</t>
  </si>
  <si>
    <t>AZ1 Actual Value</t>
  </si>
  <si>
    <t>AZ2 Actual Value</t>
  </si>
  <si>
    <t>Cloud Builder Target Infrastructure</t>
  </si>
  <si>
    <t>VM Network (Initial ESXi Install)</t>
  </si>
  <si>
    <t>Cloud Builder Target Datastore</t>
  </si>
  <si>
    <t>VMware Cloud Builder</t>
  </si>
  <si>
    <t>Cloud Builder Admin Username</t>
  </si>
  <si>
    <t>Cloud Builder Target Network</t>
  </si>
  <si>
    <t>CA Administrator</t>
  </si>
  <si>
    <t>Cross Instance Admin</t>
  </si>
  <si>
    <t>Management Domain Virtual Network Segment CIDRs</t>
  </si>
  <si>
    <t>SMTP Sender</t>
  </si>
  <si>
    <t>Timezone</t>
  </si>
  <si>
    <t>ESXi Node 1</t>
  </si>
  <si>
    <t>MyVMware Username</t>
  </si>
  <si>
    <t>Local Instance Overlay-Backed Segment</t>
  </si>
  <si>
    <t>ESXi Node 2</t>
  </si>
  <si>
    <t>Virtual Infrastructure Passwords</t>
  </si>
  <si>
    <t>ESXi Node 3</t>
  </si>
  <si>
    <t>Storage Size</t>
  </si>
  <si>
    <t>NTP Server 1 (Xregion Components)</t>
  </si>
  <si>
    <t>ESXi Node 4</t>
  </si>
  <si>
    <t>VMware Cloud Builder: admin</t>
  </si>
  <si>
    <t>Management Domain Virtual Network Segment Gateways</t>
  </si>
  <si>
    <t>NTP Server 2 (Xregion Components)</t>
  </si>
  <si>
    <t>NSX Local Manager Virtual Server</t>
  </si>
  <si>
    <t>FIPS</t>
  </si>
  <si>
    <t xml:space="preserve">VMware Cloud Builder: root </t>
  </si>
  <si>
    <t>NSX Local Manager Node A</t>
  </si>
  <si>
    <t>Local Instance Segment (VLAN Backed)</t>
  </si>
  <si>
    <t>NSX Local Manager Node B</t>
  </si>
  <si>
    <t xml:space="preserve">ESXi: root </t>
  </si>
  <si>
    <t>Cross Instance Segment (VLAN Backed)</t>
  </si>
  <si>
    <t>NSX Local Manager Node C</t>
  </si>
  <si>
    <t>vCenter: administrator@vsphere.local</t>
  </si>
  <si>
    <t>NSX Global Manager Virtual Server</t>
  </si>
  <si>
    <t>vCenter: root</t>
  </si>
  <si>
    <t>Management Domain Portgroup Names</t>
  </si>
  <si>
    <t>Management Domain Virtual Network Segment MTUs</t>
  </si>
  <si>
    <t>DNS Server 1 (X-Region Components)</t>
  </si>
  <si>
    <t>Secondary vSphere Distributed Switch: Name</t>
  </si>
  <si>
    <t>NSX: root (lm)</t>
  </si>
  <si>
    <t>DNS Server 2 (X-Region Components)</t>
  </si>
  <si>
    <t>Secondary vSphere Distributed Switch: pNICS</t>
  </si>
  <si>
    <t>NSX: admin (lm)</t>
  </si>
  <si>
    <t>VM Network</t>
  </si>
  <si>
    <t>Secondary vSphere Distributed Switch: MTU</t>
  </si>
  <si>
    <t>NSX: audit (lm)</t>
  </si>
  <si>
    <t>NSX Edge Node 1</t>
  </si>
  <si>
    <t>NSX: root (en)</t>
  </si>
  <si>
    <t>Domain Controller for vSphere AD Integration</t>
  </si>
  <si>
    <t>NSX Edge Node 2</t>
  </si>
  <si>
    <t>NSX Virtual Appliance Size</t>
  </si>
  <si>
    <t>NSX: admin (en)</t>
  </si>
  <si>
    <t>Workload Domain Virtual Network Segment Names</t>
  </si>
  <si>
    <t>NSX: audit (en)</t>
  </si>
  <si>
    <t>NSX: root (gm)</t>
  </si>
  <si>
    <t>Developer Ready Infrastructure References</t>
  </si>
  <si>
    <t>Kubernetes Management Segment</t>
  </si>
  <si>
    <t>NSX Edge Node Applicance Size</t>
  </si>
  <si>
    <t>NSX: admin (gm)</t>
  </si>
  <si>
    <t>NSX: audit (gm)</t>
  </si>
  <si>
    <t>NSX Kubernetes Management Segment Name</t>
  </si>
  <si>
    <t>Management Domain Network CIDRs</t>
  </si>
  <si>
    <t>Workload Domain Virtual Network Segment CIDRs</t>
  </si>
  <si>
    <t>SDDC Manager: root</t>
  </si>
  <si>
    <t>SDDC Manager: vcf</t>
  </si>
  <si>
    <t>DNS Zone Names</t>
  </si>
  <si>
    <t>SDDC Manager: admin@local</t>
  </si>
  <si>
    <t>NSX GM VMCA-Signed Certificate Thumprint</t>
  </si>
  <si>
    <t>My VMware</t>
  </si>
  <si>
    <t>Workload Domain Virtual Network Segment Gateways</t>
  </si>
  <si>
    <t>Management Domain Hostnames (Witness AZ)</t>
  </si>
  <si>
    <t>NSX GM Cluster ID</t>
  </si>
  <si>
    <t>SFTP Backup User</t>
  </si>
  <si>
    <t>Witness</t>
  </si>
  <si>
    <t>vcfadmin@local</t>
  </si>
  <si>
    <t>RTEP NSX IP Pool Name</t>
  </si>
  <si>
    <t>vRSLCM:root</t>
  </si>
  <si>
    <t>Kubernetes Management Segment Gateway</t>
  </si>
  <si>
    <t>Management Domain VLANs (Witness Zone)</t>
  </si>
  <si>
    <t>Management Domain IP Addresses (Primary AZ)</t>
  </si>
  <si>
    <t>vRSLCM: xint-env-admin</t>
  </si>
  <si>
    <t>Kubernetes Cluster Endpoint Common Name</t>
  </si>
  <si>
    <t>Workload Domain Hostnames (Primary AZ)</t>
  </si>
  <si>
    <t>vSAN Witness: root (mgmt)</t>
  </si>
  <si>
    <t>Kubectl Path</t>
  </si>
  <si>
    <t>SHA-256 NSX Local Manager Virtual Server</t>
  </si>
  <si>
    <t>vSAN Witness: root (wld)</t>
  </si>
  <si>
    <t>Kubernetes Management Segment Gateway CIDR</t>
  </si>
  <si>
    <t>SHA-256 NSX Global Manager Virtual Server</t>
  </si>
  <si>
    <t>Kubernetes API Endpoint FQDN</t>
  </si>
  <si>
    <t>Management Domain Portgroup Names (Witness Zone)</t>
  </si>
  <si>
    <t>Cross Instance NSX T1 Gateway Name</t>
  </si>
  <si>
    <t>Initial VM Class</t>
  </si>
  <si>
    <t>Management Domain Network Gateways</t>
  </si>
  <si>
    <t xml:space="preserve">Existing Active Global Manager </t>
  </si>
  <si>
    <t>Subnet Masks (Calculated)</t>
  </si>
  <si>
    <t>ESXi Node 1 Mgmt IP</t>
  </si>
  <si>
    <t>Existing Cross Instance T0</t>
  </si>
  <si>
    <t>Private Cloud Automation References</t>
  </si>
  <si>
    <t>ESXi Node 1 VRMS IP</t>
  </si>
  <si>
    <t>Management Domain AZ1 Management Network</t>
  </si>
  <si>
    <t>Management Domain Network CIDRs (Witness Zone)</t>
  </si>
  <si>
    <t>ESXi Node 2 Mgmt IP</t>
  </si>
  <si>
    <t>Management Domain WAZ Management Network</t>
  </si>
  <si>
    <t>Product Name - Orchestrator</t>
  </si>
  <si>
    <t>ESXi Node 2 VRMS IP</t>
  </si>
  <si>
    <t>Management Uplink 01 Network</t>
  </si>
  <si>
    <t>Product Name - Automation</t>
  </si>
  <si>
    <t>ESXi Node 3 Mgmt IP</t>
  </si>
  <si>
    <t>Management Uplink 02 Network</t>
  </si>
  <si>
    <t>ESXi Node 3 VRMS IP</t>
  </si>
  <si>
    <t>Local Instance Segment Overlay-Backed Segment</t>
  </si>
  <si>
    <t>Management Domain Network Gateways (Witness Zone)</t>
  </si>
  <si>
    <t>ESXi Node 4 Mgmt IP</t>
  </si>
  <si>
    <t>Cross-Region Overlay-Backed Segment</t>
  </si>
  <si>
    <t>Password Alias (root)</t>
  </si>
  <si>
    <t>ESXi Node 4 VRMS IP</t>
  </si>
  <si>
    <t>Workload Domain AZ1 Management Network</t>
  </si>
  <si>
    <t>Workload Domain WAZ Management Network</t>
  </si>
  <si>
    <t>Username (root)</t>
  </si>
  <si>
    <t>root</t>
  </si>
  <si>
    <t>Workload Domain AZ1 vMotion Network</t>
  </si>
  <si>
    <t>Management Domain Network MTU (Witness Zone)</t>
  </si>
  <si>
    <t>Workload Domain AZ1 Principal Storage Network</t>
  </si>
  <si>
    <t>Workload Uplink 01 Network</t>
  </si>
  <si>
    <t>Management Domain Network MTU</t>
  </si>
  <si>
    <t>Workload Uplink 02 Network</t>
  </si>
  <si>
    <t>Workload Domain VLANs (Witness Zone)</t>
  </si>
  <si>
    <t>Management VRMS Network</t>
  </si>
  <si>
    <t>Workload VRMS Network</t>
  </si>
  <si>
    <t>Modifiers</t>
  </si>
  <si>
    <t>Workload Domain Portgroup Names (Witness Zone)</t>
  </si>
  <si>
    <t>This Instance</t>
  </si>
  <si>
    <t>Workload Domain Hostnames (Witness AZ)</t>
  </si>
  <si>
    <t>SDDC Manager and vCenter Server VM Folder</t>
  </si>
  <si>
    <t>Other Instance</t>
  </si>
  <si>
    <t>Cloud Account Capability Tag</t>
  </si>
  <si>
    <t>NSX Manager VM Folder</t>
  </si>
  <si>
    <t>Workload Descriptor</t>
  </si>
  <si>
    <t>Region Capability Tag</t>
  </si>
  <si>
    <t>Workload Domain Network CIDRs (Witness Zone)</t>
  </si>
  <si>
    <t>VM Folder NSX Edge Nodes VM Folder</t>
  </si>
  <si>
    <t>Management AZ1 VLAN Prefix</t>
  </si>
  <si>
    <t>Management AZ1 CIDR Prefix</t>
  </si>
  <si>
    <t>SMTP Sender Email</t>
  </si>
  <si>
    <t>Management AZ2 VLAN Prefix</t>
  </si>
  <si>
    <t xml:space="preserve">NSX Load Balancer Names				</t>
  </si>
  <si>
    <t>Management AZ2 CIDR Prefix</t>
  </si>
  <si>
    <t>Workload Domain Network Gateways (Witness Zone)</t>
  </si>
  <si>
    <t>Mananagment Stretched VLAN Prefix</t>
  </si>
  <si>
    <t>Configadmin Email Address</t>
  </si>
  <si>
    <t>Management Stretched CIDR Prefix</t>
  </si>
  <si>
    <t>Local Instance Overlay CIDR Prefix</t>
  </si>
  <si>
    <t xml:space="preserve">vRSLCM and Clustered WSA Hostnames															</t>
  </si>
  <si>
    <t>Cross-Region Overlay CIDR Prefix</t>
  </si>
  <si>
    <t>Workload Domain Network MTU (Witness Zone)</t>
  </si>
  <si>
    <t>Management Witness AZ VLAN Prefix</t>
  </si>
  <si>
    <t>X-Region WSA Virtual Server</t>
  </si>
  <si>
    <t>Management Witness AZ CIDR Prefix</t>
  </si>
  <si>
    <t>X-Region WSA Node A</t>
  </si>
  <si>
    <t>Management TOR ASN Prefix</t>
  </si>
  <si>
    <t>Intelligent Logging &amp; Analytics References</t>
  </si>
  <si>
    <t>X-Region WSA Node B</t>
  </si>
  <si>
    <t>Workload AZ1 VLAN Prefix</t>
  </si>
  <si>
    <t>X-Region WSA Node C</t>
  </si>
  <si>
    <t>SFTP Server Backup Username</t>
  </si>
  <si>
    <t>Workload AZ1 CIDR Prefix</t>
  </si>
  <si>
    <t>Workload Domain VLANs</t>
  </si>
  <si>
    <t>Workload AZ2 VLAN Prefix</t>
  </si>
  <si>
    <t>Password Alias (admin)</t>
  </si>
  <si>
    <t>Workload AZ2 CIDR Prefix</t>
  </si>
  <si>
    <t xml:space="preserve">Intelligent Operations Management Hostnames													</t>
  </si>
  <si>
    <t>Workload Stretched VLAN Prefix</t>
  </si>
  <si>
    <t>ESXi Enterprise Plus (Management and Workload)</t>
  </si>
  <si>
    <t>SSO Default Admin</t>
  </si>
  <si>
    <t>Workload Stretched CIDR Prefix</t>
  </si>
  <si>
    <t>vSAN Advanced of Higher</t>
  </si>
  <si>
    <t>Workload Witness AZ VLAN Prefix</t>
  </si>
  <si>
    <t xml:space="preserve">Management Domain VI Inputs (Secondary Availability Zone)								</t>
  </si>
  <si>
    <t>Workload Witness AZ CIDR Prefix</t>
  </si>
  <si>
    <t>Workload TOR ASN Prefix</t>
  </si>
  <si>
    <t>Kubernetes CIDR Prefix</t>
  </si>
  <si>
    <t>Other Region Management AZ1 CIDR Prefx</t>
  </si>
  <si>
    <t>Active Directory Fully Qualified Domain Names</t>
  </si>
  <si>
    <t>Portable Component Prefix</t>
  </si>
  <si>
    <t>xint</t>
  </si>
  <si>
    <t>Other Instance Management Stretched CIDR Prefix</t>
  </si>
  <si>
    <t>Admin Email Address</t>
  </si>
  <si>
    <t>Parent Domain</t>
  </si>
  <si>
    <t xml:space="preserve">Intelligent Logging &amp; Analytics Hostnames													</t>
  </si>
  <si>
    <t>Other Workload Stretched CIDR Prefix</t>
  </si>
  <si>
    <t>Child Domain</t>
  </si>
  <si>
    <t>Active Directory Passwords</t>
  </si>
  <si>
    <t>Workload Domain Portgroup Names</t>
  </si>
  <si>
    <t>Active Directory NETBIOS Names</t>
  </si>
  <si>
    <t xml:space="preserve">Management Domain VI Inputs (Witness Availability Zone)								</t>
  </si>
  <si>
    <t>Tag for this instance</t>
  </si>
  <si>
    <t>svc-wsa-ad (parent)</t>
  </si>
  <si>
    <t>Existing Remote vRLI Instance</t>
  </si>
  <si>
    <t>Existing Remote vRLI Tag</t>
  </si>
  <si>
    <t xml:space="preserve">Private Cloud Automation Hostnames													</t>
  </si>
  <si>
    <t>svc-wsa-ad (child)</t>
  </si>
  <si>
    <t>Active Directory Group OUs</t>
  </si>
  <si>
    <t>svc-vrops-vsphere</t>
  </si>
  <si>
    <t>Intelligent Operations Management References</t>
  </si>
  <si>
    <t>svc-vrops-vsan</t>
  </si>
  <si>
    <t>Workload Domain Network CIDRs</t>
  </si>
  <si>
    <t>svc-vrops-nsx</t>
  </si>
  <si>
    <t>SDDC Manager Service Account</t>
  </si>
  <si>
    <t>Management Domain IP Addresses (Witness AZ)</t>
  </si>
  <si>
    <t>svc-vrli-wsa</t>
  </si>
  <si>
    <t>SDDC Manager Service Account Password</t>
  </si>
  <si>
    <t>Active Directory User OUs</t>
  </si>
  <si>
    <t>svc-vrli-vrops</t>
  </si>
  <si>
    <t>vSphere Service Account</t>
  </si>
  <si>
    <t>vSphere Service Account Password</t>
  </si>
  <si>
    <t>Workload Domain IP Addresses (Primary AZ)</t>
  </si>
  <si>
    <t>Active Directory Bind DNs</t>
  </si>
  <si>
    <t>Site Protection &amp; DR Hostnames (Management Domain)</t>
  </si>
  <si>
    <t xml:space="preserve">Workload Domain VI Inputs (Primary Availability Zone)								</t>
  </si>
  <si>
    <t>vLCM Image: vCenter Server</t>
  </si>
  <si>
    <t>vLCM Image: Cluster Name</t>
  </si>
  <si>
    <t>vLCM Image: Cluster (ID)</t>
  </si>
  <si>
    <t>Active Directory Parent Users</t>
  </si>
  <si>
    <t>Site Protection &amp; DR Hostnames (Workload Domain)</t>
  </si>
  <si>
    <t>VLCM Image: Cluster Image Name</t>
  </si>
  <si>
    <t>VM Group Names</t>
  </si>
  <si>
    <t>Workload Domain Network Gateways</t>
  </si>
  <si>
    <t>Clustered WSA Instances</t>
  </si>
  <si>
    <t>Analytics Cluster VM Group Name</t>
  </si>
  <si>
    <t>Default Collector Group Name</t>
  </si>
  <si>
    <t>Default collector group</t>
  </si>
  <si>
    <t>Management Domain FQDNs (Primary AZ)</t>
  </si>
  <si>
    <r>
      <t xml:space="preserve">vSphere Role Name </t>
    </r>
    <r>
      <rPr>
        <i/>
        <sz val="12"/>
        <color theme="1"/>
        <rFont val="Helvetica"/>
        <family val="2"/>
      </rPr>
      <t>(vCenter Adapters)</t>
    </r>
  </si>
  <si>
    <t>vSphere Role Name (vSAN Adapters)</t>
  </si>
  <si>
    <t>Existing: Management vCenter</t>
  </si>
  <si>
    <t>Workload Domain Network MTU</t>
  </si>
  <si>
    <t>NSX Edge Node Applicance Size (Default Large)</t>
  </si>
  <si>
    <t>NSX Edge Tier 0 Name</t>
  </si>
  <si>
    <t>NSX Edge Tier 1 Name</t>
  </si>
  <si>
    <t>Active Directory Child Users</t>
  </si>
  <si>
    <t>SHA-256  NSX Local Manager Virtual Server</t>
  </si>
  <si>
    <t>SHA-256  NSX Global Manager Virtual Server</t>
  </si>
  <si>
    <t>Site Protection &amp; Disaster Recovery References (Common)</t>
  </si>
  <si>
    <t>gg-wsa-admins (parent)</t>
  </si>
  <si>
    <t>gg-wsa-directory-admins (parent)</t>
  </si>
  <si>
    <t>gg-wsa-read-only (parent)</t>
  </si>
  <si>
    <t>gg-vrslcm-content-admins</t>
  </si>
  <si>
    <t>VRMS Appliance Size</t>
  </si>
  <si>
    <t xml:space="preserve">Management Domain FQDNs (Witness AZ)	</t>
  </si>
  <si>
    <t>SRM Appliance Size</t>
  </si>
  <si>
    <t>Workload Domain FQDNs (Primary AZ)</t>
  </si>
  <si>
    <t>Site Protection &amp; Disaster Recovery References (Management Domain)</t>
  </si>
  <si>
    <t>LB Creation Method</t>
  </si>
  <si>
    <t>VRMS: VM Folder Name</t>
  </si>
  <si>
    <t>VRMS: Initial Root Password</t>
  </si>
  <si>
    <t>VRMS: Initial Admin Password</t>
  </si>
  <si>
    <t>VRMS: Site Name</t>
  </si>
  <si>
    <t>VRMS: Administrator Email Address</t>
  </si>
  <si>
    <t>VRMS: Portgroup Name</t>
  </si>
  <si>
    <t>VRMS: P12 Cert Password</t>
  </si>
  <si>
    <t>SRM: VM Folder Name</t>
  </si>
  <si>
    <t>SRM: Initial Root Password</t>
  </si>
  <si>
    <t>SRM: Initial Admin Password</t>
  </si>
  <si>
    <t>Management Portgroup Name</t>
  </si>
  <si>
    <t>SRM: Initial Database Password</t>
  </si>
  <si>
    <t>SRM: Site Name</t>
  </si>
  <si>
    <t xml:space="preserve">Workload Domain VI Inputs (Secondary Availability Zone)								</t>
  </si>
  <si>
    <t>SRM: Administrator Email Address</t>
  </si>
  <si>
    <t>SRM: P12 Cert Password</t>
  </si>
  <si>
    <t>Workload Domain IP Addresses (Witness AZ)</t>
  </si>
  <si>
    <t xml:space="preserve">Workload Domain FQDNs (Witness AZ)	</t>
  </si>
  <si>
    <t xml:space="preserve">Workload Domain VI Inputs (Witness Availability Zone)								</t>
  </si>
  <si>
    <t xml:space="preserve">NSX Load Balancer IP Addresses				</t>
  </si>
  <si>
    <t>Permutation Calculations</t>
  </si>
  <si>
    <t>iom_id_result</t>
  </si>
  <si>
    <t>iom_ci_result</t>
  </si>
  <si>
    <t xml:space="preserve">vRSLCM and Clustered WSA FQDNs															</t>
  </si>
  <si>
    <t>pca_id_result</t>
  </si>
  <si>
    <t>pca_ci_result</t>
  </si>
  <si>
    <t>Clustered WSA Virtual Server</t>
  </si>
  <si>
    <t>SDDC and Virtual Infrastructure References</t>
  </si>
  <si>
    <t>spr_mo_result</t>
  </si>
  <si>
    <t>Clustered WSA Node A</t>
  </si>
  <si>
    <t>spr_wo_result</t>
  </si>
  <si>
    <t>Clustered WSA Node B</t>
  </si>
  <si>
    <t>Cross Instance Datacenter Name</t>
  </si>
  <si>
    <t>spr_mw_result</t>
  </si>
  <si>
    <t>Clustered WSA Node C</t>
  </si>
  <si>
    <t>Cross Instance Datacenter Location</t>
  </si>
  <si>
    <t>protected_mgmt_result</t>
  </si>
  <si>
    <t>X-Region WSA Delegate IP</t>
  </si>
  <si>
    <t>Cross Instance Environment Password Alias</t>
  </si>
  <si>
    <t>Existing: SSO Membership</t>
  </si>
  <si>
    <t>recovery_mgmt_result</t>
  </si>
  <si>
    <t>Cross Instance Environment Password</t>
  </si>
  <si>
    <t>protected_wld_result</t>
  </si>
  <si>
    <t xml:space="preserve">Intelligent Operations Management FQDNs													</t>
  </si>
  <si>
    <t>Cross Instance Environment Name</t>
  </si>
  <si>
    <t>Site Protection &amp; Disaster Recovery References (VI Workload Domain)</t>
  </si>
  <si>
    <t>first_domain_mgmt_only_viable</t>
  </si>
  <si>
    <t xml:space="preserve">Intelligent Operations Management IP Addresses													</t>
  </si>
  <si>
    <t>first_domain_mgmt_vi_viable</t>
  </si>
  <si>
    <t>non_first_domain_mgmt_only_viable</t>
  </si>
  <si>
    <t>Clustered Workspace ONE Access Cert Name</t>
  </si>
  <si>
    <t>non_first_domain_mgmt_vi_viable</t>
  </si>
  <si>
    <t>Clustered Workspace ONE Access VM Folder</t>
  </si>
  <si>
    <t>vi_only_viable</t>
  </si>
  <si>
    <t>Global Environment Administrator: Password alias</t>
  </si>
  <si>
    <t>Global Environment Administrator: Password</t>
  </si>
  <si>
    <t>Global Environment Administrator: User name</t>
  </si>
  <si>
    <t>vcf_vi_wld_domain_count</t>
  </si>
  <si>
    <t>Local Administrator: Password alias</t>
  </si>
  <si>
    <t>vcf_vi_isolated_domain_count</t>
  </si>
  <si>
    <t xml:space="preserve">Intelligent Logging &amp; Analytics FQDNs													</t>
  </si>
  <si>
    <t>Local Administrator: Password</t>
  </si>
  <si>
    <t xml:space="preserve">Intelligent Logging &amp; Analytics IP Addresses													</t>
  </si>
  <si>
    <t>Local Administrator: User name</t>
  </si>
  <si>
    <t>Local Configuration Administrator: Password alias</t>
  </si>
  <si>
    <t>Local Configuration Administrator: Password</t>
  </si>
  <si>
    <t>Local Configuration Administrator: User name</t>
  </si>
  <si>
    <t>Appliance Root User: Password alias</t>
  </si>
  <si>
    <t>Appliance Root User: Password</t>
  </si>
  <si>
    <t xml:space="preserve">Private Cloud Automation FQDNs													</t>
  </si>
  <si>
    <t>Appliance Root User: User name</t>
  </si>
  <si>
    <t>Clustered Workspace ONE Access Node Size</t>
  </si>
  <si>
    <t>Clustered Workspace ONE VM Group Name</t>
  </si>
  <si>
    <t>Password (vRSLCM to vSphere User)</t>
  </si>
  <si>
    <t>Existing: vRSLCM Instance</t>
  </si>
  <si>
    <t>Site Protection &amp; DR FQDNs (Management Domain)</t>
  </si>
  <si>
    <t>Developer Ready Infrastructure Network Pools (Primary AZ)</t>
  </si>
  <si>
    <t>Site Protection &amp; DR FQDNs (Workload Domain)</t>
  </si>
  <si>
    <t>Site Protection &amp; DR IP Addreses (Management Domain)</t>
  </si>
  <si>
    <t>Isolated VI Workload Domain SSO Domain</t>
  </si>
  <si>
    <t>vSphere Replication Management IP</t>
  </si>
  <si>
    <t>vSphere Replication Replication IP</t>
  </si>
  <si>
    <t>Isolated VI Workload Domain SSO Password</t>
  </si>
  <si>
    <r>
      <t>Site Recovery Manager</t>
    </r>
    <r>
      <rPr>
        <i/>
        <sz val="12"/>
        <color theme="1"/>
        <rFont val="Helvetica"/>
        <family val="2"/>
      </rPr>
      <t xml:space="preserve"> </t>
    </r>
    <r>
      <rPr>
        <b/>
        <sz val="12"/>
        <color theme="1"/>
        <rFont val="Helvetica"/>
        <family val="2"/>
      </rPr>
      <t>Management IP</t>
    </r>
  </si>
  <si>
    <t>Isolated VI Workload Administrator</t>
  </si>
  <si>
    <t>Recovery T1 Service Interface IP</t>
  </si>
  <si>
    <t>Site Protection &amp; DR IP Addreses (Workload Domain)</t>
  </si>
  <si>
    <r>
      <t xml:space="preserve">NSX Service Account </t>
    </r>
    <r>
      <rPr>
        <i/>
        <sz val="12"/>
        <color theme="1"/>
        <rFont val="Helvetica"/>
        <family val="2"/>
      </rPr>
      <t>(Management Domain)</t>
    </r>
  </si>
  <si>
    <r>
      <t xml:space="preserve">NSX Service Account </t>
    </r>
    <r>
      <rPr>
        <i/>
        <sz val="12"/>
        <color theme="1"/>
        <rFont val="Helvetica"/>
        <family val="2"/>
      </rPr>
      <t>(VI Workload Domain)</t>
    </r>
  </si>
  <si>
    <t>Data Collector Hostname</t>
  </si>
  <si>
    <t>Data Collector IP Address</t>
  </si>
  <si>
    <r>
      <t xml:space="preserve">vSphere Service Account </t>
    </r>
    <r>
      <rPr>
        <i/>
        <sz val="12"/>
        <color theme="1"/>
        <rFont val="Helvetica"/>
        <family val="2"/>
      </rPr>
      <t>(VMware HCX to vSphere)</t>
    </r>
  </si>
  <si>
    <r>
      <t xml:space="preserve">vSphere Service Account Password </t>
    </r>
    <r>
      <rPr>
        <i/>
        <sz val="12"/>
        <color theme="1"/>
        <rFont val="Helvetica"/>
        <family val="2"/>
      </rPr>
      <t>(VMware HCX to vSphere)</t>
    </r>
  </si>
  <si>
    <t>VMware HCX to NSX Username</t>
  </si>
  <si>
    <t>VMware HCX to NSX Password</t>
  </si>
  <si>
    <r>
      <t>Firewall Rule Name</t>
    </r>
    <r>
      <rPr>
        <i/>
        <sz val="12"/>
        <color theme="1"/>
        <rFont val="Helvetica"/>
        <family val="2"/>
      </rPr>
      <t xml:space="preserve"> (vCenter Server Inbound)</t>
    </r>
  </si>
  <si>
    <r>
      <t>User Defined Group</t>
    </r>
    <r>
      <rPr>
        <i/>
        <sz val="12"/>
        <color theme="1"/>
        <rFont val="Helvetica"/>
        <family val="2"/>
      </rPr>
      <t xml:space="preserve"> (Firewall Access)</t>
    </r>
  </si>
  <si>
    <r>
      <rPr>
        <b/>
        <sz val="12"/>
        <color theme="1"/>
        <rFont val="Helvetica"/>
        <family val="2"/>
      </rPr>
      <t>Hostname</t>
    </r>
    <r>
      <rPr>
        <i/>
        <sz val="12"/>
        <color theme="1"/>
        <rFont val="Helvetica"/>
        <family val="2"/>
      </rPr>
      <t xml:space="preserve"> (HCX Connector)</t>
    </r>
  </si>
  <si>
    <r>
      <t xml:space="preserve">IP Address </t>
    </r>
    <r>
      <rPr>
        <i/>
        <sz val="12"/>
        <color theme="1"/>
        <rFont val="Helvetica"/>
        <family val="2"/>
      </rPr>
      <t>(HCX Connector)</t>
    </r>
  </si>
  <si>
    <t>HCX Network Profiles - Management IP Range</t>
  </si>
  <si>
    <t>HCX Network Profiles - vMotion IP Range</t>
  </si>
  <si>
    <r>
      <t xml:space="preserve">Cloud File System </t>
    </r>
    <r>
      <rPr>
        <i/>
        <sz val="12"/>
        <color theme="1"/>
        <rFont val="Helvetica"/>
        <family val="2"/>
      </rPr>
      <t>(VMware Cloud Disaster Recovery)</t>
    </r>
  </si>
  <si>
    <t>On-Premises Site Name (VMware Cloud Disaster Recovery)</t>
  </si>
  <si>
    <t>Timezone (VMware Cloud Disaster Recovery)</t>
  </si>
  <si>
    <r>
      <t xml:space="preserve">Hostname </t>
    </r>
    <r>
      <rPr>
        <i/>
        <sz val="12"/>
        <color theme="1"/>
        <rFont val="Helvetica"/>
        <family val="2"/>
      </rPr>
      <t>(DRaaS Connector)</t>
    </r>
  </si>
  <si>
    <r>
      <t xml:space="preserve">IP Address </t>
    </r>
    <r>
      <rPr>
        <i/>
        <sz val="12"/>
        <color theme="1"/>
        <rFont val="Helvetica"/>
        <family val="2"/>
      </rPr>
      <t>(DRaaS Connector)</t>
    </r>
  </si>
  <si>
    <r>
      <t xml:space="preserve">Hostname </t>
    </r>
    <r>
      <rPr>
        <i/>
        <sz val="12"/>
        <color theme="1"/>
        <rFont val="Helvetica"/>
        <family val="2"/>
      </rPr>
      <t>(DRaaS Connector #2)</t>
    </r>
  </si>
  <si>
    <r>
      <t xml:space="preserve">IP Address </t>
    </r>
    <r>
      <rPr>
        <i/>
        <sz val="12"/>
        <color theme="1"/>
        <rFont val="Helvetica"/>
        <family val="2"/>
      </rPr>
      <t>(DRaaS Connector #2)</t>
    </r>
  </si>
  <si>
    <t>Health Reporting and Monitoring References</t>
  </si>
  <si>
    <t>Host Virtual Machine - Hostname</t>
  </si>
  <si>
    <t>Host Virtual Machine - IP</t>
  </si>
  <si>
    <t>Host Virtual Machine - FQDN</t>
  </si>
  <si>
    <t>Host Virtual Machine - Administrator Password</t>
  </si>
  <si>
    <t>Host Virtual Machine - Root Password</t>
  </si>
  <si>
    <t>vRezlise Operations Server Account Password</t>
  </si>
  <si>
    <t>Management Domain Sizing Summary</t>
  </si>
  <si>
    <t>This tab presents a summary of the sizing requirements for your Management Domain based on the options selected on 'Deployment Options' and the choices made on 'Domain Sizing Inputs'.</t>
  </si>
  <si>
    <t>Management Domain Virtual Machine Requirement Summary</t>
  </si>
  <si>
    <t>Host Requirement Summary</t>
  </si>
  <si>
    <t>Storage Requirement Summary</t>
  </si>
  <si>
    <t>Nodes</t>
  </si>
  <si>
    <t>vCPU</t>
  </si>
  <si>
    <t>Memory (GB)</t>
  </si>
  <si>
    <t>Storage (GB)</t>
  </si>
  <si>
    <t>Management Hosts</t>
  </si>
  <si>
    <t>Hosts count based on User Specification</t>
  </si>
  <si>
    <t>Virtual Machine Capacity Requirements</t>
  </si>
  <si>
    <t>Management Domain vSphere Cluster Services</t>
  </si>
  <si>
    <t>Swap</t>
  </si>
  <si>
    <t>Management Domain vCenter Server</t>
  </si>
  <si>
    <t>Interim Total</t>
  </si>
  <si>
    <t>Management Domain NSX Managers (Local &amp; Global)</t>
  </si>
  <si>
    <t>Allow for Redundancy based on FTT1/RAID1</t>
  </si>
  <si>
    <t>Management Domain NSX Edges</t>
  </si>
  <si>
    <t>Allow for Virtual Machine Overhead</t>
  </si>
  <si>
    <t>Workload Domain vCenter Servers</t>
  </si>
  <si>
    <t>Allow for Estimated Growth</t>
  </si>
  <si>
    <t>Workload Domain NSX Managers (Local &amp; Global)</t>
  </si>
  <si>
    <t>Storage per Host (based on N-1 hosts)</t>
  </si>
  <si>
    <t>Validated Solution Requirements</t>
  </si>
  <si>
    <t>Storage per Disk Group</t>
  </si>
  <si>
    <t>Totals</t>
  </si>
  <si>
    <t>Management Domain Sizing Supporting Calculations</t>
  </si>
  <si>
    <t>The tables below show the detail that was rolled up to provide the above summary tables</t>
  </si>
  <si>
    <t>Management Domain Requirements</t>
  </si>
  <si>
    <t>vCenter Appliance</t>
  </si>
  <si>
    <t>Enable</t>
  </si>
  <si>
    <t>vCenter Appliance Requirements</t>
  </si>
  <si>
    <t>NSX Manager</t>
  </si>
  <si>
    <t>NSX Manager / Local Manager Appliance Requirements</t>
  </si>
  <si>
    <t>NSX Global Manager Appliance Requirements</t>
  </si>
  <si>
    <t>NSX Edge</t>
  </si>
  <si>
    <t>NSX Edge Appliance Requirements</t>
  </si>
  <si>
    <t>vSphere Cluster Services</t>
  </si>
  <si>
    <t>vSphere Cluster Services Requirements</t>
  </si>
  <si>
    <t>Workload Domains Requirements</t>
  </si>
  <si>
    <t>vCenter Nodes</t>
  </si>
  <si>
    <t>vCenter vCPU</t>
  </si>
  <si>
    <t>vCenter Memory (GB)</t>
  </si>
  <si>
    <t>vCenter Storage (GB)</t>
  </si>
  <si>
    <t>NSX Manager Nodes</t>
  </si>
  <si>
    <t>NSX Manager vCPU</t>
  </si>
  <si>
    <t>NSX Manager Memory (GB)</t>
  </si>
  <si>
    <t>NSX Manager Storage (GB)</t>
  </si>
  <si>
    <t>NSX Global Manager Nodes</t>
  </si>
  <si>
    <t>NSX Global Manager vCPU</t>
  </si>
  <si>
    <t>NSX Global Manager Memory (GB)</t>
  </si>
  <si>
    <t>NSX Global Manager Storage (GB)</t>
  </si>
  <si>
    <t>SRM Appliances</t>
  </si>
  <si>
    <t>SRM vCPU</t>
  </si>
  <si>
    <t>SRM Disk (GB)</t>
  </si>
  <si>
    <t>Workload Domain Totals</t>
  </si>
  <si>
    <t>vSphere Replication (Management Domain)</t>
  </si>
  <si>
    <t>Site Recovery Manager (Management Domain)</t>
  </si>
  <si>
    <t>Site Recovery Manager (Workload Domains)</t>
  </si>
  <si>
    <t>CommonName</t>
  </si>
  <si>
    <t>SAN1</t>
  </si>
  <si>
    <t>SAN2</t>
  </si>
  <si>
    <t>SAN3</t>
  </si>
  <si>
    <t>SAN4</t>
  </si>
  <si>
    <t>SAN5</t>
  </si>
  <si>
    <t>SAN6</t>
  </si>
  <si>
    <t>SAN7</t>
  </si>
  <si>
    <t>SAN8</t>
  </si>
  <si>
    <t>SAN9</t>
  </si>
  <si>
    <t>SAN10</t>
  </si>
  <si>
    <t>SAN11</t>
  </si>
  <si>
    <t>EMAIL</t>
  </si>
  <si>
    <t>IP</t>
  </si>
  <si>
    <t>FileName</t>
  </si>
  <si>
    <t>Copy this tab, create a new workbook, paste as values and save as a separate CSV file</t>
  </si>
  <si>
    <t>Management Domain Deployment and Post-Deployment Configuration</t>
  </si>
  <si>
    <t>This page contains all user required values used during the deployment of a VMware Cloud Foundation Management Domain and associated Post-Config tasks. Each table and value maps directly to a process in the deployment guidance documentation.</t>
  </si>
  <si>
    <t>Management Domain Deployment</t>
  </si>
  <si>
    <t>Deploy VMware Cloud Builder Appliance</t>
  </si>
  <si>
    <t>ESXi host</t>
  </si>
  <si>
    <t>Network Mappings</t>
  </si>
  <si>
    <t>Admin Username</t>
  </si>
  <si>
    <t>Admin Password</t>
  </si>
  <si>
    <t>Root Password</t>
  </si>
  <si>
    <t>Hostname</t>
  </si>
  <si>
    <t>Network 1 IP Address</t>
  </si>
  <si>
    <t>Network 1 Subnet Mask</t>
  </si>
  <si>
    <t>Default Gateway</t>
  </si>
  <si>
    <t>DNS Servers</t>
  </si>
  <si>
    <t>DNS Domain Name</t>
  </si>
  <si>
    <t>DNS Domain Search Paths</t>
  </si>
  <si>
    <t>NTP Servers</t>
  </si>
  <si>
    <t>Install ESXi on VMware Cloud Foundation Hosts Using the ISO</t>
  </si>
  <si>
    <t>esxi_root_user_password</t>
  </si>
  <si>
    <t>Configure the Network on VMware Cloud Foundation Hosts</t>
  </si>
  <si>
    <t>VLAN ID</t>
  </si>
  <si>
    <r>
      <t>IPv4 Address</t>
    </r>
    <r>
      <rPr>
        <i/>
        <sz val="12"/>
        <color theme="1"/>
        <rFont val="Helvetica"/>
        <family val="2"/>
      </rPr>
      <t xml:space="preserve"> (Host 1)</t>
    </r>
  </si>
  <si>
    <r>
      <t xml:space="preserve">IPv4 Address </t>
    </r>
    <r>
      <rPr>
        <i/>
        <sz val="12"/>
        <color theme="1"/>
        <rFont val="Helvetica"/>
        <family val="2"/>
      </rPr>
      <t>(Host 2)</t>
    </r>
  </si>
  <si>
    <r>
      <t>IPv4 Address</t>
    </r>
    <r>
      <rPr>
        <i/>
        <sz val="12"/>
        <color theme="1"/>
        <rFont val="Helvetica"/>
        <family val="2"/>
      </rPr>
      <t xml:space="preserve"> (Host 3)</t>
    </r>
  </si>
  <si>
    <r>
      <t>IPv4 Address</t>
    </r>
    <r>
      <rPr>
        <i/>
        <sz val="12"/>
        <color theme="1"/>
        <rFont val="Helvetica"/>
        <family val="2"/>
      </rPr>
      <t xml:space="preserve"> (Host 4)</t>
    </r>
  </si>
  <si>
    <t>Subnet Mask</t>
  </si>
  <si>
    <t>Primary DNS Server</t>
  </si>
  <si>
    <t>Alternate DNS Server</t>
  </si>
  <si>
    <r>
      <t>Hostname</t>
    </r>
    <r>
      <rPr>
        <i/>
        <sz val="12"/>
        <color theme="1"/>
        <rFont val="Helvetica"/>
        <family val="2"/>
      </rPr>
      <t xml:space="preserve"> (Host 1)</t>
    </r>
  </si>
  <si>
    <r>
      <t xml:space="preserve">Hostname </t>
    </r>
    <r>
      <rPr>
        <i/>
        <sz val="12"/>
        <color theme="1"/>
        <rFont val="Helvetica"/>
        <family val="2"/>
      </rPr>
      <t>(Host 2)</t>
    </r>
  </si>
  <si>
    <r>
      <t>Hostname</t>
    </r>
    <r>
      <rPr>
        <i/>
        <sz val="12"/>
        <color theme="1"/>
        <rFont val="Helvetica"/>
        <family val="2"/>
      </rPr>
      <t xml:space="preserve"> (Host 3)</t>
    </r>
  </si>
  <si>
    <r>
      <t xml:space="preserve">Hostname </t>
    </r>
    <r>
      <rPr>
        <i/>
        <sz val="12"/>
        <color rgb="FF000000"/>
        <rFont val="Helvetica"/>
        <family val="2"/>
      </rPr>
      <t>(Host 4)</t>
    </r>
  </si>
  <si>
    <t>Configure the Virtual Machine Network Port Group on VMware Cloud Foundation Hosts</t>
  </si>
  <si>
    <r>
      <t xml:space="preserve">ESXi host </t>
    </r>
    <r>
      <rPr>
        <i/>
        <sz val="12"/>
        <color rgb="FF000000"/>
        <rFont val="Helvetica"/>
        <family val="2"/>
      </rPr>
      <t>(Host 1)</t>
    </r>
  </si>
  <si>
    <r>
      <t>ESXi host</t>
    </r>
    <r>
      <rPr>
        <i/>
        <sz val="12"/>
        <color rgb="FF000000"/>
        <rFont val="Helvetica"/>
        <family val="2"/>
      </rPr>
      <t xml:space="preserve"> (Host 2)</t>
    </r>
  </si>
  <si>
    <r>
      <t xml:space="preserve">ESXi host </t>
    </r>
    <r>
      <rPr>
        <i/>
        <sz val="12"/>
        <color rgb="FF000000"/>
        <rFont val="Helvetica"/>
        <family val="2"/>
      </rPr>
      <t>(Host 3)</t>
    </r>
  </si>
  <si>
    <r>
      <t>ESXi host</t>
    </r>
    <r>
      <rPr>
        <i/>
        <sz val="12"/>
        <color rgb="FF000000"/>
        <rFont val="Helvetica"/>
        <family val="2"/>
      </rPr>
      <t xml:space="preserve"> (Host 4)</t>
    </r>
  </si>
  <si>
    <t>Configure SSH and NTP on VMware Cloud Foundation Hosts</t>
  </si>
  <si>
    <r>
      <t xml:space="preserve">ESXi host </t>
    </r>
    <r>
      <rPr>
        <i/>
        <sz val="12"/>
        <color rgb="FF000000"/>
        <rFont val="Helvetica"/>
        <family val="2"/>
      </rPr>
      <t>(Host 4)</t>
    </r>
  </si>
  <si>
    <t>NTP servers</t>
  </si>
  <si>
    <t>Regenerate the Self-Signed Certificate on All Hosts</t>
  </si>
  <si>
    <r>
      <t>ESXi host</t>
    </r>
    <r>
      <rPr>
        <i/>
        <sz val="12"/>
        <color rgb="FF000000"/>
        <rFont val="Helvetica"/>
        <family val="2"/>
      </rPr>
      <t xml:space="preserve"> (Host 1)</t>
    </r>
  </si>
  <si>
    <t>Configure ESXi Hosts with Signed Certificates</t>
  </si>
  <si>
    <r>
      <t>ESXi host</t>
    </r>
    <r>
      <rPr>
        <i/>
        <sz val="12"/>
        <color rgb="FF000000"/>
        <rFont val="Helvetica"/>
        <family val="2"/>
      </rPr>
      <t xml:space="preserve"> (Host 3)</t>
    </r>
  </si>
  <si>
    <t>Download and Complete the Deployment Parameter Workbook</t>
  </si>
  <si>
    <t>Cloud_Builder_VM_IP</t>
  </si>
  <si>
    <t>vcf-ems-deployment-parameter workbook</t>
  </si>
  <si>
    <t>Credentials Tab</t>
  </si>
  <si>
    <t>audit</t>
  </si>
  <si>
    <t>vcf</t>
  </si>
  <si>
    <t>admin@local</t>
  </si>
  <si>
    <t>Hosts and Networks Tab</t>
  </si>
  <si>
    <t>Management Domain Networks</t>
  </si>
  <si>
    <t>VLAN: Management Network</t>
  </si>
  <si>
    <t>VLAN: vMotion Network</t>
  </si>
  <si>
    <t>VLAN: vSAN Network</t>
  </si>
  <si>
    <t>Portgroup Name: Management Network</t>
  </si>
  <si>
    <t>Portgroup Name: vMotion Network</t>
  </si>
  <si>
    <t>Portgroup Name: vSAN Network</t>
  </si>
  <si>
    <t>CIDR Notation: Management Network</t>
  </si>
  <si>
    <t>CIDR Notation: vMotion Network</t>
  </si>
  <si>
    <t>CIDR Notation: vSAN Network</t>
  </si>
  <si>
    <t>Gateway: Management Network</t>
  </si>
  <si>
    <t>Gateway: vMotion Network</t>
  </si>
  <si>
    <t>Gateway: vSAN Network</t>
  </si>
  <si>
    <t>MTU: Management Network</t>
  </si>
  <si>
    <t>MTU: vMotion Network</t>
  </si>
  <si>
    <t>MTU: vSAN Network</t>
  </si>
  <si>
    <t>Primary vSphere Distributed Switch - Name</t>
  </si>
  <si>
    <t>Primary vSphere Distributed Switch - pNICs</t>
  </si>
  <si>
    <t>Primary vSphere Distributed Switch - MTU Size</t>
  </si>
  <si>
    <t>Secondary vSphere Distributed Switch - Name</t>
  </si>
  <si>
    <t>Secondary vSphere Distributed Switch - pNICs</t>
  </si>
  <si>
    <t>Secondary vSphere Distributed Switch - MTU Size</t>
  </si>
  <si>
    <t>Management Domain ESXi Hosts</t>
  </si>
  <si>
    <r>
      <t xml:space="preserve">ESXi host </t>
    </r>
    <r>
      <rPr>
        <i/>
        <sz val="12"/>
        <color rgb="FF000000"/>
        <rFont val="Helvetica"/>
        <family val="2"/>
      </rPr>
      <t>(Host 2)</t>
    </r>
  </si>
  <si>
    <r>
      <t xml:space="preserve">IPv4 Address </t>
    </r>
    <r>
      <rPr>
        <i/>
        <sz val="12"/>
        <color theme="1"/>
        <rFont val="Helvetica"/>
        <family val="2"/>
      </rPr>
      <t>(Host 1)</t>
    </r>
  </si>
  <si>
    <r>
      <t>IPv4 Address</t>
    </r>
    <r>
      <rPr>
        <i/>
        <sz val="12"/>
        <color theme="1"/>
        <rFont val="Helvetica"/>
        <family val="2"/>
      </rPr>
      <t xml:space="preserve"> (Host 2)</t>
    </r>
  </si>
  <si>
    <r>
      <t xml:space="preserve">IPv4 Address </t>
    </r>
    <r>
      <rPr>
        <i/>
        <sz val="12"/>
        <color theme="1"/>
        <rFont val="Helvetica"/>
        <family val="2"/>
      </rPr>
      <t>(Host 3)</t>
    </r>
  </si>
  <si>
    <r>
      <t xml:space="preserve">IPv4 Address </t>
    </r>
    <r>
      <rPr>
        <i/>
        <sz val="12"/>
        <color theme="1"/>
        <rFont val="Helvetica"/>
        <family val="2"/>
      </rPr>
      <t>(Host 4)</t>
    </r>
  </si>
  <si>
    <t>vMotion Start IP</t>
  </si>
  <si>
    <t>vMotion End IP</t>
  </si>
  <si>
    <t>vSAN Start IP</t>
  </si>
  <si>
    <t>vSAN End IP</t>
  </si>
  <si>
    <t>Validate Thumbprints</t>
  </si>
  <si>
    <r>
      <t>SSH RSA Key Fingerprints (SHA256)</t>
    </r>
    <r>
      <rPr>
        <i/>
        <sz val="12"/>
        <color theme="1"/>
        <rFont val="Helvetica"/>
        <family val="2"/>
      </rPr>
      <t xml:space="preserve"> (Host 1)</t>
    </r>
  </si>
  <si>
    <r>
      <t xml:space="preserve">SSH RSA Key Fingerprints (SHA256) </t>
    </r>
    <r>
      <rPr>
        <i/>
        <sz val="12"/>
        <color theme="1"/>
        <rFont val="Helvetica"/>
        <family val="2"/>
      </rPr>
      <t>(Host 2)</t>
    </r>
  </si>
  <si>
    <r>
      <t xml:space="preserve">SSH RSA Key Fingerprints (SHA256) </t>
    </r>
    <r>
      <rPr>
        <i/>
        <sz val="12"/>
        <color theme="1"/>
        <rFont val="Helvetica"/>
        <family val="2"/>
      </rPr>
      <t>(Host 3)</t>
    </r>
  </si>
  <si>
    <r>
      <t xml:space="preserve">SSH RSA Key Fingerprints (SHA256) </t>
    </r>
    <r>
      <rPr>
        <i/>
        <sz val="12"/>
        <color theme="1"/>
        <rFont val="Helvetica"/>
        <family val="2"/>
      </rPr>
      <t>(Host 4)</t>
    </r>
  </si>
  <si>
    <r>
      <t xml:space="preserve">SSL Thumbprints (SHA256) </t>
    </r>
    <r>
      <rPr>
        <i/>
        <sz val="12"/>
        <color theme="1"/>
        <rFont val="Helvetica"/>
        <family val="2"/>
      </rPr>
      <t>(Host 1)</t>
    </r>
  </si>
  <si>
    <r>
      <t xml:space="preserve">SSL Thumbprints (SHA256) </t>
    </r>
    <r>
      <rPr>
        <i/>
        <sz val="12"/>
        <color theme="1"/>
        <rFont val="Helvetica"/>
        <family val="2"/>
      </rPr>
      <t>(Host 2)</t>
    </r>
  </si>
  <si>
    <r>
      <t xml:space="preserve">SSL Thumbprints (SHA256) </t>
    </r>
    <r>
      <rPr>
        <i/>
        <sz val="12"/>
        <color theme="1"/>
        <rFont val="Helvetica"/>
        <family val="2"/>
      </rPr>
      <t>(Host 3)</t>
    </r>
  </si>
  <si>
    <r>
      <t xml:space="preserve">SSL Thumbprints (SHA256) </t>
    </r>
    <r>
      <rPr>
        <i/>
        <sz val="12"/>
        <color theme="1"/>
        <rFont val="Helvetica"/>
        <family val="2"/>
      </rPr>
      <t>(Host 4)</t>
    </r>
  </si>
  <si>
    <t xml:space="preserve">Configure NSX-T Host Overlay Using a Static IP Pool	</t>
  </si>
  <si>
    <t>Pool Description</t>
  </si>
  <si>
    <t>Pool Name</t>
  </si>
  <si>
    <t>CIDR Notation</t>
  </si>
  <si>
    <t>Gateway</t>
  </si>
  <si>
    <t>NSX-T Host Overlay Start IP</t>
  </si>
  <si>
    <t>NSX-T Host Overlay End IP</t>
  </si>
  <si>
    <t xml:space="preserve">Existing Infrastructure Details		</t>
  </si>
  <si>
    <t xml:space="preserve">DNS Server #1 </t>
  </si>
  <si>
    <t>DNS Server #2</t>
  </si>
  <si>
    <t>NTP Server #1</t>
  </si>
  <si>
    <t>NTP Server #2</t>
  </si>
  <si>
    <t>DNS Zone Name</t>
  </si>
  <si>
    <t>Enable Customer Experience Improvement Program (“CEIP”)</t>
  </si>
  <si>
    <t>Enable FIPS Security Mode on SDDC Manager</t>
  </si>
  <si>
    <t xml:space="preserve">License Keys	</t>
  </si>
  <si>
    <t>vSphere Infrastructure</t>
  </si>
  <si>
    <t>vCenter Server Hostname and IP Address: Hostname</t>
  </si>
  <si>
    <t>vCenter Server Hostname and IP Address: IP Address</t>
  </si>
  <si>
    <t>vCenter Server Appliance Size (Default Small)</t>
  </si>
  <si>
    <t>small</t>
  </si>
  <si>
    <t>vCenter Server Appliance Storage Size</t>
  </si>
  <si>
    <t>default</t>
  </si>
  <si>
    <t>Cluster EVC Setting</t>
  </si>
  <si>
    <t>Select the VCF Architecture to be deployed</t>
  </si>
  <si>
    <t>User name</t>
  </si>
  <si>
    <t>Password</t>
  </si>
  <si>
    <t>Folder</t>
  </si>
  <si>
    <t>Network</t>
  </si>
  <si>
    <t>FQDN</t>
  </si>
  <si>
    <t>IP Address</t>
  </si>
  <si>
    <t>User Name</t>
  </si>
  <si>
    <t>vCenter</t>
  </si>
  <si>
    <t>Reconfigure SFTP Backups for SDDC Manager and NSX-T Data Center</t>
  </si>
  <si>
    <t xml:space="preserve">Host FQDN or IP </t>
  </si>
  <si>
    <t>Transfer Protocol</t>
  </si>
  <si>
    <t>Username</t>
  </si>
  <si>
    <t>SSH Fingerprint</t>
  </si>
  <si>
    <t>Install Microsoft Certificate Authority Roles</t>
  </si>
  <si>
    <t>User</t>
  </si>
  <si>
    <t>Configure the Microsoft Certificate Authority for Basic Authentication</t>
  </si>
  <si>
    <t>Your_Server</t>
  </si>
  <si>
    <t>Create and Add a Microsoft Certificate Authority Template</t>
  </si>
  <si>
    <t>Template Display Name</t>
  </si>
  <si>
    <t>Assign Certificate Management Privileges to the SDDC Manager Service Account</t>
  </si>
  <si>
    <t>Active Directory Account Username</t>
  </si>
  <si>
    <t>Configure a Microsoft Certificate Authority in SDDC Manager</t>
  </si>
  <si>
    <t>Microsoft</t>
  </si>
  <si>
    <t>CA Server URL</t>
  </si>
  <si>
    <t>Installing Microsoft CA-Signed Certificates using SDDC Manager</t>
  </si>
  <si>
    <t>Organizational Unit</t>
  </si>
  <si>
    <t>Configure OpenSSL-signed Certificates in SDDC Manager</t>
  </si>
  <si>
    <t>OpenSSL</t>
  </si>
  <si>
    <t>Common Name</t>
  </si>
  <si>
    <t>Installing OpenSSL-signed Certificates using SDDC Manager</t>
  </si>
  <si>
    <t>NSX Routing for Managment Domain</t>
  </si>
  <si>
    <t>Create an NSX-T Edge Cluster</t>
  </si>
  <si>
    <t>Edge Cluster Name</t>
  </si>
  <si>
    <t>MTU</t>
  </si>
  <si>
    <t>ASN</t>
  </si>
  <si>
    <t>Tier 0 Name</t>
  </si>
  <si>
    <t>Tier 1 Name</t>
  </si>
  <si>
    <t>Edge Cluster Profile Type</t>
  </si>
  <si>
    <t>Edge Cluster Profile Name</t>
  </si>
  <si>
    <t>BFD Allowed Hop</t>
  </si>
  <si>
    <t>BFD Declare Dead Multiple</t>
  </si>
  <si>
    <t>BFD Probe Interval (milliseconds)</t>
  </si>
  <si>
    <t>Standby Relocation Threshold (minutes)</t>
  </si>
  <si>
    <t>Edge Root Password</t>
  </si>
  <si>
    <t>Edge Admin Password</t>
  </si>
  <si>
    <t>Edge Audit Password</t>
  </si>
  <si>
    <t>Use Case</t>
  </si>
  <si>
    <t>Edge Form Factor</t>
  </si>
  <si>
    <t>Tier-0 Service High Availability</t>
  </si>
  <si>
    <t>Active-Active</t>
  </si>
  <si>
    <t>Tier-0 Routing Type</t>
  </si>
  <si>
    <t>Edge Node</t>
  </si>
  <si>
    <t>Edge Node 1: Edge Node Name (FQDN)</t>
  </si>
  <si>
    <t>Edge Node 1: Management IP (CIDR)</t>
  </si>
  <si>
    <t>Edge Node 1: Management Gateway</t>
  </si>
  <si>
    <t>Edge Node 1: Edge TEP 1 IP (CIDR)</t>
  </si>
  <si>
    <t>Edge Node 1: Edge TEP 2 IP (CIDR)</t>
  </si>
  <si>
    <t>Edge Node 1: Edge TEP Gateway</t>
  </si>
  <si>
    <t>Edge Node 1: Edge TEP VLAN</t>
  </si>
  <si>
    <t>Edge Node 1: Cluster</t>
  </si>
  <si>
    <t>Edge Node 1: Cluster Type</t>
  </si>
  <si>
    <t>L2 Uniform</t>
  </si>
  <si>
    <t>Edge Node 1: First Uplink VLAN</t>
  </si>
  <si>
    <t>Edge Node 1: First Uplink Interface IP (CIDR)</t>
  </si>
  <si>
    <t>Edge Node 1: Peer IP (CIDR)</t>
  </si>
  <si>
    <t>Edge Node 1: ASN Peer</t>
  </si>
  <si>
    <t>Edge Node 1: BGP Peer Password</t>
  </si>
  <si>
    <t>Edge Node 1: Second Uplink VLAN</t>
  </si>
  <si>
    <t>Edge Node 1: Second Uplink Interface IP(CIDR)</t>
  </si>
  <si>
    <t>Edge Node 2: Edge Node Name (FQDN)</t>
  </si>
  <si>
    <t>Edge Node 2: Management IP (CIDR)</t>
  </si>
  <si>
    <t>Edge Node 2: Management Gateway</t>
  </si>
  <si>
    <t>Edge Node 2: Edge TEP 1 IP (CIDR)</t>
  </si>
  <si>
    <t>Edge Node 2: Edge TEP 2 IP (CIDR)</t>
  </si>
  <si>
    <t>Edge Node 2: Edge TEP Gateway</t>
  </si>
  <si>
    <t>Edge Node 2: Edge TEP VLAN</t>
  </si>
  <si>
    <t>Edge Node 2: Cluster</t>
  </si>
  <si>
    <t>Edge Node 2: Cluster Type</t>
  </si>
  <si>
    <t>Edge Node 2: First Uplink VLAN</t>
  </si>
  <si>
    <t>Edge Node 2: First Uplink Interface IP (CIDR)</t>
  </si>
  <si>
    <t>Edge Node 2: Peer IP (CIDR)</t>
  </si>
  <si>
    <t>Edge Node 2: ASN Peer</t>
  </si>
  <si>
    <t>Edge Node 2: BGP Peer Password</t>
  </si>
  <si>
    <t>Edge Node 2: Second Uplink VLAN</t>
  </si>
  <si>
    <t>Edge Node 2: Second Uplink Interface IP(CIDR)</t>
  </si>
  <si>
    <t>Deploy Overlay-Backed NSX Segments</t>
  </si>
  <si>
    <t>AVN Type Selection</t>
  </si>
  <si>
    <t>AVN Type</t>
  </si>
  <si>
    <t>NSX-T Edge Cluster and Tier-1 Gateway</t>
  </si>
  <si>
    <t>Edge Cluster</t>
  </si>
  <si>
    <t>Tier-1 Gateway</t>
  </si>
  <si>
    <t>Add AVN Input Settings</t>
  </si>
  <si>
    <t>Region-Specific: Name</t>
  </si>
  <si>
    <t>Region-Specific: Subnet</t>
  </si>
  <si>
    <t>Region-Specific: Subnet Mask</t>
  </si>
  <si>
    <t>Region-Specific: Subnet Gateway</t>
  </si>
  <si>
    <t>Region-Specific: MTU</t>
  </si>
  <si>
    <t>Cross-Region: Name</t>
  </si>
  <si>
    <t>Cross-Region: Subnet</t>
  </si>
  <si>
    <t>Cross-Region: Subnet Mask</t>
  </si>
  <si>
    <t>Cross-Region: Subnet Gateway</t>
  </si>
  <si>
    <t>Cross-Region: MTU</t>
  </si>
  <si>
    <t>Deploy VLAN-Backed NSX Segments</t>
  </si>
  <si>
    <t>Region-Specific: VLAN</t>
  </si>
  <si>
    <t>Cross-Region: VLAN</t>
  </si>
  <si>
    <t>Deploy the vSAN Witness Host</t>
  </si>
  <si>
    <t>vcenter_server_fqdn</t>
  </si>
  <si>
    <t>virtual machine name</t>
  </si>
  <si>
    <t>Secondary Network</t>
  </si>
  <si>
    <t>Root password</t>
  </si>
  <si>
    <t>Netmask</t>
  </si>
  <si>
    <t>DNS Domain</t>
  </si>
  <si>
    <t>Witness Hostname</t>
  </si>
  <si>
    <t>Register vSAN Witness Host</t>
  </si>
  <si>
    <t>data center</t>
  </si>
  <si>
    <t>vsan_witness_root_password</t>
  </si>
  <si>
    <t>Configure NTP on the Witness Host</t>
  </si>
  <si>
    <t>vSAN Witness Host</t>
  </si>
  <si>
    <t>Configure the VMkernel Adapters on the vSAN Witness Host</t>
  </si>
  <si>
    <t>Stretch a Cluster</t>
  </si>
  <si>
    <t>&lt;ESXi host 1 ID&gt;</t>
  </si>
  <si>
    <t>&lt;ESXi host 2 ID&gt;</t>
  </si>
  <si>
    <t>&lt;ESXi host 3 ID&gt;</t>
  </si>
  <si>
    <t>&lt;ESXi host 4 ID&gt;</t>
  </si>
  <si>
    <t>licenseKey</t>
  </si>
  <si>
    <t>secondaryAzOverlayVlanId</t>
  </si>
  <si>
    <t>fqdn</t>
  </si>
  <si>
    <t>vsanCidr</t>
  </si>
  <si>
    <t>vsanIp</t>
  </si>
  <si>
    <t>id (cluster)</t>
  </si>
  <si>
    <t>Configure IP Prefixes in the Tier-0 Gateway for Availability Zone 2</t>
  </si>
  <si>
    <t>&lt;nsx_manager_fqdn&gt;</t>
  </si>
  <si>
    <t>Configure Route Maps in the Tier-0 Gateway for Availability Zone 2</t>
  </si>
  <si>
    <t>bgp_asn</t>
  </si>
  <si>
    <t>Configure BGP in the Tier-0 Gateway for Availability Zone 2</t>
  </si>
  <si>
    <t>ip_bgp_neighbor1</t>
  </si>
  <si>
    <t>asn_bgp_neighbor1</t>
  </si>
  <si>
    <t>1st Source Address</t>
  </si>
  <si>
    <t>2nd Source Address</t>
  </si>
  <si>
    <t>bgp_password</t>
  </si>
  <si>
    <t>ip_bgp_neighbor2</t>
  </si>
  <si>
    <t>asn_bgp_neighbor2</t>
  </si>
  <si>
    <t>Deploy the Global Manager Appliances</t>
  </si>
  <si>
    <t>&lt;vcenter_server_fqdn&gt;</t>
  </si>
  <si>
    <r>
      <t>Virtual Machine Name</t>
    </r>
    <r>
      <rPr>
        <i/>
        <sz val="12"/>
        <color theme="1"/>
        <rFont val="Helvetica"/>
        <family val="2"/>
      </rPr>
      <t xml:space="preserve"> (Node 1)</t>
    </r>
  </si>
  <si>
    <r>
      <t xml:space="preserve">Location </t>
    </r>
    <r>
      <rPr>
        <i/>
        <sz val="12"/>
        <color theme="1"/>
        <rFont val="Helvetica"/>
        <family val="2"/>
      </rPr>
      <t>(Node 1)</t>
    </r>
  </si>
  <si>
    <r>
      <t>Compute Resource</t>
    </r>
    <r>
      <rPr>
        <i/>
        <sz val="12"/>
        <color theme="1"/>
        <rFont val="Helvetica"/>
        <family val="2"/>
      </rPr>
      <t xml:space="preserve"> (Node 1)</t>
    </r>
  </si>
  <si>
    <r>
      <t>Deployment configuration size</t>
    </r>
    <r>
      <rPr>
        <i/>
        <sz val="12"/>
        <color theme="1"/>
        <rFont val="Helvetica"/>
        <family val="2"/>
      </rPr>
      <t xml:space="preserve"> (Node 1)</t>
    </r>
  </si>
  <si>
    <r>
      <t>Datastore</t>
    </r>
    <r>
      <rPr>
        <i/>
        <sz val="12"/>
        <color theme="1"/>
        <rFont val="Helvetica"/>
        <family val="2"/>
      </rPr>
      <t xml:space="preserve"> (Node 1)</t>
    </r>
  </si>
  <si>
    <r>
      <t>Network 1 (Management Network</t>
    </r>
    <r>
      <rPr>
        <i/>
        <sz val="12"/>
        <color theme="1"/>
        <rFont val="Helvetica"/>
        <family val="2"/>
      </rPr>
      <t>) (Node 1)</t>
    </r>
  </si>
  <si>
    <r>
      <t xml:space="preserve">System Root User Password </t>
    </r>
    <r>
      <rPr>
        <i/>
        <sz val="12"/>
        <color theme="1"/>
        <rFont val="Helvetica"/>
        <family val="2"/>
      </rPr>
      <t>(Node 1)</t>
    </r>
  </si>
  <si>
    <r>
      <t>CLI "admin" User Password</t>
    </r>
    <r>
      <rPr>
        <i/>
        <sz val="12"/>
        <color theme="1"/>
        <rFont val="Helvetica"/>
        <family val="2"/>
      </rPr>
      <t xml:space="preserve"> (Node 1)</t>
    </r>
  </si>
  <si>
    <r>
      <t xml:space="preserve">CLI "audit" User Password </t>
    </r>
    <r>
      <rPr>
        <i/>
        <sz val="12"/>
        <color theme="1"/>
        <rFont val="Helvetica"/>
        <family val="2"/>
      </rPr>
      <t>(Node 1)</t>
    </r>
  </si>
  <si>
    <r>
      <t xml:space="preserve">Hostname (FQDN) </t>
    </r>
    <r>
      <rPr>
        <i/>
        <sz val="12"/>
        <color theme="1"/>
        <rFont val="Helvetica"/>
        <family val="2"/>
      </rPr>
      <t>(Node 1)</t>
    </r>
  </si>
  <si>
    <r>
      <t xml:space="preserve">Management Network IPv4 Address </t>
    </r>
    <r>
      <rPr>
        <i/>
        <sz val="12"/>
        <color theme="1"/>
        <rFont val="Helvetica"/>
        <family val="2"/>
      </rPr>
      <t>(Node 1)</t>
    </r>
  </si>
  <si>
    <r>
      <t xml:space="preserve">Management Network Netmask </t>
    </r>
    <r>
      <rPr>
        <i/>
        <sz val="12"/>
        <color theme="1"/>
        <rFont val="Helvetica"/>
        <family val="2"/>
      </rPr>
      <t>(Node 1)</t>
    </r>
  </si>
  <si>
    <r>
      <t>Default IPv4 Gateway</t>
    </r>
    <r>
      <rPr>
        <i/>
        <sz val="12"/>
        <color theme="1"/>
        <rFont val="Helvetica"/>
        <family val="2"/>
      </rPr>
      <t xml:space="preserve"> (Node 1)</t>
    </r>
  </si>
  <si>
    <r>
      <t xml:space="preserve">DNS Server list </t>
    </r>
    <r>
      <rPr>
        <i/>
        <sz val="12"/>
        <color theme="1"/>
        <rFont val="Helvetica"/>
        <family val="2"/>
      </rPr>
      <t>(Node 1)</t>
    </r>
  </si>
  <si>
    <r>
      <t>Domain Search List</t>
    </r>
    <r>
      <rPr>
        <i/>
        <sz val="12"/>
        <color theme="1"/>
        <rFont val="Helvetica"/>
        <family val="2"/>
      </rPr>
      <t xml:space="preserve"> (Node 1)</t>
    </r>
  </si>
  <si>
    <r>
      <t>NTP Server List</t>
    </r>
    <r>
      <rPr>
        <i/>
        <sz val="12"/>
        <color theme="1"/>
        <rFont val="Helvetica"/>
        <family val="2"/>
      </rPr>
      <t xml:space="preserve"> (Node 1)</t>
    </r>
  </si>
  <si>
    <r>
      <t>Virtual Machine Name</t>
    </r>
    <r>
      <rPr>
        <i/>
        <sz val="12"/>
        <color theme="1"/>
        <rFont val="Helvetica"/>
        <family val="2"/>
      </rPr>
      <t xml:space="preserve"> (Node 2)</t>
    </r>
  </si>
  <si>
    <r>
      <t xml:space="preserve">Location </t>
    </r>
    <r>
      <rPr>
        <i/>
        <sz val="12"/>
        <color theme="1"/>
        <rFont val="Helvetica"/>
        <family val="2"/>
      </rPr>
      <t>(Node 2)</t>
    </r>
  </si>
  <si>
    <r>
      <t>Compute Resource</t>
    </r>
    <r>
      <rPr>
        <i/>
        <sz val="12"/>
        <color theme="1"/>
        <rFont val="Helvetica"/>
        <family val="2"/>
      </rPr>
      <t xml:space="preserve"> (Node 2)</t>
    </r>
  </si>
  <si>
    <r>
      <t>Deployment configuration size</t>
    </r>
    <r>
      <rPr>
        <i/>
        <sz val="12"/>
        <color theme="1"/>
        <rFont val="Helvetica"/>
        <family val="2"/>
      </rPr>
      <t xml:space="preserve"> (Node 2)</t>
    </r>
  </si>
  <si>
    <r>
      <t>Datastore</t>
    </r>
    <r>
      <rPr>
        <i/>
        <sz val="12"/>
        <color theme="1"/>
        <rFont val="Helvetica"/>
        <family val="2"/>
      </rPr>
      <t xml:space="preserve"> (Node 2)</t>
    </r>
  </si>
  <si>
    <r>
      <t>Network 1 (Management Network</t>
    </r>
    <r>
      <rPr>
        <i/>
        <sz val="12"/>
        <color theme="1"/>
        <rFont val="Helvetica"/>
        <family val="2"/>
      </rPr>
      <t>) (Node 2)</t>
    </r>
  </si>
  <si>
    <r>
      <t xml:space="preserve">System Root User Password </t>
    </r>
    <r>
      <rPr>
        <i/>
        <sz val="12"/>
        <color theme="1"/>
        <rFont val="Helvetica"/>
        <family val="2"/>
      </rPr>
      <t>(Node 2)</t>
    </r>
  </si>
  <si>
    <r>
      <t>CLI "admin" User Password</t>
    </r>
    <r>
      <rPr>
        <i/>
        <sz val="12"/>
        <color theme="1"/>
        <rFont val="Helvetica"/>
        <family val="2"/>
      </rPr>
      <t xml:space="preserve"> (Node 2)</t>
    </r>
  </si>
  <si>
    <r>
      <t xml:space="preserve">CLI "audit" User Password </t>
    </r>
    <r>
      <rPr>
        <i/>
        <sz val="12"/>
        <color theme="1"/>
        <rFont val="Helvetica"/>
        <family val="2"/>
      </rPr>
      <t>(Node 2)</t>
    </r>
  </si>
  <si>
    <r>
      <t xml:space="preserve">Hostname (FQDN) </t>
    </r>
    <r>
      <rPr>
        <i/>
        <sz val="12"/>
        <color theme="1"/>
        <rFont val="Helvetica"/>
        <family val="2"/>
      </rPr>
      <t>(Node 2)</t>
    </r>
  </si>
  <si>
    <r>
      <t xml:space="preserve">Management Network IPv4 Address </t>
    </r>
    <r>
      <rPr>
        <i/>
        <sz val="12"/>
        <color theme="1"/>
        <rFont val="Helvetica"/>
        <family val="2"/>
      </rPr>
      <t>(Node 2)</t>
    </r>
  </si>
  <si>
    <r>
      <t xml:space="preserve">Management Network Netmask </t>
    </r>
    <r>
      <rPr>
        <i/>
        <sz val="12"/>
        <color theme="1"/>
        <rFont val="Helvetica"/>
        <family val="2"/>
      </rPr>
      <t>(Node 2)</t>
    </r>
  </si>
  <si>
    <r>
      <t>Default IPv4 Gateway</t>
    </r>
    <r>
      <rPr>
        <i/>
        <sz val="12"/>
        <color theme="1"/>
        <rFont val="Helvetica"/>
        <family val="2"/>
      </rPr>
      <t xml:space="preserve"> (Node 2)</t>
    </r>
  </si>
  <si>
    <r>
      <t xml:space="preserve">DNS Server list </t>
    </r>
    <r>
      <rPr>
        <i/>
        <sz val="12"/>
        <color theme="1"/>
        <rFont val="Helvetica"/>
        <family val="2"/>
      </rPr>
      <t>(Node 2)</t>
    </r>
  </si>
  <si>
    <r>
      <t>Domain Search List</t>
    </r>
    <r>
      <rPr>
        <i/>
        <sz val="12"/>
        <color theme="1"/>
        <rFont val="Helvetica"/>
        <family val="2"/>
      </rPr>
      <t xml:space="preserve"> (Node 2)</t>
    </r>
  </si>
  <si>
    <r>
      <t>NTP Server List</t>
    </r>
    <r>
      <rPr>
        <i/>
        <sz val="12"/>
        <color theme="1"/>
        <rFont val="Helvetica"/>
        <family val="2"/>
      </rPr>
      <t xml:space="preserve"> (Node 2)</t>
    </r>
  </si>
  <si>
    <r>
      <t>Virtual Machine Name</t>
    </r>
    <r>
      <rPr>
        <i/>
        <sz val="12"/>
        <color theme="1"/>
        <rFont val="Helvetica"/>
        <family val="2"/>
      </rPr>
      <t xml:space="preserve"> (Node 3)</t>
    </r>
  </si>
  <si>
    <r>
      <t xml:space="preserve">Location </t>
    </r>
    <r>
      <rPr>
        <i/>
        <sz val="12"/>
        <color theme="1"/>
        <rFont val="Helvetica"/>
        <family val="2"/>
      </rPr>
      <t>(Node 3)</t>
    </r>
  </si>
  <si>
    <r>
      <t>Compute Resource</t>
    </r>
    <r>
      <rPr>
        <i/>
        <sz val="12"/>
        <color theme="1"/>
        <rFont val="Helvetica"/>
        <family val="2"/>
      </rPr>
      <t xml:space="preserve"> (Node 3)</t>
    </r>
  </si>
  <si>
    <r>
      <t>Deployment configuration size</t>
    </r>
    <r>
      <rPr>
        <i/>
        <sz val="12"/>
        <color theme="1"/>
        <rFont val="Helvetica"/>
        <family val="2"/>
      </rPr>
      <t xml:space="preserve"> (Node 3)</t>
    </r>
  </si>
  <si>
    <r>
      <t>Datastore</t>
    </r>
    <r>
      <rPr>
        <i/>
        <sz val="12"/>
        <color theme="1"/>
        <rFont val="Helvetica"/>
        <family val="2"/>
      </rPr>
      <t xml:space="preserve"> (Node 3)</t>
    </r>
  </si>
  <si>
    <r>
      <t>Network 1 (Management Network</t>
    </r>
    <r>
      <rPr>
        <i/>
        <sz val="12"/>
        <color theme="1"/>
        <rFont val="Helvetica"/>
        <family val="2"/>
      </rPr>
      <t>) (Node 3)</t>
    </r>
  </si>
  <si>
    <r>
      <t xml:space="preserve">System Root User Password </t>
    </r>
    <r>
      <rPr>
        <i/>
        <sz val="12"/>
        <color theme="1"/>
        <rFont val="Helvetica"/>
        <family val="2"/>
      </rPr>
      <t>(Node 3)</t>
    </r>
  </si>
  <si>
    <r>
      <t>CLI "admin" User Password</t>
    </r>
    <r>
      <rPr>
        <i/>
        <sz val="12"/>
        <color theme="1"/>
        <rFont val="Helvetica"/>
        <family val="2"/>
      </rPr>
      <t xml:space="preserve"> (Node 3)</t>
    </r>
  </si>
  <si>
    <r>
      <t xml:space="preserve">CLI "audit" User Password </t>
    </r>
    <r>
      <rPr>
        <i/>
        <sz val="12"/>
        <color theme="1"/>
        <rFont val="Helvetica"/>
        <family val="2"/>
      </rPr>
      <t>(Node 3)</t>
    </r>
  </si>
  <si>
    <r>
      <t xml:space="preserve">Hostname (FQDN) </t>
    </r>
    <r>
      <rPr>
        <i/>
        <sz val="12"/>
        <color theme="1"/>
        <rFont val="Helvetica"/>
        <family val="2"/>
      </rPr>
      <t>(Node 3)</t>
    </r>
  </si>
  <si>
    <r>
      <t xml:space="preserve">Management Network IPv4 Address </t>
    </r>
    <r>
      <rPr>
        <i/>
        <sz val="12"/>
        <color theme="1"/>
        <rFont val="Helvetica"/>
        <family val="2"/>
      </rPr>
      <t>(Node 3)</t>
    </r>
  </si>
  <si>
    <r>
      <t xml:space="preserve">Management Network Netmask </t>
    </r>
    <r>
      <rPr>
        <i/>
        <sz val="12"/>
        <color theme="1"/>
        <rFont val="Helvetica"/>
        <family val="2"/>
      </rPr>
      <t>(Node 3)</t>
    </r>
  </si>
  <si>
    <r>
      <t>Default IPv4 Gateway</t>
    </r>
    <r>
      <rPr>
        <i/>
        <sz val="12"/>
        <color theme="1"/>
        <rFont val="Helvetica"/>
        <family val="2"/>
      </rPr>
      <t xml:space="preserve"> (Node 3)</t>
    </r>
  </si>
  <si>
    <r>
      <t xml:space="preserve">DNS Server list </t>
    </r>
    <r>
      <rPr>
        <i/>
        <sz val="12"/>
        <color theme="1"/>
        <rFont val="Helvetica"/>
        <family val="2"/>
      </rPr>
      <t>(Node 3)</t>
    </r>
  </si>
  <si>
    <r>
      <t>Domain Search List</t>
    </r>
    <r>
      <rPr>
        <i/>
        <sz val="12"/>
        <color theme="1"/>
        <rFont val="Helvetica"/>
        <family val="2"/>
      </rPr>
      <t xml:space="preserve"> (Node 3)</t>
    </r>
  </si>
  <si>
    <r>
      <t>NTP Server List</t>
    </r>
    <r>
      <rPr>
        <i/>
        <sz val="12"/>
        <color theme="1"/>
        <rFont val="Helvetica"/>
        <family val="2"/>
      </rPr>
      <t xml:space="preserve"> (Node 3)</t>
    </r>
  </si>
  <si>
    <t xml:space="preserve">&lt;gm_node1_fqdn&gt; </t>
  </si>
  <si>
    <t>Join Global Manager Nodes to Form a Cluster</t>
  </si>
  <si>
    <t>Description</t>
  </si>
  <si>
    <t>Note: Click this cell to redirect to the location for storing this output</t>
  </si>
  <si>
    <t>NSX Global Manager Cluster API Thumbprint</t>
  </si>
  <si>
    <r>
      <t xml:space="preserve">FQDN </t>
    </r>
    <r>
      <rPr>
        <i/>
        <sz val="12"/>
        <color rgb="FF000000"/>
        <rFont val="Helvetica"/>
        <family val="2"/>
      </rPr>
      <t>(Node 2)</t>
    </r>
  </si>
  <si>
    <r>
      <t>first_node_IP</t>
    </r>
    <r>
      <rPr>
        <i/>
        <sz val="12"/>
        <color rgb="FF000000"/>
        <rFont val="Helvetica"/>
        <family val="2"/>
      </rPr>
      <t xml:space="preserve"> (Node 2)</t>
    </r>
  </si>
  <si>
    <r>
      <t>cluster_ID</t>
    </r>
    <r>
      <rPr>
        <i/>
        <sz val="12"/>
        <color rgb="FF000000"/>
        <rFont val="Helvetica"/>
        <family val="2"/>
      </rPr>
      <t xml:space="preserve"> (Node 2)</t>
    </r>
  </si>
  <si>
    <r>
      <t>username</t>
    </r>
    <r>
      <rPr>
        <i/>
        <sz val="12"/>
        <color rgb="FF000000"/>
        <rFont val="Helvetica"/>
        <family val="2"/>
      </rPr>
      <t xml:space="preserve"> (Node 2)</t>
    </r>
  </si>
  <si>
    <r>
      <t>nsx_admin_password</t>
    </r>
    <r>
      <rPr>
        <i/>
        <sz val="12"/>
        <color rgb="FF000000"/>
        <rFont val="Helvetica"/>
        <family val="2"/>
      </rPr>
      <t xml:space="preserve"> (Node 2)</t>
    </r>
  </si>
  <si>
    <r>
      <t>api_thumbprint</t>
    </r>
    <r>
      <rPr>
        <i/>
        <sz val="12"/>
        <color rgb="FF000000"/>
        <rFont val="Helvetica"/>
        <family val="2"/>
      </rPr>
      <t xml:space="preserve"> (Node 2)</t>
    </r>
  </si>
  <si>
    <r>
      <t xml:space="preserve">FQDN </t>
    </r>
    <r>
      <rPr>
        <i/>
        <sz val="12"/>
        <color rgb="FF000000"/>
        <rFont val="Helvetica"/>
        <family val="2"/>
      </rPr>
      <t>(Node 3)</t>
    </r>
  </si>
  <si>
    <r>
      <t xml:space="preserve">first_node_IP </t>
    </r>
    <r>
      <rPr>
        <i/>
        <sz val="12"/>
        <color rgb="FF000000"/>
        <rFont val="Helvetica"/>
        <family val="2"/>
      </rPr>
      <t xml:space="preserve"> (Node 3)</t>
    </r>
  </si>
  <si>
    <r>
      <t>cluster_ID</t>
    </r>
    <r>
      <rPr>
        <i/>
        <sz val="12"/>
        <color rgb="FF000000"/>
        <rFont val="Helvetica"/>
        <family val="2"/>
      </rPr>
      <t xml:space="preserve"> (Node 3)</t>
    </r>
  </si>
  <si>
    <r>
      <t>username</t>
    </r>
    <r>
      <rPr>
        <i/>
        <sz val="12"/>
        <color rgb="FF000000"/>
        <rFont val="Helvetica"/>
        <family val="2"/>
      </rPr>
      <t xml:space="preserve"> (Node 3)</t>
    </r>
  </si>
  <si>
    <r>
      <t>nsx_admin_password</t>
    </r>
    <r>
      <rPr>
        <i/>
        <sz val="12"/>
        <color rgb="FF000000"/>
        <rFont val="Helvetica"/>
        <family val="2"/>
      </rPr>
      <t xml:space="preserve"> (Node 3)</t>
    </r>
  </si>
  <si>
    <r>
      <t>api_thumbprint</t>
    </r>
    <r>
      <rPr>
        <i/>
        <sz val="12"/>
        <color rgb="FF000000"/>
        <rFont val="Helvetica"/>
        <family val="2"/>
      </rPr>
      <t xml:space="preserve"> (Node 3)</t>
    </r>
  </si>
  <si>
    <t>Create Anti-Affinity Rule for Global Manager Cluster</t>
  </si>
  <si>
    <t>Member 1</t>
  </si>
  <si>
    <t>Member 2</t>
  </si>
  <si>
    <t>Member 3</t>
  </si>
  <si>
    <t>Assign a Virtual IP Address to the Global Manager Cluster</t>
  </si>
  <si>
    <t>&lt;gm_node1_fqdn&gt;</t>
  </si>
  <si>
    <t>VIP address</t>
  </si>
  <si>
    <t>&lt;gm_vip_fqdn&gt;</t>
  </si>
  <si>
    <t>Import a CA-Signed Certificates to the NSX Global Manager Cluster</t>
  </si>
  <si>
    <t>Replace the Certificate for the First NSX Global Manager Node</t>
  </si>
  <si>
    <t>Certificate ID</t>
  </si>
  <si>
    <t>gm_vip_fqdn_certificate_ID</t>
  </si>
  <si>
    <t>Replace the Certificates for the Remaining NSX Global Manager Nodes and Virtual IP</t>
  </si>
  <si>
    <t>&lt;gm_node2_fqdn&gt;</t>
  </si>
  <si>
    <t>&lt;gm_node3_fqdn&gt;</t>
  </si>
  <si>
    <t>Prepare Local Manager for NSX Federation</t>
  </si>
  <si>
    <t>&lt;lm_vip_fqdn&gt;</t>
  </si>
  <si>
    <t>IP Ranges: IP Ranges/Block</t>
  </si>
  <si>
    <t>Gateway IP</t>
  </si>
  <si>
    <t>Set Active Global Manager</t>
  </si>
  <si>
    <t>&lt;nsx_gm_vip_fqdn&gt;</t>
  </si>
  <si>
    <t>Name for Local Manager</t>
  </si>
  <si>
    <t>Set Standby Global Manager</t>
  </si>
  <si>
    <t>&lt;standby_gm_vip_fqdn&gt;</t>
  </si>
  <si>
    <t>SHA-256 Thumbprint</t>
  </si>
  <si>
    <t>&lt;active_gm_vip_fqdn&gt;</t>
  </si>
  <si>
    <t>Global Manager Name</t>
  </si>
  <si>
    <t>FQDN/IP</t>
  </si>
  <si>
    <t>Add Location to Global Manager</t>
  </si>
  <si>
    <t>Location Name</t>
  </si>
  <si>
    <t>Edge Switch Name</t>
  </si>
  <si>
    <t>nsxDefaultHostSwitch</t>
  </si>
  <si>
    <t>RTEP VLAN</t>
  </si>
  <si>
    <t>IP Pool for all Nodes</t>
  </si>
  <si>
    <t>Inter Local MTU</t>
  </si>
  <si>
    <t>MTU configured on all infrastructure between federated VCF instances</t>
  </si>
  <si>
    <t>Create and Configure Cross-Instance Tier-1 Gateway</t>
  </si>
  <si>
    <t>Tier-1 Gateway Name</t>
  </si>
  <si>
    <t>Linked Tier-0 Gateway</t>
  </si>
  <si>
    <t>Location</t>
  </si>
  <si>
    <t>Connect Cross-Instance Segments to Cross-Instance Tier-1 Gateway</t>
  </si>
  <si>
    <t>&lt;cross-instance_nsx_segment&gt;</t>
  </si>
  <si>
    <t>&lt;cross-instance_tier1&gt;</t>
  </si>
  <si>
    <t>Delete Existing Tier-0 Gateways in Additional Instances</t>
  </si>
  <si>
    <t>additional_instance_tier1_gateway</t>
  </si>
  <si>
    <t>additional_instance_tier0_gateway</t>
  </si>
  <si>
    <t>Connect Additional VCF Instances to Cross-Instance Tier-0 Gateway</t>
  </si>
  <si>
    <t>&lt;cross-instance_tier0&gt;</t>
  </si>
  <si>
    <r>
      <t>Name</t>
    </r>
    <r>
      <rPr>
        <i/>
        <sz val="12"/>
        <color theme="1"/>
        <rFont val="Helvetica"/>
        <family val="2"/>
      </rPr>
      <t xml:space="preserve"> (1st Additional Interface)</t>
    </r>
  </si>
  <si>
    <r>
      <t xml:space="preserve">Location </t>
    </r>
    <r>
      <rPr>
        <i/>
        <sz val="12"/>
        <color theme="1"/>
        <rFont val="Helvetica"/>
        <family val="2"/>
      </rPr>
      <t>(1st Additional Interface)</t>
    </r>
  </si>
  <si>
    <r>
      <t>IP Address/Mask</t>
    </r>
    <r>
      <rPr>
        <i/>
        <sz val="12"/>
        <color theme="1"/>
        <rFont val="Helvetica"/>
        <family val="2"/>
      </rPr>
      <t xml:space="preserve"> (1st Additional Interface)</t>
    </r>
  </si>
  <si>
    <r>
      <t xml:space="preserve">Segment </t>
    </r>
    <r>
      <rPr>
        <i/>
        <sz val="12"/>
        <color theme="1"/>
        <rFont val="Helvetica"/>
        <family val="2"/>
      </rPr>
      <t>(1st Additional Interface)</t>
    </r>
  </si>
  <si>
    <r>
      <t>Edge Node</t>
    </r>
    <r>
      <rPr>
        <i/>
        <sz val="12"/>
        <color theme="1"/>
        <rFont val="Helvetica"/>
        <family val="2"/>
      </rPr>
      <t xml:space="preserve"> (1st Additional Interface)</t>
    </r>
  </si>
  <si>
    <r>
      <t xml:space="preserve">MTU </t>
    </r>
    <r>
      <rPr>
        <i/>
        <sz val="12"/>
        <color theme="1"/>
        <rFont val="Helvetica"/>
        <family val="2"/>
      </rPr>
      <t>(1st Additional Interface)</t>
    </r>
  </si>
  <si>
    <r>
      <t>Name</t>
    </r>
    <r>
      <rPr>
        <i/>
        <sz val="12"/>
        <color theme="1"/>
        <rFont val="Helvetica"/>
        <family val="2"/>
      </rPr>
      <t xml:space="preserve"> (2nd Additional Interface)</t>
    </r>
  </si>
  <si>
    <r>
      <t xml:space="preserve">Location </t>
    </r>
    <r>
      <rPr>
        <i/>
        <sz val="12"/>
        <color theme="1"/>
        <rFont val="Helvetica"/>
        <family val="2"/>
      </rPr>
      <t>(2nd Additional Interface)</t>
    </r>
  </si>
  <si>
    <r>
      <t xml:space="preserve">IP Address/Mask </t>
    </r>
    <r>
      <rPr>
        <i/>
        <sz val="12"/>
        <color theme="1"/>
        <rFont val="Helvetica"/>
        <family val="2"/>
      </rPr>
      <t>(2nd Additional Interface)</t>
    </r>
  </si>
  <si>
    <r>
      <t>Segment</t>
    </r>
    <r>
      <rPr>
        <i/>
        <sz val="12"/>
        <color rgb="FF000000"/>
        <rFont val="Helvetica"/>
        <family val="2"/>
      </rPr>
      <t xml:space="preserve"> (2nd Additional Interface)</t>
    </r>
  </si>
  <si>
    <r>
      <t>Edge Node</t>
    </r>
    <r>
      <rPr>
        <i/>
        <sz val="12"/>
        <color theme="1"/>
        <rFont val="Helvetica"/>
        <family val="2"/>
      </rPr>
      <t xml:space="preserve"> (2nd Additional Interface)</t>
    </r>
  </si>
  <si>
    <r>
      <t xml:space="preserve">MTU </t>
    </r>
    <r>
      <rPr>
        <i/>
        <sz val="12"/>
        <color theme="1"/>
        <rFont val="Helvetica"/>
        <family val="2"/>
      </rPr>
      <t>(2nd Additional Interface)</t>
    </r>
  </si>
  <si>
    <r>
      <t>Name</t>
    </r>
    <r>
      <rPr>
        <i/>
        <sz val="12"/>
        <color theme="1"/>
        <rFont val="Helvetica"/>
        <family val="2"/>
      </rPr>
      <t xml:space="preserve"> (3rd Additional Interface)</t>
    </r>
  </si>
  <si>
    <r>
      <t xml:space="preserve">Location </t>
    </r>
    <r>
      <rPr>
        <i/>
        <sz val="12"/>
        <color theme="1"/>
        <rFont val="Helvetica"/>
        <family val="2"/>
      </rPr>
      <t>(3rd Additional Interface)</t>
    </r>
  </si>
  <si>
    <r>
      <t>IP Address/Mask</t>
    </r>
    <r>
      <rPr>
        <i/>
        <sz val="12"/>
        <color theme="1"/>
        <rFont val="Helvetica"/>
        <family val="2"/>
      </rPr>
      <t xml:space="preserve"> (3rd Additional Interface)</t>
    </r>
  </si>
  <si>
    <r>
      <t>Segment</t>
    </r>
    <r>
      <rPr>
        <i/>
        <sz val="12"/>
        <color rgb="FF000000"/>
        <rFont val="Helvetica"/>
        <family val="2"/>
      </rPr>
      <t xml:space="preserve"> (3rd Additional Interface)</t>
    </r>
  </si>
  <si>
    <r>
      <t xml:space="preserve">Edge Node </t>
    </r>
    <r>
      <rPr>
        <i/>
        <sz val="12"/>
        <color theme="1"/>
        <rFont val="Helvetica"/>
        <family val="2"/>
      </rPr>
      <t>(3rd Additional Interface)</t>
    </r>
  </si>
  <si>
    <r>
      <t xml:space="preserve">MTU </t>
    </r>
    <r>
      <rPr>
        <i/>
        <sz val="12"/>
        <color theme="1"/>
        <rFont val="Helvetica"/>
        <family val="2"/>
      </rPr>
      <t>(3rd Additional Interface)</t>
    </r>
  </si>
  <si>
    <r>
      <t>Name</t>
    </r>
    <r>
      <rPr>
        <i/>
        <sz val="12"/>
        <color theme="1"/>
        <rFont val="Helvetica"/>
        <family val="2"/>
      </rPr>
      <t xml:space="preserve"> (4th Additional Interface)</t>
    </r>
  </si>
  <si>
    <r>
      <t xml:space="preserve">Location </t>
    </r>
    <r>
      <rPr>
        <i/>
        <sz val="12"/>
        <color theme="1"/>
        <rFont val="Helvetica"/>
        <family val="2"/>
      </rPr>
      <t>(4th Additional Interface)</t>
    </r>
  </si>
  <si>
    <r>
      <t xml:space="preserve">IP Address/Mask </t>
    </r>
    <r>
      <rPr>
        <i/>
        <sz val="12"/>
        <color theme="1"/>
        <rFont val="Helvetica"/>
        <family val="2"/>
      </rPr>
      <t>(4th Additional Interface)</t>
    </r>
  </si>
  <si>
    <r>
      <t>Segment</t>
    </r>
    <r>
      <rPr>
        <i/>
        <sz val="12"/>
        <color rgb="FF000000"/>
        <rFont val="Helvetica"/>
        <family val="2"/>
      </rPr>
      <t xml:space="preserve"> (4th Additional Interface)</t>
    </r>
  </si>
  <si>
    <r>
      <t>Edge Node</t>
    </r>
    <r>
      <rPr>
        <i/>
        <sz val="12"/>
        <color theme="1"/>
        <rFont val="Helvetica"/>
        <family val="2"/>
      </rPr>
      <t xml:space="preserve"> (4th Additional Interface)</t>
    </r>
  </si>
  <si>
    <r>
      <t>MTU</t>
    </r>
    <r>
      <rPr>
        <i/>
        <sz val="12"/>
        <color theme="1"/>
        <rFont val="Helvetica"/>
        <family val="2"/>
      </rPr>
      <t xml:space="preserve"> (4th Additional Interface)</t>
    </r>
  </si>
  <si>
    <r>
      <t xml:space="preserve">IP Address </t>
    </r>
    <r>
      <rPr>
        <i/>
        <sz val="12"/>
        <color theme="1"/>
        <rFont val="Helvetica"/>
        <family val="2"/>
      </rPr>
      <t>(1st BGP Peer)</t>
    </r>
  </si>
  <si>
    <r>
      <t>Location</t>
    </r>
    <r>
      <rPr>
        <i/>
        <sz val="12"/>
        <color theme="1"/>
        <rFont val="Helvetica"/>
        <family val="2"/>
      </rPr>
      <t xml:space="preserve"> (1st BGP Peer)</t>
    </r>
  </si>
  <si>
    <r>
      <t xml:space="preserve">Remote AS Number </t>
    </r>
    <r>
      <rPr>
        <i/>
        <sz val="12"/>
        <color theme="1"/>
        <rFont val="Helvetica"/>
        <family val="2"/>
      </rPr>
      <t>(1st BGP Peer)</t>
    </r>
  </si>
  <si>
    <r>
      <t>1st Source Address</t>
    </r>
    <r>
      <rPr>
        <i/>
        <sz val="12"/>
        <color theme="1"/>
        <rFont val="Helvetica"/>
        <family val="2"/>
      </rPr>
      <t xml:space="preserve"> (1st BGP Peer)</t>
    </r>
  </si>
  <si>
    <r>
      <t xml:space="preserve">2nd Source Address </t>
    </r>
    <r>
      <rPr>
        <i/>
        <sz val="12"/>
        <color theme="1"/>
        <rFont val="Helvetica"/>
        <family val="2"/>
      </rPr>
      <t>(1st BGP Peer)</t>
    </r>
  </si>
  <si>
    <r>
      <t>Password</t>
    </r>
    <r>
      <rPr>
        <i/>
        <sz val="12"/>
        <color theme="1"/>
        <rFont val="Helvetica"/>
        <family val="2"/>
      </rPr>
      <t xml:space="preserve"> (1st BGP Peer)</t>
    </r>
  </si>
  <si>
    <r>
      <t xml:space="preserve">IP Address </t>
    </r>
    <r>
      <rPr>
        <i/>
        <sz val="12"/>
        <color theme="1"/>
        <rFont val="Helvetica"/>
        <family val="2"/>
      </rPr>
      <t>(2nd BGP Peer)</t>
    </r>
  </si>
  <si>
    <r>
      <t>Location</t>
    </r>
    <r>
      <rPr>
        <i/>
        <sz val="12"/>
        <color theme="1"/>
        <rFont val="Helvetica"/>
        <family val="2"/>
      </rPr>
      <t xml:space="preserve"> (2nd BGP Peer)</t>
    </r>
  </si>
  <si>
    <r>
      <t xml:space="preserve">Remote AS Number </t>
    </r>
    <r>
      <rPr>
        <i/>
        <sz val="12"/>
        <color theme="1"/>
        <rFont val="Helvetica"/>
        <family val="2"/>
      </rPr>
      <t>(2nd BGP Peer)</t>
    </r>
  </si>
  <si>
    <r>
      <t xml:space="preserve">1st Source Address </t>
    </r>
    <r>
      <rPr>
        <i/>
        <sz val="12"/>
        <color theme="1"/>
        <rFont val="Helvetica"/>
        <family val="2"/>
      </rPr>
      <t>(2nd BGP Peer)</t>
    </r>
  </si>
  <si>
    <r>
      <t>2nd Source Address</t>
    </r>
    <r>
      <rPr>
        <i/>
        <sz val="12"/>
        <color theme="1"/>
        <rFont val="Helvetica"/>
        <family val="2"/>
      </rPr>
      <t xml:space="preserve"> (2nd BGP Peer)</t>
    </r>
  </si>
  <si>
    <r>
      <t xml:space="preserve">Password </t>
    </r>
    <r>
      <rPr>
        <i/>
        <sz val="12"/>
        <color theme="1"/>
        <rFont val="Helvetica"/>
        <family val="2"/>
      </rPr>
      <t>(2nd BGP Peer)</t>
    </r>
  </si>
  <si>
    <t>Connect Local Tier-1 Gateway to Cross-Instance Tier-0 Gateway</t>
  </si>
  <si>
    <t>this_instance_tier1_gateway</t>
  </si>
  <si>
    <t>cross-instance_tier0_gateway</t>
  </si>
  <si>
    <t>Add Additional Instance as Locations to the Cross-Instance Tier-1 Gateway</t>
  </si>
  <si>
    <t>Virtual Appliance: FQDN</t>
  </si>
  <si>
    <t>System Administrator (Password)</t>
  </si>
  <si>
    <t>SSH Root Account (Password)</t>
  </si>
  <si>
    <t>Datacenter name</t>
  </si>
  <si>
    <t>vCenter name</t>
  </si>
  <si>
    <t>vCenter FQDN</t>
  </si>
  <si>
    <t>vCenter Credentials</t>
  </si>
  <si>
    <t>&lt;guid&gt; is autogenerate by SDDC Manager</t>
  </si>
  <si>
    <r>
      <t xml:space="preserve">Password Alias </t>
    </r>
    <r>
      <rPr>
        <i/>
        <sz val="12"/>
        <color theme="1"/>
        <rFont val="Helvetica"/>
        <family val="2"/>
      </rPr>
      <t>(Global Environment Administrator)</t>
    </r>
  </si>
  <si>
    <r>
      <t>Password</t>
    </r>
    <r>
      <rPr>
        <i/>
        <sz val="12"/>
        <color theme="1"/>
        <rFont val="Helvetica"/>
        <family val="2"/>
      </rPr>
      <t xml:space="preserve"> (Global Environment Administrator)</t>
    </r>
  </si>
  <si>
    <r>
      <t xml:space="preserve">Password Alias </t>
    </r>
    <r>
      <rPr>
        <i/>
        <sz val="12"/>
        <color theme="1"/>
        <rFont val="Helvetica"/>
        <family val="2"/>
      </rPr>
      <t>(Local Administrator)</t>
    </r>
  </si>
  <si>
    <r>
      <t xml:space="preserve">Password </t>
    </r>
    <r>
      <rPr>
        <i/>
        <sz val="12"/>
        <color theme="1"/>
        <rFont val="Helvetica"/>
        <family val="2"/>
      </rPr>
      <t>(Local Administrator)</t>
    </r>
  </si>
  <si>
    <r>
      <t xml:space="preserve">Password Alias </t>
    </r>
    <r>
      <rPr>
        <i/>
        <sz val="12"/>
        <color theme="1"/>
        <rFont val="Helvetica"/>
        <family val="2"/>
      </rPr>
      <t>(Local Configuration Administrator)</t>
    </r>
  </si>
  <si>
    <r>
      <t xml:space="preserve">Password Alias </t>
    </r>
    <r>
      <rPr>
        <i/>
        <sz val="12"/>
        <color theme="1"/>
        <rFont val="Helvetica"/>
        <family val="2"/>
      </rPr>
      <t>(Appliance Root User)</t>
    </r>
  </si>
  <si>
    <r>
      <t>Password</t>
    </r>
    <r>
      <rPr>
        <i/>
        <sz val="12"/>
        <color theme="1"/>
        <rFont val="Helvetica"/>
        <family val="2"/>
      </rPr>
      <t xml:space="preserve"> (Appliance Root User)</t>
    </r>
  </si>
  <si>
    <t>Default password</t>
  </si>
  <si>
    <t xml:space="preserve">Deployment Type </t>
  </si>
  <si>
    <t>Certificate</t>
  </si>
  <si>
    <t>Select Cluster</t>
  </si>
  <si>
    <t>Domain Search Path</t>
  </si>
  <si>
    <r>
      <t xml:space="preserve">DNS Server </t>
    </r>
    <r>
      <rPr>
        <i/>
        <sz val="12"/>
        <rFont val="Helvetica"/>
        <family val="2"/>
      </rPr>
      <t>(First)</t>
    </r>
  </si>
  <si>
    <r>
      <t>DNS Server</t>
    </r>
    <r>
      <rPr>
        <i/>
        <sz val="12"/>
        <rFont val="Helvetica"/>
        <family val="2"/>
      </rPr>
      <t xml:space="preserve"> (Second)</t>
    </r>
  </si>
  <si>
    <t>Node size</t>
  </si>
  <si>
    <t>Admin password</t>
  </si>
  <si>
    <t>Default configuration admin email</t>
  </si>
  <si>
    <t>Default configuration admin user name</t>
  </si>
  <si>
    <t>Default configuration admin password</t>
  </si>
  <si>
    <r>
      <t xml:space="preserve">FQDN </t>
    </r>
    <r>
      <rPr>
        <i/>
        <sz val="12"/>
        <color theme="1"/>
        <rFont val="Helvetica"/>
        <family val="2"/>
      </rPr>
      <t>(Cluster VIP)</t>
    </r>
  </si>
  <si>
    <t>Locker certificate</t>
  </si>
  <si>
    <t>Database IP address</t>
  </si>
  <si>
    <r>
      <t xml:space="preserve">VM Name </t>
    </r>
    <r>
      <rPr>
        <i/>
        <sz val="12"/>
        <color theme="1"/>
        <rFont val="Helvetica"/>
        <family val="2"/>
      </rPr>
      <t>(vidm-primary)</t>
    </r>
  </si>
  <si>
    <r>
      <t xml:space="preserve">FQDN </t>
    </r>
    <r>
      <rPr>
        <i/>
        <sz val="12"/>
        <color theme="1"/>
        <rFont val="Helvetica"/>
        <family val="2"/>
      </rPr>
      <t>(vidm-primary)</t>
    </r>
  </si>
  <si>
    <r>
      <t xml:space="preserve">IP Address </t>
    </r>
    <r>
      <rPr>
        <i/>
        <sz val="12"/>
        <color theme="1"/>
        <rFont val="Helvetica"/>
        <family val="2"/>
      </rPr>
      <t>(vidm-primary)</t>
    </r>
  </si>
  <si>
    <r>
      <t xml:space="preserve">Root Password </t>
    </r>
    <r>
      <rPr>
        <i/>
        <sz val="12"/>
        <color theme="1"/>
        <rFont val="Helvetica"/>
        <family val="2"/>
      </rPr>
      <t>(vidm-primary)</t>
    </r>
  </si>
  <si>
    <r>
      <t xml:space="preserve">VM Name </t>
    </r>
    <r>
      <rPr>
        <i/>
        <sz val="12"/>
        <color theme="1"/>
        <rFont val="Helvetica"/>
        <family val="2"/>
      </rPr>
      <t>(vidm-secondary-1)</t>
    </r>
  </si>
  <si>
    <r>
      <t xml:space="preserve">FQDN </t>
    </r>
    <r>
      <rPr>
        <i/>
        <sz val="12"/>
        <color theme="1"/>
        <rFont val="Helvetica"/>
        <family val="2"/>
      </rPr>
      <t>(vidm-secondary-1)</t>
    </r>
  </si>
  <si>
    <r>
      <t xml:space="preserve">IP Address </t>
    </r>
    <r>
      <rPr>
        <i/>
        <sz val="12"/>
        <color theme="1"/>
        <rFont val="Helvetica"/>
        <family val="2"/>
      </rPr>
      <t>(vidm-secondary-1)</t>
    </r>
  </si>
  <si>
    <r>
      <t xml:space="preserve">Root Password </t>
    </r>
    <r>
      <rPr>
        <i/>
        <sz val="12"/>
        <color theme="1"/>
        <rFont val="Helvetica"/>
        <family val="2"/>
      </rPr>
      <t>(vidm-secondary-1)</t>
    </r>
  </si>
  <si>
    <r>
      <t xml:space="preserve">VM Name </t>
    </r>
    <r>
      <rPr>
        <i/>
        <sz val="12"/>
        <color theme="1"/>
        <rFont val="Helvetica"/>
        <family val="2"/>
      </rPr>
      <t>(vidm-secondary-2)</t>
    </r>
  </si>
  <si>
    <r>
      <t xml:space="preserve">FQDN </t>
    </r>
    <r>
      <rPr>
        <i/>
        <sz val="12"/>
        <color theme="1"/>
        <rFont val="Helvetica"/>
        <family val="2"/>
      </rPr>
      <t>(vidm-secondary-2)</t>
    </r>
  </si>
  <si>
    <r>
      <t xml:space="preserve">IP Address </t>
    </r>
    <r>
      <rPr>
        <i/>
        <sz val="12"/>
        <color theme="1"/>
        <rFont val="Helvetica"/>
        <family val="2"/>
      </rPr>
      <t>(vidm-secondary-2)</t>
    </r>
  </si>
  <si>
    <r>
      <t xml:space="preserve">Root Password </t>
    </r>
    <r>
      <rPr>
        <i/>
        <sz val="12"/>
        <color theme="1"/>
        <rFont val="Helvetica"/>
        <family val="2"/>
      </rPr>
      <t>(vidm-secondary-2)</t>
    </r>
  </si>
  <si>
    <t>Configure an Anti-Affinity Rule and a Virtual Machine Group for the Clustered Workspace ONE Access Instance</t>
  </si>
  <si>
    <t>anti-affinity-rule-wsa</t>
  </si>
  <si>
    <t>vidm-primary_VM</t>
  </si>
  <si>
    <t>vidm-secondary-1_VM</t>
  </si>
  <si>
    <t>vidm-secondary-2_VM</t>
  </si>
  <si>
    <t>Node 1 FQDN</t>
  </si>
  <si>
    <t>Node 2 FQDN</t>
  </si>
  <si>
    <t>Node 3 FQDN</t>
  </si>
  <si>
    <t>NTP Server</t>
  </si>
  <si>
    <t>&lt;wsa_fqdn&gt;</t>
  </si>
  <si>
    <t>Directory name</t>
  </si>
  <si>
    <t>Sync connector</t>
  </si>
  <si>
    <t>Base DN (Users)</t>
  </si>
  <si>
    <t>Bind DN</t>
  </si>
  <si>
    <t>Bind user password</t>
  </si>
  <si>
    <t>Base DN (Groups)</t>
  </si>
  <si>
    <r>
      <t xml:space="preserve">Group </t>
    </r>
    <r>
      <rPr>
        <i/>
        <sz val="12"/>
        <color rgb="FF000000"/>
        <rFont val="Helvetica"/>
        <family val="2"/>
      </rPr>
      <t>(Workspace ONE Access: Super Admin)</t>
    </r>
  </si>
  <si>
    <r>
      <t xml:space="preserve">Group </t>
    </r>
    <r>
      <rPr>
        <i/>
        <sz val="12"/>
        <color rgb="FF000000"/>
        <rFont val="Helvetica"/>
        <family val="2"/>
      </rPr>
      <t>(Workspace ONE Access: Directory Admin)</t>
    </r>
  </si>
  <si>
    <r>
      <t xml:space="preserve">Group </t>
    </r>
    <r>
      <rPr>
        <i/>
        <sz val="12"/>
        <color rgb="FF000000"/>
        <rFont val="Helvetica"/>
        <family val="2"/>
      </rPr>
      <t>(Workspace ONE Access: ReadOnly Admin)</t>
    </r>
  </si>
  <si>
    <t>Add the Clustered Workspace ONE Access Cluster Nodes as Identity Provider Connectors</t>
  </si>
  <si>
    <t>Connector: vidm-secondary-1_VM</t>
  </si>
  <si>
    <t>Connector: vidm-secondary-2_VM</t>
  </si>
  <si>
    <t>IdP Hostname</t>
  </si>
  <si>
    <t>Super Admin</t>
  </si>
  <si>
    <t>Directory Admin</t>
  </si>
  <si>
    <t>ReadOnly Admin</t>
  </si>
  <si>
    <t>VCF Role</t>
  </si>
  <si>
    <t>Content Release Manager</t>
  </si>
  <si>
    <t>Content Developers</t>
  </si>
  <si>
    <t>Workload Domain Deployment and Post-Deployment Configuration</t>
  </si>
  <si>
    <t>This page contains all user required values used during the deployment of a VMware Cloud Foundation Workload Domain and associated Post-Config tasks. Each table and value maps directly to a process in the deployment guidance documentation.</t>
  </si>
  <si>
    <t>Workload Domain Deployment</t>
  </si>
  <si>
    <t>Add a VASA Provider</t>
  </si>
  <si>
    <t>URL</t>
  </si>
  <si>
    <t>Container Name</t>
  </si>
  <si>
    <t>Container Type</t>
  </si>
  <si>
    <t>Create a Network Pool</t>
  </si>
  <si>
    <t>Commission Hosts</t>
  </si>
  <si>
    <t>Create a Cluster Image</t>
  </si>
  <si>
    <t>vCenter for Image Creation</t>
  </si>
  <si>
    <t>Importing a Cluster Image</t>
  </si>
  <si>
    <t>Deploy a VI Workload Domain</t>
  </si>
  <si>
    <t>Storage Selection</t>
  </si>
  <si>
    <t>Virtual Infrastucture Name</t>
  </si>
  <si>
    <t>vLCM Choice</t>
  </si>
  <si>
    <t>Deselected</t>
  </si>
  <si>
    <t>vCenter IP Address</t>
  </si>
  <si>
    <t>vCenter Subnet Mask</t>
  </si>
  <si>
    <t>vCenter Default Gateway</t>
  </si>
  <si>
    <t>vCenter Root Password</t>
  </si>
  <si>
    <t>Cluster FQDN</t>
  </si>
  <si>
    <t>Cluster IP</t>
  </si>
  <si>
    <t>FQDN 1</t>
  </si>
  <si>
    <t>IP Address 1</t>
  </si>
  <si>
    <t>FQDN 2</t>
  </si>
  <si>
    <t>IP Address 2</t>
  </si>
  <si>
    <t>FQDN 3</t>
  </si>
  <si>
    <t>IP Address 3</t>
  </si>
  <si>
    <t>IP Allocation</t>
  </si>
  <si>
    <t>Host 1</t>
  </si>
  <si>
    <t>Host 2</t>
  </si>
  <si>
    <t>Host 3</t>
  </si>
  <si>
    <t>Host 4</t>
  </si>
  <si>
    <t>ESXi License</t>
  </si>
  <si>
    <t>vSAN License</t>
  </si>
  <si>
    <t xml:space="preserve"> IP Address</t>
  </si>
  <si>
    <r>
      <t>Virtual Machine Name</t>
    </r>
    <r>
      <rPr>
        <i/>
        <sz val="12"/>
        <color rgb="FF000000"/>
        <rFont val="Helvetica"/>
        <family val="2"/>
      </rPr>
      <t xml:space="preserve"> (Node 1)</t>
    </r>
  </si>
  <si>
    <r>
      <t xml:space="preserve">Location </t>
    </r>
    <r>
      <rPr>
        <i/>
        <sz val="12"/>
        <color rgb="FF000000"/>
        <rFont val="Helvetica"/>
        <family val="2"/>
      </rPr>
      <t>(Node 1)</t>
    </r>
  </si>
  <si>
    <r>
      <t>Compute Resource</t>
    </r>
    <r>
      <rPr>
        <i/>
        <sz val="12"/>
        <color rgb="FF000000"/>
        <rFont val="Helvetica"/>
        <family val="2"/>
      </rPr>
      <t xml:space="preserve"> (Node 1)</t>
    </r>
  </si>
  <si>
    <r>
      <t>Deployment configuration size</t>
    </r>
    <r>
      <rPr>
        <i/>
        <sz val="12"/>
        <color rgb="FF000000"/>
        <rFont val="Helvetica"/>
        <family val="2"/>
      </rPr>
      <t xml:space="preserve"> (Node 1)</t>
    </r>
  </si>
  <si>
    <r>
      <t>Datastore</t>
    </r>
    <r>
      <rPr>
        <i/>
        <sz val="12"/>
        <color rgb="FF000000"/>
        <rFont val="Helvetica"/>
        <family val="2"/>
      </rPr>
      <t xml:space="preserve"> (Node 1)</t>
    </r>
  </si>
  <si>
    <r>
      <t>Network 1 (Management Network</t>
    </r>
    <r>
      <rPr>
        <i/>
        <sz val="12"/>
        <color rgb="FF000000"/>
        <rFont val="Helvetica"/>
        <family val="2"/>
      </rPr>
      <t>) (Node 1)</t>
    </r>
  </si>
  <si>
    <r>
      <t xml:space="preserve">System Root User Password </t>
    </r>
    <r>
      <rPr>
        <i/>
        <sz val="12"/>
        <color rgb="FF000000"/>
        <rFont val="Helvetica"/>
        <family val="2"/>
      </rPr>
      <t>(Node 1)</t>
    </r>
  </si>
  <si>
    <r>
      <t>CLI "admin" User Password</t>
    </r>
    <r>
      <rPr>
        <i/>
        <sz val="12"/>
        <color rgb="FF000000"/>
        <rFont val="Helvetica"/>
        <family val="2"/>
      </rPr>
      <t xml:space="preserve"> (Node 1)</t>
    </r>
  </si>
  <si>
    <r>
      <t xml:space="preserve">CLI "audit" User Password </t>
    </r>
    <r>
      <rPr>
        <i/>
        <sz val="12"/>
        <color rgb="FF000000"/>
        <rFont val="Helvetica"/>
        <family val="2"/>
      </rPr>
      <t>(Node 1)</t>
    </r>
  </si>
  <si>
    <r>
      <t xml:space="preserve">Hostname (FQDN) </t>
    </r>
    <r>
      <rPr>
        <i/>
        <sz val="12"/>
        <color rgb="FF000000"/>
        <rFont val="Helvetica"/>
        <family val="2"/>
      </rPr>
      <t>(Node 1)</t>
    </r>
  </si>
  <si>
    <r>
      <t xml:space="preserve">Management Network IPv4 Address </t>
    </r>
    <r>
      <rPr>
        <i/>
        <sz val="12"/>
        <color rgb="FF000000"/>
        <rFont val="Helvetica"/>
        <family val="2"/>
      </rPr>
      <t>(Node 1)</t>
    </r>
  </si>
  <si>
    <r>
      <t xml:space="preserve">Management Network Netmask </t>
    </r>
    <r>
      <rPr>
        <i/>
        <sz val="12"/>
        <color rgb="FF000000"/>
        <rFont val="Helvetica"/>
        <family val="2"/>
      </rPr>
      <t>(Node 1)</t>
    </r>
  </si>
  <si>
    <r>
      <t>Default IPv4 Gateway</t>
    </r>
    <r>
      <rPr>
        <i/>
        <sz val="12"/>
        <color rgb="FF000000"/>
        <rFont val="Helvetica"/>
        <family val="2"/>
      </rPr>
      <t xml:space="preserve"> (Node 1)</t>
    </r>
  </si>
  <si>
    <r>
      <t xml:space="preserve">DNS Server list </t>
    </r>
    <r>
      <rPr>
        <i/>
        <sz val="12"/>
        <color rgb="FF000000"/>
        <rFont val="Helvetica"/>
        <family val="2"/>
      </rPr>
      <t>(Node 1)</t>
    </r>
  </si>
  <si>
    <r>
      <t>Domain Search List</t>
    </r>
    <r>
      <rPr>
        <i/>
        <sz val="12"/>
        <color rgb="FF000000"/>
        <rFont val="Helvetica"/>
        <family val="2"/>
      </rPr>
      <t xml:space="preserve"> (Node 1)</t>
    </r>
  </si>
  <si>
    <r>
      <t>NTP Server List</t>
    </r>
    <r>
      <rPr>
        <i/>
        <sz val="12"/>
        <color rgb="FF000000"/>
        <rFont val="Helvetica"/>
        <family val="2"/>
      </rPr>
      <t xml:space="preserve"> (Node 1)</t>
    </r>
  </si>
  <si>
    <r>
      <t>Virtual Machine Name</t>
    </r>
    <r>
      <rPr>
        <i/>
        <sz val="12"/>
        <color rgb="FF000000"/>
        <rFont val="Helvetica"/>
        <family val="2"/>
      </rPr>
      <t xml:space="preserve"> (Node 2)</t>
    </r>
  </si>
  <si>
    <r>
      <t xml:space="preserve">Location </t>
    </r>
    <r>
      <rPr>
        <i/>
        <sz val="12"/>
        <color rgb="FF000000"/>
        <rFont val="Helvetica"/>
        <family val="2"/>
      </rPr>
      <t>(Node 2)</t>
    </r>
  </si>
  <si>
    <r>
      <t>Compute Resource</t>
    </r>
    <r>
      <rPr>
        <i/>
        <sz val="12"/>
        <color rgb="FF000000"/>
        <rFont val="Helvetica"/>
        <family val="2"/>
      </rPr>
      <t xml:space="preserve"> (Node 2)</t>
    </r>
  </si>
  <si>
    <r>
      <t>Deployment configuration size</t>
    </r>
    <r>
      <rPr>
        <i/>
        <sz val="12"/>
        <color rgb="FF000000"/>
        <rFont val="Helvetica"/>
        <family val="2"/>
      </rPr>
      <t xml:space="preserve"> (Node 2)</t>
    </r>
  </si>
  <si>
    <r>
      <t>Datastore</t>
    </r>
    <r>
      <rPr>
        <i/>
        <sz val="12"/>
        <color rgb="FF000000"/>
        <rFont val="Helvetica"/>
        <family val="2"/>
      </rPr>
      <t xml:space="preserve"> (Node 2)</t>
    </r>
  </si>
  <si>
    <r>
      <t>Network 1 (Management Network</t>
    </r>
    <r>
      <rPr>
        <i/>
        <sz val="12"/>
        <color rgb="FF000000"/>
        <rFont val="Helvetica"/>
        <family val="2"/>
      </rPr>
      <t>) (Node 2)</t>
    </r>
  </si>
  <si>
    <r>
      <t xml:space="preserve">System Root User Password </t>
    </r>
    <r>
      <rPr>
        <i/>
        <sz val="12"/>
        <color rgb="FF000000"/>
        <rFont val="Helvetica"/>
        <family val="2"/>
      </rPr>
      <t>(Node 2)</t>
    </r>
  </si>
  <si>
    <r>
      <t>CLI "admin" User Password</t>
    </r>
    <r>
      <rPr>
        <i/>
        <sz val="12"/>
        <color rgb="FF000000"/>
        <rFont val="Helvetica"/>
        <family val="2"/>
      </rPr>
      <t xml:space="preserve"> (Node 2)</t>
    </r>
  </si>
  <si>
    <r>
      <t xml:space="preserve">CLI "audit" User Password </t>
    </r>
    <r>
      <rPr>
        <i/>
        <sz val="12"/>
        <color rgb="FF000000"/>
        <rFont val="Helvetica"/>
        <family val="2"/>
      </rPr>
      <t>(Node 2)</t>
    </r>
  </si>
  <si>
    <r>
      <t xml:space="preserve">Hostname (FQDN) </t>
    </r>
    <r>
      <rPr>
        <i/>
        <sz val="12"/>
        <color rgb="FF000000"/>
        <rFont val="Helvetica"/>
        <family val="2"/>
      </rPr>
      <t>(Node 2)</t>
    </r>
  </si>
  <si>
    <r>
      <t xml:space="preserve">Management Network IPv4 Address </t>
    </r>
    <r>
      <rPr>
        <i/>
        <sz val="12"/>
        <color rgb="FF000000"/>
        <rFont val="Helvetica"/>
        <family val="2"/>
      </rPr>
      <t>(Node 2)</t>
    </r>
  </si>
  <si>
    <r>
      <t xml:space="preserve">Management Network Netmask </t>
    </r>
    <r>
      <rPr>
        <i/>
        <sz val="12"/>
        <color rgb="FF000000"/>
        <rFont val="Helvetica"/>
        <family val="2"/>
      </rPr>
      <t>(Node 2)</t>
    </r>
  </si>
  <si>
    <r>
      <t>Default IPv4 Gateway</t>
    </r>
    <r>
      <rPr>
        <i/>
        <sz val="12"/>
        <color rgb="FF000000"/>
        <rFont val="Helvetica"/>
        <family val="2"/>
      </rPr>
      <t xml:space="preserve"> (Node 2)</t>
    </r>
  </si>
  <si>
    <r>
      <t xml:space="preserve">DNS Server list </t>
    </r>
    <r>
      <rPr>
        <i/>
        <sz val="12"/>
        <color rgb="FF000000"/>
        <rFont val="Helvetica"/>
        <family val="2"/>
      </rPr>
      <t>(Node 2)</t>
    </r>
  </si>
  <si>
    <r>
      <t>Domain Search List</t>
    </r>
    <r>
      <rPr>
        <i/>
        <sz val="12"/>
        <color rgb="FF000000"/>
        <rFont val="Helvetica"/>
        <family val="2"/>
      </rPr>
      <t xml:space="preserve"> (Node 2)</t>
    </r>
  </si>
  <si>
    <r>
      <t>NTP Server List</t>
    </r>
    <r>
      <rPr>
        <i/>
        <sz val="12"/>
        <color rgb="FF000000"/>
        <rFont val="Helvetica"/>
        <family val="2"/>
      </rPr>
      <t xml:space="preserve"> (Node 2)</t>
    </r>
  </si>
  <si>
    <r>
      <t>Virtual Machine Name</t>
    </r>
    <r>
      <rPr>
        <i/>
        <sz val="12"/>
        <color rgb="FF000000"/>
        <rFont val="Helvetica"/>
        <family val="2"/>
      </rPr>
      <t xml:space="preserve"> (Node 3)</t>
    </r>
  </si>
  <si>
    <r>
      <t xml:space="preserve">Location </t>
    </r>
    <r>
      <rPr>
        <i/>
        <sz val="12"/>
        <color rgb="FF000000"/>
        <rFont val="Helvetica"/>
        <family val="2"/>
      </rPr>
      <t>(Node 3)</t>
    </r>
  </si>
  <si>
    <r>
      <t>Compute Resource</t>
    </r>
    <r>
      <rPr>
        <i/>
        <sz val="12"/>
        <color rgb="FF000000"/>
        <rFont val="Helvetica"/>
        <family val="2"/>
      </rPr>
      <t xml:space="preserve"> (Node 3)</t>
    </r>
  </si>
  <si>
    <r>
      <t>Deployment configuration size</t>
    </r>
    <r>
      <rPr>
        <i/>
        <sz val="12"/>
        <color rgb="FF000000"/>
        <rFont val="Helvetica"/>
        <family val="2"/>
      </rPr>
      <t xml:space="preserve"> (Node 3)</t>
    </r>
  </si>
  <si>
    <r>
      <t>Datastore</t>
    </r>
    <r>
      <rPr>
        <i/>
        <sz val="12"/>
        <color rgb="FF000000"/>
        <rFont val="Helvetica"/>
        <family val="2"/>
      </rPr>
      <t xml:space="preserve"> (Node 3)</t>
    </r>
  </si>
  <si>
    <r>
      <t>Network 1 (Management Network</t>
    </r>
    <r>
      <rPr>
        <i/>
        <sz val="12"/>
        <color rgb="FF000000"/>
        <rFont val="Helvetica"/>
        <family val="2"/>
      </rPr>
      <t>) (Node 3)</t>
    </r>
  </si>
  <si>
    <r>
      <t xml:space="preserve">System Root User Password </t>
    </r>
    <r>
      <rPr>
        <i/>
        <sz val="12"/>
        <color rgb="FF000000"/>
        <rFont val="Helvetica"/>
        <family val="2"/>
      </rPr>
      <t>(Node 3)</t>
    </r>
  </si>
  <si>
    <r>
      <t>CLI "admin" User Password</t>
    </r>
    <r>
      <rPr>
        <i/>
        <sz val="12"/>
        <color rgb="FF000000"/>
        <rFont val="Helvetica"/>
        <family val="2"/>
      </rPr>
      <t xml:space="preserve"> (Node 3)</t>
    </r>
  </si>
  <si>
    <r>
      <t xml:space="preserve">CLI "audit" User Password </t>
    </r>
    <r>
      <rPr>
        <i/>
        <sz val="12"/>
        <color rgb="FF000000"/>
        <rFont val="Helvetica"/>
        <family val="2"/>
      </rPr>
      <t>(Node 3)</t>
    </r>
  </si>
  <si>
    <r>
      <t xml:space="preserve">Hostname (FQDN) </t>
    </r>
    <r>
      <rPr>
        <i/>
        <sz val="12"/>
        <color rgb="FF000000"/>
        <rFont val="Helvetica"/>
        <family val="2"/>
      </rPr>
      <t>(Node 3)</t>
    </r>
  </si>
  <si>
    <r>
      <t xml:space="preserve">Management Network IPv4 Address </t>
    </r>
    <r>
      <rPr>
        <i/>
        <sz val="12"/>
        <color rgb="FF000000"/>
        <rFont val="Helvetica"/>
        <family val="2"/>
      </rPr>
      <t>(Node 3)</t>
    </r>
  </si>
  <si>
    <r>
      <t xml:space="preserve">Management Network Netmask </t>
    </r>
    <r>
      <rPr>
        <i/>
        <sz val="12"/>
        <color rgb="FF000000"/>
        <rFont val="Helvetica"/>
        <family val="2"/>
      </rPr>
      <t>(Node 3)</t>
    </r>
  </si>
  <si>
    <r>
      <t>Default IPv4 Gateway</t>
    </r>
    <r>
      <rPr>
        <i/>
        <sz val="12"/>
        <color rgb="FF000000"/>
        <rFont val="Helvetica"/>
        <family val="2"/>
      </rPr>
      <t xml:space="preserve"> (Node 3)</t>
    </r>
  </si>
  <si>
    <r>
      <t xml:space="preserve">DNS Server list </t>
    </r>
    <r>
      <rPr>
        <i/>
        <sz val="12"/>
        <color rgb="FF000000"/>
        <rFont val="Helvetica"/>
        <family val="2"/>
      </rPr>
      <t>(Node 3)</t>
    </r>
  </si>
  <si>
    <r>
      <t>Domain Search List</t>
    </r>
    <r>
      <rPr>
        <i/>
        <sz val="12"/>
        <color rgb="FF000000"/>
        <rFont val="Helvetica"/>
        <family val="2"/>
      </rPr>
      <t xml:space="preserve"> (Node 3)</t>
    </r>
  </si>
  <si>
    <r>
      <t>NTP Server List</t>
    </r>
    <r>
      <rPr>
        <i/>
        <sz val="12"/>
        <color rgb="FF000000"/>
        <rFont val="Helvetica"/>
        <family val="2"/>
      </rPr>
      <t xml:space="preserve"> (Node 3)</t>
    </r>
  </si>
  <si>
    <t>NSX Global Manager API Thumbprint</t>
  </si>
  <si>
    <r>
      <t>first_node_IP</t>
    </r>
    <r>
      <rPr>
        <i/>
        <sz val="12"/>
        <color rgb="FF000000"/>
        <rFont val="Helvetica"/>
        <family val="2"/>
      </rPr>
      <t xml:space="preserve"> (Node 3)</t>
    </r>
  </si>
  <si>
    <r>
      <t xml:space="preserve">cluster_ID </t>
    </r>
    <r>
      <rPr>
        <i/>
        <sz val="12"/>
        <color rgb="FF000000"/>
        <rFont val="Helvetica"/>
        <family val="2"/>
      </rPr>
      <t>(Node 3)</t>
    </r>
  </si>
  <si>
    <r>
      <t xml:space="preserve">Edge Node </t>
    </r>
    <r>
      <rPr>
        <i/>
        <sz val="12"/>
        <color theme="1"/>
        <rFont val="Helvetica"/>
        <family val="2"/>
      </rPr>
      <t>(1st Additional Interface)</t>
    </r>
  </si>
  <si>
    <r>
      <t>MTU</t>
    </r>
    <r>
      <rPr>
        <i/>
        <sz val="12"/>
        <color theme="1"/>
        <rFont val="Helvetica"/>
        <family val="2"/>
      </rPr>
      <t xml:space="preserve"> (1st Additional Interface)</t>
    </r>
  </si>
  <si>
    <r>
      <t xml:space="preserve">Name </t>
    </r>
    <r>
      <rPr>
        <i/>
        <sz val="12"/>
        <color theme="1"/>
        <rFont val="Helvetica"/>
        <family val="2"/>
      </rPr>
      <t>(2nd Additional Interface)</t>
    </r>
  </si>
  <si>
    <r>
      <t>Location</t>
    </r>
    <r>
      <rPr>
        <i/>
        <sz val="12"/>
        <color theme="1"/>
        <rFont val="Helvetica"/>
        <family val="2"/>
      </rPr>
      <t xml:space="preserve"> (2nd Additional Interface)</t>
    </r>
  </si>
  <si>
    <r>
      <t xml:space="preserve">Segment </t>
    </r>
    <r>
      <rPr>
        <i/>
        <sz val="12"/>
        <color rgb="FF000000"/>
        <rFont val="Helvetica"/>
        <family val="2"/>
      </rPr>
      <t>(2nd Additional Interface)</t>
    </r>
  </si>
  <si>
    <r>
      <t>Location</t>
    </r>
    <r>
      <rPr>
        <i/>
        <sz val="12"/>
        <color theme="1"/>
        <rFont val="Helvetica"/>
        <family val="2"/>
      </rPr>
      <t xml:space="preserve"> (3rd Additional Interface)</t>
    </r>
  </si>
  <si>
    <r>
      <t xml:space="preserve">IP Address/Mask </t>
    </r>
    <r>
      <rPr>
        <i/>
        <sz val="12"/>
        <color theme="1"/>
        <rFont val="Helvetica"/>
        <family val="2"/>
      </rPr>
      <t>(3rd Additional Interface)</t>
    </r>
  </si>
  <si>
    <r>
      <t xml:space="preserve">Segment </t>
    </r>
    <r>
      <rPr>
        <i/>
        <sz val="12"/>
        <color rgb="FF000000"/>
        <rFont val="Helvetica"/>
        <family val="2"/>
      </rPr>
      <t>(3rd Additional Interface)</t>
    </r>
  </si>
  <si>
    <r>
      <t>Edge Node</t>
    </r>
    <r>
      <rPr>
        <i/>
        <sz val="12"/>
        <color theme="1"/>
        <rFont val="Helvetica"/>
        <family val="2"/>
      </rPr>
      <t xml:space="preserve"> (3rd Additional Interface)</t>
    </r>
  </si>
  <si>
    <r>
      <t>MTU</t>
    </r>
    <r>
      <rPr>
        <i/>
        <sz val="12"/>
        <color theme="1"/>
        <rFont val="Helvetica"/>
        <family val="2"/>
      </rPr>
      <t xml:space="preserve"> (3rd Additional Interface)</t>
    </r>
  </si>
  <si>
    <r>
      <t>IP Address/Mask</t>
    </r>
    <r>
      <rPr>
        <i/>
        <sz val="12"/>
        <color theme="1"/>
        <rFont val="Helvetica"/>
        <family val="2"/>
      </rPr>
      <t xml:space="preserve"> (4th Additional Interface)</t>
    </r>
  </si>
  <si>
    <r>
      <t xml:space="preserve">Edge Node </t>
    </r>
    <r>
      <rPr>
        <i/>
        <sz val="12"/>
        <color theme="1"/>
        <rFont val="Helvetica"/>
        <family val="2"/>
      </rPr>
      <t>(4th Additional Interface)</t>
    </r>
  </si>
  <si>
    <r>
      <t xml:space="preserve">Location </t>
    </r>
    <r>
      <rPr>
        <i/>
        <sz val="12"/>
        <color theme="1"/>
        <rFont val="Helvetica"/>
        <family val="2"/>
      </rPr>
      <t>(1st BGP Peer)</t>
    </r>
  </si>
  <si>
    <r>
      <t xml:space="preserve">1st Source Address </t>
    </r>
    <r>
      <rPr>
        <i/>
        <sz val="12"/>
        <color theme="1"/>
        <rFont val="Helvetica"/>
        <family val="2"/>
      </rPr>
      <t>(1st BGP Peer)</t>
    </r>
  </si>
  <si>
    <r>
      <t>2nd Source Address</t>
    </r>
    <r>
      <rPr>
        <i/>
        <sz val="12"/>
        <color theme="1"/>
        <rFont val="Helvetica"/>
        <family val="2"/>
      </rPr>
      <t xml:space="preserve"> (1st BGP Peer)</t>
    </r>
  </si>
  <si>
    <r>
      <t xml:space="preserve">Password </t>
    </r>
    <r>
      <rPr>
        <i/>
        <sz val="12"/>
        <color theme="1"/>
        <rFont val="Helvetica"/>
        <family val="2"/>
      </rPr>
      <t>(1st BGP Peer)</t>
    </r>
  </si>
  <si>
    <r>
      <t>IP Address</t>
    </r>
    <r>
      <rPr>
        <i/>
        <sz val="12"/>
        <color theme="1"/>
        <rFont val="Helvetica"/>
        <family val="2"/>
      </rPr>
      <t xml:space="preserve"> (2nd BGP Peer)</t>
    </r>
  </si>
  <si>
    <r>
      <t>Remote AS Number</t>
    </r>
    <r>
      <rPr>
        <i/>
        <sz val="12"/>
        <color theme="1"/>
        <rFont val="Helvetica"/>
        <family val="2"/>
      </rPr>
      <t xml:space="preserve"> (2nd BGP Peer)</t>
    </r>
  </si>
  <si>
    <r>
      <t>1st Source Address</t>
    </r>
    <r>
      <rPr>
        <i/>
        <sz val="12"/>
        <color theme="1"/>
        <rFont val="Helvetica"/>
        <family val="2"/>
      </rPr>
      <t xml:space="preserve"> (2nd BGP Peer)</t>
    </r>
  </si>
  <si>
    <r>
      <t xml:space="preserve">2nd Source Address </t>
    </r>
    <r>
      <rPr>
        <i/>
        <sz val="12"/>
        <color theme="1"/>
        <rFont val="Helvetica"/>
        <family val="2"/>
      </rPr>
      <t>(2nd BGP Peer)</t>
    </r>
  </si>
  <si>
    <t>Identity and Access Management Validated Solution</t>
  </si>
  <si>
    <t>This page contains all user required values used during the deployment of the Identity and Access Management Validated Solution. Each table and value maps directly to a process in the deployment guidance documentation.</t>
  </si>
  <si>
    <t>Section Navigation (Click to Navigate)</t>
  </si>
  <si>
    <t>Implementation</t>
  </si>
  <si>
    <t>Solution Interoperability</t>
  </si>
  <si>
    <t>Add Active Directory as Identity Provider to the Management vCenter Server for Identity and Access Management for VMware Cloud Foundation</t>
  </si>
  <si>
    <t>UI Procedure</t>
  </si>
  <si>
    <t>&lt;manangement_vcenter_server_fqdn&gt;</t>
  </si>
  <si>
    <t>Identity Source Name</t>
  </si>
  <si>
    <t>Base Distinguished Name for Users</t>
  </si>
  <si>
    <t>Base Distinguished Name for Groups</t>
  </si>
  <si>
    <t>Domain Alias</t>
  </si>
  <si>
    <t>Primary Server URL</t>
  </si>
  <si>
    <t>PowerShell Procedure</t>
  </si>
  <si>
    <t>Assign vCenter Server Roles to Active Directory Groups for Identity and Access Management for VMware Cloud Foundation</t>
  </si>
  <si>
    <t>&lt;management_vcenter_server_fqdn&gt;</t>
  </si>
  <si>
    <r>
      <t xml:space="preserve">User / Group </t>
    </r>
    <r>
      <rPr>
        <i/>
        <sz val="12"/>
        <color theme="1"/>
        <rFont val="Helvetica"/>
        <family val="2"/>
      </rPr>
      <t>(Administrator)</t>
    </r>
  </si>
  <si>
    <r>
      <t xml:space="preserve">User / Group </t>
    </r>
    <r>
      <rPr>
        <i/>
        <sz val="12"/>
        <color theme="1"/>
        <rFont val="Helvetica"/>
        <family val="2"/>
      </rPr>
      <t>(Read-Only)</t>
    </r>
  </si>
  <si>
    <t>Assign vCenter Single Sign-On Roles to Active Directory Groups for Identity and Access Management for VMware Cloud Foundation</t>
  </si>
  <si>
    <t>Active Directory Group</t>
  </si>
  <si>
    <t>Assign SDDC Manager Roles to Active Directory Groups for Identity and Access Management for VMware Cloud Foundation</t>
  </si>
  <si>
    <t>&lt;sddc_manager_fqdn&gt;</t>
  </si>
  <si>
    <r>
      <t xml:space="preserve">Search User </t>
    </r>
    <r>
      <rPr>
        <i/>
        <sz val="12"/>
        <color theme="1"/>
        <rFont val="Helvetica"/>
        <family val="2"/>
      </rPr>
      <t>(Admin)</t>
    </r>
  </si>
  <si>
    <r>
      <t xml:space="preserve">Search User </t>
    </r>
    <r>
      <rPr>
        <i/>
        <sz val="12"/>
        <color theme="1"/>
        <rFont val="Helvetica"/>
        <family val="2"/>
      </rPr>
      <t>(Operator)</t>
    </r>
  </si>
  <si>
    <r>
      <t xml:space="preserve">Search User </t>
    </r>
    <r>
      <rPr>
        <i/>
        <sz val="12"/>
        <color theme="1"/>
        <rFont val="Helvetica"/>
        <family val="2"/>
      </rPr>
      <t>(Viewer)</t>
    </r>
  </si>
  <si>
    <t>Folder Name</t>
  </si>
  <si>
    <t>Virtual Machine Name</t>
  </si>
  <si>
    <t>Compute Resource</t>
  </si>
  <si>
    <t>vSAN datastore</t>
  </si>
  <si>
    <t>Network 1</t>
  </si>
  <si>
    <t>Domain Name Servers</t>
  </si>
  <si>
    <t>Member</t>
  </si>
  <si>
    <t>Host</t>
  </si>
  <si>
    <t>Base DN</t>
  </si>
  <si>
    <t>Management Domain Local Manager</t>
  </si>
  <si>
    <t>&lt;nsx_local_manager_fqdn&gt;</t>
  </si>
  <si>
    <t>Workload Domain Local Manager</t>
  </si>
  <si>
    <t>Management Domain Global Manager</t>
  </si>
  <si>
    <t>Workload Domain Global Manager</t>
  </si>
  <si>
    <t>Assign NSX Manager Roles to Active Directory Groups for Identity and Access Management for VMware Cloud Foundation</t>
  </si>
  <si>
    <t>&lt;nsx_global_manager_fqdn&gt;</t>
  </si>
  <si>
    <t>Define a Custom Role in vSphere for the NSX Service Accounts for Identity and Access Management for VMware Cloud Foundation</t>
  </si>
  <si>
    <t>Add NSX Service Accounts to the vCenter Single Sign-On License Administrators Group for Identity and Access Management for VMware Cloud Foundation</t>
  </si>
  <si>
    <t>Management NSX to Management vCenter Service Account</t>
  </si>
  <si>
    <t>Workload NSX to Workload vCenter Service Account</t>
  </si>
  <si>
    <t>Reconfigure the vSphere Role and Permissions Scope for NSX Service Accounts for Identity and Access Management for VMware Cloud Foundation</t>
  </si>
  <si>
    <r>
      <t xml:space="preserve">Assigned Service Account </t>
    </r>
    <r>
      <rPr>
        <i/>
        <sz val="12"/>
        <color theme="1"/>
        <rFont val="Helvetica"/>
        <family val="2"/>
      </rPr>
      <t>(Management Domain)</t>
    </r>
  </si>
  <si>
    <r>
      <t xml:space="preserve">Assigned Service Account </t>
    </r>
    <r>
      <rPr>
        <i/>
        <sz val="12"/>
        <color theme="1"/>
        <rFont val="Helvetica"/>
        <family val="2"/>
      </rPr>
      <t>(VI Workload Domain)</t>
    </r>
  </si>
  <si>
    <r>
      <t xml:space="preserve">Limited Service Account </t>
    </r>
    <r>
      <rPr>
        <i/>
        <sz val="12"/>
        <color theme="1"/>
        <rFont val="Helvetica"/>
        <family val="2"/>
      </rPr>
      <t>(Management Domain)</t>
    </r>
  </si>
  <si>
    <r>
      <t xml:space="preserve">Limited Service Account </t>
    </r>
    <r>
      <rPr>
        <i/>
        <sz val="12"/>
        <color theme="1"/>
        <rFont val="Helvetica"/>
        <family val="2"/>
      </rPr>
      <t>(VI Workload Domain)</t>
    </r>
  </si>
  <si>
    <t>Credential</t>
  </si>
  <si>
    <t>Collector Group</t>
  </si>
  <si>
    <t>Unique Name</t>
  </si>
  <si>
    <t xml:space="preserve">Address list </t>
  </si>
  <si>
    <t>Agent Group Name</t>
  </si>
  <si>
    <t>Developer Ready Infrastructure Validated Solution</t>
  </si>
  <si>
    <t>This page contains all user required values used during the deployment of the Developer Ready Infrastruture Validated Solution. Each table and value maps directly to a process in the deployment guidance documentation.</t>
  </si>
  <si>
    <t>Add a Network Segment for Developer Ready Infrastructure for VMware Cloud Foundation</t>
  </si>
  <si>
    <t>&lt;nsx_manager_cluster_fqdn&gt;</t>
  </si>
  <si>
    <t>Segment Name</t>
  </si>
  <si>
    <t>Connected Gateway</t>
  </si>
  <si>
    <t>Transport Zone</t>
  </si>
  <si>
    <t>Add IP Prefix Lists to the Tier-0 Gateway for Developer Ready Infrastructure for VMware Cloud Foundation</t>
  </si>
  <si>
    <t>Tier-0 Gateway</t>
  </si>
  <si>
    <t>Management Prefix List Name</t>
  </si>
  <si>
    <t>Create a Route Map on the Tier-0 Gateway for Developer Ready Infrastructure for VMware Cloud Foundation</t>
  </si>
  <si>
    <t>Route Map Name</t>
  </si>
  <si>
    <t>Management Prefix List</t>
  </si>
  <si>
    <t>Assign a New Tag to the vSAN Datastore for Developer Ready Infrastructure for VMware Cloud Foundation</t>
  </si>
  <si>
    <t>Name (Category)</t>
  </si>
  <si>
    <t>Name (Tag)</t>
  </si>
  <si>
    <t>Category</t>
  </si>
  <si>
    <t>vSAN Datastore</t>
  </si>
  <si>
    <t>Tag</t>
  </si>
  <si>
    <t>Create a Storage Policy that Uses the New vSphere Tag for Developer Ready Infrastructure for VMware Cloud Foundation</t>
  </si>
  <si>
    <t>Tag Category</t>
  </si>
  <si>
    <t>Tags</t>
  </si>
  <si>
    <t>Create a Subscribed Content Library for Developer Ready Infrastructure for VMware Cloud Foundation</t>
  </si>
  <si>
    <t>Deploy a Supervisor Cluster for Developer Ready Infrastructure for VMware Cloud Foundation</t>
  </si>
  <si>
    <t>Start IP Address</t>
  </si>
  <si>
    <t>DNS Server</t>
  </si>
  <si>
    <t>DNS Search Domains</t>
  </si>
  <si>
    <t>vSphere Distributed Switch</t>
  </si>
  <si>
    <t>Namespace Network</t>
  </si>
  <si>
    <t>Service CIDRs</t>
  </si>
  <si>
    <t>Ingress CIDRs</t>
  </si>
  <si>
    <t>Egress CIDRs</t>
  </si>
  <si>
    <t>Content Library</t>
  </si>
  <si>
    <t>StaticRange</t>
  </si>
  <si>
    <t>Replace the Supervisor Cluster Kubernetes API Endpoint Certificate for Developer Ready Infrastructure for VMware Cloud Foundation</t>
  </si>
  <si>
    <t>State/Province</t>
  </si>
  <si>
    <t>Email Address</t>
  </si>
  <si>
    <t>License the Supervisor Cluster for Developer Ready Infrastructure for VMware Cloud Foundation</t>
  </si>
  <si>
    <t>License</t>
  </si>
  <si>
    <t>Workload Management Cluster</t>
  </si>
  <si>
    <t>Deploy a Supervisor Namespace for Developer Ready Infrastructure for VMware Cloud Foundation</t>
  </si>
  <si>
    <t>Storage Policy</t>
  </si>
  <si>
    <t>Assign the Supervisor Namespace Roles to Active Directory Groups for Developer Ready Infrastructure for VMware Cloud Foundation</t>
  </si>
  <si>
    <t>Namespace</t>
  </si>
  <si>
    <r>
      <t xml:space="preserve">Group </t>
    </r>
    <r>
      <rPr>
        <i/>
        <sz val="12"/>
        <color theme="1"/>
        <rFont val="Helvetica"/>
        <family val="2"/>
      </rPr>
      <t>(Edit Role)</t>
    </r>
  </si>
  <si>
    <r>
      <t>Group</t>
    </r>
    <r>
      <rPr>
        <i/>
        <sz val="12"/>
        <color theme="1"/>
        <rFont val="Helvetica"/>
        <family val="2"/>
      </rPr>
      <t xml:space="preserve"> (View Role)</t>
    </r>
  </si>
  <si>
    <t>Deploy a Namespace for the Tanzu Kubernetes Cluster for Developer Ready Infrastructure for VMware Cloud Foundation</t>
  </si>
  <si>
    <t>Assign the New Tanzu Cluster Namespace Roles to Active Directory Groups for VMware Cloud Foundation</t>
  </si>
  <si>
    <t>Add a Virtual Machine Class for the Tanzu Kubernetes Cluster for Developer Ready Infrastructure for VMware Cloud Foundation</t>
  </si>
  <si>
    <t>VM Class</t>
  </si>
  <si>
    <t>Provision a Tanzu Kubernetes Cluster for Developer Ready Infrastructure for VMware Cloud Foundation</t>
  </si>
  <si>
    <t>Server</t>
  </si>
  <si>
    <t>name</t>
  </si>
  <si>
    <t>namespace</t>
  </si>
  <si>
    <t>storageClass</t>
  </si>
  <si>
    <t>class</t>
  </si>
  <si>
    <t>cidrBlock (services)</t>
  </si>
  <si>
    <t>cidrBlock (pods)</t>
  </si>
  <si>
    <t>Private Cloud Automation Validated Solution</t>
  </si>
  <si>
    <t>This page contains all user required values used during the deployment of the Private Cloud Automation Validated Solution. Each table and value maps directly to a process in the deployment guidance documentation.</t>
  </si>
  <si>
    <t>Connect Instance</t>
  </si>
  <si>
    <t>License Alias</t>
  </si>
  <si>
    <t>License Key</t>
  </si>
  <si>
    <r>
      <t xml:space="preserve">Password Alias </t>
    </r>
    <r>
      <rPr>
        <i/>
        <sz val="12"/>
        <rFont val="Helvetica"/>
        <family val="2"/>
      </rPr>
      <t>(Cross-Instance Admin)</t>
    </r>
  </si>
  <si>
    <r>
      <t xml:space="preserve">Password </t>
    </r>
    <r>
      <rPr>
        <i/>
        <sz val="12"/>
        <rFont val="Helvetica"/>
        <family val="2"/>
      </rPr>
      <t>(Cross-Instance Admin)</t>
    </r>
  </si>
  <si>
    <r>
      <t xml:space="preserve">Username </t>
    </r>
    <r>
      <rPr>
        <i/>
        <sz val="12"/>
        <rFont val="Helvetica"/>
        <family val="2"/>
      </rPr>
      <t>(Cross-Instance Admin)</t>
    </r>
  </si>
  <si>
    <t>Environment Name</t>
  </si>
  <si>
    <t>Default Password</t>
  </si>
  <si>
    <t>Node Size</t>
  </si>
  <si>
    <t>Product Password</t>
  </si>
  <si>
    <t>K8s Cluster IP range</t>
  </si>
  <si>
    <t>K8s Service IP range</t>
  </si>
  <si>
    <r>
      <t xml:space="preserve">FQDN </t>
    </r>
    <r>
      <rPr>
        <i/>
        <sz val="12"/>
        <rFont val="Helvetica"/>
        <family val="2"/>
      </rPr>
      <t>(vra-va)</t>
    </r>
  </si>
  <si>
    <r>
      <t xml:space="preserve">VM Name </t>
    </r>
    <r>
      <rPr>
        <i/>
        <sz val="12"/>
        <rFont val="Helvetica"/>
        <family val="2"/>
      </rPr>
      <t>(vrava-primary)</t>
    </r>
  </si>
  <si>
    <r>
      <t>FQDN</t>
    </r>
    <r>
      <rPr>
        <i/>
        <sz val="12"/>
        <rFont val="Helvetica"/>
        <family val="2"/>
      </rPr>
      <t xml:space="preserve"> (vrava-primary)</t>
    </r>
  </si>
  <si>
    <r>
      <t>IP Address</t>
    </r>
    <r>
      <rPr>
        <i/>
        <sz val="12"/>
        <rFont val="Helvetica"/>
        <family val="2"/>
      </rPr>
      <t xml:space="preserve"> (vrava-primary)</t>
    </r>
  </si>
  <si>
    <r>
      <t>VM Name</t>
    </r>
    <r>
      <rPr>
        <b/>
        <sz val="12"/>
        <color rgb="FF0070C0"/>
        <rFont val="Helvetica"/>
        <family val="2"/>
      </rPr>
      <t xml:space="preserve"> </t>
    </r>
    <r>
      <rPr>
        <i/>
        <sz val="12"/>
        <rFont val="Helvetica"/>
        <family val="2"/>
      </rPr>
      <t>(vrava-secondary-1)</t>
    </r>
  </si>
  <si>
    <r>
      <t xml:space="preserve">FQDN </t>
    </r>
    <r>
      <rPr>
        <i/>
        <sz val="12"/>
        <rFont val="Helvetica"/>
        <family val="2"/>
      </rPr>
      <t>(vrava-secondary-1)</t>
    </r>
  </si>
  <si>
    <r>
      <t xml:space="preserve">IP Address </t>
    </r>
    <r>
      <rPr>
        <i/>
        <sz val="12"/>
        <rFont val="Helvetica"/>
        <family val="2"/>
      </rPr>
      <t>(vrava-secondary-1)</t>
    </r>
  </si>
  <si>
    <r>
      <t>VM Name (</t>
    </r>
    <r>
      <rPr>
        <i/>
        <sz val="12"/>
        <rFont val="Helvetica"/>
        <family val="2"/>
      </rPr>
      <t>vrava-secondary-2)</t>
    </r>
  </si>
  <si>
    <r>
      <t>FQDN</t>
    </r>
    <r>
      <rPr>
        <b/>
        <sz val="12"/>
        <color rgb="FF0070C0"/>
        <rFont val="Helvetica"/>
        <family val="2"/>
      </rPr>
      <t xml:space="preserve"> </t>
    </r>
    <r>
      <rPr>
        <i/>
        <sz val="12"/>
        <rFont val="Helvetica"/>
        <family val="2"/>
      </rPr>
      <t>(vrava-secondary-2)</t>
    </r>
  </si>
  <si>
    <r>
      <t>IP Address</t>
    </r>
    <r>
      <rPr>
        <i/>
        <sz val="12"/>
        <rFont val="Helvetica"/>
        <family val="2"/>
      </rPr>
      <t xml:space="preserve"> (vrava-secondary-2)</t>
    </r>
  </si>
  <si>
    <t>&lt;vi_workload_vcenter_server_fqdn&gt;</t>
  </si>
  <si>
    <t>Resource Pool Name</t>
  </si>
  <si>
    <t>Members</t>
  </si>
  <si>
    <t>VM dependency restart condition</t>
  </si>
  <si>
    <t>Restart for VM group</t>
  </si>
  <si>
    <t>Display Name</t>
  </si>
  <si>
    <t>&lt;clustered_workspace_one_access_fqdn&gt;</t>
  </si>
  <si>
    <r>
      <t xml:space="preserve">Group </t>
    </r>
    <r>
      <rPr>
        <i/>
        <sz val="12"/>
        <rFont val="Helvetica"/>
        <family val="2"/>
      </rPr>
      <t>(Organization Owner)</t>
    </r>
  </si>
  <si>
    <r>
      <t xml:space="preserve">Group </t>
    </r>
    <r>
      <rPr>
        <i/>
        <sz val="12"/>
        <rFont val="Helvetica"/>
        <family val="2"/>
      </rPr>
      <t>(Service Broker Administrator)</t>
    </r>
  </si>
  <si>
    <r>
      <t xml:space="preserve">Group </t>
    </r>
    <r>
      <rPr>
        <i/>
        <sz val="12"/>
        <rFont val="Helvetica"/>
        <family val="2"/>
      </rPr>
      <t>(Service Broker User)</t>
    </r>
  </si>
  <si>
    <r>
      <t xml:space="preserve">Group </t>
    </r>
    <r>
      <rPr>
        <i/>
        <sz val="12"/>
        <rFont val="Helvetica"/>
        <family val="2"/>
      </rPr>
      <t>(Service Broker Viewers)</t>
    </r>
  </si>
  <si>
    <r>
      <t xml:space="preserve">Group </t>
    </r>
    <r>
      <rPr>
        <i/>
        <sz val="12"/>
        <rFont val="Helvetica"/>
        <family val="2"/>
      </rPr>
      <t>(Orchestrator Administrator)</t>
    </r>
  </si>
  <si>
    <r>
      <t xml:space="preserve">Group </t>
    </r>
    <r>
      <rPr>
        <i/>
        <sz val="12"/>
        <rFont val="Helvetica"/>
        <family val="2"/>
      </rPr>
      <t>(Orchestrator Workflow Designer)</t>
    </r>
  </si>
  <si>
    <r>
      <t xml:space="preserve">Group </t>
    </r>
    <r>
      <rPr>
        <i/>
        <sz val="12"/>
        <rFont val="Helvetica"/>
        <family val="2"/>
      </rPr>
      <t>(Orchestrator Workflow Viewers)</t>
    </r>
  </si>
  <si>
    <t>&lt;vi_workload_nsx_manager_fqdn&gt;</t>
  </si>
  <si>
    <t>User / group name</t>
  </si>
  <si>
    <r>
      <t>Name</t>
    </r>
    <r>
      <rPr>
        <b/>
        <sz val="12"/>
        <color rgb="FF0070C0"/>
        <rFont val="Helvetica"/>
        <family val="2"/>
      </rPr>
      <t xml:space="preserve"> </t>
    </r>
    <r>
      <rPr>
        <i/>
        <sz val="12"/>
        <rFont val="Helvetica"/>
        <family val="2"/>
      </rPr>
      <t>(vCenter)</t>
    </r>
  </si>
  <si>
    <t>vCenter Server IP Address / FQDN</t>
  </si>
  <si>
    <r>
      <t xml:space="preserve">Username </t>
    </r>
    <r>
      <rPr>
        <i/>
        <sz val="12"/>
        <rFont val="Helvetica"/>
        <family val="2"/>
      </rPr>
      <t>(vCenter)</t>
    </r>
  </si>
  <si>
    <r>
      <t xml:space="preserve">Password </t>
    </r>
    <r>
      <rPr>
        <i/>
        <sz val="12"/>
        <rFont val="Helvetica"/>
        <family val="2"/>
      </rPr>
      <t>(vCenter)</t>
    </r>
  </si>
  <si>
    <t>Allow provisioning to these datacenters</t>
  </si>
  <si>
    <t>Capability Tag</t>
  </si>
  <si>
    <r>
      <t>Name</t>
    </r>
    <r>
      <rPr>
        <b/>
        <sz val="12"/>
        <color rgb="FF0070C0"/>
        <rFont val="Helvetica"/>
        <family val="2"/>
      </rPr>
      <t xml:space="preserve"> </t>
    </r>
    <r>
      <rPr>
        <i/>
        <sz val="12"/>
        <rFont val="Helvetica"/>
        <family val="2"/>
      </rPr>
      <t>(NSX Manager)</t>
    </r>
  </si>
  <si>
    <t>NSX Manager IP Address / FQDN</t>
  </si>
  <si>
    <r>
      <t>Username</t>
    </r>
    <r>
      <rPr>
        <i/>
        <sz val="12"/>
        <rFont val="Helvetica"/>
        <family val="2"/>
      </rPr>
      <t xml:space="preserve"> (NSX Manager)</t>
    </r>
  </si>
  <si>
    <r>
      <t>Password</t>
    </r>
    <r>
      <rPr>
        <i/>
        <sz val="12"/>
        <rFont val="Helvetica"/>
        <family val="2"/>
      </rPr>
      <t xml:space="preserve"> (NSX Manager)</t>
    </r>
  </si>
  <si>
    <t>Cloud Zone</t>
  </si>
  <si>
    <t>Resource Pool</t>
  </si>
  <si>
    <t>Configure Email Alerts in Service Broker for Private Cloud Automation for VMware Cloud Foundation</t>
  </si>
  <si>
    <t>Server Name</t>
  </si>
  <si>
    <t>Sender Address</t>
  </si>
  <si>
    <t>Server Port</t>
  </si>
  <si>
    <t>IP or host name of the vCenter Server instance to add</t>
  </si>
  <si>
    <t>&lt;vi_workload_domain_vcenter_server_fqdn&gt;</t>
  </si>
  <si>
    <t>Import From</t>
  </si>
  <si>
    <t>vIDMAuthSource</t>
  </si>
  <si>
    <t>Search Prefix / User Name</t>
  </si>
  <si>
    <t>Credential Name</t>
  </si>
  <si>
    <t>UsernName</t>
  </si>
  <si>
    <t>Cloud Account Tile Name</t>
  </si>
  <si>
    <t>Address list</t>
  </si>
  <si>
    <t>Photon OS (PCA) - Appliance Agent Group</t>
  </si>
  <si>
    <t>Intelligent Logging and Analytics Validated Solution</t>
  </si>
  <si>
    <t>This page contains all user required values used during the deployment of the Intelligent Logging and Analytics Validated Solution. Each table and value maps directly to a process in the deployment guidance documentation.</t>
  </si>
  <si>
    <t>Additional Instance</t>
  </si>
  <si>
    <t>Password alias</t>
  </si>
  <si>
    <t>Environment name</t>
  </si>
  <si>
    <t>Select vCenter Server</t>
  </si>
  <si>
    <t>Select Network</t>
  </si>
  <si>
    <t>Select Datastore</t>
  </si>
  <si>
    <r>
      <t xml:space="preserve">NTP Server </t>
    </r>
    <r>
      <rPr>
        <i/>
        <sz val="12"/>
        <rFont val="Helvetica"/>
        <family val="2"/>
      </rPr>
      <t>(First)</t>
    </r>
  </si>
  <si>
    <r>
      <t xml:space="preserve">NTP Server </t>
    </r>
    <r>
      <rPr>
        <i/>
        <sz val="12"/>
        <rFont val="Helvetica"/>
        <family val="2"/>
      </rPr>
      <t>(Second)</t>
    </r>
  </si>
  <si>
    <t>Admin Email</t>
  </si>
  <si>
    <t>Product password</t>
  </si>
  <si>
    <r>
      <t>VM Name</t>
    </r>
    <r>
      <rPr>
        <i/>
        <sz val="12"/>
        <color theme="1"/>
        <rFont val="Helvetica"/>
        <family val="2"/>
      </rPr>
      <t xml:space="preserve"> (Primary Node)</t>
    </r>
  </si>
  <si>
    <r>
      <t>FQDN</t>
    </r>
    <r>
      <rPr>
        <i/>
        <sz val="12"/>
        <color theme="1"/>
        <rFont val="Helvetica"/>
        <family val="2"/>
      </rPr>
      <t xml:space="preserve"> (Primary Node)</t>
    </r>
  </si>
  <si>
    <r>
      <t xml:space="preserve">IP Address </t>
    </r>
    <r>
      <rPr>
        <i/>
        <sz val="12"/>
        <color theme="1"/>
        <rFont val="Helvetica"/>
        <family val="2"/>
      </rPr>
      <t>(Primary Node)</t>
    </r>
  </si>
  <si>
    <r>
      <t>VM Name</t>
    </r>
    <r>
      <rPr>
        <i/>
        <sz val="12"/>
        <color theme="1"/>
        <rFont val="Helvetica"/>
        <family val="2"/>
      </rPr>
      <t xml:space="preserve"> (Worker Node 1)</t>
    </r>
  </si>
  <si>
    <r>
      <t>FQDN</t>
    </r>
    <r>
      <rPr>
        <i/>
        <sz val="12"/>
        <color theme="1"/>
        <rFont val="Helvetica"/>
        <family val="2"/>
      </rPr>
      <t xml:space="preserve"> (Worker Node 1)</t>
    </r>
  </si>
  <si>
    <r>
      <t xml:space="preserve">IP Address </t>
    </r>
    <r>
      <rPr>
        <i/>
        <sz val="12"/>
        <color theme="1"/>
        <rFont val="Helvetica"/>
        <family val="2"/>
      </rPr>
      <t>(Worker Node 1)</t>
    </r>
  </si>
  <si>
    <r>
      <t>VM Name</t>
    </r>
    <r>
      <rPr>
        <i/>
        <sz val="12"/>
        <color theme="1"/>
        <rFont val="Helvetica"/>
        <family val="2"/>
      </rPr>
      <t xml:space="preserve"> (Worker Node 2)</t>
    </r>
  </si>
  <si>
    <r>
      <t>FQDN</t>
    </r>
    <r>
      <rPr>
        <i/>
        <sz val="12"/>
        <color theme="1"/>
        <rFont val="Helvetica"/>
        <family val="2"/>
      </rPr>
      <t xml:space="preserve"> (Worker Node 2)</t>
    </r>
  </si>
  <si>
    <r>
      <t xml:space="preserve">IP Address </t>
    </r>
    <r>
      <rPr>
        <i/>
        <sz val="12"/>
        <color theme="1"/>
        <rFont val="Helvetica"/>
        <family val="2"/>
      </rPr>
      <t>(Worker Node 2)</t>
    </r>
  </si>
  <si>
    <r>
      <t xml:space="preserve">VM Group </t>
    </r>
    <r>
      <rPr>
        <i/>
        <sz val="12"/>
        <color theme="1"/>
        <rFont val="Helvetica"/>
        <family val="2"/>
      </rPr>
      <t>(Primary AZ )</t>
    </r>
  </si>
  <si>
    <t>Sender</t>
  </si>
  <si>
    <t>Email System Notifications To</t>
  </si>
  <si>
    <t>Retention Notification Threshold</t>
  </si>
  <si>
    <t>Retention Period (days)</t>
  </si>
  <si>
    <t>Archive Location</t>
  </si>
  <si>
    <r>
      <t>Name</t>
    </r>
    <r>
      <rPr>
        <sz val="12"/>
        <color theme="1"/>
        <rFont val="Helvetica"/>
        <family val="2"/>
      </rPr>
      <t xml:space="preserve"> (Super Admin Group)</t>
    </r>
  </si>
  <si>
    <r>
      <t>Name</t>
    </r>
    <r>
      <rPr>
        <sz val="12"/>
        <color theme="1"/>
        <rFont val="Helvetica"/>
        <family val="2"/>
      </rPr>
      <t xml:space="preserve"> (User Group)</t>
    </r>
  </si>
  <si>
    <r>
      <t>Name</t>
    </r>
    <r>
      <rPr>
        <sz val="12"/>
        <color rgb="FF000000"/>
        <rFont val="Helvetica"/>
        <family val="2"/>
      </rPr>
      <t xml:space="preserve"> (Viewer Only Admin Group)</t>
    </r>
  </si>
  <si>
    <t>Workload Domain</t>
  </si>
  <si>
    <t>FQDN or IP address</t>
  </si>
  <si>
    <t>Install Workspace ONE Access Content Pack for Intelligent Logging and Analytics for VMware Cloud Foundation</t>
  </si>
  <si>
    <t>Content Pack</t>
  </si>
  <si>
    <t>VMware Workspace ONE Access</t>
  </si>
  <si>
    <r>
      <t>FQDN</t>
    </r>
    <r>
      <rPr>
        <i/>
        <sz val="12"/>
        <color theme="1"/>
        <rFont val="Helvetica"/>
        <family val="2"/>
      </rPr>
      <t xml:space="preserve"> (Clustered Workspace ONE Access Node 1)</t>
    </r>
  </si>
  <si>
    <r>
      <t>FQDN</t>
    </r>
    <r>
      <rPr>
        <i/>
        <sz val="12"/>
        <color theme="1"/>
        <rFont val="Helvetica"/>
        <family val="2"/>
      </rPr>
      <t xml:space="preserve"> (Clustered Workspace ONE Access Node 2)</t>
    </r>
  </si>
  <si>
    <r>
      <t>FQDN</t>
    </r>
    <r>
      <rPr>
        <i/>
        <sz val="12"/>
        <color theme="1"/>
        <rFont val="Helvetica"/>
        <family val="2"/>
      </rPr>
      <t xml:space="preserve"> (Clustered Workspace ONE Access Node 3)</t>
    </r>
  </si>
  <si>
    <t>Workspace ONE Access - Appliance Agent Group</t>
  </si>
  <si>
    <r>
      <t>Hostname</t>
    </r>
    <r>
      <rPr>
        <i/>
        <sz val="12"/>
        <color theme="1"/>
        <rFont val="Helvetica"/>
        <family val="2"/>
      </rPr>
      <t xml:space="preserve"> (Clustered Workspace ONE Access Node 1 FQDN)</t>
    </r>
  </si>
  <si>
    <r>
      <t>Hostname</t>
    </r>
    <r>
      <rPr>
        <i/>
        <sz val="12"/>
        <color theme="1"/>
        <rFont val="Helvetica"/>
        <family val="2"/>
      </rPr>
      <t xml:space="preserve"> (Clustered Workspace ONE Access Node 2 FQDN)</t>
    </r>
  </si>
  <si>
    <r>
      <t>Hostname</t>
    </r>
    <r>
      <rPr>
        <i/>
        <sz val="12"/>
        <color theme="1"/>
        <rFont val="Helvetica"/>
        <family val="2"/>
      </rPr>
      <t xml:space="preserve"> (Clustered Workspace ONE Access Node 3 FQDN)</t>
    </r>
  </si>
  <si>
    <t>Photon OS - Appliance Agent Group</t>
  </si>
  <si>
    <r>
      <t>Hostname</t>
    </r>
    <r>
      <rPr>
        <i/>
        <sz val="12"/>
        <color theme="1"/>
        <rFont val="Helvetica"/>
        <family val="2"/>
      </rPr>
      <t xml:space="preserve"> (SDDC Manager)</t>
    </r>
  </si>
  <si>
    <r>
      <t>Hostname</t>
    </r>
    <r>
      <rPr>
        <i/>
        <sz val="12"/>
        <color theme="1"/>
        <rFont val="Helvetica"/>
        <family val="2"/>
      </rPr>
      <t xml:space="preserve"> (Clustered Workspace ONE Access Node 1)</t>
    </r>
  </si>
  <si>
    <r>
      <t>Hostname</t>
    </r>
    <r>
      <rPr>
        <i/>
        <sz val="12"/>
        <color theme="1"/>
        <rFont val="Helvetica"/>
        <family val="2"/>
      </rPr>
      <t xml:space="preserve"> (Clustered Workspace ONE Access Node 2)</t>
    </r>
  </si>
  <si>
    <r>
      <t>Hostname</t>
    </r>
    <r>
      <rPr>
        <i/>
        <sz val="12"/>
        <color theme="1"/>
        <rFont val="Helvetica"/>
        <family val="2"/>
      </rPr>
      <t xml:space="preserve"> (Clustered Workspace ONE Access Node 3)</t>
    </r>
  </si>
  <si>
    <t>Additonal Instance</t>
  </si>
  <si>
    <t>regional-remote-collectors</t>
  </si>
  <si>
    <t>Intelligent Operations Management Validated Solution</t>
  </si>
  <si>
    <t>This page contains all user required values used during the deployment of the Intelligent Operations Management Validated Solution. Each table and value maps directly to a process in the deployment guidance documentation.</t>
  </si>
  <si>
    <t>Assign SDDC Manager Role to a Service Account for Intelligent Operations Management for VMware Cloud Foundation</t>
  </si>
  <si>
    <t>User / Group</t>
  </si>
  <si>
    <t>Define a Custom Role in vSphere for Intelligent Operations Management for VMware Cloud Foundation</t>
  </si>
  <si>
    <t>Configure Service Account Permissions for vSphere Integration for Intelligent Operations Management for VMware Cloud Foundation</t>
  </si>
  <si>
    <t>Role</t>
  </si>
  <si>
    <r>
      <t xml:space="preserve">Folder Name </t>
    </r>
    <r>
      <rPr>
        <i/>
        <sz val="12"/>
        <color theme="1"/>
        <rFont val="Helvetica"/>
        <family val="2"/>
      </rPr>
      <t>(Cluster Nodes)</t>
    </r>
  </si>
  <si>
    <r>
      <t xml:space="preserve">Folder Name </t>
    </r>
    <r>
      <rPr>
        <i/>
        <sz val="12"/>
        <color theme="1"/>
        <rFont val="Helvetica"/>
        <family val="2"/>
      </rPr>
      <t>(Cloud Proxies)</t>
    </r>
  </si>
  <si>
    <t>Management Domain NSX Local Manager</t>
  </si>
  <si>
    <t>Principal Identity User Name</t>
  </si>
  <si>
    <t>Enterprise Admin</t>
  </si>
  <si>
    <t>Node Id</t>
  </si>
  <si>
    <t>VI Workload Domain NSX Local Manager</t>
  </si>
  <si>
    <r>
      <t xml:space="preserve">User Name </t>
    </r>
    <r>
      <rPr>
        <i/>
        <sz val="12"/>
        <color theme="1"/>
        <rFont val="Helvetica"/>
        <family val="2"/>
      </rPr>
      <t>(root)</t>
    </r>
  </si>
  <si>
    <r>
      <t xml:space="preserve">User Name </t>
    </r>
    <r>
      <rPr>
        <i/>
        <sz val="12"/>
        <rFont val="Helvetica"/>
        <family val="2"/>
      </rPr>
      <t>(Cross-Instance Admin)</t>
    </r>
  </si>
  <si>
    <r>
      <t xml:space="preserve">Deployment Type </t>
    </r>
    <r>
      <rPr>
        <i/>
        <sz val="12"/>
        <color theme="1"/>
        <rFont val="Helvetica"/>
        <family val="2"/>
      </rPr>
      <t>(Cluster Nodes)</t>
    </r>
  </si>
  <si>
    <r>
      <t xml:space="preserve">FQDN </t>
    </r>
    <r>
      <rPr>
        <i/>
        <sz val="12"/>
        <rFont val="Helvetica"/>
        <family val="2"/>
      </rPr>
      <t>(vrops-cluster)</t>
    </r>
  </si>
  <si>
    <r>
      <t xml:space="preserve">VM Name </t>
    </r>
    <r>
      <rPr>
        <i/>
        <sz val="12"/>
        <rFont val="Helvetica"/>
        <family val="2"/>
      </rPr>
      <t>(primary)</t>
    </r>
  </si>
  <si>
    <r>
      <t>FQDN</t>
    </r>
    <r>
      <rPr>
        <i/>
        <sz val="12"/>
        <rFont val="Helvetica"/>
        <family val="2"/>
      </rPr>
      <t xml:space="preserve"> (primary)</t>
    </r>
  </si>
  <si>
    <r>
      <t>IP Address</t>
    </r>
    <r>
      <rPr>
        <i/>
        <sz val="12"/>
        <rFont val="Helvetica"/>
        <family val="2"/>
      </rPr>
      <t xml:space="preserve"> (primary)</t>
    </r>
  </si>
  <si>
    <r>
      <t xml:space="preserve">Datastore </t>
    </r>
    <r>
      <rPr>
        <i/>
        <sz val="12"/>
        <color theme="1"/>
        <rFont val="Helvetica"/>
        <family val="2"/>
      </rPr>
      <t>(primary Advanced configuration)</t>
    </r>
  </si>
  <si>
    <r>
      <t>VM Name</t>
    </r>
    <r>
      <rPr>
        <b/>
        <sz val="12"/>
        <color rgb="FF0070C0"/>
        <rFont val="Helvetica"/>
        <family val="2"/>
      </rPr>
      <t xml:space="preserve"> </t>
    </r>
    <r>
      <rPr>
        <i/>
        <sz val="12"/>
        <rFont val="Helvetica"/>
        <family val="2"/>
      </rPr>
      <t>(replica)</t>
    </r>
  </si>
  <si>
    <r>
      <t xml:space="preserve">FQDN </t>
    </r>
    <r>
      <rPr>
        <i/>
        <sz val="12"/>
        <rFont val="Helvetica"/>
        <family val="2"/>
      </rPr>
      <t>(replica)</t>
    </r>
  </si>
  <si>
    <r>
      <t xml:space="preserve">IP Address </t>
    </r>
    <r>
      <rPr>
        <i/>
        <sz val="12"/>
        <rFont val="Helvetica"/>
        <family val="2"/>
      </rPr>
      <t>(replica)</t>
    </r>
  </si>
  <si>
    <r>
      <t xml:space="preserve">Datastore </t>
    </r>
    <r>
      <rPr>
        <i/>
        <sz val="12"/>
        <color theme="1"/>
        <rFont val="Helvetica"/>
        <family val="2"/>
      </rPr>
      <t>(replica Advanced configuration)</t>
    </r>
  </si>
  <si>
    <r>
      <t xml:space="preserve">VM Name </t>
    </r>
    <r>
      <rPr>
        <i/>
        <sz val="12"/>
        <color theme="1"/>
        <rFont val="Helvetica"/>
        <family val="2"/>
      </rPr>
      <t>(data</t>
    </r>
    <r>
      <rPr>
        <i/>
        <sz val="12"/>
        <rFont val="Helvetica"/>
        <family val="2"/>
      </rPr>
      <t>)</t>
    </r>
  </si>
  <si>
    <r>
      <t>FQDN</t>
    </r>
    <r>
      <rPr>
        <b/>
        <sz val="12"/>
        <color rgb="FF0070C0"/>
        <rFont val="Helvetica"/>
        <family val="2"/>
      </rPr>
      <t xml:space="preserve"> </t>
    </r>
    <r>
      <rPr>
        <i/>
        <sz val="12"/>
        <rFont val="Helvetica"/>
        <family val="2"/>
      </rPr>
      <t>(data)</t>
    </r>
  </si>
  <si>
    <r>
      <t>IP Address</t>
    </r>
    <r>
      <rPr>
        <i/>
        <sz val="12"/>
        <rFont val="Helvetica"/>
        <family val="2"/>
      </rPr>
      <t xml:space="preserve"> (data)</t>
    </r>
  </si>
  <si>
    <r>
      <t xml:space="preserve">Datastore </t>
    </r>
    <r>
      <rPr>
        <i/>
        <sz val="12"/>
        <color theme="1"/>
        <rFont val="Helvetica"/>
        <family val="2"/>
      </rPr>
      <t>(data Advanced configuration)</t>
    </r>
  </si>
  <si>
    <r>
      <t xml:space="preserve">VM Name </t>
    </r>
    <r>
      <rPr>
        <i/>
        <sz val="12"/>
        <color theme="1"/>
        <rFont val="Helvetica"/>
        <family val="2"/>
      </rPr>
      <t>(Cloud Proxy #1</t>
    </r>
    <r>
      <rPr>
        <i/>
        <sz val="12"/>
        <rFont val="Helvetica"/>
        <family val="2"/>
      </rPr>
      <t>)</t>
    </r>
  </si>
  <si>
    <r>
      <t>FQDN</t>
    </r>
    <r>
      <rPr>
        <b/>
        <sz val="12"/>
        <color rgb="FF0070C0"/>
        <rFont val="Helvetica"/>
        <family val="2"/>
      </rPr>
      <t xml:space="preserve"> </t>
    </r>
    <r>
      <rPr>
        <i/>
        <sz val="12"/>
        <rFont val="Helvetica"/>
        <family val="2"/>
      </rPr>
      <t>(Cloud Proxy #1)</t>
    </r>
  </si>
  <si>
    <r>
      <t>IP Address</t>
    </r>
    <r>
      <rPr>
        <i/>
        <sz val="12"/>
        <rFont val="Helvetica"/>
        <family val="2"/>
      </rPr>
      <t xml:space="preserve"> (Cloud Proxy #1)</t>
    </r>
  </si>
  <si>
    <r>
      <t xml:space="preserve">Node Size </t>
    </r>
    <r>
      <rPr>
        <i/>
        <sz val="12"/>
        <color theme="1"/>
        <rFont val="Helvetica"/>
        <family val="2"/>
      </rPr>
      <t>(Cloud Proxy #1)</t>
    </r>
  </si>
  <si>
    <r>
      <t>Select vCenter Server</t>
    </r>
    <r>
      <rPr>
        <i/>
        <sz val="12"/>
        <color theme="1"/>
        <rFont val="Helvetica"/>
        <family val="2"/>
      </rPr>
      <t xml:space="preserve"> (Cloud Proxy #1)</t>
    </r>
  </si>
  <si>
    <r>
      <t xml:space="preserve">Select Cluster </t>
    </r>
    <r>
      <rPr>
        <i/>
        <sz val="12"/>
        <color theme="1"/>
        <rFont val="Helvetica"/>
        <family val="2"/>
      </rPr>
      <t>(Cloud Proxy #1)</t>
    </r>
  </si>
  <si>
    <r>
      <t xml:space="preserve">Select Network </t>
    </r>
    <r>
      <rPr>
        <i/>
        <sz val="12"/>
        <color theme="1"/>
        <rFont val="Helvetica"/>
        <family val="2"/>
      </rPr>
      <t>(Cloud Proxy #1)</t>
    </r>
  </si>
  <si>
    <r>
      <t>Select Datastore</t>
    </r>
    <r>
      <rPr>
        <i/>
        <sz val="12"/>
        <color theme="1"/>
        <rFont val="Helvetica"/>
        <family val="2"/>
      </rPr>
      <t xml:space="preserve"> (Cloud Proxy #1)</t>
    </r>
  </si>
  <si>
    <r>
      <t>Gateway</t>
    </r>
    <r>
      <rPr>
        <i/>
        <sz val="12"/>
        <color theme="1"/>
        <rFont val="Helvetica"/>
        <family val="2"/>
      </rPr>
      <t xml:space="preserve"> (Cloud Proxy #1)</t>
    </r>
  </si>
  <si>
    <r>
      <t>Domain</t>
    </r>
    <r>
      <rPr>
        <i/>
        <sz val="12"/>
        <color theme="1"/>
        <rFont val="Helvetica"/>
        <family val="2"/>
      </rPr>
      <t xml:space="preserve"> (Cloud Proxy #1)</t>
    </r>
  </si>
  <si>
    <r>
      <t xml:space="preserve">DNS Search Domain </t>
    </r>
    <r>
      <rPr>
        <i/>
        <sz val="12"/>
        <color theme="1"/>
        <rFont val="Helvetica"/>
        <family val="2"/>
      </rPr>
      <t>(Cloud Proxy #1)</t>
    </r>
  </si>
  <si>
    <r>
      <t xml:space="preserve">DNS </t>
    </r>
    <r>
      <rPr>
        <i/>
        <sz val="12"/>
        <color theme="1"/>
        <rFont val="Helvetica"/>
        <family val="2"/>
      </rPr>
      <t>(Cloud Proxy #1)</t>
    </r>
  </si>
  <si>
    <r>
      <t xml:space="preserve">VM Name </t>
    </r>
    <r>
      <rPr>
        <i/>
        <sz val="12"/>
        <color theme="1"/>
        <rFont val="Helvetica"/>
        <family val="2"/>
      </rPr>
      <t>(Cloud Proxy #2</t>
    </r>
    <r>
      <rPr>
        <i/>
        <sz val="12"/>
        <rFont val="Helvetica"/>
        <family val="2"/>
      </rPr>
      <t>)</t>
    </r>
  </si>
  <si>
    <r>
      <t>FQDN</t>
    </r>
    <r>
      <rPr>
        <b/>
        <sz val="12"/>
        <color rgb="FF0070C0"/>
        <rFont val="Helvetica"/>
        <family val="2"/>
      </rPr>
      <t xml:space="preserve"> </t>
    </r>
    <r>
      <rPr>
        <i/>
        <sz val="12"/>
        <rFont val="Helvetica"/>
        <family val="2"/>
      </rPr>
      <t>(Cloud Proxy #2)</t>
    </r>
  </si>
  <si>
    <r>
      <t>IP Address</t>
    </r>
    <r>
      <rPr>
        <i/>
        <sz val="12"/>
        <rFont val="Helvetica"/>
        <family val="2"/>
      </rPr>
      <t xml:space="preserve"> (Cloud Proxy #2)</t>
    </r>
  </si>
  <si>
    <r>
      <t xml:space="preserve">Node Size </t>
    </r>
    <r>
      <rPr>
        <i/>
        <sz val="12"/>
        <color theme="1"/>
        <rFont val="Helvetica"/>
        <family val="2"/>
      </rPr>
      <t>(Cloud Proxy #2)</t>
    </r>
  </si>
  <si>
    <r>
      <t>Select vCenter Server</t>
    </r>
    <r>
      <rPr>
        <i/>
        <sz val="12"/>
        <color theme="1"/>
        <rFont val="Helvetica"/>
        <family val="2"/>
      </rPr>
      <t xml:space="preserve"> (Cloud Proxy #2)</t>
    </r>
  </si>
  <si>
    <r>
      <t xml:space="preserve">Select Cluster </t>
    </r>
    <r>
      <rPr>
        <i/>
        <sz val="12"/>
        <color theme="1"/>
        <rFont val="Helvetica"/>
        <family val="2"/>
      </rPr>
      <t>(Cloud Proxy #2)</t>
    </r>
  </si>
  <si>
    <r>
      <t xml:space="preserve">Select Network </t>
    </r>
    <r>
      <rPr>
        <i/>
        <sz val="12"/>
        <color theme="1"/>
        <rFont val="Helvetica"/>
        <family val="2"/>
      </rPr>
      <t>(Cloud Proxy #2)</t>
    </r>
  </si>
  <si>
    <r>
      <t>Select Datastore</t>
    </r>
    <r>
      <rPr>
        <i/>
        <sz val="12"/>
        <color theme="1"/>
        <rFont val="Helvetica"/>
        <family val="2"/>
      </rPr>
      <t xml:space="preserve"> (Cloud Proxy #2)</t>
    </r>
  </si>
  <si>
    <r>
      <t>Gateway</t>
    </r>
    <r>
      <rPr>
        <i/>
        <sz val="12"/>
        <color theme="1"/>
        <rFont val="Helvetica"/>
        <family val="2"/>
      </rPr>
      <t xml:space="preserve"> (Cloud Proxy #2)</t>
    </r>
  </si>
  <si>
    <r>
      <t>Domain</t>
    </r>
    <r>
      <rPr>
        <i/>
        <sz val="12"/>
        <color theme="1"/>
        <rFont val="Helvetica"/>
        <family val="2"/>
      </rPr>
      <t xml:space="preserve"> (Cloud Proxy #2)</t>
    </r>
  </si>
  <si>
    <r>
      <t xml:space="preserve">DNS Search Domain </t>
    </r>
    <r>
      <rPr>
        <i/>
        <sz val="12"/>
        <color theme="1"/>
        <rFont val="Helvetica"/>
        <family val="2"/>
      </rPr>
      <t>(Cloud Proxy #2)</t>
    </r>
  </si>
  <si>
    <r>
      <t xml:space="preserve">DNS </t>
    </r>
    <r>
      <rPr>
        <i/>
        <sz val="12"/>
        <color theme="1"/>
        <rFont val="Helvetica"/>
        <family val="2"/>
      </rPr>
      <t>(Cloud Proxy #2)</t>
    </r>
  </si>
  <si>
    <r>
      <t>VM Name</t>
    </r>
    <r>
      <rPr>
        <i/>
        <sz val="12"/>
        <rFont val="Helvetica"/>
        <family val="2"/>
      </rPr>
      <t xml:space="preserve"> (Primary Cluster Node)</t>
    </r>
  </si>
  <si>
    <r>
      <t xml:space="preserve">VM Name </t>
    </r>
    <r>
      <rPr>
        <i/>
        <sz val="12"/>
        <rFont val="Helvetica"/>
        <family val="2"/>
      </rPr>
      <t>(Replica Cluster Node)</t>
    </r>
  </si>
  <si>
    <r>
      <t xml:space="preserve">VM Name </t>
    </r>
    <r>
      <rPr>
        <i/>
        <sz val="12"/>
        <rFont val="Helvetica"/>
        <family val="2"/>
      </rPr>
      <t>(Data Cluster Node)</t>
    </r>
  </si>
  <si>
    <r>
      <t>VM Name</t>
    </r>
    <r>
      <rPr>
        <i/>
        <sz val="12"/>
        <rFont val="Helvetica"/>
        <family val="2"/>
      </rPr>
      <t xml:space="preserve"> (Cloud Proxy #1)</t>
    </r>
  </si>
  <si>
    <r>
      <t>VM Name</t>
    </r>
    <r>
      <rPr>
        <i/>
        <sz val="12"/>
        <rFont val="Helvetica"/>
        <family val="2"/>
      </rPr>
      <t xml:space="preserve">  (Cloud Proxy #2)</t>
    </r>
  </si>
  <si>
    <t>anti-affinity-rule-vropsrc</t>
  </si>
  <si>
    <t xml:space="preserve">Name </t>
  </si>
  <si>
    <r>
      <t xml:space="preserve">Group </t>
    </r>
    <r>
      <rPr>
        <i/>
        <sz val="12"/>
        <color theme="1"/>
        <rFont val="Helvetica"/>
        <family val="2"/>
      </rPr>
      <t>(Administrator)</t>
    </r>
  </si>
  <si>
    <r>
      <t xml:space="preserve">Group </t>
    </r>
    <r>
      <rPr>
        <i/>
        <sz val="12"/>
        <color theme="1"/>
        <rFont val="Helvetica"/>
        <family val="2"/>
      </rPr>
      <t>(ContentAdmin)</t>
    </r>
  </si>
  <si>
    <r>
      <t xml:space="preserve">Group </t>
    </r>
    <r>
      <rPr>
        <i/>
        <sz val="12"/>
        <color theme="1"/>
        <rFont val="Helvetica"/>
        <family val="2"/>
      </rPr>
      <t>(ReadOnly)</t>
    </r>
  </si>
  <si>
    <t>Intance Name</t>
  </si>
  <si>
    <t>SMTP Host</t>
  </si>
  <si>
    <t>SMTP Port</t>
  </si>
  <si>
    <t>VMware Cloud Foundation Credential</t>
  </si>
  <si>
    <t>Adapter Type</t>
  </si>
  <si>
    <t>Credential Kind</t>
  </si>
  <si>
    <t>VCF Client Credential</t>
  </si>
  <si>
    <t>vCenter Credential</t>
  </si>
  <si>
    <t>Principal Credential</t>
  </si>
  <si>
    <t>NSX Credential</t>
  </si>
  <si>
    <r>
      <t xml:space="preserve">Client Certificate Data </t>
    </r>
    <r>
      <rPr>
        <sz val="12"/>
        <color theme="1"/>
        <rFont val="Helvetica"/>
        <family val="2"/>
      </rPr>
      <t>(Contents of File)</t>
    </r>
  </si>
  <si>
    <r>
      <t xml:space="preserve">Client Key Data </t>
    </r>
    <r>
      <rPr>
        <sz val="12"/>
        <color theme="1"/>
        <rFont val="Helvetica"/>
        <family val="2"/>
      </rPr>
      <t>(Contents of File)</t>
    </r>
  </si>
  <si>
    <t>Configure the VMware Cloud Foundation Integration for Intelligent Operations Management for VMware Cloud Foundation</t>
  </si>
  <si>
    <t>Account - VMware Cloud Foundation</t>
  </si>
  <si>
    <t>Collector/Group</t>
  </si>
  <si>
    <t xml:space="preserve">Domain - vCenter </t>
  </si>
  <si>
    <r>
      <t xml:space="preserve">Name </t>
    </r>
    <r>
      <rPr>
        <i/>
        <sz val="12"/>
        <color theme="1"/>
        <rFont val="Helvetica"/>
        <family val="2"/>
      </rPr>
      <t>(Analytics Nodes)</t>
    </r>
  </si>
  <si>
    <r>
      <t xml:space="preserve">Unique Name </t>
    </r>
    <r>
      <rPr>
        <i/>
        <sz val="12"/>
        <color theme="1"/>
        <rFont val="Helvetica"/>
        <family val="2"/>
      </rPr>
      <t>(Analytics Nodes)</t>
    </r>
  </si>
  <si>
    <r>
      <t xml:space="preserve">Address list </t>
    </r>
    <r>
      <rPr>
        <i/>
        <sz val="12"/>
        <color theme="1"/>
        <rFont val="Helvetica"/>
        <family val="2"/>
      </rPr>
      <t>(Analytics Nodes)</t>
    </r>
  </si>
  <si>
    <r>
      <t xml:space="preserve">Collector Group </t>
    </r>
    <r>
      <rPr>
        <i/>
        <sz val="12"/>
        <color theme="1"/>
        <rFont val="Helvetica"/>
        <family val="2"/>
      </rPr>
      <t>(Analytics Nodes)</t>
    </r>
  </si>
  <si>
    <r>
      <t xml:space="preserve">Name </t>
    </r>
    <r>
      <rPr>
        <i/>
        <sz val="12"/>
        <color theme="1"/>
        <rFont val="Helvetica"/>
        <family val="2"/>
      </rPr>
      <t>(Cloud Proxies)</t>
    </r>
  </si>
  <si>
    <r>
      <t xml:space="preserve">Unique Name </t>
    </r>
    <r>
      <rPr>
        <i/>
        <sz val="12"/>
        <color theme="1"/>
        <rFont val="Helvetica"/>
        <family val="2"/>
      </rPr>
      <t>(Cloud Proxies)</t>
    </r>
  </si>
  <si>
    <r>
      <t xml:space="preserve">Address list </t>
    </r>
    <r>
      <rPr>
        <i/>
        <sz val="12"/>
        <color theme="1"/>
        <rFont val="Helvetica"/>
        <family val="2"/>
      </rPr>
      <t>(Cloud Proxies)</t>
    </r>
  </si>
  <si>
    <r>
      <t xml:space="preserve">Collector Group </t>
    </r>
    <r>
      <rPr>
        <i/>
        <sz val="12"/>
        <color theme="1"/>
        <rFont val="Helvetica"/>
        <family val="2"/>
      </rPr>
      <t>(Cloud Proxies)</t>
    </r>
  </si>
  <si>
    <t>User/Group</t>
  </si>
  <si>
    <r>
      <t xml:space="preserve">Password Alias </t>
    </r>
    <r>
      <rPr>
        <i/>
        <sz val="12"/>
        <color theme="1"/>
        <rFont val="Helvetica"/>
        <family val="2"/>
      </rPr>
      <t>(vrslcm to vsphere user)</t>
    </r>
  </si>
  <si>
    <r>
      <t xml:space="preserve">Password </t>
    </r>
    <r>
      <rPr>
        <i/>
        <sz val="12"/>
        <color theme="1"/>
        <rFont val="Helvetica"/>
        <family val="2"/>
      </rPr>
      <t>(vrslcm to vsphere user)</t>
    </r>
  </si>
  <si>
    <r>
      <t xml:space="preserve">User Name </t>
    </r>
    <r>
      <rPr>
        <i/>
        <sz val="12"/>
        <color theme="1"/>
        <rFont val="Helvetica"/>
        <family val="2"/>
      </rPr>
      <t>(vrslcm to vsphere user)</t>
    </r>
  </si>
  <si>
    <r>
      <t xml:space="preserve">VM Name </t>
    </r>
    <r>
      <rPr>
        <i/>
        <sz val="12"/>
        <color theme="1"/>
        <rFont val="Helvetica"/>
        <family val="2"/>
      </rPr>
      <t>(vrops-remotecollector-3</t>
    </r>
    <r>
      <rPr>
        <i/>
        <sz val="12"/>
        <rFont val="Helvetica"/>
        <family val="2"/>
      </rPr>
      <t>)</t>
    </r>
  </si>
  <si>
    <r>
      <t>FQDN</t>
    </r>
    <r>
      <rPr>
        <b/>
        <sz val="12"/>
        <color rgb="FF0070C0"/>
        <rFont val="Helvetica"/>
        <family val="2"/>
      </rPr>
      <t xml:space="preserve"> </t>
    </r>
    <r>
      <rPr>
        <i/>
        <sz val="12"/>
        <rFont val="Helvetica"/>
        <family val="2"/>
      </rPr>
      <t>(vrops-remotecollector-3)</t>
    </r>
  </si>
  <si>
    <r>
      <t>IP Address</t>
    </r>
    <r>
      <rPr>
        <i/>
        <sz val="12"/>
        <rFont val="Helvetica"/>
        <family val="2"/>
      </rPr>
      <t xml:space="preserve"> (vrops-remotecollector-3)</t>
    </r>
  </si>
  <si>
    <r>
      <t xml:space="preserve">Node Size </t>
    </r>
    <r>
      <rPr>
        <i/>
        <sz val="12"/>
        <color theme="1"/>
        <rFont val="Helvetica"/>
        <family val="2"/>
      </rPr>
      <t>(vrops-remotecollector-3)</t>
    </r>
  </si>
  <si>
    <r>
      <t>Select vCenter Server</t>
    </r>
    <r>
      <rPr>
        <i/>
        <sz val="12"/>
        <color theme="1"/>
        <rFont val="Helvetica"/>
        <family val="2"/>
      </rPr>
      <t xml:space="preserve"> (vrops-remotecollector-3)</t>
    </r>
  </si>
  <si>
    <r>
      <t xml:space="preserve">Select Cluster </t>
    </r>
    <r>
      <rPr>
        <i/>
        <sz val="12"/>
        <color theme="1"/>
        <rFont val="Helvetica"/>
        <family val="2"/>
      </rPr>
      <t>(vrops-remotecollector-3)</t>
    </r>
  </si>
  <si>
    <r>
      <t xml:space="preserve">Select Network </t>
    </r>
    <r>
      <rPr>
        <i/>
        <sz val="12"/>
        <color theme="1"/>
        <rFont val="Helvetica"/>
        <family val="2"/>
      </rPr>
      <t>(vrops-remotecollector-3)</t>
    </r>
  </si>
  <si>
    <r>
      <t>Select Datastore</t>
    </r>
    <r>
      <rPr>
        <i/>
        <sz val="12"/>
        <color theme="1"/>
        <rFont val="Helvetica"/>
        <family val="2"/>
      </rPr>
      <t xml:space="preserve"> (vrops-remotecollector-3)</t>
    </r>
  </si>
  <si>
    <r>
      <t>Gateway</t>
    </r>
    <r>
      <rPr>
        <i/>
        <sz val="12"/>
        <color theme="1"/>
        <rFont val="Helvetica"/>
        <family val="2"/>
      </rPr>
      <t xml:space="preserve"> (vrops-remotecollector-3)</t>
    </r>
  </si>
  <si>
    <r>
      <t>Domain</t>
    </r>
    <r>
      <rPr>
        <i/>
        <sz val="12"/>
        <color theme="1"/>
        <rFont val="Helvetica"/>
        <family val="2"/>
      </rPr>
      <t xml:space="preserve"> (vrops-remotecollector-3)</t>
    </r>
  </si>
  <si>
    <r>
      <t xml:space="preserve">DNS Search Domain </t>
    </r>
    <r>
      <rPr>
        <i/>
        <sz val="12"/>
        <color theme="1"/>
        <rFont val="Helvetica"/>
        <family val="2"/>
      </rPr>
      <t>(vrops-remotecollector-3)</t>
    </r>
  </si>
  <si>
    <r>
      <t xml:space="preserve">DNS </t>
    </r>
    <r>
      <rPr>
        <i/>
        <sz val="12"/>
        <color theme="1"/>
        <rFont val="Helvetica"/>
        <family val="2"/>
      </rPr>
      <t>(vrops-remotecollector-3)</t>
    </r>
  </si>
  <si>
    <r>
      <t xml:space="preserve">VM Name </t>
    </r>
    <r>
      <rPr>
        <i/>
        <sz val="12"/>
        <color theme="1"/>
        <rFont val="Helvetica"/>
        <family val="2"/>
      </rPr>
      <t>(vrops-remotecollector-4</t>
    </r>
    <r>
      <rPr>
        <i/>
        <sz val="12"/>
        <rFont val="Helvetica"/>
        <family val="2"/>
      </rPr>
      <t>)</t>
    </r>
  </si>
  <si>
    <r>
      <t>FQDN</t>
    </r>
    <r>
      <rPr>
        <b/>
        <sz val="12"/>
        <color rgb="FF0070C0"/>
        <rFont val="Helvetica"/>
        <family val="2"/>
      </rPr>
      <t xml:space="preserve"> </t>
    </r>
    <r>
      <rPr>
        <i/>
        <sz val="12"/>
        <rFont val="Helvetica"/>
        <family val="2"/>
      </rPr>
      <t>(vrops-remotecollector-4)</t>
    </r>
  </si>
  <si>
    <r>
      <t>IP Address</t>
    </r>
    <r>
      <rPr>
        <i/>
        <sz val="12"/>
        <rFont val="Helvetica"/>
        <family val="2"/>
      </rPr>
      <t xml:space="preserve"> (vrops-remotecollector-4)</t>
    </r>
  </si>
  <si>
    <r>
      <t xml:space="preserve">Node Size </t>
    </r>
    <r>
      <rPr>
        <i/>
        <sz val="12"/>
        <color theme="1"/>
        <rFont val="Helvetica"/>
        <family val="2"/>
      </rPr>
      <t>(vrops-remotecollector-4)</t>
    </r>
  </si>
  <si>
    <r>
      <t>Select vCenter Server</t>
    </r>
    <r>
      <rPr>
        <i/>
        <sz val="12"/>
        <color theme="1"/>
        <rFont val="Helvetica"/>
        <family val="2"/>
      </rPr>
      <t xml:space="preserve"> (vrops-remotecollector-4)</t>
    </r>
  </si>
  <si>
    <r>
      <t xml:space="preserve">Select Cluster </t>
    </r>
    <r>
      <rPr>
        <i/>
        <sz val="12"/>
        <color theme="1"/>
        <rFont val="Helvetica"/>
        <family val="2"/>
      </rPr>
      <t>(vrops-remotecollector-4)</t>
    </r>
  </si>
  <si>
    <r>
      <t xml:space="preserve">Select Network </t>
    </r>
    <r>
      <rPr>
        <i/>
        <sz val="12"/>
        <color theme="1"/>
        <rFont val="Helvetica"/>
        <family val="2"/>
      </rPr>
      <t>(vrops-remotecollector-4)</t>
    </r>
  </si>
  <si>
    <r>
      <t>Select Datastore</t>
    </r>
    <r>
      <rPr>
        <i/>
        <sz val="12"/>
        <color theme="1"/>
        <rFont val="Helvetica"/>
        <family val="2"/>
      </rPr>
      <t xml:space="preserve"> (vrops-remotecollector-4)</t>
    </r>
  </si>
  <si>
    <r>
      <t>Gateway</t>
    </r>
    <r>
      <rPr>
        <i/>
        <sz val="12"/>
        <color theme="1"/>
        <rFont val="Helvetica"/>
        <family val="2"/>
      </rPr>
      <t xml:space="preserve"> (vrops-remotecollector-4)</t>
    </r>
  </si>
  <si>
    <r>
      <t>Domain</t>
    </r>
    <r>
      <rPr>
        <i/>
        <sz val="12"/>
        <color theme="1"/>
        <rFont val="Helvetica"/>
        <family val="2"/>
      </rPr>
      <t xml:space="preserve"> (vrops-remotecollector-4)</t>
    </r>
  </si>
  <si>
    <r>
      <t xml:space="preserve">DNS Search Domain </t>
    </r>
    <r>
      <rPr>
        <i/>
        <sz val="12"/>
        <color theme="1"/>
        <rFont val="Helvetica"/>
        <family val="2"/>
      </rPr>
      <t>(vrops-remotecollector-4)</t>
    </r>
  </si>
  <si>
    <r>
      <t xml:space="preserve">DNS </t>
    </r>
    <r>
      <rPr>
        <i/>
        <sz val="12"/>
        <color theme="1"/>
        <rFont val="Helvetica"/>
        <family val="2"/>
      </rPr>
      <t>(vrops-remotecollector-4)</t>
    </r>
  </si>
  <si>
    <t>Virtual Machine</t>
  </si>
  <si>
    <r>
      <t xml:space="preserve">Credential </t>
    </r>
    <r>
      <rPr>
        <i/>
        <sz val="12"/>
        <color theme="1"/>
        <rFont val="Helvetica"/>
        <family val="2"/>
      </rPr>
      <t>(Management Domain)</t>
    </r>
  </si>
  <si>
    <r>
      <t xml:space="preserve">User Name </t>
    </r>
    <r>
      <rPr>
        <i/>
        <sz val="12"/>
        <color theme="1"/>
        <rFont val="Helvetica"/>
        <family val="2"/>
      </rPr>
      <t>(Management Domain)</t>
    </r>
  </si>
  <si>
    <r>
      <t xml:space="preserve">Password </t>
    </r>
    <r>
      <rPr>
        <i/>
        <sz val="12"/>
        <color theme="1"/>
        <rFont val="Helvetica"/>
        <family val="2"/>
      </rPr>
      <t>(Management Domain)</t>
    </r>
  </si>
  <si>
    <r>
      <t xml:space="preserve">Collector Group </t>
    </r>
    <r>
      <rPr>
        <i/>
        <sz val="12"/>
        <color theme="1"/>
        <rFont val="Helvetica"/>
        <family val="2"/>
      </rPr>
      <t>(Management Domain)</t>
    </r>
  </si>
  <si>
    <r>
      <t xml:space="preserve">Credential </t>
    </r>
    <r>
      <rPr>
        <i/>
        <sz val="12"/>
        <color theme="1"/>
        <rFont val="Helvetica"/>
        <family val="2"/>
      </rPr>
      <t>(VI Workload Domain)</t>
    </r>
  </si>
  <si>
    <r>
      <t xml:space="preserve">User Name </t>
    </r>
    <r>
      <rPr>
        <i/>
        <sz val="12"/>
        <color theme="1"/>
        <rFont val="Helvetica"/>
        <family val="2"/>
      </rPr>
      <t>(VI Workload Domain)</t>
    </r>
  </si>
  <si>
    <r>
      <t>Collector Group</t>
    </r>
    <r>
      <rPr>
        <i/>
        <sz val="12"/>
        <color theme="1"/>
        <rFont val="Helvetica"/>
        <family val="2"/>
      </rPr>
      <t xml:space="preserve"> (VI Workload Domain)</t>
    </r>
  </si>
  <si>
    <r>
      <t>Name</t>
    </r>
    <r>
      <rPr>
        <i/>
        <sz val="12"/>
        <color theme="1"/>
        <rFont val="Helvetica"/>
        <family val="2"/>
      </rPr>
      <t xml:space="preserve"> (Management Domain)</t>
    </r>
  </si>
  <si>
    <r>
      <t xml:space="preserve">Name </t>
    </r>
    <r>
      <rPr>
        <i/>
        <sz val="12"/>
        <color theme="1"/>
        <rFont val="Helvetica"/>
        <family val="2"/>
      </rPr>
      <t>(VI Workload Domain)</t>
    </r>
  </si>
  <si>
    <r>
      <t xml:space="preserve">Password </t>
    </r>
    <r>
      <rPr>
        <i/>
        <sz val="12"/>
        <color theme="1"/>
        <rFont val="Helvetica"/>
        <family val="2"/>
      </rPr>
      <t>(VI Workload Domain)</t>
    </r>
  </si>
  <si>
    <r>
      <t>Unique Name (</t>
    </r>
    <r>
      <rPr>
        <i/>
        <sz val="12"/>
        <color theme="1"/>
        <rFont val="Helvetica"/>
        <family val="2"/>
      </rPr>
      <t>Cloud Proxies)</t>
    </r>
  </si>
  <si>
    <t>Photon OS (IOM) - Appliance Agent Group</t>
  </si>
  <si>
    <r>
      <t>Hostname</t>
    </r>
    <r>
      <rPr>
        <i/>
        <sz val="12"/>
        <color theme="1"/>
        <rFont val="Helvetica"/>
        <family val="2"/>
      </rPr>
      <t xml:space="preserve"> (Cloud Proxy #1)</t>
    </r>
  </si>
  <si>
    <r>
      <t>Hostname</t>
    </r>
    <r>
      <rPr>
        <i/>
        <sz val="12"/>
        <color theme="1"/>
        <rFont val="Helvetica"/>
        <family val="2"/>
      </rPr>
      <t xml:space="preserve"> (Cloud Proxy #2)</t>
    </r>
  </si>
  <si>
    <t>VM and Host Notifications</t>
  </si>
  <si>
    <t>Object Type</t>
  </si>
  <si>
    <t>Alert Definition</t>
  </si>
  <si>
    <t>Recipient(s)</t>
  </si>
  <si>
    <t>Notify again</t>
  </si>
  <si>
    <t>Max Notifications</t>
  </si>
  <si>
    <t>Delay to notify</t>
  </si>
  <si>
    <t>One or more virtual machine guest file systems are running out of disk space</t>
  </si>
  <si>
    <t>vCenter Adapter &gt; Virtual Machine</t>
  </si>
  <si>
    <t>Virtual machine has CPU contention due to multi-vCPU scheduling issues (co-stop) caused by too many vCPUs</t>
  </si>
  <si>
    <t>Virtual machine has CPU contention due to memory page swapping in the host</t>
  </si>
  <si>
    <t>Virtual machine has memory contention caused by swap wait and high disk read latency</t>
  </si>
  <si>
    <t>Virtual machine has disk I/O latency problem caused by snapshots</t>
  </si>
  <si>
    <t>Virtual machine has CPU contention due to multi-vCPU scheduling issues (co-stop) caused by snapshots</t>
  </si>
  <si>
    <t>Not enough resources for vSphere HA to start the virtual machine</t>
  </si>
  <si>
    <t>vSphere HA cannot perform a failover operation for the virtual machine</t>
  </si>
  <si>
    <t>Standalone host has CPU contention caused by overpopulation of virtual machines</t>
  </si>
  <si>
    <t>vCenter Adapter &gt; Host System</t>
  </si>
  <si>
    <t>Standalone host has memory contention caused by overpopulation of virtual machines</t>
  </si>
  <si>
    <t>Fully-automated DRS-enabled cluster has CPU contention caused by overpopulation of virtual machines</t>
  </si>
  <si>
    <t>vCenter Adapter &gt; Cluster Compute Resource</t>
  </si>
  <si>
    <t>Fully-automated DRS-enabled cluster has high CPU workload</t>
  </si>
  <si>
    <t>Fully-automated DRS-enabled cluster has memory contention caused by overpopulation of virtual machines</t>
  </si>
  <si>
    <t>Fully-automated DRS-enabled cluster has high memory workload and contention</t>
  </si>
  <si>
    <t>vSphere High Availability (HA) failover resources are insufficient</t>
  </si>
  <si>
    <t>Network-Related Notifications</t>
  </si>
  <si>
    <t>Distributed Switch configuration is out of sync </t>
  </si>
  <si>
    <t>vCenter Adapter &gt; vSphere Distributed Switch</t>
  </si>
  <si>
    <t>Distributed Switch configuration is out of sync</t>
  </si>
  <si>
    <t>NSX Manager Memory Usage is High</t>
  </si>
  <si>
    <t>SDDC Health Adapter &gt; NSX Manager Node</t>
  </si>
  <si>
    <t>NSX Manager Service Not Running</t>
  </si>
  <si>
    <t>Health of NSX-T children objects is degraded</t>
  </si>
  <si>
    <t>SDDC Health Adapter &gt; NSXT Health</t>
  </si>
  <si>
    <t>Management cluster's management status is not stable</t>
  </si>
  <si>
    <t>NSX-T &gt; Management Cluster</t>
  </si>
  <si>
    <t>Less than 3 controller nodes are deployed</t>
  </si>
  <si>
    <t>NSX-T &gt; Controller Clusters</t>
  </si>
  <si>
    <t>Load Balancer Service operational status down</t>
  </si>
  <si>
    <t>NSX-T &gt; Load Balancer Service</t>
  </si>
  <si>
    <t>Storage Notifications</t>
  </si>
  <si>
    <t>Datastore is running out of disk space</t>
  </si>
  <si>
    <t>vCenter Adapter &gt; Datastore</t>
  </si>
  <si>
    <t>Datastore has lost connectivity to a storage device</t>
  </si>
  <si>
    <t>After one additional host failure, vSAN Cluster will not have enough resources to rebuild all objects</t>
  </si>
  <si>
    <t>vSAN Adapter &gt; vSAN Cluster</t>
  </si>
  <si>
    <t>Overall health of vSAN objects is reporting issues</t>
  </si>
  <si>
    <t>vSAN Cluster flash read cache reservation is approaching capacity</t>
  </si>
  <si>
    <t>One or more vRealize Operations services on a node are down</t>
  </si>
  <si>
    <t>vRealize Operations Adapter &gt; vRealize Operations Node</t>
  </si>
  <si>
    <t>Disk space on a vRealize Operations Manager node is low</t>
  </si>
  <si>
    <t>Disk space on node is low</t>
  </si>
  <si>
    <t>Node processing queue is backing up</t>
  </si>
  <si>
    <t>FSDB failed to repair corrupted files</t>
  </si>
  <si>
    <t>vRealize Operations Adapter &gt; vRealize Operations Fsdb</t>
  </si>
  <si>
    <t>Fsdb failed to repair corrupted files</t>
  </si>
  <si>
    <t>FSDB overload</t>
  </si>
  <si>
    <t>Fsdb high load</t>
  </si>
  <si>
    <t>Number of objects being monitored by this vRealize Operations Manager node exceeds the configured limit. Possible loss of data</t>
  </si>
  <si>
    <t>vRealize Operations Adapter &gt; vRealize Operations Analytics</t>
  </si>
  <si>
    <t>Number of Objects being monitored by this vRealize Operations Node exceeds the configured limit. Possible loss of data</t>
  </si>
  <si>
    <t>One or more vRealize Operations services on a remote collector are down</t>
  </si>
  <si>
    <t>vRealize Operations Adapter &gt; vRealize Operations Remote Collector</t>
  </si>
  <si>
    <t>Remote Collector not reporting correct number of services</t>
  </si>
  <si>
    <t>vRealize Operations Cluster processes might be out of memory</t>
  </si>
  <si>
    <t>vRealize Operations Adapter &gt; vRealize Operations Cluster</t>
  </si>
  <si>
    <t>vRealize Operations Cluster processes may not have enough memory</t>
  </si>
  <si>
    <t>Notifications for Site Protection and Disaster Recovery Issues</t>
  </si>
  <si>
    <t>Protection Group is Not Configured Affecting the Risk for the System</t>
  </si>
  <si>
    <t>Site recovery Manager Adapter &gt; Protection Groups</t>
  </si>
  <si>
    <t>Protection Group is Not Configured Affecting the Health Status of the System</t>
  </si>
  <si>
    <t>Protection Group Is Partially Recovered Affecting the Risk for the System</t>
  </si>
  <si>
    <t>Protection Group Is Partially Recovered Affecting the Health Status of the System</t>
  </si>
  <si>
    <t>Protection Group Is Recovering Affecting the Risk for the System</t>
  </si>
  <si>
    <t>Protection Group Is Recovering Affecting the Health Status of the System</t>
  </si>
  <si>
    <t>Protection Group Is Testing Affecting the Risk for the System</t>
  </si>
  <si>
    <t>Protection Group Is Testing Affecting the Health Status of the System</t>
  </si>
  <si>
    <t>Recovery Plan Has Errors Affecting the Risk for the System</t>
  </si>
  <si>
    <t>Site recovery Manager Adapter &gt; Recovery Plans</t>
  </si>
  <si>
    <t>Recovery Plan Has Errors Affecting the Health Status of the System</t>
  </si>
  <si>
    <t>Recovery Plan Has Warnings Affecting the Risk for the System</t>
  </si>
  <si>
    <t>Recovery Plan Has Warnings Affecting the Health Status of the System</t>
  </si>
  <si>
    <t>Is Pair Site Not Connected</t>
  </si>
  <si>
    <t>Site recovery Manager Adapter &gt; Site recovery Manager Site</t>
  </si>
  <si>
    <t>Site Not Paired</t>
  </si>
  <si>
    <t>Site recovery Manager Site Has Object(s) With Issues Affecting the Risk for the System</t>
  </si>
  <si>
    <t>Site recovery Manager Site Has Object(s) With Issues Affecting the Health Status of the System</t>
  </si>
  <si>
    <t>Site Protection and Disaster Recovery Validated Solution</t>
  </si>
  <si>
    <t>This page contains all user required values used during the deployment of the Site Protection and Disaster Recovery Validated Solution. Each table and value maps directly to a process in the deployment guidance documentation.</t>
  </si>
  <si>
    <t>&lt;protected_vcenter_server_fqdn&gt;</t>
  </si>
  <si>
    <t>VM Name</t>
  </si>
  <si>
    <t>Create Virtual Machine Folders for SDDC Management Components in the Recovery VMware Cloud Foundation Instance</t>
  </si>
  <si>
    <t>&lt;recovery_vcenter_server_fqdn&gt;</t>
  </si>
  <si>
    <r>
      <t>Folder Name</t>
    </r>
    <r>
      <rPr>
        <i/>
        <sz val="12"/>
        <color theme="1"/>
        <rFont val="Helvetica"/>
        <family val="2"/>
      </rPr>
      <t xml:space="preserve"> (Clustered Workspace ONE Access)</t>
    </r>
  </si>
  <si>
    <t>$sddcManagerAFqdn</t>
  </si>
  <si>
    <t>$sddcManagerAUser</t>
  </si>
  <si>
    <t>$sddcManagerAPass</t>
  </si>
  <si>
    <t>$sddcManagerBFqdn</t>
  </si>
  <si>
    <t>$sddcManagerBUser</t>
  </si>
  <si>
    <t>$sddcManagerBPass</t>
  </si>
  <si>
    <t>$serviceInterfaceIp</t>
  </si>
  <si>
    <t>$wsaCertName</t>
  </si>
  <si>
    <t>Create a Standalone Tier-1 Gateway for the Load Balancer in the Recovery VMware Cloud Foundation Instance</t>
  </si>
  <si>
    <t>&lt;active_nsx_gm_fqdn&gt;</t>
  </si>
  <si>
    <t>Recovery Site NSX Location</t>
  </si>
  <si>
    <t>recovery-t1-gw01</t>
  </si>
  <si>
    <t>recovery-t1-gw01-si01</t>
  </si>
  <si>
    <t>IP Address / Mask</t>
  </si>
  <si>
    <t>Segment</t>
  </si>
  <si>
    <t>Scope</t>
  </si>
  <si>
    <t>Enable the Load Balancer Service on the Tier-1 Gateway in the Recovery VMware Cloud Foundation Instance</t>
  </si>
  <si>
    <t>recovery-lb01</t>
  </si>
  <si>
    <t>Import the Certificate of the Clustered Workspace ONE Access in NSX-T Data Center in the Recovery VMware Cloud Foundation Instance</t>
  </si>
  <si>
    <t>Create Service Monitors for the Clustered Workspace ONE Access in the Recovery VMware Cloud Foundation Instance</t>
  </si>
  <si>
    <t>wsa-https-monitor</t>
  </si>
  <si>
    <t>Client Certificate</t>
  </si>
  <si>
    <t>Create a Server Pool for the Clustered Workspace ONE Access in the Recovery VMware Cloud Foundation Instance</t>
  </si>
  <si>
    <t>wsa-server-pool</t>
  </si>
  <si>
    <r>
      <t>Name</t>
    </r>
    <r>
      <rPr>
        <i/>
        <sz val="12"/>
        <color theme="1"/>
        <rFont val="Helvetica"/>
        <family val="2"/>
      </rPr>
      <t xml:space="preserve"> (Member 1)</t>
    </r>
  </si>
  <si>
    <t>wsa01svr01a</t>
  </si>
  <si>
    <r>
      <t xml:space="preserve">IP </t>
    </r>
    <r>
      <rPr>
        <i/>
        <sz val="12"/>
        <color theme="1"/>
        <rFont val="Helvetica"/>
        <family val="2"/>
      </rPr>
      <t>(Member 1)</t>
    </r>
  </si>
  <si>
    <r>
      <t>Name</t>
    </r>
    <r>
      <rPr>
        <i/>
        <sz val="12"/>
        <color theme="1"/>
        <rFont val="Helvetica"/>
        <family val="2"/>
      </rPr>
      <t xml:space="preserve"> (Member 2)</t>
    </r>
  </si>
  <si>
    <t>wsa01svr01b</t>
  </si>
  <si>
    <r>
      <t xml:space="preserve">IP </t>
    </r>
    <r>
      <rPr>
        <i/>
        <sz val="12"/>
        <color theme="1"/>
        <rFont val="Helvetica"/>
        <family val="2"/>
      </rPr>
      <t>(Member 2)</t>
    </r>
  </si>
  <si>
    <r>
      <t xml:space="preserve">Name </t>
    </r>
    <r>
      <rPr>
        <i/>
        <sz val="12"/>
        <color theme="1"/>
        <rFont val="Helvetica"/>
        <family val="2"/>
      </rPr>
      <t>(Member 3)</t>
    </r>
  </si>
  <si>
    <t>wsa01svr01c</t>
  </si>
  <si>
    <r>
      <t xml:space="preserve">IP </t>
    </r>
    <r>
      <rPr>
        <i/>
        <sz val="12"/>
        <color theme="1"/>
        <rFont val="Helvetica"/>
        <family val="2"/>
      </rPr>
      <t>(Member 3)</t>
    </r>
  </si>
  <si>
    <t>192.168.11.63</t>
  </si>
  <si>
    <r>
      <t>Name</t>
    </r>
    <r>
      <rPr>
        <i/>
        <sz val="12"/>
        <color theme="1"/>
        <rFont val="Helvetica"/>
        <family val="2"/>
      </rPr>
      <t xml:space="preserve"> (Monitor)</t>
    </r>
  </si>
  <si>
    <t>Create Application Profiles for the Clustered Workspace ONE Access in the Recovery VMware Cloud Foundation Instance</t>
  </si>
  <si>
    <r>
      <t>Name</t>
    </r>
    <r>
      <rPr>
        <i/>
        <sz val="12"/>
        <color theme="1"/>
        <rFont val="Helvetica"/>
        <family val="2"/>
      </rPr>
      <t xml:space="preserve"> (HTTP Profile)</t>
    </r>
  </si>
  <si>
    <t>wsa-http-app-profile</t>
  </si>
  <si>
    <r>
      <t>Name</t>
    </r>
    <r>
      <rPr>
        <i/>
        <sz val="12"/>
        <color theme="1"/>
        <rFont val="Helvetica"/>
        <family val="2"/>
      </rPr>
      <t xml:space="preserve"> (HTTP Redirect Profile)</t>
    </r>
  </si>
  <si>
    <t>wsa-http-app-profile-redirect</t>
  </si>
  <si>
    <r>
      <t xml:space="preserve">Name </t>
    </r>
    <r>
      <rPr>
        <i/>
        <sz val="12"/>
        <color theme="1"/>
        <rFont val="Helvetica"/>
        <family val="2"/>
      </rPr>
      <t>(Cookie Persistence Profile)</t>
    </r>
  </si>
  <si>
    <t>wsa-cookie-persistence-profile</t>
  </si>
  <si>
    <t>Create Virtual Servers for the Clustered Workspace ONE Access in the Recovery VMware Cloud Foundation Instance</t>
  </si>
  <si>
    <r>
      <t xml:space="preserve">Name </t>
    </r>
    <r>
      <rPr>
        <i/>
        <sz val="12"/>
        <color theme="1"/>
        <rFont val="Helvetica"/>
        <family val="2"/>
      </rPr>
      <t>(HTTPS Virtual Server)</t>
    </r>
  </si>
  <si>
    <t>wsa-https</t>
  </si>
  <si>
    <r>
      <t xml:space="preserve">IP Address </t>
    </r>
    <r>
      <rPr>
        <i/>
        <sz val="12"/>
        <color theme="1"/>
        <rFont val="Helvetica"/>
        <family val="2"/>
      </rPr>
      <t>(HTTPS Virtual Server)</t>
    </r>
  </si>
  <si>
    <r>
      <t>Load Balancer</t>
    </r>
    <r>
      <rPr>
        <i/>
        <sz val="12"/>
        <color theme="1"/>
        <rFont val="Helvetica"/>
        <family val="2"/>
      </rPr>
      <t xml:space="preserve"> (HTTPS Virtual Server)</t>
    </r>
  </si>
  <si>
    <r>
      <t>Server Pool</t>
    </r>
    <r>
      <rPr>
        <i/>
        <sz val="12"/>
        <color theme="1"/>
        <rFont val="Helvetica"/>
        <family val="2"/>
      </rPr>
      <t xml:space="preserve"> (HTTPS Virtual Server)</t>
    </r>
  </si>
  <si>
    <r>
      <t xml:space="preserve">Application Profile </t>
    </r>
    <r>
      <rPr>
        <i/>
        <sz val="12"/>
        <color theme="1"/>
        <rFont val="Helvetica"/>
        <family val="2"/>
      </rPr>
      <t>(HTTPS Virtual Server)</t>
    </r>
  </si>
  <si>
    <r>
      <t xml:space="preserve">Cookie </t>
    </r>
    <r>
      <rPr>
        <i/>
        <sz val="12"/>
        <color theme="1"/>
        <rFont val="Helvetica"/>
        <family val="2"/>
      </rPr>
      <t>(HTTPS Virtual Server)</t>
    </r>
  </si>
  <si>
    <r>
      <t>Default Certificate</t>
    </r>
    <r>
      <rPr>
        <i/>
        <sz val="12"/>
        <color theme="1"/>
        <rFont val="Helvetica"/>
        <family val="2"/>
      </rPr>
      <t xml:space="preserve"> (HTTPS Virtual Server)</t>
    </r>
  </si>
  <si>
    <r>
      <t xml:space="preserve">Client Certificate </t>
    </r>
    <r>
      <rPr>
        <i/>
        <sz val="12"/>
        <color theme="1"/>
        <rFont val="Helvetica"/>
        <family val="2"/>
      </rPr>
      <t>(HTTPS Virtual Server)</t>
    </r>
  </si>
  <si>
    <r>
      <t xml:space="preserve">Name </t>
    </r>
    <r>
      <rPr>
        <i/>
        <sz val="12"/>
        <color theme="1"/>
        <rFont val="Helvetica"/>
        <family val="2"/>
      </rPr>
      <t>(HTTP Redirect Virtual Server)</t>
    </r>
  </si>
  <si>
    <t>wsa-http-redirect</t>
  </si>
  <si>
    <r>
      <t xml:space="preserve">IP Address </t>
    </r>
    <r>
      <rPr>
        <i/>
        <sz val="12"/>
        <color theme="1"/>
        <rFont val="Helvetica"/>
        <family val="2"/>
      </rPr>
      <t>(HTTP Redirect Virtual Server)</t>
    </r>
  </si>
  <si>
    <r>
      <t>Load Balancer</t>
    </r>
    <r>
      <rPr>
        <i/>
        <sz val="12"/>
        <color theme="1"/>
        <rFont val="Helvetica"/>
        <family val="2"/>
      </rPr>
      <t xml:space="preserve"> (HTTP Redirect Virtual Server)</t>
    </r>
  </si>
  <si>
    <r>
      <t xml:space="preserve">Application Profile </t>
    </r>
    <r>
      <rPr>
        <i/>
        <sz val="12"/>
        <color theme="1"/>
        <rFont val="Helvetica"/>
        <family val="2"/>
      </rPr>
      <t>(HTTP Redirect Virtual Server)</t>
    </r>
  </si>
  <si>
    <t>vrops-https-monitor</t>
  </si>
  <si>
    <t>vrops-server-pool</t>
  </si>
  <si>
    <t>vrops01svr01a</t>
  </si>
  <si>
    <t>vrops01svr01b</t>
  </si>
  <si>
    <t>vrops01svr01c</t>
  </si>
  <si>
    <r>
      <t>Name</t>
    </r>
    <r>
      <rPr>
        <i/>
        <sz val="12"/>
        <color theme="1"/>
        <rFont val="Helvetica"/>
        <family val="2"/>
      </rPr>
      <t xml:space="preserve"> (TCP Application Profile)</t>
    </r>
  </si>
  <si>
    <t>vrops-tcp-app-profile</t>
  </si>
  <si>
    <r>
      <t xml:space="preserve">Name </t>
    </r>
    <r>
      <rPr>
        <i/>
        <sz val="12"/>
        <color theme="1"/>
        <rFont val="Helvetica"/>
        <family val="2"/>
      </rPr>
      <t>(HTTP Redirect Profile)</t>
    </r>
  </si>
  <si>
    <t>vrops-http-app-profile-redirect</t>
  </si>
  <si>
    <r>
      <t>Name</t>
    </r>
    <r>
      <rPr>
        <i/>
        <sz val="12"/>
        <color theme="1"/>
        <rFont val="Helvetica"/>
        <family val="2"/>
      </rPr>
      <t xml:space="preserve"> (Persistence Profile)</t>
    </r>
  </si>
  <si>
    <t>vrops-source-ip-persistence-profile</t>
  </si>
  <si>
    <r>
      <t>Name</t>
    </r>
    <r>
      <rPr>
        <i/>
        <sz val="12"/>
        <color theme="1"/>
        <rFont val="Helvetica"/>
        <family val="2"/>
      </rPr>
      <t xml:space="preserve"> (HTTPS Virtual Server)</t>
    </r>
  </si>
  <si>
    <t>vrops-https</t>
  </si>
  <si>
    <r>
      <t xml:space="preserve">Load Balancer </t>
    </r>
    <r>
      <rPr>
        <i/>
        <sz val="12"/>
        <color theme="1"/>
        <rFont val="Helvetica"/>
        <family val="2"/>
      </rPr>
      <t>(HTTPS Virtual Server)</t>
    </r>
  </si>
  <si>
    <r>
      <t xml:space="preserve">Server Pool </t>
    </r>
    <r>
      <rPr>
        <i/>
        <sz val="12"/>
        <color theme="1"/>
        <rFont val="Helvetica"/>
        <family val="2"/>
      </rPr>
      <t>(HTTPS Virtual Server)</t>
    </r>
  </si>
  <si>
    <r>
      <t>Source IP</t>
    </r>
    <r>
      <rPr>
        <i/>
        <sz val="12"/>
        <color theme="1"/>
        <rFont val="Helvetica"/>
        <family val="2"/>
      </rPr>
      <t xml:space="preserve"> (HTTPS Virtual Server)</t>
    </r>
  </si>
  <si>
    <r>
      <t>Application Profile</t>
    </r>
    <r>
      <rPr>
        <i/>
        <sz val="12"/>
        <color theme="1"/>
        <rFont val="Helvetica"/>
        <family val="2"/>
      </rPr>
      <t xml:space="preserve"> (HTTPS Virtual Server)</t>
    </r>
  </si>
  <si>
    <t>vrops-http-redirect</t>
  </si>
  <si>
    <t>vra-http-monitor</t>
  </si>
  <si>
    <t>vra-server-pool</t>
  </si>
  <si>
    <r>
      <t xml:space="preserve">Name </t>
    </r>
    <r>
      <rPr>
        <i/>
        <sz val="12"/>
        <color theme="1"/>
        <rFont val="Helvetica"/>
        <family val="2"/>
      </rPr>
      <t>(Member 1)</t>
    </r>
  </si>
  <si>
    <t>vra01svr01a</t>
  </si>
  <si>
    <r>
      <t xml:space="preserve">Name </t>
    </r>
    <r>
      <rPr>
        <i/>
        <sz val="12"/>
        <color theme="1"/>
        <rFont val="Helvetica"/>
        <family val="2"/>
      </rPr>
      <t>(Member 2)</t>
    </r>
  </si>
  <si>
    <t>vra01svr01b</t>
  </si>
  <si>
    <r>
      <t>Name</t>
    </r>
    <r>
      <rPr>
        <i/>
        <sz val="12"/>
        <color theme="1"/>
        <rFont val="Helvetica"/>
        <family val="2"/>
      </rPr>
      <t xml:space="preserve"> (Member 3)</t>
    </r>
  </si>
  <si>
    <t>vra01svr01c</t>
  </si>
  <si>
    <t>vra-tcp-app-profile</t>
  </si>
  <si>
    <t>vra-http-app-profile-redirect</t>
  </si>
  <si>
    <t>vra-https</t>
  </si>
  <si>
    <r>
      <t>IP Address</t>
    </r>
    <r>
      <rPr>
        <i/>
        <sz val="12"/>
        <color theme="1"/>
        <rFont val="Helvetica"/>
        <family val="2"/>
      </rPr>
      <t xml:space="preserve"> (HTTPS Virtual Server)</t>
    </r>
  </si>
  <si>
    <r>
      <t>Name</t>
    </r>
    <r>
      <rPr>
        <i/>
        <sz val="12"/>
        <color theme="1"/>
        <rFont val="Helvetica"/>
        <family val="2"/>
      </rPr>
      <t xml:space="preserve"> (HTTP Redirect Virtual Server)</t>
    </r>
  </si>
  <si>
    <t>vra-http-redirect</t>
  </si>
  <si>
    <r>
      <t>Application Profile</t>
    </r>
    <r>
      <rPr>
        <i/>
        <sz val="12"/>
        <color theme="1"/>
        <rFont val="Helvetica"/>
        <family val="2"/>
      </rPr>
      <t xml:space="preserve"> (HTTP Redirect Virtual Server)</t>
    </r>
  </si>
  <si>
    <t>10-eth0-static.network</t>
  </si>
  <si>
    <t>resolved.conf</t>
  </si>
  <si>
    <t>Domains</t>
  </si>
  <si>
    <t>VCF NTP Server 2</t>
  </si>
  <si>
    <t>FQDN / IP Address</t>
  </si>
  <si>
    <t>Reconfigure DNS and Domain Search on the Clustered Workspace ONE Access Nodes</t>
  </si>
  <si>
    <r>
      <t xml:space="preserve">Virtual Machine </t>
    </r>
    <r>
      <rPr>
        <i/>
        <sz val="12"/>
        <color theme="1"/>
        <rFont val="Helvetica"/>
        <family val="2"/>
      </rPr>
      <t>(Clustered Workspace Access Node 1)</t>
    </r>
  </si>
  <si>
    <r>
      <t xml:space="preserve">Property Value </t>
    </r>
    <r>
      <rPr>
        <i/>
        <sz val="12"/>
        <color theme="1"/>
        <rFont val="Helvetica"/>
        <family val="2"/>
      </rPr>
      <t>(vami.DNS.IdentityManager)</t>
    </r>
  </si>
  <si>
    <r>
      <t xml:space="preserve">Property Value </t>
    </r>
    <r>
      <rPr>
        <i/>
        <sz val="12"/>
        <color theme="1"/>
        <rFont val="Helvetica"/>
        <family val="2"/>
      </rPr>
      <t>(vami.searchPath.IdentityManager)</t>
    </r>
  </si>
  <si>
    <r>
      <t>Virtual Machine</t>
    </r>
    <r>
      <rPr>
        <i/>
        <sz val="12"/>
        <color theme="1"/>
        <rFont val="Helvetica"/>
        <family val="2"/>
      </rPr>
      <t xml:space="preserve"> (Clustered Workspace Access Node 2)</t>
    </r>
  </si>
  <si>
    <r>
      <t>Virtual Machine</t>
    </r>
    <r>
      <rPr>
        <i/>
        <sz val="12"/>
        <color theme="1"/>
        <rFont val="Helvetica"/>
        <family val="2"/>
      </rPr>
      <t xml:space="preserve"> (Clustered Workspace Access Node 3)</t>
    </r>
  </si>
  <si>
    <t>Reconfigure NTP on the Clustered Workspace ONE Access Nodes</t>
  </si>
  <si>
    <r>
      <t xml:space="preserve">&lt;clustered_workspace_one_access_node&gt; </t>
    </r>
    <r>
      <rPr>
        <i/>
        <sz val="12"/>
        <color theme="1"/>
        <rFont val="Helvetica"/>
        <family val="2"/>
      </rPr>
      <t>(1st Node)</t>
    </r>
  </si>
  <si>
    <t>&lt;ntp_server_list&gt;</t>
  </si>
  <si>
    <r>
      <t>&lt;clustered_workspace_one_access_node&gt;</t>
    </r>
    <r>
      <rPr>
        <i/>
        <sz val="12"/>
        <color theme="1"/>
        <rFont val="Helvetica"/>
        <family val="2"/>
      </rPr>
      <t xml:space="preserve"> (2nd Node)</t>
    </r>
  </si>
  <si>
    <r>
      <t xml:space="preserve">&lt;clustered_workspace_one_access_node&gt; </t>
    </r>
    <r>
      <rPr>
        <i/>
        <sz val="12"/>
        <color theme="1"/>
        <rFont val="Helvetica"/>
        <family val="2"/>
      </rPr>
      <t>(3rd Node)</t>
    </r>
  </si>
  <si>
    <t>NTP Server Address</t>
  </si>
  <si>
    <t>Implementation of vSphere Replication for the Management Domain</t>
  </si>
  <si>
    <t>Create a Virtual Machine Folder for vSphere Replication</t>
  </si>
  <si>
    <t>Deploy vSphere Replication</t>
  </si>
  <si>
    <r>
      <t>Password</t>
    </r>
    <r>
      <rPr>
        <i/>
        <sz val="12"/>
        <color theme="1"/>
        <rFont val="Helvetica"/>
        <family val="2"/>
      </rPr>
      <t xml:space="preserve"> (Initial Root)</t>
    </r>
  </si>
  <si>
    <r>
      <t xml:space="preserve">Password </t>
    </r>
    <r>
      <rPr>
        <i/>
        <sz val="12"/>
        <color theme="1"/>
        <rFont val="Helvetica"/>
        <family val="2"/>
      </rPr>
      <t>(Initial Admin)</t>
    </r>
  </si>
  <si>
    <t>Domain Search</t>
  </si>
  <si>
    <t>Network 1 IP Netprefix</t>
  </si>
  <si>
    <t>Replace the Certificate of vSphere Replication</t>
  </si>
  <si>
    <t>&lt;vrms_fqdn&gt;</t>
  </si>
  <si>
    <r>
      <t xml:space="preserve">Password </t>
    </r>
    <r>
      <rPr>
        <i/>
        <sz val="12"/>
        <color theme="1"/>
        <rFont val="Helvetica"/>
        <family val="2"/>
      </rPr>
      <t>(P12 Cert File)</t>
    </r>
  </si>
  <si>
    <t>Register vSphere Replication with vCenter Single Sign-On</t>
  </si>
  <si>
    <t>PSC host name</t>
  </si>
  <si>
    <t>Administrator email</t>
  </si>
  <si>
    <t>Local Host</t>
  </si>
  <si>
    <t>Create a Port Group for vSphere Replication Traffic</t>
  </si>
  <si>
    <t>distributed_switch</t>
  </si>
  <si>
    <t>Add a Network Adapter and Configure Static Routes for vSphere Replication</t>
  </si>
  <si>
    <t>vsphere_replication_appliance</t>
  </si>
  <si>
    <t>New network</t>
  </si>
  <si>
    <t>vrms_fqdn</t>
  </si>
  <si>
    <t>IPv4 Address (eth1)</t>
  </si>
  <si>
    <t>Ipv4 address prefix (eth1)</t>
  </si>
  <si>
    <t>IPv4 gateway (eth1)</t>
  </si>
  <si>
    <t>IP Address for incoming Storage Traffic</t>
  </si>
  <si>
    <t>source_vrms_network_gateway</t>
  </si>
  <si>
    <t>target_vrms_network_cidr</t>
  </si>
  <si>
    <t>Create a VMkernel Adapter on the ESXi Hosts for vSphere Replication Traffic</t>
  </si>
  <si>
    <t>Availability Zone 1 Hosts</t>
  </si>
  <si>
    <r>
      <t>&lt;host_fqdn&gt;</t>
    </r>
    <r>
      <rPr>
        <i/>
        <sz val="12"/>
        <color theme="1"/>
        <rFont val="Helvetica"/>
        <family val="2"/>
      </rPr>
      <t xml:space="preserve"> (Host 1)</t>
    </r>
  </si>
  <si>
    <r>
      <t>IPv4 address</t>
    </r>
    <r>
      <rPr>
        <i/>
        <sz val="12"/>
        <color theme="1"/>
        <rFont val="Helvetica"/>
        <family val="2"/>
      </rPr>
      <t xml:space="preserve"> (Host 1)</t>
    </r>
  </si>
  <si>
    <r>
      <t>Subnet Mask</t>
    </r>
    <r>
      <rPr>
        <i/>
        <sz val="12"/>
        <color theme="1"/>
        <rFont val="Helvetica"/>
        <family val="2"/>
      </rPr>
      <t xml:space="preserve"> (Host 1)</t>
    </r>
  </si>
  <si>
    <r>
      <t xml:space="preserve">&lt;host_fqdn&gt; </t>
    </r>
    <r>
      <rPr>
        <i/>
        <sz val="12"/>
        <color theme="1"/>
        <rFont val="Helvetica"/>
        <family val="2"/>
      </rPr>
      <t>(Host 2)</t>
    </r>
  </si>
  <si>
    <r>
      <t>IPv4 address</t>
    </r>
    <r>
      <rPr>
        <i/>
        <sz val="12"/>
        <color theme="1"/>
        <rFont val="Helvetica"/>
        <family val="2"/>
      </rPr>
      <t xml:space="preserve"> (Host 2)</t>
    </r>
  </si>
  <si>
    <r>
      <t>Subnet Mask</t>
    </r>
    <r>
      <rPr>
        <i/>
        <sz val="12"/>
        <color theme="1"/>
        <rFont val="Helvetica"/>
        <family val="2"/>
      </rPr>
      <t xml:space="preserve"> (Host 2)</t>
    </r>
  </si>
  <si>
    <r>
      <t>&lt;host_fqdn&gt;</t>
    </r>
    <r>
      <rPr>
        <i/>
        <sz val="12"/>
        <color theme="1"/>
        <rFont val="Helvetica"/>
        <family val="2"/>
      </rPr>
      <t xml:space="preserve"> (Host 3)</t>
    </r>
  </si>
  <si>
    <r>
      <t>IPv4 address</t>
    </r>
    <r>
      <rPr>
        <i/>
        <sz val="12"/>
        <color theme="1"/>
        <rFont val="Helvetica"/>
        <family val="2"/>
      </rPr>
      <t xml:space="preserve"> (Host 3)</t>
    </r>
  </si>
  <si>
    <r>
      <t xml:space="preserve">Subnet Mask </t>
    </r>
    <r>
      <rPr>
        <i/>
        <sz val="12"/>
        <color theme="1"/>
        <rFont val="Helvetica"/>
        <family val="2"/>
      </rPr>
      <t>(Host 3)</t>
    </r>
  </si>
  <si>
    <r>
      <t xml:space="preserve">&lt;host_fqdn&gt; </t>
    </r>
    <r>
      <rPr>
        <i/>
        <sz val="12"/>
        <color theme="1"/>
        <rFont val="Helvetica"/>
        <family val="2"/>
      </rPr>
      <t>(Host 4)</t>
    </r>
  </si>
  <si>
    <r>
      <t xml:space="preserve">IPv4 address </t>
    </r>
    <r>
      <rPr>
        <i/>
        <sz val="12"/>
        <color theme="1"/>
        <rFont val="Helvetica"/>
        <family val="2"/>
      </rPr>
      <t>(Host 4)</t>
    </r>
  </si>
  <si>
    <r>
      <t xml:space="preserve">Subnet Mask </t>
    </r>
    <r>
      <rPr>
        <i/>
        <sz val="12"/>
        <color theme="1"/>
        <rFont val="Helvetica"/>
        <family val="2"/>
      </rPr>
      <t>(Host 4)</t>
    </r>
  </si>
  <si>
    <t>Availability Zone 2 Hosts</t>
  </si>
  <si>
    <t>Configure ESXi Host Static Routes for vSphere Replication</t>
  </si>
  <si>
    <r>
      <t>source_vrms_network_gateway</t>
    </r>
    <r>
      <rPr>
        <i/>
        <sz val="12"/>
        <color theme="1"/>
        <rFont val="Helvetica"/>
        <family val="2"/>
      </rPr>
      <t xml:space="preserve"> (Host 1)</t>
    </r>
  </si>
  <si>
    <r>
      <t xml:space="preserve">target_vrms_network_cidr </t>
    </r>
    <r>
      <rPr>
        <i/>
        <sz val="12"/>
        <color theme="1"/>
        <rFont val="Helvetica"/>
        <family val="2"/>
      </rPr>
      <t>(Host 1)</t>
    </r>
  </si>
  <si>
    <r>
      <t>source_vrms_network_gateway</t>
    </r>
    <r>
      <rPr>
        <i/>
        <sz val="12"/>
        <color theme="1"/>
        <rFont val="Helvetica"/>
        <family val="2"/>
      </rPr>
      <t xml:space="preserve"> (Host 2)</t>
    </r>
  </si>
  <si>
    <r>
      <t>target_vrms_network_cidr</t>
    </r>
    <r>
      <rPr>
        <i/>
        <sz val="12"/>
        <color theme="1"/>
        <rFont val="Helvetica"/>
        <family val="2"/>
      </rPr>
      <t xml:space="preserve"> (Host 2)</t>
    </r>
  </si>
  <si>
    <r>
      <t xml:space="preserve">&lt;host_fqdn&gt; </t>
    </r>
    <r>
      <rPr>
        <i/>
        <sz val="12"/>
        <color theme="1"/>
        <rFont val="Helvetica"/>
        <family val="2"/>
      </rPr>
      <t>(Host 3)</t>
    </r>
  </si>
  <si>
    <r>
      <t>source_vrms_network_gateway</t>
    </r>
    <r>
      <rPr>
        <i/>
        <sz val="12"/>
        <color theme="1"/>
        <rFont val="Helvetica"/>
        <family val="2"/>
      </rPr>
      <t xml:space="preserve"> (Host 3)</t>
    </r>
  </si>
  <si>
    <r>
      <t xml:space="preserve">target_vrms_network_cidr </t>
    </r>
    <r>
      <rPr>
        <i/>
        <sz val="12"/>
        <color theme="1"/>
        <rFont val="Helvetica"/>
        <family val="2"/>
      </rPr>
      <t>(Host 3)</t>
    </r>
  </si>
  <si>
    <r>
      <t>source_vrms_network_gateway</t>
    </r>
    <r>
      <rPr>
        <i/>
        <sz val="12"/>
        <color theme="1"/>
        <rFont val="Helvetica"/>
        <family val="2"/>
      </rPr>
      <t xml:space="preserve"> (Host 4)</t>
    </r>
  </si>
  <si>
    <r>
      <t xml:space="preserve">target_vrms_network_cidr </t>
    </r>
    <r>
      <rPr>
        <i/>
        <sz val="12"/>
        <color theme="1"/>
        <rFont val="Helvetica"/>
        <family val="2"/>
      </rPr>
      <t>(Host 4)</t>
    </r>
  </si>
  <si>
    <t>Implementation of Site Recovery Manager for the Management Domain</t>
  </si>
  <si>
    <t>Create a Virtual Machine Folder for Site Recovery Manager</t>
  </si>
  <si>
    <t>Deploy Site Recovery Manager</t>
  </si>
  <si>
    <r>
      <t xml:space="preserve">Password </t>
    </r>
    <r>
      <rPr>
        <i/>
        <sz val="12"/>
        <color theme="1"/>
        <rFont val="Helvetica"/>
        <family val="2"/>
      </rPr>
      <t>(Initial Database)</t>
    </r>
  </si>
  <si>
    <t>Replace the Certificate of Site Recovery Manager</t>
  </si>
  <si>
    <t>&lt;srm_fqdn&gt;</t>
  </si>
  <si>
    <t>Register Site Recovery Manager with vCenter Single Sign-On</t>
  </si>
  <si>
    <t>Assign Licenses to Site Recovery Manager</t>
  </si>
  <si>
    <t>Enter license keys</t>
  </si>
  <si>
    <t>License name</t>
  </si>
  <si>
    <t>Asset</t>
  </si>
  <si>
    <t>Protection Site Configuration Tasks</t>
  </si>
  <si>
    <t>Create a Site Pair Between the Protected and Recovery VMware Cloud Foundation Instances</t>
  </si>
  <si>
    <t>Local vCenter Server Instance</t>
  </si>
  <si>
    <t>Pair Type</t>
  </si>
  <si>
    <t>Pair with a peer vCenter Server located in the same SSO domain</t>
  </si>
  <si>
    <t>vCenter Server you want to pair</t>
  </si>
  <si>
    <t>Configure Mappings between the Protected and the Recovery VMware Cloud Foundation Instances</t>
  </si>
  <si>
    <t>Site Pair tile</t>
  </si>
  <si>
    <r>
      <t xml:space="preserve">Network Mapping </t>
    </r>
    <r>
      <rPr>
        <i/>
        <sz val="12"/>
        <color theme="1"/>
        <rFont val="Helvetica"/>
        <family val="2"/>
      </rPr>
      <t>(Protected Network)</t>
    </r>
  </si>
  <si>
    <r>
      <t xml:space="preserve">Network Mapping </t>
    </r>
    <r>
      <rPr>
        <i/>
        <sz val="12"/>
        <color theme="1"/>
        <rFont val="Helvetica"/>
        <family val="2"/>
      </rPr>
      <t>(Recovery Network)</t>
    </r>
  </si>
  <si>
    <r>
      <t xml:space="preserve">Folder Mapping </t>
    </r>
    <r>
      <rPr>
        <i/>
        <sz val="12"/>
        <color theme="1"/>
        <rFont val="Helvetica"/>
        <family val="2"/>
      </rPr>
      <t>(Protected Folder)</t>
    </r>
  </si>
  <si>
    <r>
      <t xml:space="preserve">Folder Mapping </t>
    </r>
    <r>
      <rPr>
        <i/>
        <sz val="12"/>
        <color theme="1"/>
        <rFont val="Helvetica"/>
        <family val="2"/>
      </rPr>
      <t>(Recovery Folder)</t>
    </r>
  </si>
  <si>
    <r>
      <t>Folder Mapping</t>
    </r>
    <r>
      <rPr>
        <i/>
        <sz val="12"/>
        <color theme="1"/>
        <rFont val="Helvetica"/>
        <family val="2"/>
      </rPr>
      <t xml:space="preserve"> (Protected Folder)</t>
    </r>
  </si>
  <si>
    <r>
      <t xml:space="preserve">Resource Mapping </t>
    </r>
    <r>
      <rPr>
        <i/>
        <sz val="12"/>
        <color theme="1"/>
        <rFont val="Helvetica"/>
        <family val="2"/>
      </rPr>
      <t>(Protected Cluster)</t>
    </r>
  </si>
  <si>
    <r>
      <t xml:space="preserve">Resource Mapping </t>
    </r>
    <r>
      <rPr>
        <i/>
        <sz val="12"/>
        <color theme="1"/>
        <rFont val="Helvetica"/>
        <family val="2"/>
      </rPr>
      <t>(Recovery Cluster)</t>
    </r>
  </si>
  <si>
    <t>Target Datastore</t>
  </si>
  <si>
    <t>Recovery Point Objective (RPO)</t>
  </si>
  <si>
    <t>Protection Group Name</t>
  </si>
  <si>
    <t>Recovery Plan Name</t>
  </si>
  <si>
    <t>recovery_plan_name</t>
  </si>
  <si>
    <t>Back up OVF Properties of Protected Virtual Machines in the Protected VMware Cloud Foundation Instance</t>
  </si>
  <si>
    <t>Recovery Site Configuration Tasks</t>
  </si>
  <si>
    <t>Create Anti-Affinity Rules for the Placeholder Virtual Machines in the Recovery VMware Cloud Foundation Instance</t>
  </si>
  <si>
    <r>
      <t>Name</t>
    </r>
    <r>
      <rPr>
        <i/>
        <sz val="12"/>
        <color theme="1"/>
        <rFont val="Helvetica"/>
        <family val="2"/>
      </rPr>
      <t xml:space="preserve"> (Clustered Workspace ONE Access)</t>
    </r>
  </si>
  <si>
    <r>
      <t xml:space="preserve">Members </t>
    </r>
    <r>
      <rPr>
        <i/>
        <sz val="12"/>
        <color theme="1"/>
        <rFont val="Helvetica"/>
        <family val="2"/>
      </rPr>
      <t>(Clustered Workspace ONE Access)</t>
    </r>
  </si>
  <si>
    <t>Create Virtual Machine Groups and Restart Order in the Recovery VMware Cloud Foundation Instance</t>
  </si>
  <si>
    <t>VM/Host Groups</t>
  </si>
  <si>
    <t>xint-vm-group-wsa</t>
  </si>
  <si>
    <t>VM/Host Rules</t>
  </si>
  <si>
    <t>Restore OVF Properties on Placeholder Virtual Machines in the Recovery VMware Cloud Foundation Instance</t>
  </si>
  <si>
    <t>Implementation of vSphere Replication for the VI Workload Domain</t>
  </si>
  <si>
    <t>Implementation of Site Recovery Manager for the VI Workload Domain</t>
  </si>
  <si>
    <t>Create a Site Pair between Protected and the Recovery VMware Cloud Foundation Instances</t>
  </si>
  <si>
    <t>&lt;managment_vcenter_server_fqdn&gt;</t>
  </si>
  <si>
    <r>
      <t xml:space="preserve">Username </t>
    </r>
    <r>
      <rPr>
        <i/>
        <sz val="12"/>
        <color theme="1"/>
        <rFont val="Helvetica"/>
        <family val="2"/>
      </rPr>
      <t>(vSphere Replication User)</t>
    </r>
  </si>
  <si>
    <r>
      <t xml:space="preserve">Password </t>
    </r>
    <r>
      <rPr>
        <i/>
        <sz val="12"/>
        <color theme="1"/>
        <rFont val="Helvetica"/>
        <family val="2"/>
      </rPr>
      <t>(vSphere Replication User)</t>
    </r>
  </si>
  <si>
    <r>
      <t xml:space="preserve">Username </t>
    </r>
    <r>
      <rPr>
        <i/>
        <sz val="12"/>
        <color theme="1"/>
        <rFont val="Helvetica"/>
        <family val="2"/>
      </rPr>
      <t>(Site Recovery Manager User)</t>
    </r>
  </si>
  <si>
    <r>
      <t xml:space="preserve">Password </t>
    </r>
    <r>
      <rPr>
        <i/>
        <sz val="12"/>
        <color theme="1"/>
        <rFont val="Helvetica"/>
        <family val="2"/>
      </rPr>
      <t>(Site Recovery Manager User)</t>
    </r>
  </si>
  <si>
    <r>
      <t xml:space="preserve">User/Group </t>
    </r>
    <r>
      <rPr>
        <i/>
        <sz val="12"/>
        <color theme="1"/>
        <rFont val="Helvetica"/>
        <family val="2"/>
      </rPr>
      <t>(vSphere Replication User)</t>
    </r>
  </si>
  <si>
    <r>
      <t xml:space="preserve">Role </t>
    </r>
    <r>
      <rPr>
        <i/>
        <sz val="12"/>
        <color theme="1"/>
        <rFont val="Helvetica"/>
        <family val="2"/>
      </rPr>
      <t>(vSphere Replication User)</t>
    </r>
  </si>
  <si>
    <t>VRM replication viewer</t>
  </si>
  <si>
    <r>
      <t xml:space="preserve">User/Group </t>
    </r>
    <r>
      <rPr>
        <i/>
        <sz val="12"/>
        <color theme="1"/>
        <rFont val="Helvetica"/>
        <family val="2"/>
      </rPr>
      <t>(Site Recovery Manager User)</t>
    </r>
  </si>
  <si>
    <r>
      <t xml:space="preserve">Role </t>
    </r>
    <r>
      <rPr>
        <i/>
        <sz val="12"/>
        <color theme="1"/>
        <rFont val="Helvetica"/>
        <family val="2"/>
      </rPr>
      <t>(Site Recovery Manager User)</t>
    </r>
  </si>
  <si>
    <t>Read-Only</t>
  </si>
  <si>
    <r>
      <t xml:space="preserve">Name </t>
    </r>
    <r>
      <rPr>
        <i/>
        <sz val="12"/>
        <color theme="1"/>
        <rFont val="Helvetica"/>
        <family val="2"/>
      </rPr>
      <t>(Management Domain)</t>
    </r>
  </si>
  <si>
    <r>
      <t>Site Recovery Manager Host</t>
    </r>
    <r>
      <rPr>
        <i/>
        <sz val="12"/>
        <color theme="1"/>
        <rFont val="Helvetica"/>
        <family val="2"/>
      </rPr>
      <t xml:space="preserve"> (Management Domain)</t>
    </r>
  </si>
  <si>
    <r>
      <t xml:space="preserve">Site Recovery Manager Port </t>
    </r>
    <r>
      <rPr>
        <i/>
        <sz val="12"/>
        <color theme="1"/>
        <rFont val="Helvetica"/>
        <family val="2"/>
      </rPr>
      <t>(Management Domain)</t>
    </r>
  </si>
  <si>
    <r>
      <t xml:space="preserve">Credential name </t>
    </r>
    <r>
      <rPr>
        <i/>
        <sz val="12"/>
        <color theme="1"/>
        <rFont val="Helvetica"/>
        <family val="2"/>
      </rPr>
      <t>(Management Domain)</t>
    </r>
  </si>
  <si>
    <r>
      <t xml:space="preserve">Use name </t>
    </r>
    <r>
      <rPr>
        <i/>
        <sz val="12"/>
        <color theme="1"/>
        <rFont val="Helvetica"/>
        <family val="2"/>
      </rPr>
      <t>(Management Domain)</t>
    </r>
  </si>
  <si>
    <r>
      <t xml:space="preserve">Collector/Group </t>
    </r>
    <r>
      <rPr>
        <i/>
        <sz val="12"/>
        <color theme="1"/>
        <rFont val="Helvetica"/>
        <family val="2"/>
      </rPr>
      <t>(Management Domain)</t>
    </r>
  </si>
  <si>
    <r>
      <t xml:space="preserve">Name </t>
    </r>
    <r>
      <rPr>
        <i/>
        <sz val="12"/>
        <color theme="1"/>
        <rFont val="Helvetica"/>
        <family val="2"/>
      </rPr>
      <t>(VI Workoad Domain)</t>
    </r>
  </si>
  <si>
    <r>
      <t>Site Recovery Manager Host</t>
    </r>
    <r>
      <rPr>
        <i/>
        <sz val="12"/>
        <color theme="1"/>
        <rFont val="Helvetica"/>
        <family val="2"/>
      </rPr>
      <t xml:space="preserve"> (VI Workload Domain)</t>
    </r>
  </si>
  <si>
    <r>
      <t xml:space="preserve">Site Recovery Manager Port </t>
    </r>
    <r>
      <rPr>
        <i/>
        <sz val="12"/>
        <color theme="1"/>
        <rFont val="Helvetica"/>
        <family val="2"/>
      </rPr>
      <t>(VI Workload Domain)</t>
    </r>
  </si>
  <si>
    <r>
      <t xml:space="preserve">Credential name </t>
    </r>
    <r>
      <rPr>
        <i/>
        <sz val="12"/>
        <color theme="1"/>
        <rFont val="Helvetica"/>
        <family val="2"/>
      </rPr>
      <t>(VI Workload Domain)</t>
    </r>
  </si>
  <si>
    <r>
      <t xml:space="preserve">Username </t>
    </r>
    <r>
      <rPr>
        <i/>
        <sz val="12"/>
        <color theme="1"/>
        <rFont val="Helvetica"/>
        <family val="2"/>
      </rPr>
      <t>(VI Workload Domain)</t>
    </r>
  </si>
  <si>
    <r>
      <t xml:space="preserve">Collector/Group </t>
    </r>
    <r>
      <rPr>
        <i/>
        <sz val="12"/>
        <color theme="1"/>
        <rFont val="Helvetica"/>
        <family val="2"/>
      </rPr>
      <t>(VI Workload Domain)</t>
    </r>
  </si>
  <si>
    <r>
      <t xml:space="preserve">User name </t>
    </r>
    <r>
      <rPr>
        <i/>
        <sz val="12"/>
        <color theme="1"/>
        <rFont val="Helvetica"/>
        <family val="2"/>
      </rPr>
      <t>(Management Domain)</t>
    </r>
  </si>
  <si>
    <r>
      <t xml:space="preserve">User name </t>
    </r>
    <r>
      <rPr>
        <i/>
        <sz val="12"/>
        <color theme="1"/>
        <rFont val="Helvetica"/>
        <family val="2"/>
      </rPr>
      <t>(VI Workload Domain)</t>
    </r>
  </si>
  <si>
    <r>
      <t xml:space="preserve">&lt;srm_fqdn&gt; </t>
    </r>
    <r>
      <rPr>
        <i/>
        <sz val="12"/>
        <color theme="1"/>
        <rFont val="Helvetica"/>
        <family val="2"/>
      </rPr>
      <t>(Management Domain)</t>
    </r>
  </si>
  <si>
    <r>
      <t xml:space="preserve">SRM Admin Password </t>
    </r>
    <r>
      <rPr>
        <i/>
        <sz val="12"/>
        <color theme="1"/>
        <rFont val="Helvetica"/>
        <family val="2"/>
      </rPr>
      <t>(Management Domain)</t>
    </r>
  </si>
  <si>
    <r>
      <t>&lt;srm_fqdn&gt;</t>
    </r>
    <r>
      <rPr>
        <i/>
        <sz val="12"/>
        <color theme="1"/>
        <rFont val="Helvetica"/>
        <family val="2"/>
      </rPr>
      <t xml:space="preserve"> (VI Workload Domain)</t>
    </r>
  </si>
  <si>
    <r>
      <t xml:space="preserve">SRM Admin Password </t>
    </r>
    <r>
      <rPr>
        <i/>
        <sz val="12"/>
        <color theme="1"/>
        <rFont val="Helvetica"/>
        <family val="2"/>
      </rPr>
      <t>(VI Workload Domain)</t>
    </r>
  </si>
  <si>
    <r>
      <t xml:space="preserve">&lt;vrms_fqdn&gt; </t>
    </r>
    <r>
      <rPr>
        <i/>
        <sz val="12"/>
        <color theme="1"/>
        <rFont val="Helvetica"/>
        <family val="2"/>
      </rPr>
      <t>(Management Domain)</t>
    </r>
  </si>
  <si>
    <r>
      <t xml:space="preserve">VRMS Admin Password </t>
    </r>
    <r>
      <rPr>
        <i/>
        <sz val="12"/>
        <color theme="1"/>
        <rFont val="Helvetica"/>
        <family val="2"/>
      </rPr>
      <t>(Management Domain)</t>
    </r>
  </si>
  <si>
    <r>
      <t>&lt;vrms_fqdn&gt;</t>
    </r>
    <r>
      <rPr>
        <i/>
        <sz val="12"/>
        <color theme="1"/>
        <rFont val="Helvetica"/>
        <family val="2"/>
      </rPr>
      <t xml:space="preserve"> (VI Workload Domain)</t>
    </r>
  </si>
  <si>
    <r>
      <t xml:space="preserve">VRMS Admin Password </t>
    </r>
    <r>
      <rPr>
        <i/>
        <sz val="12"/>
        <color theme="1"/>
        <rFont val="Helvetica"/>
        <family val="2"/>
      </rPr>
      <t>(VI Workload Domain)</t>
    </r>
  </si>
  <si>
    <t>Photon OS (PDR) - Appliance Agent Group</t>
  </si>
  <si>
    <r>
      <t>Hostname</t>
    </r>
    <r>
      <rPr>
        <i/>
        <sz val="12"/>
        <color theme="1"/>
        <rFont val="Helvetica"/>
        <family val="2"/>
      </rPr>
      <t xml:space="preserve"> (Site Recovery Manager Management Domain)</t>
    </r>
  </si>
  <si>
    <r>
      <t>Hostname</t>
    </r>
    <r>
      <rPr>
        <i/>
        <sz val="12"/>
        <color theme="1"/>
        <rFont val="Helvetica"/>
        <family val="2"/>
      </rPr>
      <t xml:space="preserve"> (vSphere Replication Management Domain)</t>
    </r>
  </si>
  <si>
    <r>
      <t>Hostname</t>
    </r>
    <r>
      <rPr>
        <i/>
        <sz val="12"/>
        <color theme="1"/>
        <rFont val="Helvetica"/>
        <family val="2"/>
      </rPr>
      <t xml:space="preserve"> (Site Recovery Manager VI Workload Domain)</t>
    </r>
  </si>
  <si>
    <r>
      <t>Hostname</t>
    </r>
    <r>
      <rPr>
        <i/>
        <sz val="12"/>
        <color theme="1"/>
        <rFont val="Helvetica"/>
        <family val="2"/>
      </rPr>
      <t xml:space="preserve"> (vSphere Replication VI Workload Domain)</t>
    </r>
  </si>
  <si>
    <t>&lt;csp_console_fqdn&gt;</t>
  </si>
  <si>
    <t>console.cloud.vmware.com</t>
  </si>
  <si>
    <t>root Password</t>
  </si>
  <si>
    <t>consoleuser</t>
  </si>
  <si>
    <t>Collector VM</t>
  </si>
  <si>
    <t>IP Address / FQDN</t>
  </si>
  <si>
    <t>Nickname</t>
  </si>
  <si>
    <r>
      <t xml:space="preserve">Role name </t>
    </r>
    <r>
      <rPr>
        <i/>
        <sz val="12"/>
        <color theme="1"/>
        <rFont val="Helvetica"/>
        <family val="2"/>
      </rPr>
      <t>(VMware HCX to vSphere)</t>
    </r>
  </si>
  <si>
    <r>
      <t xml:space="preserve">Domain </t>
    </r>
    <r>
      <rPr>
        <i/>
        <sz val="12"/>
        <color theme="1"/>
        <rFont val="Helvetica"/>
        <family val="2"/>
      </rPr>
      <t>(VMware HCX Service Account)</t>
    </r>
  </si>
  <si>
    <r>
      <t xml:space="preserve">User / Group </t>
    </r>
    <r>
      <rPr>
        <i/>
        <sz val="12"/>
        <color theme="1"/>
        <rFont val="Helvetica"/>
        <family val="2"/>
      </rPr>
      <t>(VMware HCX Service Account)</t>
    </r>
  </si>
  <si>
    <r>
      <t xml:space="preserve">Role </t>
    </r>
    <r>
      <rPr>
        <i/>
        <sz val="12"/>
        <color theme="1"/>
        <rFont val="Helvetica"/>
        <family val="2"/>
      </rPr>
      <t>(VMware HCX Service Account)</t>
    </r>
  </si>
  <si>
    <r>
      <t xml:space="preserve">Folder Name </t>
    </r>
    <r>
      <rPr>
        <i/>
        <sz val="12"/>
        <color theme="1"/>
        <rFont val="Helvetica"/>
        <family val="2"/>
      </rPr>
      <t>(HCX Appliances)</t>
    </r>
  </si>
  <si>
    <t>&lt;vi_workload_domain_nsx_manager_fqdn&gt;</t>
  </si>
  <si>
    <t>SDDC Name</t>
  </si>
  <si>
    <r>
      <t xml:space="preserve">Name </t>
    </r>
    <r>
      <rPr>
        <i/>
        <sz val="12"/>
        <color theme="1"/>
        <rFont val="Helvetica"/>
        <family val="2"/>
      </rPr>
      <t>(Rule Name)</t>
    </r>
  </si>
  <si>
    <r>
      <t xml:space="preserve">Sources </t>
    </r>
    <r>
      <rPr>
        <i/>
        <sz val="12"/>
        <color theme="1"/>
        <rFont val="Helvetica"/>
        <family val="2"/>
      </rPr>
      <t>(User Defined Group)</t>
    </r>
  </si>
  <si>
    <t>Destinations</t>
  </si>
  <si>
    <t>Service</t>
  </si>
  <si>
    <t>HTTPS (TCP 443)</t>
  </si>
  <si>
    <t>SSO (TCP 7444)</t>
  </si>
  <si>
    <t>IP Address(es)</t>
  </si>
  <si>
    <t>Deploy HCX Connector</t>
  </si>
  <si>
    <t>Connector Folder</t>
  </si>
  <si>
    <t>CLI "admin" User Password</t>
  </si>
  <si>
    <t>Network 1 IPv4 Address</t>
  </si>
  <si>
    <t>Network 1 IPv4 Prefix Length</t>
  </si>
  <si>
    <t>Default IPv4 Gateway</t>
  </si>
  <si>
    <t>DNS Server list</t>
  </si>
  <si>
    <t>Domain Search List</t>
  </si>
  <si>
    <t>NTP Server List</t>
  </si>
  <si>
    <t xml:space="preserve">Configure HCX Connector			</t>
  </si>
  <si>
    <t>Location of your datacenter (nearest city)</t>
  </si>
  <si>
    <t>System name</t>
  </si>
  <si>
    <t>Identity Sources</t>
  </si>
  <si>
    <t>&lt;hcx_connector_fqdn&gt;</t>
  </si>
  <si>
    <t>HCX</t>
  </si>
  <si>
    <t>Appliance Management (TCP 9443)</t>
  </si>
  <si>
    <t>Management Network Profile</t>
  </si>
  <si>
    <t>IP Ranges</t>
  </si>
  <si>
    <t>Prefix Length</t>
  </si>
  <si>
    <t>Primary DNS</t>
  </si>
  <si>
    <t>Secondary DNS</t>
  </si>
  <si>
    <t>DNS Suffix</t>
  </si>
  <si>
    <t>vMotion Network Profile</t>
  </si>
  <si>
    <t>Name your Compute Profile</t>
  </si>
  <si>
    <t>Select Resource(s)</t>
  </si>
  <si>
    <t>Select Resource</t>
  </si>
  <si>
    <t>Select Folder</t>
  </si>
  <si>
    <t>Select Management Network Profile</t>
  </si>
  <si>
    <t xml:space="preserve">Select Uplink Network Profile </t>
  </si>
  <si>
    <t>Select vMotion Network Profile</t>
  </si>
  <si>
    <t>Select vSphere Replication Network Profile</t>
  </si>
  <si>
    <t>Select Network Containers</t>
  </si>
  <si>
    <t>Select Source Compute Profile</t>
  </si>
  <si>
    <t>Select Remote Compute Profile</t>
  </si>
  <si>
    <t>ComputeProfile(vcenter)</t>
  </si>
  <si>
    <t>Name for this Service Mesh</t>
  </si>
  <si>
    <t xml:space="preserve">Recovery SDDC														</t>
  </si>
  <si>
    <t>Cloud file system name</t>
  </si>
  <si>
    <t>Cloud Backup</t>
  </si>
  <si>
    <t>On-Premises Site Name</t>
  </si>
  <si>
    <t>Protected Site</t>
  </si>
  <si>
    <t>Console User</t>
  </si>
  <si>
    <t>Console Password</t>
  </si>
  <si>
    <t>vmware#1</t>
  </si>
  <si>
    <t>Subnet mask</t>
  </si>
  <si>
    <t>vCenter Server IP address</t>
  </si>
  <si>
    <t>vCenter user name</t>
  </si>
  <si>
    <t>Sender name</t>
  </si>
  <si>
    <t>Integration with Intelligent Operations Management for VMware Cloud Foundation</t>
  </si>
  <si>
    <t>Health Reporting and Monitoring Validated Solution</t>
  </si>
  <si>
    <t>This page contains all user required values used during the deployment of the Health Reporting and Monitoring Validated Solution. Each table and value maps directly to a process in the deployment guidance documentation.</t>
  </si>
  <si>
    <t>Deploy the Host Virtual Machine</t>
  </si>
  <si>
    <t>IPv4 Address</t>
  </si>
  <si>
    <t>Network Prefix</t>
  </si>
  <si>
    <t>Enable SSH</t>
  </si>
  <si>
    <t>Create Virtual Machine and Template Folder for the Host Virtual Machine</t>
  </si>
  <si>
    <t>Move the Host Virtual Machine to the Dedicated Folder</t>
  </si>
  <si>
    <t>Add the Host Virtual Machine to the First Availability Zone VM Group</t>
  </si>
  <si>
    <t>Assign SDDC Manager Role to a Service Account for the PowerShell Module</t>
  </si>
  <si>
    <t xml:space="preserve">Base DN
</t>
  </si>
  <si>
    <r>
      <rPr>
        <b/>
        <sz val="12"/>
        <color rgb="FF000000"/>
        <rFont val="Helvetica"/>
        <family val="2"/>
      </rPr>
      <t xml:space="preserve">Name </t>
    </r>
    <r>
      <rPr>
        <i/>
        <sz val="12"/>
        <color rgb="FF000000"/>
        <rFont val="Helvetica"/>
        <family val="2"/>
      </rPr>
      <t>(role)</t>
    </r>
  </si>
  <si>
    <r>
      <rPr>
        <b/>
        <sz val="12"/>
        <color rgb="FF000000"/>
        <rFont val="Helvetica"/>
        <family val="2"/>
      </rPr>
      <t xml:space="preserve">Description </t>
    </r>
    <r>
      <rPr>
        <i/>
        <sz val="12"/>
        <color rgb="FF000000"/>
        <rFont val="Helvetica"/>
        <family val="2"/>
      </rPr>
      <t>(role)</t>
    </r>
  </si>
  <si>
    <t>Name (scope)</t>
  </si>
  <si>
    <t>Description (scope)</t>
  </si>
  <si>
    <t>Import from</t>
  </si>
  <si>
    <t>vIDMAuthSource - VMware Identity Manager</t>
  </si>
  <si>
    <t>Search Prefix</t>
  </si>
  <si>
    <t>Select Role</t>
  </si>
  <si>
    <t>Select Scope</t>
  </si>
  <si>
    <t>Install the PowerShell Module for VMware Cloud Foundation Reporting</t>
  </si>
  <si>
    <t>Photon</t>
  </si>
  <si>
    <t>&lt;host_virtual_machine_fqdn&gt;</t>
  </si>
  <si>
    <t>Windows Server</t>
  </si>
  <si>
    <t>Administrator Password</t>
  </si>
  <si>
    <r>
      <t xml:space="preserve">fqdn </t>
    </r>
    <r>
      <rPr>
        <i/>
        <sz val="12"/>
        <color rgb="FF000000"/>
        <rFont val="Helvetica"/>
        <family val="2"/>
      </rPr>
      <t>(vrops)</t>
    </r>
  </si>
  <si>
    <r>
      <t xml:space="preserve">user </t>
    </r>
    <r>
      <rPr>
        <i/>
        <sz val="12"/>
        <color rgb="FF000000"/>
        <rFont val="Helvetica"/>
        <family val="2"/>
      </rPr>
      <t>(vrops)</t>
    </r>
  </si>
  <si>
    <r>
      <t xml:space="preserve">fqdn </t>
    </r>
    <r>
      <rPr>
        <i/>
        <sz val="12"/>
        <color rgb="FF000000"/>
        <rFont val="Helvetica"/>
        <family val="2"/>
      </rPr>
      <t>(sddc_manager)</t>
    </r>
  </si>
  <si>
    <r>
      <t xml:space="preserve">user </t>
    </r>
    <r>
      <rPr>
        <i/>
        <sz val="12"/>
        <color rgb="FF000000"/>
        <rFont val="Helvetica"/>
        <family val="2"/>
      </rPr>
      <t>(sddc_manager)</t>
    </r>
  </si>
  <si>
    <r>
      <t xml:space="preserve">password </t>
    </r>
    <r>
      <rPr>
        <i/>
        <sz val="12"/>
        <color rgb="FF000000"/>
        <rFont val="Helvetica"/>
        <family val="2"/>
      </rPr>
      <t>(vrops service account)</t>
    </r>
  </si>
  <si>
    <r>
      <t xml:space="preserve">password </t>
    </r>
    <r>
      <rPr>
        <i/>
        <sz val="12"/>
        <color rgb="FF000000"/>
        <rFont val="Helvetica"/>
        <family val="2"/>
      </rPr>
      <t>(sddc_manager service account)</t>
    </r>
  </si>
  <si>
    <r>
      <t xml:space="preserve">password </t>
    </r>
    <r>
      <rPr>
        <i/>
        <sz val="12"/>
        <color rgb="FF000000"/>
        <rFont val="Helvetica"/>
        <family val="2"/>
      </rPr>
      <t>(sddc_manager root account)</t>
    </r>
  </si>
  <si>
    <t>HRM daily scheduled task</t>
  </si>
  <si>
    <t xml:space="preserve">Start time </t>
  </si>
  <si>
    <r>
      <rPr>
        <b/>
        <sz val="12"/>
        <color rgb="FF000000"/>
        <rFont val="Helvetica"/>
        <family val="2"/>
      </rPr>
      <t xml:space="preserve">Recurrence </t>
    </r>
    <r>
      <rPr>
        <sz val="12"/>
        <color rgb="FF000000"/>
        <rFont val="Helvetica"/>
        <family val="2"/>
      </rPr>
      <t>(days)</t>
    </r>
  </si>
  <si>
    <t>@pluginType</t>
  </si>
  <si>
    <t>StandardEmailPlugin</t>
  </si>
  <si>
    <t>PluginType</t>
  </si>
  <si>
    <t>@pluginName</t>
  </si>
  <si>
    <t>Alert Mail Relay</t>
  </si>
  <si>
    <t>PropertyValue</t>
  </si>
  <si>
    <t># *******************      V C F - E M S  -  M a n a g e m e n t   W o r k l o a d   D o m a i n       *******************</t>
  </si>
  <si>
    <t># ******************* E X T E R N A L    I N F R A S T R U C T U R E    C O M P O N E N T S *******************</t>
  </si>
  <si>
    <t># NTP Servers (IP or FQDN supported)</t>
  </si>
  <si>
    <t># DNS Services and Zone Name</t>
  </si>
  <si>
    <t># ******************* S D D C    M A N A G E R  *******************</t>
  </si>
  <si>
    <t># ******************* V C E N T E R  S E R V E R  *******************</t>
  </si>
  <si>
    <t xml:space="preserve"># vSphere Single Sign-On </t>
  </si>
  <si>
    <t># vSphere Lifecycle Manager</t>
  </si>
  <si>
    <t># ******************* V S A N *******************</t>
  </si>
  <si>
    <t># ******************* E S X I  H O S T S *******************</t>
  </si>
  <si>
    <t># This subscription license is used for ESX, VC, VSAN, NSX, SDDC Manager when supplied</t>
  </si>
  <si>
    <t># ESXi Host License Key</t>
  </si>
  <si>
    <t># Default credentials for all ESXi servers, all installations must have the same user name and password.</t>
  </si>
  <si>
    <t>esxi.username=root</t>
  </si>
  <si>
    <t># vSphere Standard Switch</t>
  </si>
  <si>
    <t># Hosts needed for the management cluster, this is where we deploy all the solutions. Up to 8 hosts, 2 is the minimum.</t>
  </si>
  <si>
    <t># ESXi Security Thumbprints</t>
  </si>
  <si>
    <t># SSH Thumbprints</t>
  </si>
  <si>
    <t># SSL Thumbprints</t>
  </si>
  <si>
    <t># ******************* D A T A C E N T E R   /   C L U S T E R  *******************</t>
  </si>
  <si>
    <t># vSphere Resource Pools</t>
  </si>
  <si>
    <t># ******************* D I S T R I B U T E D  S W I T C H E S  *******************</t>
  </si>
  <si>
    <t># Management Network - Management Domain - "networkType": "MANAGEMENT"</t>
  </si>
  <si>
    <t># Management Network - Management Domain - "networkType": "VSAN"</t>
  </si>
  <si>
    <t># Management Network - Management Domain - "networkType": "VMOTION"</t>
  </si>
  <si>
    <t># Network IP Inclusion Ranges</t>
  </si>
  <si>
    <t># Folder Names Mgmt Cluster - Automatically formulated in XLS using sso-site-name@value= + static values</t>
  </si>
  <si>
    <t># *******************  N S X - T   *******************</t>
  </si>
  <si>
    <t># NSX-T License Key</t>
  </si>
  <si>
    <t># NSX-T Manager Virtual Appliance Size - Valid values are "small", "medium", "large"</t>
  </si>
  <si>
    <t># NSX-T Credentials</t>
  </si>
  <si>
    <t>nsxt-enable-rootLogin=true</t>
  </si>
  <si>
    <t>nsxt-enable-ssh=true</t>
  </si>
  <si>
    <t># NSX-T Hostnames and IP Addresses</t>
  </si>
  <si>
    <t># NSX-T Transport Zone</t>
  </si>
  <si>
    <t>nsxt-transport-vlan-networkName=netName-vlan</t>
  </si>
  <si>
    <t>nsxt-transport-overlay-networkName=netName-overlay</t>
  </si>
  <si>
    <t># NSX-T ESXi Host TEP Static IP Pool</t>
  </si>
  <si>
    <t># Out of Band Management</t>
  </si>
  <si>
    <t>mgmtOobNetwork.cidrNotation=</t>
  </si>
  <si>
    <t>mgmtOobNetwork.gateway=</t>
  </si>
  <si>
    <t>mgmtOobNetwork.mtu=</t>
  </si>
  <si>
    <t>mgmtOobNetwork.vlanId=</t>
  </si>
  <si>
    <t>mgmtOobNetwork.pgName=</t>
  </si>
  <si>
    <t># *******************  E N D   O F   F I L E  *******************</t>
  </si>
  <si>
    <t>Adapter</t>
  </si>
  <si>
    <t>Credential (vCenter)</t>
  </si>
  <si>
    <t>Credential (vSAN Adapter)</t>
  </si>
  <si>
    <t>Add Ping Adapters for the Clustered Workspace ONE Access for Intelligent Operations Management for VMware Cloud Foundation</t>
  </si>
  <si>
    <t>v1.5.0.005</t>
  </si>
  <si>
    <t>25/09/2023</t>
  </si>
  <si>
    <t>August Release to support updates to VMware Validated Solutions
- Cloud-Based Workload Protection
   - Added support
- Health Reporting and Monitoring 
   - Updates to `Define a Custom Role in vRealize Operations for the Python Module for VMware Cloud Foundation Reporting`
   - Updared to `Assign vRealize Operations Custom Role to a Service Account for the Python Module for VMware Cloud Foundation Reporting` 
   - Fixed Workload Domain Totals Count for vCenter Appliance and NSX-T Global Manager
- Intelligent Logging and Analytcis 
   - Remove vRealize Log Insight Alert tab, moved to JSON with automation approach.
- Intelligent Operations Management 
   - Updated procedures relating to the VMware Cloud Foundation Integration in place of SDDC Health Moniroting Solution</t>
  </si>
  <si>
    <t>Select VCF Deployment Version</t>
  </si>
  <si>
    <t>Selected VMware Cloud Foundation  Version</t>
  </si>
  <si>
    <t>September Release to support updates to VMware Validated Solutions
- Added Funtionality to select VMware Cloud Foundation Version in Deployment Options 
- Added support for Cross Cloud Mobility for VMware Cloud Foundation</t>
  </si>
  <si>
    <t>Cross Cloud Mobility</t>
  </si>
  <si>
    <r>
      <t>VM Folder (</t>
    </r>
    <r>
      <rPr>
        <i/>
        <sz val="12"/>
        <color theme="1"/>
        <rFont val="Helvetica"/>
        <family val="2"/>
      </rPr>
      <t>HCX Connector)</t>
    </r>
  </si>
  <si>
    <t>mobility-sddc</t>
  </si>
  <si>
    <t>AWS SDDC Name</t>
  </si>
  <si>
    <t>Cross Cloud Mobility References</t>
  </si>
  <si>
    <r>
      <t xml:space="preserve">VM Folder </t>
    </r>
    <r>
      <rPr>
        <sz val="12"/>
        <color theme="1"/>
        <rFont val="Helvetica"/>
        <family val="2"/>
      </rPr>
      <t>(HCX Connector)</t>
    </r>
  </si>
  <si>
    <t>Cross Cloud Mobility Validated Solution</t>
  </si>
  <si>
    <t>This page contains all user required values used during the deployment of the Cross Cloud Mobility Validated Solution. Each table and value maps directly to a process in the deployment guidance documentation.</t>
  </si>
  <si>
    <t>Define Custom Roles in vSphere for Cross Cloud Mobility for VMware Cloud Foundation</t>
  </si>
  <si>
    <t>Configure Service Account Permissions for vSphere Integration for Cross Cloud Mobility for VMware Cloud Foundation</t>
  </si>
  <si>
    <t>Create a Virtual Machine and Template Folder for the HCX Appliance for Cross Cloud Mobility for VMware Cloud Foundation</t>
  </si>
  <si>
    <t>Create a Virtual Machine and Template Folder and a Resource Pool for the HCX Appliances for Cross Cloud Mobility for VMware Cloud Foundation</t>
  </si>
  <si>
    <t>Configure Service Account Permissions for NSX Integration for Cross Cloud Mobility for VMware Cloud Foundation</t>
  </si>
  <si>
    <t>Deploy the Mobility SDDC for Cross Cloud Mobility for VMware Cloud Foundation</t>
  </si>
  <si>
    <t>Configure vCenter Server Access to the Mobililty SDDC for Cross Cloud Mobility for VMware Cloud Foundation</t>
  </si>
  <si>
    <t>Deploy VMware HCX to the Mobility SDDC for Cross Cloud Mobility for VMware Cloud Foundation</t>
  </si>
  <si>
    <t>Deploy the HCX Connector Appliance for Cross Cloud Mobility for VMware Cloud Foundation</t>
  </si>
  <si>
    <t>Replace the Certificate of the HCX Connector Appliance for Cross Cloud Mobility for VMware Cloud Foundation</t>
  </si>
  <si>
    <t>Add the HCX Connector Appliance to the First Availability Zone VM Group for Cross Cloud Mobility for VMware Cloud Foundation</t>
  </si>
  <si>
    <t>Configure VMware HCX Access to the Mobility SDDC for Cross Cloud Mobility for VMware Cloud Foundation</t>
  </si>
  <si>
    <t>Pair On-Premises vSphere Environment with HCX Cloud for Cross Cloud Mobility for VMware Cloud Foundation</t>
  </si>
  <si>
    <t>Create Network Profiles in HCX for Cross Cloud Mobility for VMware Cloud Foundation</t>
  </si>
  <si>
    <t>Create a Compute Profile in HCX for Cross Cloud Mobility for VMware Cloud Foundation</t>
  </si>
  <si>
    <t>Create a Service Mesh in HCX for Cross Cloud Mobility for VMware Cloud Foundation</t>
  </si>
  <si>
    <t>Cross Cloud Mobility for VMware Cloud Foundation</t>
  </si>
  <si>
    <r>
      <t xml:space="preserve">Folder Name </t>
    </r>
    <r>
      <rPr>
        <i/>
        <sz val="12"/>
        <color rgb="FF000000"/>
        <rFont val="Helvetica"/>
        <family val="2"/>
      </rPr>
      <t>(HCX Connector)</t>
    </r>
  </si>
  <si>
    <t>Data Protection for Cross Cloud Mobility for VMware Cloud Foundation</t>
  </si>
  <si>
    <t>Backup the HCX Connector Configuration for Cross Cloud Mobility for VMware Cloud Foundation</t>
  </si>
  <si>
    <t>IP/Host name</t>
  </si>
  <si>
    <t>Transfer protocol</t>
  </si>
  <si>
    <t>Backup directory</t>
  </si>
  <si>
    <t>Configure a Backup Schedule for the HCX Connector for Cross Cloud Mobility for VMware Cloud Foundation</t>
  </si>
  <si>
    <t>Backup Frequency</t>
  </si>
  <si>
    <t>DAILY</t>
  </si>
  <si>
    <t>Hour of day</t>
  </si>
  <si>
    <t>Minute</t>
  </si>
  <si>
    <t>Cross-Cloud Mobility - HCX Connector</t>
  </si>
  <si>
    <t>Cross-Cloud Mobility - HCX Conn</t>
  </si>
  <si>
    <t>vSAN Architecture Model</t>
  </si>
  <si>
    <t>vSAN-ESA</t>
  </si>
  <si>
    <t>vSAN-OSA</t>
  </si>
  <si>
    <t>MGMT Domain 5.x Storage Option</t>
  </si>
  <si>
    <t>MGMT Domain 4.x Storage Option</t>
  </si>
  <si>
    <t>WLD Domain 5.x Storage Option</t>
  </si>
  <si>
    <t>NFS</t>
  </si>
  <si>
    <t>VMFS on FC</t>
  </si>
  <si>
    <t>vVOLS on FC</t>
  </si>
  <si>
    <t>vVOLS on iSCSI</t>
  </si>
  <si>
    <t>vVOLS on NFS</t>
  </si>
  <si>
    <t>WLD Domain 4.x Storage Option</t>
  </si>
  <si>
    <t>Images</t>
  </si>
  <si>
    <t>vSphere Lifecycle Manager - OSA</t>
  </si>
  <si>
    <t>vSphere Lifecycle Manager  - ESA</t>
  </si>
  <si>
    <t>vSphere Lifecycle Manager MGMT - 4.x</t>
  </si>
  <si>
    <t>Management VM Network</t>
  </si>
  <si>
    <t xml:space="preserve">ESXi Management Network </t>
  </si>
  <si>
    <t>VMware Aria Suite Lifecycle Management and VCF Aware Workspace ONE Access</t>
  </si>
  <si>
    <t>VMware Aria Operations Alert List</t>
  </si>
  <si>
    <t>VMware Aria Operations for Logs</t>
  </si>
  <si>
    <t>VIP address of the integrated load balancer of VMware Aria Operations for Logs</t>
  </si>
  <si>
    <t>Primary node of VMware Aria Operations for Logs</t>
  </si>
  <si>
    <t>Worker node 1 of VMware Aria Operations for Logs</t>
  </si>
  <si>
    <t>Worker node 2 of VMware Aria Operations for Logs</t>
  </si>
  <si>
    <t>Existing: Remote VMware Aria Operations for Logs Instance</t>
  </si>
  <si>
    <t>Existing: Remote VMware Aria Operations for Logs Instance Tag</t>
  </si>
  <si>
    <t>VMware Aria Operations for Logs to vSphere Integration</t>
  </si>
  <si>
    <t>Create Virtual Machine and Template Folder for VMware Aria Operations for Logs for Intelligent Logging and Analytics for VMware Cloud Foundation</t>
  </si>
  <si>
    <t>Move the VMware Aria Operations for Logs Virtual Machines to the Dedicated Folder for Intelligent Logging and Analytics for VMware Cloud Foundation</t>
  </si>
  <si>
    <t>Add the VMware Aria Operations for Logs Virtual Machines to the First Availability Zone VM Group for Intelligent Logging and Analytics for VMware Cloud Foundation</t>
  </si>
  <si>
    <t>Configure SMTP for VMware Aria Operations for Logs for Intelligent Logging and Analytics for VMware Cloud Foundation</t>
  </si>
  <si>
    <t>Configure Log Retention and Archiving for VMware Aria Operations for Logs for Intelligent Logging and Analytics for VMware Cloud Foundation</t>
  </si>
  <si>
    <t>Assign VMware Aria Operations for Logs Roles to Active Directory Groups for Intelligent Logging and Analytics for VMware Cloud Foundation</t>
  </si>
  <si>
    <t>Connect a VI Workload Domain to VMware Aria Operations for Logs for Intelligent Logging and Analytics for VMware Cloud Foundation</t>
  </si>
  <si>
    <t>Install and Configure the VMware Aria Operations for Logs Agent on the Clustered Workspace ONE Access Nodes for Intelligent Logging and Analytics for VMware Cloud Foundation</t>
  </si>
  <si>
    <t>Create a VMware Aria Operations for Logs Photon OS Agent Group for the Management Nodes for Intelligent Logging and Analytics for VMware Cloud Foundation</t>
  </si>
  <si>
    <t>Install and Configure the VMware Aria Operations for Logs Agent on the Site Recovery Manager and vSphere Replication Appliances</t>
  </si>
  <si>
    <t>Create a VMware Aria Operations for Logs Photon OS Agent Group for Site Recovery Manager and the vSphere Replication</t>
  </si>
  <si>
    <t>VMware Aria Operations to vSphere Integration</t>
  </si>
  <si>
    <t>Username (VMware Aria Operations to vSphere Replication SSO User)</t>
  </si>
  <si>
    <t>Password (VMware Aria Operations to vSphere Replication)</t>
  </si>
  <si>
    <t>User (VMware Aria Operations to Site Recovery Manager SSO User)</t>
  </si>
  <si>
    <t>Password (VMware Aria Operations to Site Recovery Manager)</t>
  </si>
  <si>
    <t>Role Name (VMware Aria Operations)</t>
  </si>
  <si>
    <t>Role Description (VMware Aria Operations)</t>
  </si>
  <si>
    <t>Scope Name (VMware Aria Operations)</t>
  </si>
  <si>
    <t>Scope Description (VMware Aria Operations)</t>
  </si>
  <si>
    <t>VMware Aria Operations to VMware Cloud Foundation</t>
  </si>
  <si>
    <t>VMware Aria Operations to vCenter Server</t>
  </si>
  <si>
    <t>HRM to VMware Aria Operations</t>
  </si>
  <si>
    <t>vSphere Custom Role Name (VMware Aria Operations)</t>
  </si>
  <si>
    <t>VMware Aria Operations Analytics Cluster VM Folder</t>
  </si>
  <si>
    <t>VMware Aria Operations Remote Collectors VM Folder</t>
  </si>
  <si>
    <t>VMware Aria Operations to vSphere Integration (Actions)</t>
  </si>
  <si>
    <t>VMware Aria Operations to vSphere Integration (Metrics)</t>
  </si>
  <si>
    <t>VMware Aria Operations Service Account</t>
  </si>
  <si>
    <t>VMware Aria Operations URL</t>
  </si>
  <si>
    <t>Create Virtual Machine and Template Folders for the VMware Aria Operations Virtual Machines for Intelligent Operations Management for VMware Cloud Foundation</t>
  </si>
  <si>
    <t>Prepare the NSX to VMware Aria Operations Integration for Intelligent Operations Management for VMware Cloud Foundation</t>
  </si>
  <si>
    <t>Create a VM Group and Define the Startup Order of the VMware Aria Operations Cloud Proxy Appliances for Intelligent Operations Management for VMware Cloud Foundation</t>
  </si>
  <si>
    <t>Synchronize the Active Directory Groups for VMware Aria Operations in Workspace ONE Access for Intelligent Operations Management for VMware Cloud Foundation</t>
  </si>
  <si>
    <t>Configure User Access in VMware Aria Operations for Intelligent Operations Management for VMware Cloud Foundation</t>
  </si>
  <si>
    <t>Set the Currency for Cost Calculation in VMware Aria Operations for Intelligent Operations Management for VMware Cloud Foundation</t>
  </si>
  <si>
    <t>Configure Email Alert Plug-in Settings for VMware Aria Operations for Intelligent Operations Management for VMware Cloud Foundation</t>
  </si>
  <si>
    <t>Remove Existing vCenter Server Adapter in VMware Aria Operations for Intelligent Operations Management for VMware Cloud Foundation</t>
  </si>
  <si>
    <t>Configure Credentials for SDDC Components in VMware Aria Operations for Intelligent Operations Management for VMware Cloud Foundation</t>
  </si>
  <si>
    <t>Add Ping Adapters for the VMware Aria Operations Nodes for Intelligent Operations Management for VMware Cloud Foundation</t>
  </si>
  <si>
    <t>Create Notifications in VMware Aria Operations for VMware Cloud Foundation Issues</t>
  </si>
  <si>
    <t>Move the VMware Aria Operations Virtual Machines to the Dedicated Folders</t>
  </si>
  <si>
    <t>Add the VMware Aria Operations Virtual Machines to the First Availability Zone VM Group</t>
  </si>
  <si>
    <t>Define a Custom Role in VMware Aria Operations for the Python Module for VMware Cloud Foundation Reporting</t>
  </si>
  <si>
    <t>Assign VMware Aria Operations Custom Role to a Service Account for the Python Module for VMware Cloud Foundation Reporting</t>
  </si>
  <si>
    <t>Install and Configure the Python Module for VMware Cloud Foundation Health Monitoring in VMware Aria Operations</t>
  </si>
  <si>
    <t>Install the VMware Aria Operations Nagini Client</t>
  </si>
  <si>
    <t>Manually Run the Python Module for VMware Cloud Foundation Health Monitoring in VMware Aria Operations</t>
  </si>
  <si>
    <t>Schedule the Python Module for VMware Cloud Foundation Reporting in VMware Aria Operations to Run Daily</t>
  </si>
  <si>
    <t>Sending the data to VMware Aria Operations on a daily basis by scheduling the Python script to run daily.</t>
  </si>
  <si>
    <t>Import and Configure Artifacts in VMware Aria Operations</t>
  </si>
  <si>
    <t>Import and Configure Alerts in VMware Aria Operations</t>
  </si>
  <si>
    <t>Import and Configure Notifications in VMware Aria Operations</t>
  </si>
  <si>
    <t>Synchronize the Active Directory Users for VMware Aria Operations</t>
  </si>
  <si>
    <t>Configure a Ping Adapter for the HCX Connector Appliance in the on-premises VMware Aria Operations for Cross Cloud Mobility for VMware Cloud Foundation</t>
  </si>
  <si>
    <t>VMware Aria Automation</t>
  </si>
  <si>
    <t>Protection Group Name (VMware Aria Automation)</t>
  </si>
  <si>
    <t>Recovery Plan Name (VMware Aria Automation)</t>
  </si>
  <si>
    <t>Create a Virtual Machine and Template Folder for the VMware Aria Automation Cluster Virtual Machines for Private Cloud Automation for VMware Cloud Foundation</t>
  </si>
  <si>
    <t>Move the VMware Aria Automation Cluster Virtual Machines to the Dedicated Folder for Private Cloud Automation for VMware Cloud Foundation</t>
  </si>
  <si>
    <t>Create a Virtual Machine and Template Folder and a Resource Pool for the VMware Aria Automation-Managed Workloads for Private Cloud Automation for VMware Cloud Foundation</t>
  </si>
  <si>
    <t>Configure Anti-Affinity Rule for the VMware Aria Automation Cluster Virtual Machines for Private Cloud Automation for VMware Cloud Foundation</t>
  </si>
  <si>
    <t>Create a VM Group and Define the Startup Order of the VMware Aria Automation Cluster Virtual Machines for Private Cloud Automation for VMware Cloud Foundation</t>
  </si>
  <si>
    <t>Add the VMware Aria Automation Virtual Machines to the First Availability Zone VM Group for Private Cloud Automation for VMware Cloud Foundation</t>
  </si>
  <si>
    <t>Configure the Organization Name for VMware Aria Automation for Private Cloud Automation for VMware Cloud Foundation</t>
  </si>
  <si>
    <t>Synchronize the Active Directory Groups for VMware Aria Automation in Workspace ONE Access for Private Cloud Automation for VMware Cloud Foundation</t>
  </si>
  <si>
    <t>Assign Organization and Service Roles to the Groups for VMware Aria Automation for Private Cloud Automation for VMware Cloud Foundation</t>
  </si>
  <si>
    <t>Configure Service Account Permissions for the VMware Aria Automation to NSX-T Integration on the VI Workload Domain NSX Manager Cluster for Private Cloud Automation</t>
  </si>
  <si>
    <t>Add Cloud Accounts for the VI Workload Domains to VMware Aria Automation for Private Cloud Automation for VMware Cloud Foundation</t>
  </si>
  <si>
    <t>Configure the Cloud Zones in VMware Aria Automation for Private Cloud Automation for VMware Cloud Foundation</t>
  </si>
  <si>
    <t>VMware Aria Automation Credentials</t>
  </si>
  <si>
    <t>Update Placement Policy for Cloud Zones in VMware Aria Automation for Private Cloud Automation for VMware Cloud Foundation</t>
  </si>
  <si>
    <t>Add a Ping Adapter for the VMware Aria Automation Cluster Nodes for Private Cloud Automation for VMware Cloud Foundation</t>
  </si>
  <si>
    <t>Create a VMware Aria Operations for Logs Photon OS Agent Group for the VMware Aria Automation Cluster Nodes for Private Cloud Automation for VMware Cloud Foundation</t>
  </si>
  <si>
    <t>Create a Service Monitor for VMware Aria Automation in the Recovery VMware Cloud Foundation Instance</t>
  </si>
  <si>
    <t>Create a Server Pool for VMware Aria Automation in the Recovery VMware Cloud Foundation Instance</t>
  </si>
  <si>
    <t>Create Application Profiles for VMware Aria Automation in the Recovery VMware Cloud Foundation Instance</t>
  </si>
  <si>
    <t>Create Virtual Servers for VMware Aria Automation in the Recovery VMware Cloud Foundation Instance</t>
  </si>
  <si>
    <t>Reconfigure DNS and Domain Search on the VMware Aria Automation Nodes</t>
  </si>
  <si>
    <t>Reconfigure NTP on VMware Aria Automation</t>
  </si>
  <si>
    <t>Configure Replication, Create a Protection Group and a Recovery Plan for VMware Aria Automation</t>
  </si>
  <si>
    <t>Customize the Recovery Plan for VMware Aria Automation</t>
  </si>
  <si>
    <r>
      <t>Hostname</t>
    </r>
    <r>
      <rPr>
        <b/>
        <i/>
        <sz val="12"/>
        <color theme="1"/>
        <rFont val="Helvetica"/>
        <family val="2"/>
      </rPr>
      <t xml:space="preserve"> </t>
    </r>
    <r>
      <rPr>
        <i/>
        <sz val="12"/>
        <color theme="1"/>
        <rFont val="Helvetica"/>
        <family val="2"/>
      </rPr>
      <t>(VMware Aria Automation Node 1)</t>
    </r>
  </si>
  <si>
    <r>
      <t xml:space="preserve">Hostname </t>
    </r>
    <r>
      <rPr>
        <i/>
        <sz val="12"/>
        <color theme="1"/>
        <rFont val="Helvetica"/>
        <family val="2"/>
      </rPr>
      <t>(VMware Aria Automation Node 2)</t>
    </r>
  </si>
  <si>
    <r>
      <t xml:space="preserve">Hostname </t>
    </r>
    <r>
      <rPr>
        <i/>
        <sz val="12"/>
        <color theme="1"/>
        <rFont val="Helvetica"/>
        <family val="2"/>
      </rPr>
      <t>(VMware Aria Automation Node 3)</t>
    </r>
  </si>
  <si>
    <r>
      <t xml:space="preserve">User </t>
    </r>
    <r>
      <rPr>
        <i/>
        <sz val="12"/>
        <color theme="1"/>
        <rFont val="Helvetica"/>
        <family val="2"/>
      </rPr>
      <t>(VMware Aria Automation to vSphere)</t>
    </r>
  </si>
  <si>
    <r>
      <t xml:space="preserve">Role </t>
    </r>
    <r>
      <rPr>
        <i/>
        <sz val="12"/>
        <color theme="1"/>
        <rFont val="Helvetica"/>
        <family val="2"/>
      </rPr>
      <t>(VMware Aria Automation)</t>
    </r>
  </si>
  <si>
    <r>
      <t xml:space="preserve">User / Group </t>
    </r>
    <r>
      <rPr>
        <i/>
        <sz val="12"/>
        <color theme="1"/>
        <rFont val="Helvetica"/>
        <family val="2"/>
      </rPr>
      <t>(VMware Aria Automation)</t>
    </r>
  </si>
  <si>
    <r>
      <t xml:space="preserve">Domain </t>
    </r>
    <r>
      <rPr>
        <i/>
        <sz val="12"/>
        <color theme="1"/>
        <rFont val="Helvetica"/>
        <family val="2"/>
      </rPr>
      <t>(VMware Aria Automation)</t>
    </r>
  </si>
  <si>
    <r>
      <t xml:space="preserve">Role name </t>
    </r>
    <r>
      <rPr>
        <i/>
        <sz val="12"/>
        <color theme="1"/>
        <rFont val="Helvetica"/>
        <family val="2"/>
      </rPr>
      <t>(VMware Aria Automation to vSphere)</t>
    </r>
  </si>
  <si>
    <r>
      <t xml:space="preserve">VM Name </t>
    </r>
    <r>
      <rPr>
        <i/>
        <sz val="12"/>
        <color theme="1"/>
        <rFont val="Helvetica"/>
        <family val="2"/>
      </rPr>
      <t>(VMware Aria Automation Primary Node)</t>
    </r>
  </si>
  <si>
    <r>
      <t xml:space="preserve">VM Name </t>
    </r>
    <r>
      <rPr>
        <i/>
        <sz val="12"/>
        <color theme="1"/>
        <rFont val="Helvetica"/>
        <family val="2"/>
      </rPr>
      <t>(VMware Aria Automation Secondary Node 1)</t>
    </r>
  </si>
  <si>
    <r>
      <t xml:space="preserve">VM Name </t>
    </r>
    <r>
      <rPr>
        <i/>
        <sz val="12"/>
        <color theme="1"/>
        <rFont val="Helvetica"/>
        <family val="2"/>
      </rPr>
      <t>(VMware Aria Automation Secondary Node 2)</t>
    </r>
  </si>
  <si>
    <r>
      <t xml:space="preserve">Username </t>
    </r>
    <r>
      <rPr>
        <i/>
        <sz val="12"/>
        <color theme="1"/>
        <rFont val="Helvetica"/>
        <family val="2"/>
      </rPr>
      <t>(VMware Aria Automation root)</t>
    </r>
  </si>
  <si>
    <r>
      <t xml:space="preserve">Password </t>
    </r>
    <r>
      <rPr>
        <i/>
        <sz val="12"/>
        <color theme="1"/>
        <rFont val="Helvetica"/>
        <family val="2"/>
      </rPr>
      <t>(VMware Aria Automation root)</t>
    </r>
  </si>
  <si>
    <r>
      <t xml:space="preserve">Password Alias </t>
    </r>
    <r>
      <rPr>
        <i/>
        <sz val="12"/>
        <color theme="1"/>
        <rFont val="Helvetica"/>
        <family val="2"/>
      </rPr>
      <t>(VMware Aria Automation root)</t>
    </r>
  </si>
  <si>
    <r>
      <t xml:space="preserve">Virtual Machine </t>
    </r>
    <r>
      <rPr>
        <i/>
        <sz val="12"/>
        <color theme="1"/>
        <rFont val="Helvetica"/>
        <family val="2"/>
      </rPr>
      <t>(VMware Aria Automation Node 3)</t>
    </r>
  </si>
  <si>
    <r>
      <t xml:space="preserve">Virtual Machine </t>
    </r>
    <r>
      <rPr>
        <i/>
        <sz val="12"/>
        <color theme="1"/>
        <rFont val="Helvetica"/>
        <family val="2"/>
      </rPr>
      <t>(VMware Aria Automation Node 2)</t>
    </r>
  </si>
  <si>
    <r>
      <t xml:space="preserve">Virtual Machine </t>
    </r>
    <r>
      <rPr>
        <i/>
        <sz val="12"/>
        <color theme="1"/>
        <rFont val="Helvetica"/>
        <family val="2"/>
      </rPr>
      <t>(VMware Aria Automation Node 1)</t>
    </r>
  </si>
  <si>
    <r>
      <t xml:space="preserve">Virtual Machine </t>
    </r>
    <r>
      <rPr>
        <i/>
        <sz val="12"/>
        <color theme="1"/>
        <rFont val="Helvetica"/>
        <family val="2"/>
      </rPr>
      <t>(VMware Aria Operations Analytics Cluster Data Node)</t>
    </r>
  </si>
  <si>
    <r>
      <t xml:space="preserve">Virtual Machine </t>
    </r>
    <r>
      <rPr>
        <i/>
        <sz val="12"/>
        <color theme="1"/>
        <rFont val="Helvetica"/>
        <family val="2"/>
      </rPr>
      <t>(VMware Aria Operations Analytics Cluster Replica Node)</t>
    </r>
  </si>
  <si>
    <r>
      <t xml:space="preserve">Virtual Machine </t>
    </r>
    <r>
      <rPr>
        <i/>
        <sz val="12"/>
        <color theme="1"/>
        <rFont val="Helvetica"/>
        <family val="2"/>
      </rPr>
      <t>(VMware Aria Operations Analytics Cluster Primary Node)</t>
    </r>
  </si>
  <si>
    <r>
      <t xml:space="preserve">Restart for VM group </t>
    </r>
    <r>
      <rPr>
        <i/>
        <sz val="12"/>
        <color theme="1"/>
        <rFont val="Helvetica"/>
        <family val="2"/>
      </rPr>
      <t>(VMware Aria Automation)</t>
    </r>
  </si>
  <si>
    <r>
      <t xml:space="preserve">VM dependency restart condition </t>
    </r>
    <r>
      <rPr>
        <i/>
        <sz val="12"/>
        <color theme="1"/>
        <rFont val="Helvetica"/>
        <family val="2"/>
      </rPr>
      <t>(VMware Aria Automation)</t>
    </r>
  </si>
  <si>
    <r>
      <t xml:space="preserve">Name </t>
    </r>
    <r>
      <rPr>
        <i/>
        <sz val="12"/>
        <color theme="1"/>
        <rFont val="Helvetica"/>
        <family val="2"/>
      </rPr>
      <t>(VMware Aria Automation)</t>
    </r>
  </si>
  <si>
    <r>
      <t xml:space="preserve">Restart for VM group </t>
    </r>
    <r>
      <rPr>
        <i/>
        <sz val="12"/>
        <color theme="1"/>
        <rFont val="Helvetica"/>
        <family val="2"/>
      </rPr>
      <t>(VMware Aria Operations Analytics Cluster)</t>
    </r>
  </si>
  <si>
    <r>
      <t xml:space="preserve">VM dependency restart condition </t>
    </r>
    <r>
      <rPr>
        <i/>
        <sz val="12"/>
        <color theme="1"/>
        <rFont val="Helvetica"/>
        <family val="2"/>
      </rPr>
      <t>(VMware Aria Operations Analytics Cluster)</t>
    </r>
  </si>
  <si>
    <r>
      <t xml:space="preserve">Name </t>
    </r>
    <r>
      <rPr>
        <i/>
        <sz val="12"/>
        <color theme="1"/>
        <rFont val="Helvetica"/>
        <family val="2"/>
      </rPr>
      <t>(VMware Aria Operations Analytics Cluster)</t>
    </r>
  </si>
  <si>
    <r>
      <t xml:space="preserve">Members </t>
    </r>
    <r>
      <rPr>
        <i/>
        <sz val="12"/>
        <color theme="1"/>
        <rFont val="Helvetica"/>
        <family val="2"/>
      </rPr>
      <t>(VMware Aria Automation)</t>
    </r>
  </si>
  <si>
    <r>
      <t xml:space="preserve">Members </t>
    </r>
    <r>
      <rPr>
        <i/>
        <sz val="12"/>
        <color theme="1"/>
        <rFont val="Helvetica"/>
        <family val="2"/>
      </rPr>
      <t>(VMware Aria Operations Analytics Cluster)</t>
    </r>
  </si>
  <si>
    <r>
      <t xml:space="preserve">Virtual Machine </t>
    </r>
    <r>
      <rPr>
        <i/>
        <sz val="12"/>
        <color theme="1"/>
        <rFont val="Helvetica"/>
        <family val="2"/>
      </rPr>
      <t>(VMware Aria Automation)</t>
    </r>
  </si>
  <si>
    <r>
      <t xml:space="preserve">Virtual Machine </t>
    </r>
    <r>
      <rPr>
        <i/>
        <sz val="12"/>
        <color theme="1"/>
        <rFont val="Helvetica"/>
        <family val="2"/>
      </rPr>
      <t>(VMware Aria Operations Analytics Cluster)</t>
    </r>
  </si>
  <si>
    <r>
      <t xml:space="preserve">Folder Name </t>
    </r>
    <r>
      <rPr>
        <i/>
        <sz val="12"/>
        <color theme="1"/>
        <rFont val="Helvetica"/>
        <family val="2"/>
      </rPr>
      <t>(VMware Aria Automation)</t>
    </r>
  </si>
  <si>
    <t>VMware Aria Automation Orchestrator</t>
  </si>
  <si>
    <t>Define Custom Roles in vSphere for VMware Aria Automation and VMware Aria Automation Orchestrator for Private Cloud Automation for VMware Cloud Foundation</t>
  </si>
  <si>
    <t>Configure Service Account Permissions for the VMware Aria Automation and VMware Aria Automation Orchestrator Integrations to vSphere for Private Cloud Automation for VMware Cloud Foundation</t>
  </si>
  <si>
    <t>Restrict the VMware Aria Automation and VMware Aria Automation Orchestrator Service Accounts Access to the Management Domain for Private Cloud Automation for VMware Cloud Foundation</t>
  </si>
  <si>
    <t>Import the Trusted Certificates to VMware Aria Automation Orchestrator for Private Cloud Automation for VMware Cloud Foundation</t>
  </si>
  <si>
    <t>Add the VI Workload Domain vCenter Server to VMware Aria Automation Orchestrator for Private Cloud Automation for VMware Cloud Foundation</t>
  </si>
  <si>
    <r>
      <t xml:space="preserve">Role name </t>
    </r>
    <r>
      <rPr>
        <i/>
        <sz val="12"/>
        <color theme="1"/>
        <rFont val="Helvetica"/>
        <family val="2"/>
      </rPr>
      <t>(VMware Aria Automation Orchestrator to vSphere)</t>
    </r>
  </si>
  <si>
    <r>
      <t xml:space="preserve">Domain </t>
    </r>
    <r>
      <rPr>
        <i/>
        <sz val="12"/>
        <color theme="1"/>
        <rFont val="Helvetica"/>
        <family val="2"/>
      </rPr>
      <t>(VMware Aria Automation Orchestrator)</t>
    </r>
  </si>
  <si>
    <r>
      <t xml:space="preserve">User / Group </t>
    </r>
    <r>
      <rPr>
        <i/>
        <sz val="12"/>
        <color theme="1"/>
        <rFont val="Helvetica"/>
        <family val="2"/>
      </rPr>
      <t>(VMware Aria Automation Orchestrator)</t>
    </r>
  </si>
  <si>
    <r>
      <t xml:space="preserve">Role </t>
    </r>
    <r>
      <rPr>
        <i/>
        <sz val="12"/>
        <color theme="1"/>
        <rFont val="Helvetica"/>
        <family val="2"/>
      </rPr>
      <t>(VMware Aria Automation Orchestrator)</t>
    </r>
  </si>
  <si>
    <r>
      <t xml:space="preserve">User </t>
    </r>
    <r>
      <rPr>
        <i/>
        <sz val="12"/>
        <color theme="1"/>
        <rFont val="Helvetica"/>
        <family val="2"/>
      </rPr>
      <t>(VMware Aria Automation Orchestrator to vSphere)</t>
    </r>
  </si>
  <si>
    <t>Tag for this VMware Aria Instance</t>
  </si>
  <si>
    <t>Recovery VMware Aria Load Balancer Deployment Method</t>
  </si>
  <si>
    <t>VMware Aria License</t>
  </si>
  <si>
    <r>
      <t>Hostname</t>
    </r>
    <r>
      <rPr>
        <i/>
        <sz val="12"/>
        <color theme="1"/>
        <rFont val="Helvetica"/>
        <family val="2"/>
      </rPr>
      <t xml:space="preserve"> (VMware Aria Lifecycle Manager)</t>
    </r>
  </si>
  <si>
    <t>Prepare VMware Aria Product for Site Protection</t>
  </si>
  <si>
    <t>Prepare Load Balancing Services for the VMware Aria Components and the Clustered Workspace ONE Access Instance in the Recovery VMware Cloud Foundation Instance</t>
  </si>
  <si>
    <t>&lt;vmware_aria_operations_manager_data_node_fqdn&gt;</t>
  </si>
  <si>
    <t>&lt;vmware_aria_operations_manager_replica_node_fqdn&gt;</t>
  </si>
  <si>
    <t>&lt;vmware_aria_operations_manager_primary_node_fqdn&gt;</t>
  </si>
  <si>
    <t>VMware Aria Suite Lifecycle</t>
  </si>
  <si>
    <t>VMware Aria Suite Lifecycle </t>
  </si>
  <si>
    <t>VMware Aria Suite Lifecycle Appliance</t>
  </si>
  <si>
    <t>VMware Aria Suite Lifecycle Inputs</t>
  </si>
  <si>
    <t>VMware Aria Suite Lifecycle VM Folder</t>
  </si>
  <si>
    <t>VMware Aria Suite Lifecycle &amp; VCF Aware Workspace ONE Access</t>
  </si>
  <si>
    <t>This page contains all user required values used during the deployment of VMware Aria Suite Lifecycle &amp; VCF Aware Workspace ONE Access. Each table and value maps directly to a process in the deployment guidance documentation.</t>
  </si>
  <si>
    <t>Deploy VMware Aria Suite Lifecycle</t>
  </si>
  <si>
    <t>Replace the Certificate of the VMware Aria Suite Lifecycle Instance</t>
  </si>
  <si>
    <t>Configure Data Centers and vCenter Server in VMware Aria Suite Lifecycle</t>
  </si>
  <si>
    <t>Group (VMware Aria Suite Lifecycle: VCF Role)</t>
  </si>
  <si>
    <t>Group (VMware Aria Suite Lifecycle: Content Admin)</t>
  </si>
  <si>
    <t>Group (VMware Aria Suite Lifecycle: Content Developers)</t>
  </si>
  <si>
    <t>Assign Roles to Active Directory Groups for VMware Aria Suite Lifecycle</t>
  </si>
  <si>
    <t>Add the VMware Aria Automation License to VMware Aria Suite Lifecycle for Private Cloud Automation for VMware Cloud Foundation</t>
  </si>
  <si>
    <t>Import the VMware Aria Automation Certificate in VMware Aria Suite Lifecycle for Private Cloud Automation for VMware Cloud Foundation</t>
  </si>
  <si>
    <t>Add the VMware Aria Automation Password to VMware Aria Suite Lifecycle for Private Cloud Automation for VMware Cloud Foundation</t>
  </si>
  <si>
    <t>Deploy VMware Aria Automation by Using VMware Aria Suite Lifecycle for Private Cloud Automation for VMware Cloud Foundation</t>
  </si>
  <si>
    <t>Add VMware Aria Operations for Logs License to VMware Aria Suite Lifecycle for Intelligent Logging and Analytics for VMware Cloud Foundation</t>
  </si>
  <si>
    <t>Import the VMware Aria Operations for Logs Certificate to VMware Aria Suite Lifecycle for Intelligent Logging and Analytics for VMware Cloud Foundation</t>
  </si>
  <si>
    <t>Add the VMware Aria Operations for Logs Admin Password to VMware Aria Suite Lifecycle for Intelligent Logging and Analytics for VMware Cloud Foundation</t>
  </si>
  <si>
    <t>Deploy VMware Aria Operations for Logs by Using VMware Aria Suite Lifecycle for Intelligent Logging and Analytics for VMware Cloud Foundation</t>
  </si>
  <si>
    <t>Add the VMware Aria Operations License to VMware Aria Suite Lifecycle for Intelligent Operations Management for VMware Cloud Foundation</t>
  </si>
  <si>
    <t>Import the Certificate for VMware Aria Operations to VMware Aria Suite Lifecycle for Intelligent Operations Management for VMware Cloud Foundation</t>
  </si>
  <si>
    <t>Add the VMware Aria Operations Password to VMware Aria Suite Lifecycle for Intelligent Operations Management for VMware Cloud Foundation</t>
  </si>
  <si>
    <t>Deploy VMware Aria Operations by Using VMware Aria Suite Lifecycle for Intelligent Operations Management for VMware Cloud Foundation</t>
  </si>
  <si>
    <t>Create a vCenter Server Single Sign-On User for Integration with VMware Aria Suite Lifecycle</t>
  </si>
  <si>
    <t>Configure Service Account Permissions in vSphere for Integration with VMware Aria Suite Lifecycle</t>
  </si>
  <si>
    <t>VMware Aria Suite Lifecycle to vSphere Integration</t>
  </si>
  <si>
    <t>Add the vCenter Server Password for the Additional VMware Cloud Foundation Instance to VMware Aria Suite Lifecycle</t>
  </si>
  <si>
    <t>Add the Management Domain vCenter Server in the Additional VMware Cloud Foundation Instance to VMware Aria Suite Lifecycle</t>
  </si>
  <si>
    <t>Deploy VMware Aria Operations Cloud Proxy Appliances in an Additional VMware Cloud Foundation Instance by Using VMware Aria Suite Lifecycle</t>
  </si>
  <si>
    <t>Create a Virtual Machine Folder and Move the VMware Aria Suite Lifecycle Virtual Machine in the Protected VMware Cloud Foundation Instance</t>
  </si>
  <si>
    <t>Folder Name (VMware Aria Suite Lifecycle)</t>
  </si>
  <si>
    <t>Reconfigure DNS and Domain Search on the VMware Aria Suite Lifecycle Appliance</t>
  </si>
  <si>
    <t>Reconfigure NTP on the VMware Aria Suite Lifecycle Appliance</t>
  </si>
  <si>
    <t>Configure Replication, Create a Protection Group and a Recovery Plan for VMware Aria Suite Lifecycle and Clustered Workspace ONE Access</t>
  </si>
  <si>
    <t>Customize the Recovery Plan for VMware Aria Suite Lifecycle and the Clustered Workspace ONE Access</t>
  </si>
  <si>
    <t>Virtual Machine (VMware Aria Suite Lifecycle)</t>
  </si>
  <si>
    <t>&lt;aria_suite_lifecycle_fqdn&gt;</t>
  </si>
  <si>
    <t>&lt;aria_operations_fqdn&gt;</t>
  </si>
  <si>
    <t>&lt;aria_operations_logs_fqdn&gt;</t>
  </si>
  <si>
    <t>&lt;aria_automation_node_fqdn&gt; (1st Node)</t>
  </si>
  <si>
    <t>&lt;aria_automation_node_fqdn&gt; (2nd Node)</t>
  </si>
  <si>
    <t>&lt;aria_automation_node_fqdn&gt; (3rd Node)</t>
  </si>
  <si>
    <t>&lt;aria_automation_fqdn&gt;</t>
  </si>
  <si>
    <t>Leave blank if using individual licenses per VMware Aria component</t>
  </si>
  <si>
    <t>v1.5.1.001</t>
  </si>
  <si>
    <t>VMware Aria Operations - Local Instance Collector Group</t>
  </si>
  <si>
    <t>VMware Aria Operations for Logs - License</t>
  </si>
  <si>
    <t>VMware Aria Operations for Logs - Appliance Size</t>
  </si>
  <si>
    <t>VMware Aria Operations for Logs - VM Folder Name</t>
  </si>
  <si>
    <t>Role Name (VMware Aria Operations for Logs to vSphere)</t>
  </si>
  <si>
    <r>
      <t>vCenter Server Custom Role Name (</t>
    </r>
    <r>
      <rPr>
        <i/>
        <sz val="12"/>
        <color rgb="FF000000"/>
        <rFont val="Helvetica"/>
        <family val="2"/>
      </rPr>
      <t>NSX to vSphere</t>
    </r>
    <r>
      <rPr>
        <b/>
        <sz val="12"/>
        <color rgb="FF000000"/>
        <rFont val="Helvetica"/>
        <family val="2"/>
      </rPr>
      <t>)</t>
    </r>
  </si>
  <si>
    <t>SDDC Manager Created - vSAN Adapter</t>
  </si>
  <si>
    <t>SDDC Manager Created - vCenter Server Adapter</t>
  </si>
  <si>
    <t>SDDC Manager Created - vCenter Server Credential</t>
  </si>
  <si>
    <t>SDDC Manager Created - vSAN Credential</t>
  </si>
  <si>
    <t>VMware Aria Operations for Networks to vSphere Integration</t>
  </si>
  <si>
    <t>VMware Aria Operations to VMware Aria Automation</t>
  </si>
  <si>
    <t>VMware Aria Operations for Networks to vCenter Server</t>
  </si>
  <si>
    <t>20.10.5.10</t>
  </si>
  <si>
    <t xml:space="preserve">AWS Regions </t>
  </si>
  <si>
    <t>VMware Aria Operations</t>
  </si>
  <si>
    <t>VIP address of the external load balancer for the VMware Aria Operations analytics cluster</t>
  </si>
  <si>
    <t>Primary node of VMware Aria Operations</t>
  </si>
  <si>
    <t>Primary replica node of VMware Aria Operations</t>
  </si>
  <si>
    <t>Data node 1 of VMware Aria Operations</t>
  </si>
  <si>
    <t>VMware Aria Operations Cluster Node Appliance Size</t>
  </si>
  <si>
    <t>Protection Group Name (VMware Aria Operations)</t>
  </si>
  <si>
    <t>Recovery Plan Name (VMware Aria Operations)</t>
  </si>
  <si>
    <t>VMware Aria Operations Cluster </t>
  </si>
  <si>
    <t>VMware Aria Operations Remote Collectors</t>
  </si>
  <si>
    <t>Configure Privileges for the VMware Aria Automation Service Account in VMware Aria Operations for Private Cloud Automation for VMware Cloud Foundation</t>
  </si>
  <si>
    <t>Integrate VMware Aria Automation with VMware Aria Operations for Private Cloud Automation for VMware Cloud Foundation</t>
  </si>
  <si>
    <t>Assign Organization and Service Roles to the VMware Aria Operations Service Account in VMware Aria Automation for Private Cloud Automation for VMware Cloud Foundation</t>
  </si>
  <si>
    <t>Update the VMware Aria Automation Integration in VMware Aria Operations for Private Cloud Automation for VMware Cloud Foundation</t>
  </si>
  <si>
    <t>Configure vSphere DRS Anti-Affinity Rules for the VMware Aria Operations Virtual Machines</t>
  </si>
  <si>
    <t>Group the VMware Aria Operations Cloud Proxy Appliances</t>
  </si>
  <si>
    <t>Add a Ping Adapter for the VMware Aria Operations Cloud Proxy Appliances in Additional VMware Cloud Foundation Instance</t>
  </si>
  <si>
    <t>Create a VMware Aria Operations for Logs Photon OS Agent Group for the VMware Aria Operations Nodes</t>
  </si>
  <si>
    <t>Hostname (VMware Aria Operations Node 1)</t>
  </si>
  <si>
    <t>Hostname (VMware Aria Operations Node 2)</t>
  </si>
  <si>
    <t>Hostname (VMware Aria Operations Node 3)</t>
  </si>
  <si>
    <t>This page contains the definitions for recommended alerts to be configured in VMware Aria Operations</t>
  </si>
  <si>
    <t>Notifications for VMware Aria Operations Issues</t>
  </si>
  <si>
    <t>Folder Name (VMware Aria Operations)</t>
  </si>
  <si>
    <t>Create a Service Monitor for VMware Aria Operations in the Recovery VMware Cloud Foundation Instance</t>
  </si>
  <si>
    <t>Create a Server Pool for VMware Aria Operations in the Recovery VMware Cloud Foundation Instance</t>
  </si>
  <si>
    <t>Create Application Profiles for VMware Aria Operations in the Recovery VMware Cloud Foundation Instance</t>
  </si>
  <si>
    <t>Create Virtual Servers for VMware Aria Operations in the Recovery VMware Cloud Foundation Instance</t>
  </si>
  <si>
    <t>Reconfigure DNS and Domain Search on the VMware Aria Operations Analytics Cluster Nodes</t>
  </si>
  <si>
    <t>Reconfigure NTP on the VMware Aria Operations Analytics Cluster Nodes</t>
  </si>
  <si>
    <t>Configure Replication, Create a Protection Group and a Recovery Plan for VMware Aria Operations Analytics Cluster</t>
  </si>
  <si>
    <t>Customize the Recovery Plan for VMware Aria Operations</t>
  </si>
  <si>
    <t>Create vSphere Single Sign-On Users for Integration of VMware Aria Operations with Site Protection and Disaster Recovery Components</t>
  </si>
  <si>
    <t>Configure Service Account Permissions in vSphere for the Integration of VMware Aria Operations with Site Protection and Disaster Recovery Components</t>
  </si>
  <si>
    <t>Install the VMware Aria Operations Management Packs for vSphere Replication and Site Recovery Manager</t>
  </si>
  <si>
    <t>Add Site Recovery Manager Adapter Instances to VMware Aria Operations</t>
  </si>
  <si>
    <t>Add vSphere Replication Adapter Instances to VMware Aria Operations</t>
  </si>
  <si>
    <t>Create Notifications in VMware Aria Operations for Site Protection and Disaster Recovery Issues</t>
  </si>
  <si>
    <t>Asia Pacific (Osaka)</t>
  </si>
  <si>
    <t>Asia Pacific (Mumbai)</t>
  </si>
  <si>
    <t>Asia Pacific (Hyderabad)</t>
  </si>
  <si>
    <t>Asia Pacific (Singapore)</t>
  </si>
  <si>
    <t>Asia Pacific (Sydney)</t>
  </si>
  <si>
    <t>Asia Pacific (Jakarta)</t>
  </si>
  <si>
    <t>Asia Pacific (Melbourne)</t>
  </si>
  <si>
    <t>Canada (Central)</t>
  </si>
  <si>
    <t>China (Beijing)</t>
  </si>
  <si>
    <t>China (Ningxia)</t>
  </si>
  <si>
    <t>Europe (Frankfurt)</t>
  </si>
  <si>
    <t>Europe (Zurich)</t>
  </si>
  <si>
    <t>Europe (Stockholm)</t>
  </si>
  <si>
    <t>Europe (Milan)</t>
  </si>
  <si>
    <t>Europe (Spain)</t>
  </si>
  <si>
    <t>Europe (Ireland)</t>
  </si>
  <si>
    <t>Europe (London)</t>
  </si>
  <si>
    <t>Europe (Paris)</t>
  </si>
  <si>
    <t>Israel (Tel Aviv)</t>
  </si>
  <si>
    <t>Middle East (UAE)</t>
  </si>
  <si>
    <t>Middle East (Bahrain)</t>
  </si>
  <si>
    <t>South America (Sao Paulo)</t>
  </si>
  <si>
    <t>US East (N. Virginia)</t>
  </si>
  <si>
    <t>US East (Ohio)</t>
  </si>
  <si>
    <t>AWS GovCloud (US-East)</t>
  </si>
  <si>
    <t>AWS GovCloud (US-West)</t>
  </si>
  <si>
    <t xml:space="preserve">US West (N. California) </t>
  </si>
  <si>
    <t>LDAPS</t>
  </si>
  <si>
    <t>Active Directory Over (LDAP / LDAPS)</t>
  </si>
  <si>
    <t>Intergration with Intelligent Operations Management for VMware Cloud Foundation</t>
  </si>
  <si>
    <t>Intergration with Intelligent Logging and Analytics for VMware Cloud Foundation</t>
  </si>
  <si>
    <t>Load Balancer IP</t>
  </si>
  <si>
    <t>Load Balancer FQDN</t>
  </si>
  <si>
    <t>Configure the VMware Aria Operations for Logs Agent Group for the Clustered Workspace ONE Access for Intelligent Logging and Analytics for VMware Cloud Foundation</t>
  </si>
  <si>
    <t>Reconfigure the Collector Group for the VMware Aria Operations for Logs Integration for Intelligent Logging and Analytics for VMware Cloud Foundation</t>
  </si>
  <si>
    <t>Add a Ping Adapter for the VMware Aria Operations for Logs Cluster for Intelligent Logging and Analytics for VMware Cloud Foundation</t>
  </si>
  <si>
    <t>ESXI Management VLAN ID</t>
  </si>
  <si>
    <t>Verify that routing is in place between ESXI Management IP  subnets of  Availability Zone 1 (AZ1) and Availability Zone 2 (AZ2).
Verify that the following networks from AZ1 are are stretched across the two availability zones.
- Management network
- Uplink01(If NSX-T Data Center Routing for Managment Domain is enabled for Management Domain, or Dynamic Routing is enabled for Workload Domain)
- Uplink02 (If NSX-T Data Center Routing for Managment Domain is enabled for Management Domain, or Dynamic Routing is enabled for Workload Domain)
- Edge Overlay (If NSX-T Data Center Routing for Managment Domain is enabled for Management Domain, or Dynamic Routing is enabled for Workload Domain)</t>
  </si>
  <si>
    <t>Storage VSAN-OSA  (Cache)</t>
  </si>
  <si>
    <t>Storage vSAN-OSA (Capacity)</t>
  </si>
  <si>
    <t xml:space="preserve">Storage vSAN-ESA </t>
  </si>
  <si>
    <t>Storage vSAN-OSA (Cache)</t>
  </si>
  <si>
    <t>Storage vSAN-OSA(Capacity)</t>
  </si>
  <si>
    <t>VLAN: VM Management Network</t>
  </si>
  <si>
    <t>Static</t>
  </si>
  <si>
    <t>Auto-Policy management</t>
  </si>
  <si>
    <t>Switch Configuration</t>
  </si>
  <si>
    <t>Primary vSphere Distributed Switch Name</t>
  </si>
  <si>
    <t>Tertiary vSphere Distributed Switch: Name</t>
  </si>
  <si>
    <t>Tertiary  vSphere Distributed Switch: pNICS</t>
  </si>
  <si>
    <t>vmnic4,vmnic5</t>
  </si>
  <si>
    <t xml:space="preserve">Primary vSphere Distributed Switch: MTU </t>
  </si>
  <si>
    <t>Tertiary vSphere Distributed Switch: MTU</t>
  </si>
  <si>
    <t>Secondary vSphere Distributed Switch: LBT</t>
  </si>
  <si>
    <t>Overlay</t>
  </si>
  <si>
    <t>Secondary vSphere Distributed Switch: Traffic Type</t>
  </si>
  <si>
    <t>Primary vSphere Distributed Switch: Traffic Type</t>
  </si>
  <si>
    <t>SSO Domain</t>
  </si>
  <si>
    <t>Join Managment SSO Domain</t>
  </si>
  <si>
    <t>Image</t>
  </si>
  <si>
    <t>sfo-w01-cl01</t>
  </si>
  <si>
    <t>vLCM Images</t>
  </si>
  <si>
    <t>VI WLD Image Name</t>
  </si>
  <si>
    <t>Audit Password</t>
  </si>
  <si>
    <t xml:space="preserve">Preconfigured Profile </t>
  </si>
  <si>
    <t>Primary vSphere Distributed Switch: LBT</t>
  </si>
  <si>
    <t>Primary vSphere Distributed Switch</t>
  </si>
  <si>
    <t>Secondary vSphere Distributed Switch</t>
  </si>
  <si>
    <t xml:space="preserve">Switch Configuration </t>
  </si>
  <si>
    <t>Physical Network Adapters Used</t>
  </si>
  <si>
    <t>Supported Traffic Type</t>
  </si>
  <si>
    <t>Primary vSphere Distributed Switch: Uplinks Used</t>
  </si>
  <si>
    <t>Secondary vSphere Distributed Switch: Uplinks Used</t>
  </si>
  <si>
    <t>Tertiary vSphere Distributed Switch</t>
  </si>
  <si>
    <t>Tertiary vSphere Distributed Switch: Uplinks Used</t>
  </si>
  <si>
    <t>Tertiary vSphere Distributed Switch: LBT</t>
  </si>
  <si>
    <t>Tertiary vSphere Distributed Switch: Traffic Type</t>
  </si>
  <si>
    <t xml:space="preserve">Storage FTT </t>
  </si>
  <si>
    <t>1</t>
  </si>
  <si>
    <t>3</t>
  </si>
  <si>
    <t>VI Workload Domain: Supports a maximum of 64 x pNICs per host</t>
  </si>
  <si>
    <r>
      <t xml:space="preserve">Rainpole example suggests
- 12.5TB of Raw Capacity for the Capacity Tier (All-Flash) per host.
 - 4 x 3.2TB NVME SSD Drives per node(based on full VMware Validated Design Deployment with default values).
Ensure no existing partitions exist on disks intended for use
</t>
    </r>
    <r>
      <rPr>
        <b/>
        <sz val="12"/>
        <color theme="1"/>
        <rFont val="Helvetica"/>
        <family val="2"/>
      </rPr>
      <t>Use Domain Sizing Inputs / Management Domain Sizing for sizing based on your chosen options.</t>
    </r>
  </si>
  <si>
    <t xml:space="preserve">
Are laid out based on typical personas and are intended for population by team members responsible for the corresponding functions within your organization. The required inputs will be selected / unselected based on the options you choose in the menu to the left. These are the only tabs where inputs are required and any given input will be requested only once.</t>
  </si>
  <si>
    <t>Network IP Address Allocation</t>
  </si>
  <si>
    <t>Configure Log Forwarding Between VMware Cloud Foundation Instances</t>
  </si>
  <si>
    <t>Configure Log Forwarding Filters to Prevent Duplicating Log Data in VMware Aria Operations for Logs</t>
  </si>
  <si>
    <t>log-archives</t>
  </si>
  <si>
    <t>Activate the Ping Management Pack in VMware Aria Operations for Intelligent Operations Management for VMware Cloud Foundation</t>
  </si>
  <si>
    <r>
      <t>Group</t>
    </r>
    <r>
      <rPr>
        <i/>
        <sz val="12"/>
        <rFont val="Helvetica"/>
        <family val="2"/>
      </rPr>
      <t xml:space="preserve"> (Assembler Administrator)</t>
    </r>
  </si>
  <si>
    <r>
      <t xml:space="preserve">Group </t>
    </r>
    <r>
      <rPr>
        <i/>
        <sz val="12"/>
        <rFont val="Helvetica"/>
        <family val="2"/>
      </rPr>
      <t>(Assembler User)</t>
    </r>
  </si>
  <si>
    <r>
      <t xml:space="preserve">Group </t>
    </r>
    <r>
      <rPr>
        <i/>
        <sz val="12"/>
        <rFont val="Helvetica"/>
        <family val="2"/>
      </rPr>
      <t>(Assembler Viewers)</t>
    </r>
  </si>
  <si>
    <t>enabled:true</t>
  </si>
  <si>
    <r>
      <t>Name</t>
    </r>
    <r>
      <rPr>
        <i/>
        <sz val="12"/>
        <color theme="1"/>
        <rFont val="Helvetica"/>
        <family val="2"/>
      </rPr>
      <t xml:space="preserve"> (VMware Aria Operations to VMware Aria Automation)</t>
    </r>
  </si>
  <si>
    <t>vCenter Hostname</t>
  </si>
  <si>
    <t>Create a vSphere Content Library for Operational Management for Private Cloud Automation for VMware Cloud Foundation</t>
  </si>
  <si>
    <t>&lt;management_domain_vcenter_fqdn&gt;</t>
  </si>
  <si>
    <t>Operations</t>
  </si>
  <si>
    <t>Obtain and Upload VMware Aria Suite Lifecycle Upgrade ISO to vSphere Content Library for Private Cloud Automation for VMware Cloud Foundation</t>
  </si>
  <si>
    <t>Upgrade VMware Aria Suite Lifecycle for Private Cloud Automation for VMware Cloud Foundation</t>
  </si>
  <si>
    <t>Delete Snapshots of VMware Aria Suite Lifecycle for Private Cloud Automation for VMware Cloud Foundation</t>
  </si>
  <si>
    <t>Cloud-Based Ransomware Recovery for VMware Cloud Foundation</t>
  </si>
  <si>
    <t>Cloud-Based Ransomware Recovery</t>
  </si>
  <si>
    <t>Cloud-Based Ransomware Recovery Validated Solution</t>
  </si>
  <si>
    <t>This page contains all user required values used during the deployment of the Cloud-Based Ransomware Recovery Validated Solution. Each table and value maps directly to a process in the deployment guidance documentation.</t>
  </si>
  <si>
    <r>
      <t xml:space="preserve">VM Folder </t>
    </r>
    <r>
      <rPr>
        <i/>
        <sz val="12"/>
        <color theme="1"/>
        <rFont val="Helvetica"/>
        <family val="2"/>
      </rPr>
      <t>(DRaaS Connectors)</t>
    </r>
  </si>
  <si>
    <t>Cloud-Based Ransomware Recovery References</t>
  </si>
  <si>
    <r>
      <t xml:space="preserve">VM Folder </t>
    </r>
    <r>
      <rPr>
        <sz val="12"/>
        <color theme="1"/>
        <rFont val="Helvetica"/>
        <family val="2"/>
      </rPr>
      <t>(DRaaS Connectors)</t>
    </r>
  </si>
  <si>
    <t>Deploy the Recovery SDDC for Cloud-Based Ransomware Recovery for VMware Cloud Foundation</t>
  </si>
  <si>
    <t>Configure vCenter Server Access to the Recovery SDDC for Cloud-Based Ransomware Recovery for VMware Cloud Foundation</t>
  </si>
  <si>
    <t>Activate a VMware Cloud Disaster Recovery Region for Cloud-Based Ransomware Recovery for VMware Cloud Foundation</t>
  </si>
  <si>
    <t>Deploy a Cloud File System for Cloud-Based Ransomware Recovery for VMware Cloud Foundation</t>
  </si>
  <si>
    <t>Create a Protected Site for Cloud-Based Ransomware Recovery for VMware Cloud Foundation</t>
  </si>
  <si>
    <t>Cloud-Based Ramsomware Recovery</t>
  </si>
  <si>
    <t>Create and Configure a Custom Role in vSphere for Cloud-Based Ransomware Recovery for VMware Cloud Foundation</t>
  </si>
  <si>
    <t>Add the Connector Appliances to the First Availability Zone VM Group for Cloud-Based Ransomware Recovery for VMware Cloud Foundation</t>
  </si>
  <si>
    <t>Register a VI Workload Domain vCenter Server for Cloud-Based Ransomware Recovery for VMware Cloud Foundation</t>
  </si>
  <si>
    <t>Service Account Name</t>
  </si>
  <si>
    <t>Service Account Password</t>
  </si>
  <si>
    <t>Add a Recovery SDDC for Cloud-Based Ransomware Recovery for VMware Cloud Foundation</t>
  </si>
  <si>
    <t>Configure Email Alerts for Cloud-Based Ransomware Recovery for VMware Cloud Foundation</t>
  </si>
  <si>
    <t>Configure a Ping Adapter for the Connector Appliances in the on-premises VMware Aria Operations for Cloud-Based Ransomware Recovery for VMware Cloud Foundation</t>
  </si>
  <si>
    <t>Added Support for VMware Cloud Foundation 5.1
- Added support for vSAN ESA as principal storage  
- Added support for LCM Images in the Management Domain
- Added Support for Separation of Management Distributed Virtual Portgroup
- Added Support for VI Workload Domain Preconfigured Virtual Distributed Switches profiles. 
- Updated with the VMware Aria naming convention
Added support for Cloud-Based Ransomware Recovery for VMware Cloud Foundation Validated Solution</t>
  </si>
  <si>
    <t>Windows Server 2019 and Windows Server 2022 are supported.</t>
  </si>
  <si>
    <t xml:space="preserve">Cloud-Based Ransomware Recovery </t>
  </si>
  <si>
    <t>Cloud-Based Ransomware</t>
  </si>
  <si>
    <t>v1.5.1.002</t>
  </si>
  <si>
    <t>VMware Aria Operations for Logs - License Alias</t>
  </si>
  <si>
    <t>Primary AZ VM Group Name</t>
  </si>
  <si>
    <t>Agent Group Name - Workspace ONE Acess</t>
  </si>
  <si>
    <t>Agent Group Name - Photon</t>
  </si>
  <si>
    <t>NSX Manager - VIP FQDN</t>
  </si>
  <si>
    <t>NSX Manager - Overlay Transport Zone</t>
  </si>
  <si>
    <t>NSX Manager - Connected Gateway (Tier 1)</t>
  </si>
  <si>
    <t>NSX Manager - Connected Gateway (Tier 0)</t>
  </si>
  <si>
    <t>Load Balancer - GE</t>
  </si>
  <si>
    <t>Load Balancer - LE</t>
  </si>
  <si>
    <t>vCenter Server - FQDN</t>
  </si>
  <si>
    <t>Content Library - vRSLCM Upgrades and Deployments</t>
  </si>
  <si>
    <t>Customer Connect Username</t>
  </si>
  <si>
    <t>Customer Connect Password</t>
  </si>
  <si>
    <t>vCenter Server - vSAN Storage</t>
  </si>
  <si>
    <t>vCenter Server - Cluster</t>
  </si>
  <si>
    <t>vCenter Server - vSphere Distributed Switch</t>
  </si>
  <si>
    <t>Kubernetes - Size Hint</t>
  </si>
  <si>
    <t>Kubernetes - Network Mode</t>
  </si>
  <si>
    <t>Kubernetes - Network Address Range</t>
  </si>
  <si>
    <t>vCenter Server - Datacenter</t>
  </si>
  <si>
    <t>Kubernetes - Server Address</t>
  </si>
  <si>
    <t>VMware Aria Operations - License</t>
  </si>
  <si>
    <t>VMware Aria Operations - License Alias</t>
  </si>
  <si>
    <t>1 weeks</t>
  </si>
  <si>
    <t>anti-affinity-rule-operations</t>
  </si>
  <si>
    <t>VMware Aria Operations - Anti Affinity Rule Name (Cluster)</t>
  </si>
  <si>
    <t>VMware Aria Operations - Anti Affinity Rule Name (Proxies)</t>
  </si>
  <si>
    <t>vm-vm-rule-operations-proxies</t>
  </si>
  <si>
    <t>VMware Aria Operations - VM to VM Rule (Cluster to Proxies)</t>
  </si>
  <si>
    <t>VMware Aria Operations - VM to VM Rule (WSA to Cluster)</t>
  </si>
  <si>
    <t>vm-vm-rule-wsa-operations</t>
  </si>
  <si>
    <t>anti-affinity-rule-operations-proxies</t>
  </si>
  <si>
    <t>Activate Authentication for VMware Aria Operations for Logs by Using Active Directory over LDAP for Intelligent Logging and Analytics for VMware Cloud Foundation</t>
  </si>
  <si>
    <t>Default Domain</t>
  </si>
  <si>
    <t>Domain Controller(s)</t>
  </si>
  <si>
    <t>svc-logs-ad</t>
  </si>
  <si>
    <t>VMware Aria Operations for Logs to Active Directory</t>
  </si>
  <si>
    <t>Active Directory Server Account - Username</t>
  </si>
  <si>
    <t>Active Directory Server Account - Password</t>
  </si>
  <si>
    <t xml:space="preserve">vSphere Active Directory Bind Account - Username </t>
  </si>
  <si>
    <t>vSphere Active Directory Bind Account - Password</t>
  </si>
  <si>
    <t>Activate Data Persistence on the VMware Cloud Proxy Appliances for Intelligent Operations Management for VMware Cloud Foundation</t>
  </si>
  <si>
    <t>Move the VMware Aria Operations Appliances to the Dedicated Folders for Intelligent Operations Management for VMware Cloud Foundation</t>
  </si>
  <si>
    <t>Configure vSphere DRS Anti-Affinity Rules for the VMware Aria Operations Appliances for Intelligent Operations Management for VMware Cloud Foundation</t>
  </si>
  <si>
    <t>Create a VM Group and Define the Startup Order of the VMware Aria Operations Analytics Cluster Appliances for Intelligent Operations Management for VMware Cloud Foundation</t>
  </si>
  <si>
    <t>Add the VMware Aria Operations Appliances to the First Availability Zone VM Group for Intelligent Operations Management for VMware Cloud Foundation</t>
  </si>
  <si>
    <t>Group the VMware Cloud Proxy Appliances for Intelligent Operations Management for VMware Cloud Foundation</t>
  </si>
  <si>
    <t>Cloud Proxy VM Group Name</t>
  </si>
  <si>
    <t>Active Directory Bind (NSX)</t>
  </si>
  <si>
    <t>svc-nsx-ad</t>
  </si>
  <si>
    <t>Configure an LDAP Identity Source in NSX Manager for Identity and Access Management for VMware Cloud Foundation</t>
  </si>
  <si>
    <t>Domain Name (FQDN)</t>
  </si>
  <si>
    <t>Hostname/IP</t>
  </si>
  <si>
    <t>Bind Identity</t>
  </si>
  <si>
    <t>NSX - Base DN</t>
  </si>
  <si>
    <t xml:space="preserve">NSX - Active Directory Bind Account - Username </t>
  </si>
  <si>
    <t>NSX - Active Directory Bind Account - Password</t>
  </si>
  <si>
    <t>100.200.0.0/22</t>
  </si>
  <si>
    <t>End IP of the vSan Network Pool Range</t>
  </si>
  <si>
    <t>Create a vSphere Content Library for Intelligent Operations Management for VMware Cloud Foundation</t>
  </si>
  <si>
    <t>Obtain and Upload VMware Aria Suite Lifecycle Upgrade ISO to vSphere Content Library for Intelligent Operations Management for VMware Cloud Foundation</t>
  </si>
  <si>
    <t>Upgrade VMware Aria Suite Lifecycle for Intelligent Operations Management for VMware Cloud Foundation</t>
  </si>
  <si>
    <t>Delete Snapshots of VMware Aria Suite Lifecycle for Intelligent Operations Management for VMware Cloud Foundation</t>
  </si>
  <si>
    <t>Create Load Balancer</t>
  </si>
  <si>
    <t>Deploy VMware Aria Operations</t>
  </si>
  <si>
    <t>aria-operations-no-reply</t>
  </si>
  <si>
    <t>anti-affinity-rule-automation</t>
  </si>
  <si>
    <t>vm-vm-rule-wsa-automation</t>
  </si>
  <si>
    <t>Deploy VMware Aria Automation</t>
  </si>
  <si>
    <t>Not needed if environment was created during VMware Aria Operations deployment</t>
  </si>
  <si>
    <t>Not needed if environment was created during VMware Aria Automation deployment</t>
  </si>
  <si>
    <t>Create a vSphere Content Library for Operational Management for Intelligent Logging and Analytics for VMware Cloud Foundation</t>
  </si>
  <si>
    <t>Obtain and Upload VMware Aria Suite Lifecycle Upgrade ISO to vSphere Content Library for Intelligent Logging and Analytics for VMware Cloud Foundation</t>
  </si>
  <si>
    <t>Upgrade VMware Aria Suite Lifecycle for Intelligent Logging and Analytics for VMware Cloud Foundation</t>
  </si>
  <si>
    <t>Delete Snapshots of VMware Aria Suite Lifecycle for Intelligent Logging and Analytics for VMware Cloud Foundation</t>
  </si>
  <si>
    <t>GitHub Access Token</t>
  </si>
  <si>
    <t>Used to install content packs</t>
  </si>
  <si>
    <t>&lt;your_github_token&gt;</t>
  </si>
  <si>
    <t>Intelligent Network Visibility References</t>
  </si>
  <si>
    <r>
      <t xml:space="preserve">vSphere Custom Role Name </t>
    </r>
    <r>
      <rPr>
        <i/>
        <sz val="12"/>
        <color theme="1"/>
        <rFont val="Helvetica"/>
        <family val="2"/>
      </rPr>
      <t>(VMware Aria Operations for Networks)</t>
    </r>
  </si>
  <si>
    <t>Intelligent Network Visibility Validated Solution</t>
  </si>
  <si>
    <t>This page contains all user required values used during the deployment of the Intelligent Network Visibility Validated Solution. Each table and value maps directly to a process in the deployment guidance documentation.</t>
  </si>
  <si>
    <t>Intelligent Network Visibility for VMware Cloud Foundation</t>
  </si>
  <si>
    <t>Intelligent Network Visibility</t>
  </si>
  <si>
    <r>
      <t>CIDR</t>
    </r>
    <r>
      <rPr>
        <i/>
        <sz val="12"/>
        <color theme="1"/>
        <rFont val="Helvetica"/>
        <family val="2"/>
      </rPr>
      <t xml:space="preserve"> (Management Prefix)</t>
    </r>
  </si>
  <si>
    <r>
      <t xml:space="preserve">CIDR </t>
    </r>
    <r>
      <rPr>
        <i/>
        <sz val="12"/>
        <color theme="1"/>
        <rFont val="Helvetica"/>
        <family val="2"/>
      </rPr>
      <t>(Ingress Prefix - Load Balancer)</t>
    </r>
  </si>
  <si>
    <r>
      <t>ge</t>
    </r>
    <r>
      <rPr>
        <i/>
        <sz val="12"/>
        <color theme="1"/>
        <rFont val="Helvetica"/>
        <family val="2"/>
      </rPr>
      <t xml:space="preserve"> (Ingress Prefix - Load Balancer)</t>
    </r>
  </si>
  <si>
    <r>
      <t>le</t>
    </r>
    <r>
      <rPr>
        <i/>
        <sz val="12"/>
        <color theme="1"/>
        <rFont val="Helvetica"/>
        <family val="2"/>
      </rPr>
      <t xml:space="preserve"> (Ingress Prefix - Load Balancer)</t>
    </r>
  </si>
  <si>
    <r>
      <t xml:space="preserve">CIDR </t>
    </r>
    <r>
      <rPr>
        <i/>
        <sz val="12"/>
        <color theme="1"/>
        <rFont val="Helvetica"/>
        <family val="2"/>
      </rPr>
      <t>(Egress Prefix - NAT)</t>
    </r>
  </si>
  <si>
    <r>
      <t>ge</t>
    </r>
    <r>
      <rPr>
        <i/>
        <sz val="12"/>
        <color theme="1"/>
        <rFont val="Helvetica"/>
        <family val="2"/>
      </rPr>
      <t xml:space="preserve"> (Egress Prefix - NAT)</t>
    </r>
  </si>
  <si>
    <r>
      <t>le</t>
    </r>
    <r>
      <rPr>
        <i/>
        <sz val="12"/>
        <color theme="1"/>
        <rFont val="Helvetica"/>
        <family val="2"/>
      </rPr>
      <t xml:space="preserve"> (Egress Prefix - NAT)</t>
    </r>
  </si>
  <si>
    <r>
      <t xml:space="preserve">Ingress Pool </t>
    </r>
    <r>
      <rPr>
        <i/>
        <sz val="12"/>
        <color theme="1"/>
        <rFont val="Helvetica"/>
        <family val="2"/>
      </rPr>
      <t>(Load Balancer)</t>
    </r>
  </si>
  <si>
    <r>
      <t xml:space="preserve">Egress Pool </t>
    </r>
    <r>
      <rPr>
        <i/>
        <sz val="12"/>
        <color theme="1"/>
        <rFont val="Helvetica"/>
        <family val="2"/>
      </rPr>
      <t>(NAT)</t>
    </r>
  </si>
  <si>
    <t>Create a vSphere Content Library for Operational Management for Intelligent Network Visibility for VMware Cloud Foundation</t>
  </si>
  <si>
    <t>Obtain and Upload VMware Aria Suite Lifecycle Upgrade ISO to vSphere Content Library for Intelligent Network Visibility forVMware Cloud Foundation</t>
  </si>
  <si>
    <t>Upgrade VMware Aria Suite Lifecycle for Intelligent Network Visibility forVMware Cloud Foundation</t>
  </si>
  <si>
    <t>Delete Snapshots of VMware Aria Suite Lifecycle for Intelligent Network Visibilityfor VMware Cloud Foundation</t>
  </si>
  <si>
    <t>Define a Custom Role in vSphere for Intelligent Network Visibility for VMware Cloud Foundation</t>
  </si>
  <si>
    <r>
      <t xml:space="preserve">Role name </t>
    </r>
    <r>
      <rPr>
        <i/>
        <sz val="12"/>
        <color theme="1"/>
        <rFont val="Helvetica"/>
        <family val="2"/>
      </rPr>
      <t>(VMware Aria Operations for Networks to vSphere)</t>
    </r>
  </si>
  <si>
    <t>Intelligent Network Visibility  Inputs</t>
  </si>
  <si>
    <t>Configure Service Account Permissions for vSphere Integration for Intelligent Network Visibility for VMware Cloud Foundation</t>
  </si>
  <si>
    <t>Prepare NSX for VMware Aria Operations for Networks Integration for Intelligent Network Visibility for VMware Cloud Foundation</t>
  </si>
  <si>
    <t>Add the VMware Aria Operations for Networks License to VMware Aria Suite Lifecycle for Intelligent Network Visibility for VMware Cloud Foundation</t>
  </si>
  <si>
    <t>VMware Aria Operations for Networks - License Alias</t>
  </si>
  <si>
    <t>VMware Aria Operations for Networks - License</t>
  </si>
  <si>
    <t>VMware Aria Operations for Networks</t>
  </si>
  <si>
    <t>Import the Certificate for VMware Aria Operations for Networks to VMware Aria Suite Lifecycle for Intelligent Network Visibility for VMware Cloud Foundation</t>
  </si>
  <si>
    <r>
      <t xml:space="preserve">Password Alis </t>
    </r>
    <r>
      <rPr>
        <i/>
        <sz val="12"/>
        <color theme="1"/>
        <rFont val="Helvetica"/>
        <family val="2"/>
      </rPr>
      <t>(support)</t>
    </r>
  </si>
  <si>
    <r>
      <t xml:space="preserve">Password </t>
    </r>
    <r>
      <rPr>
        <i/>
        <sz val="12"/>
        <color theme="1"/>
        <rFont val="Helvetica"/>
        <family val="2"/>
      </rPr>
      <t>(support)</t>
    </r>
  </si>
  <si>
    <r>
      <t>Password Alis</t>
    </r>
    <r>
      <rPr>
        <i/>
        <sz val="12"/>
        <color theme="1"/>
        <rFont val="Helvetica"/>
        <family val="2"/>
      </rPr>
      <t xml:space="preserve"> (consoleuser)</t>
    </r>
  </si>
  <si>
    <r>
      <t xml:space="preserve">Password </t>
    </r>
    <r>
      <rPr>
        <i/>
        <sz val="12"/>
        <color theme="1"/>
        <rFont val="Helvetica"/>
        <family val="2"/>
      </rPr>
      <t>(consoleuser)</t>
    </r>
  </si>
  <si>
    <r>
      <t xml:space="preserve">Password Alis </t>
    </r>
    <r>
      <rPr>
        <i/>
        <sz val="12"/>
        <color theme="1"/>
        <rFont val="Helvetica"/>
        <family val="2"/>
      </rPr>
      <t>(admin)</t>
    </r>
  </si>
  <si>
    <r>
      <t>Password</t>
    </r>
    <r>
      <rPr>
        <i/>
        <sz val="12"/>
        <color theme="1"/>
        <rFont val="Helvetica"/>
        <family val="2"/>
      </rPr>
      <t xml:space="preserve"> (admin)</t>
    </r>
  </si>
  <si>
    <r>
      <t>Password Alias</t>
    </r>
    <r>
      <rPr>
        <i/>
        <sz val="12"/>
        <color theme="1"/>
        <rFont val="Helvetica"/>
        <family val="2"/>
      </rPr>
      <t xml:space="preserve"> (support)</t>
    </r>
  </si>
  <si>
    <r>
      <t>Password Alias</t>
    </r>
    <r>
      <rPr>
        <i/>
        <sz val="12"/>
        <color theme="1"/>
        <rFont val="Helvetica"/>
        <family val="2"/>
      </rPr>
      <t xml:space="preserve"> (consoleuser)</t>
    </r>
  </si>
  <si>
    <r>
      <t>Password</t>
    </r>
    <r>
      <rPr>
        <i/>
        <sz val="12"/>
        <color theme="1"/>
        <rFont val="Helvetica"/>
        <family val="2"/>
      </rPr>
      <t xml:space="preserve"> (consoleuser)</t>
    </r>
  </si>
  <si>
    <r>
      <t xml:space="preserve">User Name </t>
    </r>
    <r>
      <rPr>
        <i/>
        <sz val="12"/>
        <color theme="1"/>
        <rFont val="Helvetica"/>
        <family val="2"/>
      </rPr>
      <t>(admin)</t>
    </r>
  </si>
  <si>
    <r>
      <t xml:space="preserve">Password Alias </t>
    </r>
    <r>
      <rPr>
        <i/>
        <sz val="12"/>
        <color theme="1"/>
        <rFont val="Helvetica"/>
        <family val="2"/>
      </rPr>
      <t>(support)</t>
    </r>
  </si>
  <si>
    <r>
      <t xml:space="preserve">User Name </t>
    </r>
    <r>
      <rPr>
        <i/>
        <sz val="12"/>
        <color theme="1"/>
        <rFont val="Helvetica"/>
        <family val="2"/>
      </rPr>
      <t>(support)</t>
    </r>
  </si>
  <si>
    <r>
      <t xml:space="preserve">Password Alias </t>
    </r>
    <r>
      <rPr>
        <i/>
        <sz val="12"/>
        <color theme="1"/>
        <rFont val="Helvetica"/>
        <family val="2"/>
      </rPr>
      <t>(consoleuser)</t>
    </r>
  </si>
  <si>
    <t>support</t>
  </si>
  <si>
    <r>
      <t xml:space="preserve">User Name </t>
    </r>
    <r>
      <rPr>
        <i/>
        <sz val="12"/>
        <color theme="1"/>
        <rFont val="Helvetica"/>
        <family val="2"/>
      </rPr>
      <t>(consoleuser)</t>
    </r>
  </si>
  <si>
    <t>Deploy VMware Aria Operations for Networks by Using VMware Aria Suite Lifecycle for Intelligent Network Visibility for VMware Cloud Foundation</t>
  </si>
  <si>
    <t>Deployment Type</t>
  </si>
  <si>
    <t>Platform Node</t>
  </si>
  <si>
    <t xml:space="preserve">Intelligent Network Visibility FQDNs													</t>
  </si>
  <si>
    <t>VMware Aria Operations for Networks - Node A</t>
  </si>
  <si>
    <t>Proxy for Networks - Node A</t>
  </si>
  <si>
    <t xml:space="preserve">Intelligent Network Visibility Hostnames													</t>
  </si>
  <si>
    <t xml:space="preserve">Intelligent Network Visibility IP Addresses													</t>
  </si>
  <si>
    <t>Platform Node Size</t>
  </si>
  <si>
    <t>Product Properties</t>
  </si>
  <si>
    <t>Collector Node</t>
  </si>
  <si>
    <r>
      <t>Select Network</t>
    </r>
    <r>
      <rPr>
        <i/>
        <sz val="12"/>
        <color theme="1"/>
        <rFont val="Helvetica"/>
        <family val="2"/>
      </rPr>
      <t xml:space="preserve"> (Advanced configuration)</t>
    </r>
  </si>
  <si>
    <r>
      <t xml:space="preserve">Gateway </t>
    </r>
    <r>
      <rPr>
        <i/>
        <sz val="12"/>
        <color theme="1"/>
        <rFont val="Helvetica"/>
        <family val="2"/>
      </rPr>
      <t>(Advanced Configuration)</t>
    </r>
  </si>
  <si>
    <r>
      <t xml:space="preserve">Domain </t>
    </r>
    <r>
      <rPr>
        <i/>
        <sz val="12"/>
        <color theme="1"/>
        <rFont val="Helvetica"/>
        <family val="2"/>
      </rPr>
      <t>(Advanced Configuration)</t>
    </r>
  </si>
  <si>
    <r>
      <t>DNS Search Domain</t>
    </r>
    <r>
      <rPr>
        <i/>
        <sz val="12"/>
        <color theme="1"/>
        <rFont val="Helvetica"/>
        <family val="2"/>
      </rPr>
      <t xml:space="preserve"> (Advanced Configuration)</t>
    </r>
  </si>
  <si>
    <r>
      <t xml:space="preserve">DNS </t>
    </r>
    <r>
      <rPr>
        <i/>
        <sz val="12"/>
        <color theme="1"/>
        <rFont val="Helvetica"/>
        <family val="2"/>
      </rPr>
      <t>(Advanced Configuration)</t>
    </r>
  </si>
  <si>
    <r>
      <t xml:space="preserve">Netmask </t>
    </r>
    <r>
      <rPr>
        <i/>
        <sz val="12"/>
        <color theme="1"/>
        <rFont val="Helvetica"/>
        <family val="2"/>
      </rPr>
      <t>(Advanced Configuration)</t>
    </r>
  </si>
  <si>
    <r>
      <t xml:space="preserve">Console Password </t>
    </r>
    <r>
      <rPr>
        <i/>
        <sz val="12"/>
        <color theme="1"/>
        <rFont val="Helvetica"/>
        <family val="2"/>
      </rPr>
      <t>(Advanced Configuration)</t>
    </r>
  </si>
  <si>
    <r>
      <t xml:space="preserve">Support Password </t>
    </r>
    <r>
      <rPr>
        <i/>
        <sz val="12"/>
        <color theme="1"/>
        <rFont val="Helvetica"/>
        <family val="2"/>
      </rPr>
      <t>(Advanced Configuration)</t>
    </r>
  </si>
  <si>
    <r>
      <t>Gateway</t>
    </r>
    <r>
      <rPr>
        <i/>
        <sz val="12"/>
        <color theme="1"/>
        <rFont val="Helvetica"/>
        <family val="2"/>
      </rPr>
      <t xml:space="preserve"> (Advanced Configuration)</t>
    </r>
  </si>
  <si>
    <r>
      <t xml:space="preserve">Select Network </t>
    </r>
    <r>
      <rPr>
        <i/>
        <sz val="12"/>
        <color theme="1"/>
        <rFont val="Helvetica"/>
        <family val="2"/>
      </rPr>
      <t>(Advanced Configuration)</t>
    </r>
  </si>
  <si>
    <r>
      <t xml:space="preserve">DNS Search Domain </t>
    </r>
    <r>
      <rPr>
        <i/>
        <sz val="12"/>
        <color theme="1"/>
        <rFont val="Helvetica"/>
        <family val="2"/>
      </rPr>
      <t>(Advanced Configuration)</t>
    </r>
  </si>
  <si>
    <r>
      <t>Netmask</t>
    </r>
    <r>
      <rPr>
        <i/>
        <sz val="12"/>
        <color theme="1"/>
        <rFont val="Helvetica"/>
        <family val="2"/>
      </rPr>
      <t xml:space="preserve"> (Advanced Configuration)</t>
    </r>
  </si>
  <si>
    <r>
      <t>Console Password</t>
    </r>
    <r>
      <rPr>
        <i/>
        <sz val="12"/>
        <color theme="1"/>
        <rFont val="Helvetica"/>
        <family val="2"/>
      </rPr>
      <t xml:space="preserve"> (Advanced Configuration)</t>
    </r>
  </si>
  <si>
    <t>Move the VMware Aria Operations for Networks Virtual Machines to the Dedicated Folders for Intelligent Network Visibility for VMware Cloud Foundation</t>
  </si>
  <si>
    <r>
      <t>VM Name</t>
    </r>
    <r>
      <rPr>
        <i/>
        <sz val="12"/>
        <rFont val="Helvetica"/>
        <family val="2"/>
      </rPr>
      <t xml:space="preserve"> (Platform Node)</t>
    </r>
  </si>
  <si>
    <r>
      <t xml:space="preserve">VM Name </t>
    </r>
    <r>
      <rPr>
        <i/>
        <sz val="12"/>
        <rFont val="Helvetica"/>
        <family val="2"/>
      </rPr>
      <t>(Controller Node)</t>
    </r>
  </si>
  <si>
    <t>anti-affinity-rule-networks</t>
  </si>
  <si>
    <t>Anti-Afinity Rule (Platform VMs)</t>
  </si>
  <si>
    <t>Anti-Afinity Rule (Controller VMs)</t>
  </si>
  <si>
    <t>anti-affinity-rule-networks-controller</t>
  </si>
  <si>
    <t>Add the VMware Aria Operations for Networks Virtual Machines to the First Availability Zone VM Group for Intelligent Network Visibility for VMware Cloud Foundation</t>
  </si>
  <si>
    <t>&lt;aria_operations_for_networks_fqdn&gt;</t>
  </si>
  <si>
    <t>LDAP Host URLs</t>
  </si>
  <si>
    <t>User Search Attribute</t>
  </si>
  <si>
    <t>sAMAccountName</t>
  </si>
  <si>
    <t>Group DN (Auditor)</t>
  </si>
  <si>
    <t>cn=gg-inv-auditors,ou=Security Groups,dc=sfo,dc=rainpole,dc=io</t>
  </si>
  <si>
    <t>Group DN (Member)</t>
  </si>
  <si>
    <t>cn=gg-inv-members,ou=Security Groups,dc=sfo,dc=rainpole,dc=io</t>
  </si>
  <si>
    <t>Group DN (Administrator)</t>
  </si>
  <si>
    <t>cn=gg-inv-admins,ou=Security Groups,dc=sfo,dc=rainpole,dc=io</t>
  </si>
  <si>
    <t>LDAP Credentials (Username)</t>
  </si>
  <si>
    <t>LDAP Credentials (Password)</t>
  </si>
  <si>
    <t>Configure Role-Based Access for VMware Aria Operations for Networks for Intelligent Network Visibility for VMware Cloud Foundation</t>
  </si>
  <si>
    <t>Add vCenter Server Data Sources for Intelligent Network Visibility for VMware Cloud Foundation</t>
  </si>
  <si>
    <t>Add NSX Manager Data Sources for Intelligent Network Visibility for VMware Cloud Foundation</t>
  </si>
  <si>
    <t>Configure a Ping Adapter for the Platform and Collector Nodes in VMware Aria Operations for Intelligent Network Visibility for VMware Cloud Foundation</t>
  </si>
  <si>
    <t>gg-networks-admin</t>
  </si>
  <si>
    <t>gg-networks-member</t>
  </si>
  <si>
    <t>gg-networks-auditor</t>
  </si>
  <si>
    <t>- Identity and Access Management
   - Removal of Standalone Workspace ONE Access
      - Removed hostname and IP Address from Name &amp; IP Address Inputs
      - Removed service account for Standalone Workspace ONE Access to Active Directory from Active Directory Inputs
      - Removed all inputs for Standalone Workspace ONE Access to Active Directory from SDDC Inputs
   - Applied named cells to all outputs to enable JSON specification file generation
- Developer Ready Infrastructure
   - Applied named cells to all outputs to enable JSON specification file generation
- Intelligent Logging and Analytics
   - Removed all references to standalone Workspace ONE Access
   - Applied named cells to all outputs to enable JSON specification file generation
- Intelligent Operations Management
   - Applied named cells to all outputs to enable JSON specification file generation
   - Merged procedure 'Add the Load Balancer for VMware Aria Operations in VMware Aria Suite Lifecycle' with procedure 'Deploy VMware Aria Operations by Using VMware Aria Suite Lifecycle'
- Private Cloud Automation
   - Applied named cells to all outputs to enable JSON specification file generation
- Removed VMware Aria SaaS based solutions:
   - Cloud-Based Intelligent Logging for VMware Cloud Foundation
   - Cloud-Based Intelligent Operations for VMware Cloud Foundation
   - Cloud-Based Intelligent Network Visibility for VMware Cloud Foundation
   - Cloud-Based Automation for VMware Cloud Foundation
- Add Intelligent Network Visibility for VMware Cloud Foundation</t>
  </si>
  <si>
    <t>LDAP URL</t>
  </si>
  <si>
    <t>VMware Aria Operations for Networks to Active Directory</t>
  </si>
  <si>
    <r>
      <t xml:space="preserve">VMware Aira Operations for Networks to Active Directory </t>
    </r>
    <r>
      <rPr>
        <i/>
        <sz val="12"/>
        <color theme="1"/>
        <rFont val="Helvetica"/>
        <family val="2"/>
      </rPr>
      <t>(Account)</t>
    </r>
  </si>
  <si>
    <r>
      <t xml:space="preserve">VMware Aira Operations for Networks to Active Directory </t>
    </r>
    <r>
      <rPr>
        <i/>
        <sz val="12"/>
        <color theme="1"/>
        <rFont val="Helvetica"/>
        <family val="2"/>
      </rPr>
      <t>(Password)</t>
    </r>
  </si>
  <si>
    <r>
      <t xml:space="preserve">AD Group </t>
    </r>
    <r>
      <rPr>
        <i/>
        <sz val="12"/>
        <color theme="1"/>
        <rFont val="Helvetica"/>
        <family val="2"/>
      </rPr>
      <t>(Admin)</t>
    </r>
  </si>
  <si>
    <r>
      <t xml:space="preserve">AD Group </t>
    </r>
    <r>
      <rPr>
        <i/>
        <sz val="12"/>
        <color theme="1"/>
        <rFont val="Helvetica"/>
        <family val="2"/>
      </rPr>
      <t>(Member)</t>
    </r>
  </si>
  <si>
    <r>
      <t xml:space="preserve">AD Group </t>
    </r>
    <r>
      <rPr>
        <i/>
        <sz val="12"/>
        <color theme="1"/>
        <rFont val="Helvetica"/>
        <family val="2"/>
      </rPr>
      <t>(Auditor)</t>
    </r>
  </si>
  <si>
    <r>
      <t xml:space="preserve">Distinguished Name </t>
    </r>
    <r>
      <rPr>
        <i/>
        <sz val="12"/>
        <color theme="1"/>
        <rFont val="Helvetica"/>
        <family val="2"/>
      </rPr>
      <t>(Admin)</t>
    </r>
  </si>
  <si>
    <r>
      <t xml:space="preserve">Distinguished Name </t>
    </r>
    <r>
      <rPr>
        <i/>
        <sz val="12"/>
        <color theme="1"/>
        <rFont val="Helvetica"/>
        <family val="2"/>
      </rPr>
      <t>(Member)</t>
    </r>
  </si>
  <si>
    <r>
      <t xml:space="preserve">Distinguished Name </t>
    </r>
    <r>
      <rPr>
        <i/>
        <sz val="12"/>
        <color theme="1"/>
        <rFont val="Helvetica"/>
        <family val="2"/>
      </rPr>
      <t>(Auditor)</t>
    </r>
  </si>
  <si>
    <t>Client Certificate Data (Contents of File)</t>
  </si>
  <si>
    <t>Client Key Data (Contents of File)</t>
  </si>
  <si>
    <t>Intelligent Network Visibility - Platform Node</t>
  </si>
  <si>
    <t>Intelligent Network Visibility - Collector Node</t>
  </si>
  <si>
    <t>v1.5.1.003</t>
  </si>
  <si>
    <t>02/14/2024</t>
  </si>
  <si>
    <t>- Removed Standalone Workspace ONE Access Appliance from Management Domain Sizing
- Removed VMware Aria Cloud-Based Appliances from the Management Domain Sizing</t>
  </si>
  <si>
    <t>v1.5.1.004</t>
  </si>
  <si>
    <t>02/20/2024</t>
  </si>
  <si>
    <t>- Site Protection and Disaster Recovery
- Output Tab - Fixed formatting of cell D775
- Removed broken named cell references</t>
  </si>
  <si>
    <t>v1.5.1.005</t>
  </si>
  <si>
    <t>02/29/2024</t>
  </si>
  <si>
    <t>Aria Suite Lifecycle &amp; Clustered Workspace ONE Access PG</t>
  </si>
  <si>
    <t>Aria Suite Lifecycle &amp; Clustered Workspace ONE Access RP</t>
  </si>
  <si>
    <r>
      <t xml:space="preserve">Protection Group Name </t>
    </r>
    <r>
      <rPr>
        <i/>
        <sz val="12"/>
        <color theme="1"/>
        <rFont val="Helvetica"/>
        <family val="2"/>
      </rPr>
      <t>(VMware Aria Suite Lifecycle &amp; Clustered WSA)</t>
    </r>
  </si>
  <si>
    <r>
      <t xml:space="preserve">Recovery Plan Name </t>
    </r>
    <r>
      <rPr>
        <i/>
        <sz val="12"/>
        <color theme="1"/>
        <rFont val="Helvetica"/>
        <family val="2"/>
      </rPr>
      <t>(VMware Aria Suite Lifecycle &amp; Clustered WSA)</t>
    </r>
  </si>
  <si>
    <t>- Site Protection and Disaster Recovery
   - Added PowerShell Procedure for `Configure Replication, Create a Protection Group and a Recovery Plan for VMware Aria Suite Lifecycle and Clustered Workspace ONE Access for Site Protection and Disaster Recovery for VMware Cloud Foundation`
   - Added PowerShell Procedure for `Customize the Recovery Plan for VMware Aria Suite Lifecycle and the Clustered Workspace ONE Access for Site Protection and Disaster Recovery for VMware Cloud Foundation`
   - Added PowerShell Procedure for `Configure Replication, Create a Protection Group and a Recovery Plan for VMware Aria Operations Analytics Cluster for Site Protection and Disaster Recovery for VMware Cloud Foundation`
   - Added PowerShell Procedure for `Customize the Recovery Plan for VMware Aria Operationsfor Site Protection and Disaster Recovery for VMware Cloud Foundation`
   - Added PowerShell Procedure for `Configure Replication, Create a Protection Group and a Recovery Plan for VMware Aria Automationfor Site Protection and Disaster Recovery for VMware Cloud Foundation`
   - Added PowerShell Procedure for `Customize the Recovery Plan for VMware Aria Automationfor Site Protection and Disaster Recovery for VMware Cloud Foundation`</t>
  </si>
  <si>
    <t>v1.5.1.006</t>
  </si>
  <si>
    <t>03/18/2024</t>
  </si>
  <si>
    <t>I4i (Local SSD)</t>
  </si>
  <si>
    <t>- Intelligent Operations Management
   - Removed Analytic Cluster from `Configure vSphere DRS Anti-Affinity Rules for the VMware Aria Operations Appliances for Intelligent Operations Management for VMware Cloud Foundation`
- Cloud-Based Workload Protection
   - Corrected a number of cells across the output worksheet
- Cloud-Based Ransomware Recovery
   - Corrected a number of cells across the output worksheet</t>
  </si>
  <si>
    <t>vCenter Server IP Address</t>
  </si>
  <si>
    <t>--admin-username</t>
  </si>
  <si>
    <t>--admin-password</t>
  </si>
  <si>
    <t>--new-username</t>
  </si>
  <si>
    <t>--new-password</t>
  </si>
  <si>
    <t>--vcenter-role</t>
  </si>
  <si>
    <r>
      <t xml:space="preserve">IP Address </t>
    </r>
    <r>
      <rPr>
        <i/>
        <sz val="12"/>
        <color theme="1"/>
        <rFont val="Helvetica"/>
        <family val="2"/>
      </rPr>
      <t>(Cluster Virtual IP)</t>
    </r>
  </si>
  <si>
    <r>
      <t xml:space="preserve">FQDN </t>
    </r>
    <r>
      <rPr>
        <i/>
        <sz val="12"/>
        <color theme="1"/>
        <rFont val="Helvetica"/>
        <family val="2"/>
      </rPr>
      <t>(Cluster Virtual IP)</t>
    </r>
  </si>
  <si>
    <t>Management IP (ESXi Host 5)</t>
  </si>
  <si>
    <t>vSphere Replication IP (ESXi Host 5)</t>
  </si>
  <si>
    <t>Management IP (ESXi Host 6)</t>
  </si>
  <si>
    <t>vSphere Replication IP (ESXi Host 6)</t>
  </si>
  <si>
    <t>Management IP (ESXi Host 7)</t>
  </si>
  <si>
    <t>vSphere Replication IP (ESXi Host 7)</t>
  </si>
  <si>
    <t>Management IP (ESXi Host 8)</t>
  </si>
  <si>
    <t>vSphere Replication IP (ESXi Host 8)</t>
  </si>
  <si>
    <t>Management IP (ESXi Host 9)</t>
  </si>
  <si>
    <t>vSphere Replication IP (ESXi Host 9)</t>
  </si>
  <si>
    <t>Management IP (ESXi Host 10)</t>
  </si>
  <si>
    <t>vSphere Replication IP (ESXi Host 10)</t>
  </si>
  <si>
    <t>Management IP (ESXi Host 11)</t>
  </si>
  <si>
    <t>vSphere Replication IP (ESXi Host 11)</t>
  </si>
  <si>
    <t>Management IP (ESXi Host 12)</t>
  </si>
  <si>
    <t>vSphere Replication IP (ESXi Host 12)</t>
  </si>
  <si>
    <t>Management IP (ESXi Host 13)</t>
  </si>
  <si>
    <t>vSphere Replication IP (ESXi Host 13)</t>
  </si>
  <si>
    <t>Management IP (ESXi Host 14)</t>
  </si>
  <si>
    <t>vSphere Replication IP (ESXi Host 14)</t>
  </si>
  <si>
    <t>Management IP (ESXi Host 15)</t>
  </si>
  <si>
    <t>vSphere Replication IP (ESXi Host 15)</t>
  </si>
  <si>
    <t>Management IP (ESXi Host 16)</t>
  </si>
  <si>
    <t>vSphere Replication IP (ESXi Host 16)</t>
  </si>
  <si>
    <t>ESXi Node 5 Mgmt IP</t>
  </si>
  <si>
    <t>ESXi Node 6 Mgmt IP</t>
  </si>
  <si>
    <t>ESXi Node 7 Mgmt IP</t>
  </si>
  <si>
    <t>ESXi Node 8 Mgmt IP</t>
  </si>
  <si>
    <t>ESXi Node 9 Mgmt IP</t>
  </si>
  <si>
    <t>ESXi Node 10 Mgmt IP</t>
  </si>
  <si>
    <t>ESXi Node 11 Mgmt IP</t>
  </si>
  <si>
    <t>ESXi Node 12 Mgmt IP</t>
  </si>
  <si>
    <t>ESXi Node 13 Mgmt IP</t>
  </si>
  <si>
    <t>ESXi Node 14 Mgmt IP</t>
  </si>
  <si>
    <t>ESXi Node 15 Mgmt IP</t>
  </si>
  <si>
    <t>ESXi Node 16 Mgmt IP</t>
  </si>
  <si>
    <t>ESXi Node 5 VRMS IP</t>
  </si>
  <si>
    <t>ESXi Node 6 VRMS IP</t>
  </si>
  <si>
    <t>ESXi Node 7 VRMS IP</t>
  </si>
  <si>
    <t>ESXi Node 8 VRMS IP</t>
  </si>
  <si>
    <t>ESXi Node 9 VRMS IP</t>
  </si>
  <si>
    <t>ESXi Node 10 VRMS IP</t>
  </si>
  <si>
    <t>ESXi Node 11 VRMS IP</t>
  </si>
  <si>
    <t>ESXi Node 12 VRMS IP</t>
  </si>
  <si>
    <t>ESXi Node 13 VRMS IP</t>
  </si>
  <si>
    <t>ESXi Node 14 VRMS IP</t>
  </si>
  <si>
    <t>ESXi Node 15 VRMS IP</t>
  </si>
  <si>
    <t>ESXi Node 16 VRMS IP</t>
  </si>
  <si>
    <t>ESXi Node 5</t>
  </si>
  <si>
    <t>ESXi Node 6</t>
  </si>
  <si>
    <t>ESXi Node 7</t>
  </si>
  <si>
    <t>ESXi Node 8</t>
  </si>
  <si>
    <t>ESXi Node 9</t>
  </si>
  <si>
    <t>ESXi Node 10</t>
  </si>
  <si>
    <t>ESXi Node 11</t>
  </si>
  <si>
    <t>ESXi Node 12</t>
  </si>
  <si>
    <t>ESXi Node 13</t>
  </si>
  <si>
    <t>ESXi Node 14</t>
  </si>
  <si>
    <t>ESXi Node 15</t>
  </si>
  <si>
    <t>ESXi Node 16</t>
  </si>
  <si>
    <t>vSphere Edge Cluster node Count</t>
  </si>
  <si>
    <t>Rack 8 Host Type (Primary AZ)</t>
  </si>
  <si>
    <t>Rack 7 Host Type  (Primary AZ)</t>
  </si>
  <si>
    <t>Rack 6 Host Type  (Primary AZ)</t>
  </si>
  <si>
    <t>Rack 5 Host Type  (Primary AZ)</t>
  </si>
  <si>
    <t>Rack 4 Host Type (Primary AZ)</t>
  </si>
  <si>
    <t>Rack 3 Host Type  (Primary AZ)</t>
  </si>
  <si>
    <t>Rack 2 Host Type (Primary AZ)</t>
  </si>
  <si>
    <t>Rack 8 IP Addresses (Secondary AZ)</t>
  </si>
  <si>
    <t>Rack 7 IP Addresses (Secondary AZ)</t>
  </si>
  <si>
    <t>Rack 6 IP Addresses (Secondary AZ)</t>
  </si>
  <si>
    <t>Rack 5 IP Addresses (Secondary AZ)</t>
  </si>
  <si>
    <t>Rack 4 IP Addresses (Secondary AZ)</t>
  </si>
  <si>
    <t>Rack 3 IP Addresses (Secondary AZ)</t>
  </si>
  <si>
    <t>Rack 2 IP Addresses (Secondary AZ)</t>
  </si>
  <si>
    <t>Rack 8 FQDNs (Primary AZ)</t>
  </si>
  <si>
    <t>Rack 7 FQDNs (Primary AZ)</t>
  </si>
  <si>
    <t>Rack 6 FQDNs (Primary AZ)</t>
  </si>
  <si>
    <t>Rack 5 FQDNs (Primary AZ)</t>
  </si>
  <si>
    <t>Rack 4 FQDNs (Primary AZ)</t>
  </si>
  <si>
    <t>Rack 3 FQDNs (Primary AZ)</t>
  </si>
  <si>
    <t>Rack 2 FQDNs (Primary AZ)</t>
  </si>
  <si>
    <t>Rack 8 Hostnames (Primary AZ)</t>
  </si>
  <si>
    <t>Rack 7 Hostnames (Primary AZ)</t>
  </si>
  <si>
    <t>Rack 6 Hostnames (Primary AZ)</t>
  </si>
  <si>
    <t>Rack 5 Hostnames (Primary AZ)</t>
  </si>
  <si>
    <t>Rack 4 Hostnames (Primary AZ)</t>
  </si>
  <si>
    <t>Rack 3 Hostnames (Primary AZ)</t>
  </si>
  <si>
    <t>Rack 2 Hostnames (Primary AZ)</t>
  </si>
  <si>
    <t>Rack 8 IP Addresses (Primary AZ)</t>
  </si>
  <si>
    <t>Rack 7 IP Addresses (Primary AZ)</t>
  </si>
  <si>
    <t>Rack 6 IP Addresses (Primary AZ)</t>
  </si>
  <si>
    <t>Rack 5 IP Addresses (Primary AZ)</t>
  </si>
  <si>
    <t>Rack 4 IP Addresses (Primary AZ)</t>
  </si>
  <si>
    <t>Rack 3 IP Addresses (Primary AZ)</t>
  </si>
  <si>
    <t>Rack 2 IP Addresses (Primary AZ)</t>
  </si>
  <si>
    <t>Rack 8 DNS Zone Names</t>
  </si>
  <si>
    <t>Rack 7 DNS Zone Names</t>
  </si>
  <si>
    <t>Rack 6 DNS Zone Names  (Primary AZ)</t>
  </si>
  <si>
    <t>Rack 5 DNS Zone Names  (Primary AZ)</t>
  </si>
  <si>
    <t>Rack 4 DNS Zone Names  (Primary AZ)</t>
  </si>
  <si>
    <t>Rack 3 DNS Zone Names  (Primary AZ)</t>
  </si>
  <si>
    <t>Rack 2 DNS Zone Names  (Primary AZ)</t>
  </si>
  <si>
    <t>Instance 1</t>
  </si>
  <si>
    <t>Start ASN</t>
  </si>
  <si>
    <t>Rack 8 Network Pool Ranges (Primary AZ)</t>
  </si>
  <si>
    <t>Rack 7 Network Pool Ranges (Primary AZ)</t>
  </si>
  <si>
    <t>Rack 6 Network Pool Ranges (Primary AZ)</t>
  </si>
  <si>
    <t>Rack 5 Network Pool Ranges (Primary AZ)</t>
  </si>
  <si>
    <t>Rack 4 Network Pool Ranges (Primary AZ)</t>
  </si>
  <si>
    <t>Rack 3 Network Pool Ranges (Primary AZ)</t>
  </si>
  <si>
    <t>Rack 2 Network Pool Ranges (Primary AZ)</t>
  </si>
  <si>
    <t>Rack 8 Switch Configuration  (Primary AZ)</t>
  </si>
  <si>
    <t>Rack 7 Switch Configuration  (Primary AZ)</t>
  </si>
  <si>
    <t>Rack 6 Switch Configuration  (Primary AZ)</t>
  </si>
  <si>
    <t>Rack 5 Switch Configuration  (Primary AZ)</t>
  </si>
  <si>
    <t>Rack 4 Switch Configuration  (Primary AZ)</t>
  </si>
  <si>
    <t>Rack 8 BGP Requirements  (Primary AZ)</t>
  </si>
  <si>
    <t>Rack 7 BGP Requirements  (Primary AZ)</t>
  </si>
  <si>
    <t>Rack 6 BGP Requirements  (Primary AZ)</t>
  </si>
  <si>
    <t>Rack 5 BGP Requirements  (Primary AZ)</t>
  </si>
  <si>
    <t>Rack 4 BGP Requirements  (Primary AZ)</t>
  </si>
  <si>
    <t>Rack 3 BGP Requirements  (Primary AZ)</t>
  </si>
  <si>
    <t>Rack 2 BGP Requirements  (Primary AZ)</t>
  </si>
  <si>
    <t>Rack 8 Network MTU  (Primary AZ)</t>
  </si>
  <si>
    <t>Rack 7 Network MTU  (Primary AZ)</t>
  </si>
  <si>
    <t>Rack 6 Network MTU  (Primary AZ)</t>
  </si>
  <si>
    <t>Rack 5 Network MTU  (Primary AZ)</t>
  </si>
  <si>
    <t>Rack 4 Network MTU  (Primary AZ)</t>
  </si>
  <si>
    <t>Rack 3 Network MTU  (Primary AZ)</t>
  </si>
  <si>
    <t>Rack 2 Network MTU  (Primary AZ)</t>
  </si>
  <si>
    <t>Subnet Masks (Calculated)  (Primary AZ)</t>
  </si>
  <si>
    <t>Rack 8 Network Gateways  (Primary AZ)</t>
  </si>
  <si>
    <t>Rack 7 Network Gateways  (Primary AZ)</t>
  </si>
  <si>
    <t>Rack 6 Network Gateways  (Primary AZ)</t>
  </si>
  <si>
    <t>Rack 5 Network Gateways  (Primary AZ)</t>
  </si>
  <si>
    <t>Rack 4 Network Gateways  (Primary AZ)</t>
  </si>
  <si>
    <t>Rack 3 Network Gateways  (Primary AZ)</t>
  </si>
  <si>
    <t>Rack 2 Network Gateways  (Primary AZ)</t>
  </si>
  <si>
    <t>Rack 8 Network CIDRs  (Primary AZ)</t>
  </si>
  <si>
    <t>Rack 7 Network CIDRs  (Primary AZ)</t>
  </si>
  <si>
    <t>Rack 6 Network CIDRs  (Primary AZ)</t>
  </si>
  <si>
    <t>Rack 5 Network CIDRs (Primary AZ)</t>
  </si>
  <si>
    <t>Rack 4 Network CIDRs  (Primary AZ)</t>
  </si>
  <si>
    <t>Rack 3 Network CIDRs  (Primary AZ)</t>
  </si>
  <si>
    <t>Rack 2 Network CIDRs  (Primary AZ)</t>
  </si>
  <si>
    <t>Rack 8 VLANs  (Primary AZ)</t>
  </si>
  <si>
    <t>Rack 7  VLANs  (Primary AZ)</t>
  </si>
  <si>
    <t>Rack 6 VLANs  (Primary AZ)</t>
  </si>
  <si>
    <t>Rack 5 VLANs  (Primary AZ)</t>
  </si>
  <si>
    <t>Rack 4 VLANs  (Primary AZ)</t>
  </si>
  <si>
    <t>Rack 3 VLANs  (Primary AZ)</t>
  </si>
  <si>
    <t>Rack 2 VLANs  (Primary AZ)</t>
  </si>
  <si>
    <t xml:space="preserve">End IP of the RTEP Overlay IP Pool Range. </t>
  </si>
  <si>
    <t xml:space="preserve">Start IP of the RTEP Overlay IP Pool Range. </t>
  </si>
  <si>
    <t>Management IP (ESXi Host 22)</t>
  </si>
  <si>
    <t xml:space="preserve">DNS Zone </t>
  </si>
  <si>
    <t>Your Child DNS Zone</t>
  </si>
  <si>
    <t>Reference Child DNS Zone</t>
  </si>
  <si>
    <t>End IP of the RTEP Overlay IP Pool Range.</t>
  </si>
  <si>
    <t>Start IP of the RTEP Overlay IP Pool Range.</t>
  </si>
  <si>
    <t>Secondary Storage</t>
  </si>
  <si>
    <t>Workload Domain Number</t>
  </si>
  <si>
    <t xml:space="preserve">Workload Domain Details </t>
  </si>
  <si>
    <t>Rack for second vSphere Cluster hosting NSX Edges</t>
  </si>
  <si>
    <t>Rack for first vSphere Cluster hosting NSX Edges</t>
  </si>
  <si>
    <t>Dedicated racks for vSphere Clusters hosting NSX Edges</t>
  </si>
  <si>
    <t>Number of additional racks available</t>
  </si>
  <si>
    <t>Cluster Type</t>
  </si>
  <si>
    <t xml:space="preserve">Rack 1 Node Type </t>
  </si>
  <si>
    <t xml:space="preserve">Rack 2 Node Type </t>
  </si>
  <si>
    <t xml:space="preserve">Rack 3Node Type </t>
  </si>
  <si>
    <t xml:space="preserve">Rack 4 Node Type </t>
  </si>
  <si>
    <t xml:space="preserve">Rack 5 Node Type </t>
  </si>
  <si>
    <t xml:space="preserve">Rack 6 Node Type </t>
  </si>
  <si>
    <t xml:space="preserve">Rack 7 Node Type </t>
  </si>
  <si>
    <t xml:space="preserve">Rack 8 Node Type </t>
  </si>
  <si>
    <t>RackNumber</t>
  </si>
  <si>
    <t>Rack 2 Edge Node (Primary AZ)</t>
  </si>
  <si>
    <t>Edge Node Name</t>
  </si>
  <si>
    <t xml:space="preserve">Edge Node MGMT IP </t>
  </si>
  <si>
    <t xml:space="preserve">Edge Node Upink 1 IP </t>
  </si>
  <si>
    <t xml:space="preserve">Edge Node Upink 2 IP </t>
  </si>
  <si>
    <t>Edge Node Overlay IP Address #01</t>
  </si>
  <si>
    <t>Edge Node Overlay IP Address #02</t>
  </si>
  <si>
    <t>Rack 3 Edge Node (Primary AZ)</t>
  </si>
  <si>
    <t>Rack 4 Edge Node (Primary AZ)</t>
  </si>
  <si>
    <t>Rack 5 Edge Node (Primary AZ)</t>
  </si>
  <si>
    <t>Rack 6 Edge Node (Primary AZ)</t>
  </si>
  <si>
    <t>Rack 7 Edge Node (Primary AZ)</t>
  </si>
  <si>
    <t>Rack 8 Edge Node (Primary AZ)</t>
  </si>
  <si>
    <t>Edge Node FQDN</t>
  </si>
  <si>
    <t>Workload Domain Virtual Infrastructure Inputs Rack 2 (Primary Availability Zone)</t>
  </si>
  <si>
    <t>Workload Domain Virtual Infrastructure Inputs Rack 3 (Primary Availability Zone)</t>
  </si>
  <si>
    <t>Workload Domain Virtual Infrastructure Inputs Rack 4 (Primary Availability Zone)</t>
  </si>
  <si>
    <t>Workload Domain Virtual Infrastructure Inputs Rack 5 (Primary Availability Zone)</t>
  </si>
  <si>
    <t>Workload Domain Virtual Infrastructure Inputs Rack 6 (Primary Availability Zone)</t>
  </si>
  <si>
    <t>Workload Domain Virtual Infrastructure Inputs Rack 7 (Primary Availability Zone)</t>
  </si>
  <si>
    <t>Workload Domain Virtual Infrastructure Inputs Rack 8 (Primary Availability Zone)</t>
  </si>
  <si>
    <t>Rack 2 Portgroup Configuration  (Primary AZ)</t>
  </si>
  <si>
    <t>Rack 3 Switch Portgroup  (Primary AZ)</t>
  </si>
  <si>
    <t>WLD Rack2 AZ1 Host VLAN Prefix</t>
  </si>
  <si>
    <t>WLD Rack 2 AZ2 Host VLAN Prefix</t>
  </si>
  <si>
    <t>WLD Rack 2  AZ1 Host CIDR Prefix</t>
  </si>
  <si>
    <t>WLD Rack 2 AZ2 Host CIDR Prefix</t>
  </si>
  <si>
    <t>Rack number Include / Exclude</t>
  </si>
  <si>
    <t>asn_wld_az1</t>
  </si>
  <si>
    <t>asn_wld_az2</t>
  </si>
  <si>
    <t>asn_mgmt_az1</t>
  </si>
  <si>
    <t>asn_mgmt_az2</t>
  </si>
  <si>
    <t>Custom</t>
  </si>
  <si>
    <t>WLD Rack 2 AZ1 vMotion Network</t>
  </si>
  <si>
    <t>WLD Rack 2  Principal Storage Network</t>
  </si>
  <si>
    <t>WLD Rack 2 VRMS Network</t>
  </si>
  <si>
    <t>Rack2 Subnet Masks (Calculated)  (Primary AZ)</t>
  </si>
  <si>
    <t>Rack3 Subnet Masks (Calculated)  (Primary AZ)</t>
  </si>
  <si>
    <t>Workload Domain Rack 2 VLAN and IP Subnet Requirements (Primary Availability Zone)</t>
  </si>
  <si>
    <t>Workload Domain Rack 2 BGP Requirements (Primary Availability Zone)</t>
  </si>
  <si>
    <t>Workload Domain Rack 4 VLAN and IP Subnet Requirements (Primary Availability Zone)</t>
  </si>
  <si>
    <t>Workload Domain Rack 4 BGP Requirements (Primary Availability Zone)</t>
  </si>
  <si>
    <t>Workload Domain Rack 5 VLAN and IP Subnet Requirements (Primary Availability Zone)</t>
  </si>
  <si>
    <t>Workload Domain Rack 5 BGP Requirements (Primary Availability Zone)</t>
  </si>
  <si>
    <t>Workload Domain Rack 6 BGP Requirements (Primary Availability Zone)</t>
  </si>
  <si>
    <t>Workload Domain Rack 7 VLAN and IP Subnet Requirements (Primary Availability Zone)</t>
  </si>
  <si>
    <t>Workload Domain Rack 7 BGP Requirements (Primary Availability Zone)</t>
  </si>
  <si>
    <t>Workload Domain Rack 8 VLAN and IP Subnet Requirements (Primary Availability Zone)</t>
  </si>
  <si>
    <t>Workload Domain Rack 8 BGP Requirements (Primary Availability Zone)</t>
  </si>
  <si>
    <t>Workload Domain Rack 6 VLAN and IP Subnet Requirements (Primary Availability Zone)</t>
  </si>
  <si>
    <t>Workload Domain Rack 1 VLAN and IP Subnet Requirements (Primary Availability Zone)</t>
  </si>
  <si>
    <t>Workload Domain Rack 1 BGP Requirements (Primary Availability Zone)</t>
  </si>
  <si>
    <t>Workload Domain Rack 1 VLAN and IP Subnet Requirements (Secondary Availability Zone)</t>
  </si>
  <si>
    <t>Workload Domain Rack 1 BGP Requirements (Secondary Availability Zone)</t>
  </si>
  <si>
    <t>Workload Domain Rack 1 VLAN and IP Subnet Requirements (vSAN Witness Zone)</t>
  </si>
  <si>
    <t>Workload Domain Rack 3 VLAN and IP Subnet Requirements (Primary Availability Zone)</t>
  </si>
  <si>
    <t>Workload Domain Rack 3 BGP Requirements (Primary Availability Zone)</t>
  </si>
  <si>
    <t>Workload Domain Rack 1 Virtual Infrastructure Names and IP Addresses (Primary Availability Zone)</t>
  </si>
  <si>
    <t>Workload Domain Rack 1 Virtual Infrastructure Names and IP Addresses (Secondary Availability Zone)</t>
  </si>
  <si>
    <t>Management Domain Virtual Infrastructure Names and IP Addresses (Primary Availability Zone)</t>
  </si>
  <si>
    <t>Management Domain Virtual Infrastructure Names and IP Addresses (Secondary Availability Zone)</t>
  </si>
  <si>
    <t>Management Names and Addresses</t>
  </si>
  <si>
    <t>vSphere Replication Addresses</t>
  </si>
  <si>
    <t>Edge Names and Addresses</t>
  </si>
  <si>
    <t>Workload Domain Rack 2 Virtual Infrastructure Naming and IP Addresses (Primary Availability Zone)</t>
  </si>
  <si>
    <t>Workload Domain Rack 3 Virtual Infrastructure Naming and IP Addresses (Primary Availability Zone)</t>
  </si>
  <si>
    <t>Workload Domain Rack 4 Virtual Infrastructure Naming and IP Addresses (Primary Availability Zone)</t>
  </si>
  <si>
    <t>Workload Domain Rack 5 Virtual Infrastructure Naming and IP Addresses (Primary Availability Zone)</t>
  </si>
  <si>
    <t>Workload Domain Rack 6 Virtual Infrastructure Naming and IP Addresses (Primary Availability Zone)</t>
  </si>
  <si>
    <t>Workload Domain Rack 7 Virtual Infrastructure Naming and IP Addresses (Primary Availability Zone)</t>
  </si>
  <si>
    <t>Workload Domain Rack 8 Virtual Infrastructure Naming and IP Addresses (Primary Availability Zone)</t>
  </si>
  <si>
    <t>DNS Zone Configuration</t>
  </si>
  <si>
    <t>Collector Node Size</t>
  </si>
  <si>
    <t>Hosts Per Rack</t>
  </si>
  <si>
    <t>First Domain</t>
  </si>
  <si>
    <t>Rack 1 VLANs  (Primary AZ)</t>
  </si>
  <si>
    <t>Hosts Per Multi Rack WLD</t>
  </si>
  <si>
    <t>Rack 1 Network CIDRs  (Primary AZ)</t>
  </si>
  <si>
    <t>Rack 1 Network Gateways  (Primary AZ)</t>
  </si>
  <si>
    <t>Rack 1 Network MTU  (Primary AZ)</t>
  </si>
  <si>
    <t>Rack 1 BGP Requirements  (Primary AZ)</t>
  </si>
  <si>
    <t>Rack 1 Network Pool Ranges (Primary AZ)</t>
  </si>
  <si>
    <t>Rack 1 Subnet Masks (Calculated)  (Primary AZ)</t>
  </si>
  <si>
    <t>Rack 1 DNS Zone Names  (Primary AZ)</t>
  </si>
  <si>
    <t>Rack 1 IP Addresses (Primary AZ)</t>
  </si>
  <si>
    <t>Rack 1 Hostnames (Primary AZ)</t>
  </si>
  <si>
    <t>Rack 1 FQDNs (Primary AZ)</t>
  </si>
  <si>
    <t>Rack 1 Edge Node (Primary AZ)</t>
  </si>
  <si>
    <t>Rack 1 Host Type (Primary AZ)</t>
  </si>
  <si>
    <t>WLD Rack1 AZ1 Mgmt VM Mgmt Network</t>
  </si>
  <si>
    <t>WLD Rack1 AZ1 ESXI Management Network</t>
  </si>
  <si>
    <t>WLD Rack 1 AZ1 vMotion Network</t>
  </si>
  <si>
    <t>WLD Rack 1 Uplink 01 Network</t>
  </si>
  <si>
    <t>WLD Rack 1 Uplink 02 Network</t>
  </si>
  <si>
    <t>WLD Rack 1 VRMS Network</t>
  </si>
  <si>
    <t>WLD Rack 1 Principal Storage Network</t>
  </si>
  <si>
    <t>WLD Rack 2 AZ1 Mgmt VM Mgmt Network</t>
  </si>
  <si>
    <t>WLD Rack 2 AZ1 ESXI Management Network</t>
  </si>
  <si>
    <t>WLD Rack 2 Uplink 01 Network</t>
  </si>
  <si>
    <t>WLD Rack 2 Uplink 02 Network</t>
  </si>
  <si>
    <t>WLD Rack 3 AZ1 Mgmt VM Mgmt Network</t>
  </si>
  <si>
    <t>WLD Rack 3 AZ1 ESXI Management Network</t>
  </si>
  <si>
    <t>WLD Rack 3 AZ1 vMotion Network</t>
  </si>
  <si>
    <t>WLD Rack 3 Principal Storage Network</t>
  </si>
  <si>
    <t>WLD Rack 3 Uplink 01 Network</t>
  </si>
  <si>
    <t>WLD Rack 3 Uplink 02 Network</t>
  </si>
  <si>
    <t>WLD Rack 3 VRMS Network</t>
  </si>
  <si>
    <t>WLD Rack 4 AZ1 Mgmt VM Mgmt Network</t>
  </si>
  <si>
    <t>WLD Rack 4 AZ1 ESXI Management Network</t>
  </si>
  <si>
    <t>WLD Rack 4 AZ1 vMotion Network</t>
  </si>
  <si>
    <t>WLD Rack 4 Principal Storage Network</t>
  </si>
  <si>
    <t>WLD Rack 4 Uplink 01 Network</t>
  </si>
  <si>
    <t>WLD Rack 4 Uplink 02 Network</t>
  </si>
  <si>
    <t>WLD Rack 4 VRMS Network</t>
  </si>
  <si>
    <t>WLD Rack 5 AZ1 Mgmt VM Mgmt Network</t>
  </si>
  <si>
    <t>WLD Rack 5 AZ1 ESXI Management Network</t>
  </si>
  <si>
    <t>WLD Rack 5 AZ1 vMotion Network</t>
  </si>
  <si>
    <t>WLD Rack 5 Principal Storage Network</t>
  </si>
  <si>
    <t>WLD Rack 5 Uplink 01 Network</t>
  </si>
  <si>
    <t>WLD Rack 5 Uplink 02 Network</t>
  </si>
  <si>
    <t>WLD Rack 5 VRMS Network</t>
  </si>
  <si>
    <t>WLD Rack 6 AZ1 Mgmt VM Mgmt Network</t>
  </si>
  <si>
    <t>WLD Rack 6 AZ1 ESXI Management Network</t>
  </si>
  <si>
    <t>WLD Rack 6 AZ1 vMotion Network</t>
  </si>
  <si>
    <t>WLD Rack 6 Principal Storage Network</t>
  </si>
  <si>
    <t>WLD Rack 6 Uplink 01 Network</t>
  </si>
  <si>
    <t>WLD Rack 6 Uplink 02 Network</t>
  </si>
  <si>
    <t>WLD Rack 6 VRMS Network</t>
  </si>
  <si>
    <t>WLD Rack 7 AZ1 Mgmt VM Mgmt Network</t>
  </si>
  <si>
    <t>WLD Rack 7 AZ1 ESXI Management Network</t>
  </si>
  <si>
    <t>WLD Rack 7 AZ1 vMotion Network</t>
  </si>
  <si>
    <t>WLD Rack 7 Principal Storage Network</t>
  </si>
  <si>
    <t>WLD Rack 7 Uplink 01 Network</t>
  </si>
  <si>
    <t>WLD Rack 7 Uplink 02 Network</t>
  </si>
  <si>
    <t>WLD Rack 7 VRMS Network</t>
  </si>
  <si>
    <t>WLD Rack 8 AZ1 Mgmt VM Mgmt Network</t>
  </si>
  <si>
    <t>WLD Rack 8 AZ1 ESXI Management Network</t>
  </si>
  <si>
    <t>WLD Rack 8 AZ1 vMotion Network</t>
  </si>
  <si>
    <t>WLD Rack 8 Principal Storage Network</t>
  </si>
  <si>
    <t>WLD Rack 8 Uplink 01 Network</t>
  </si>
  <si>
    <t>WLD Rack 8 Uplink 02 Network</t>
  </si>
  <si>
    <t>WLD Rack 8 VRMS Network</t>
  </si>
  <si>
    <t>NSX Host Overlay Network Pool Name</t>
  </si>
  <si>
    <t>Workload Domain Virtual Infrastructure Inputs Rack 1 (Primary Availability Zone)</t>
  </si>
  <si>
    <t xml:space="preserve">NSX Edge Configuration </t>
  </si>
  <si>
    <t xml:space="preserve">NSX Federation Configuration </t>
  </si>
  <si>
    <t>Workload Domain Virtual Infrastructure Inputs Rack 1 (Secondary Availability Zone)</t>
  </si>
  <si>
    <t>Management  Domain Virtual Infrastructure Inputs Rack 1 (Primary Availability Zone)</t>
  </si>
  <si>
    <t>Managment Domain Virtual Infrastructure Inputs Rack 1 (Secondary Availability Zone)</t>
  </si>
  <si>
    <t>Number of Compute Hosts per rack for initial cluster</t>
  </si>
  <si>
    <t>VMw@re1!</t>
  </si>
  <si>
    <t>VMw@re1!VMw@re1!</t>
  </si>
  <si>
    <t xml:space="preserve">NSX Host Overlay Uplink Profile Name </t>
  </si>
  <si>
    <t>NSX Host Overlay Network Profile Name</t>
  </si>
  <si>
    <t>Overlay Uplink Profile Name</t>
  </si>
  <si>
    <t>Overlay Network Pool Name</t>
  </si>
  <si>
    <t>Overlay Network Profile Name</t>
  </si>
  <si>
    <t xml:space="preserve">Workload Domain Switch Configuration Secondary Cluster </t>
  </si>
  <si>
    <t xml:space="preserve">Workload Domain Switch Configuration Tertiary Cluster </t>
  </si>
  <si>
    <t>MGMT Rack 1 Network CIDRs  (Primary AZ)</t>
  </si>
  <si>
    <t>MGMT Rack 1 Network Gateways  (Primary AZ)</t>
  </si>
  <si>
    <t>MGMT Rack 1 Network MTU  (Primary AZ)</t>
  </si>
  <si>
    <t>MGMT Rack 1 BGP Requirements  (Primary AZ)</t>
  </si>
  <si>
    <t>MGMT Rack 1 Network Pool Ranges (Primary AZ)</t>
  </si>
  <si>
    <t>MGMT Rack 1 Subnet Masks (Calculated)  (Primary AZ)</t>
  </si>
  <si>
    <t>MGMT Rack 1 DNS Zone Names  (Primary AZ)</t>
  </si>
  <si>
    <t>MGMT Rack 1 IP Addresses (Primary AZ)</t>
  </si>
  <si>
    <t>MGMT Rack 1 Hostnames (Primary AZ)</t>
  </si>
  <si>
    <t>MGMT Rack 1 FQDNs (Primary AZ)</t>
  </si>
  <si>
    <t>MGMT Rack 1 Edge Node (Primary AZ)</t>
  </si>
  <si>
    <t>MGMT Rack 1 Host Type (Primary AZ)</t>
  </si>
  <si>
    <t>MGMT Rack 1  IP Addresses (Secondary AZ)</t>
  </si>
  <si>
    <t>Rack 1 IP Addresses (Secondary AZ)</t>
  </si>
  <si>
    <t>Rack 1 VLANs  (Secondary AZ)</t>
  </si>
  <si>
    <t>MGMT Rack 1 Network CIDRs  (Secondary AZ)</t>
  </si>
  <si>
    <t>MGMT Rack 1 Network Gateways  (Secondary AZ)</t>
  </si>
  <si>
    <t>MGMT Rack 1 Network MTU  (Secondary AZ)</t>
  </si>
  <si>
    <t>MGMT Rack 1 BGP Requirements  (Secondary AZ)</t>
  </si>
  <si>
    <t>MGMT Rack 1 Network Pool Ranges (Secondary AZ)</t>
  </si>
  <si>
    <t>MGMT Rack 1 Host Overlay Profiles (Secondary AZ)</t>
  </si>
  <si>
    <t>MGMT Rack 1 Subnet Masks (Calculated)  (Secondary AZ)</t>
  </si>
  <si>
    <t>Rack 1 Hostnames (Secondary AZ)</t>
  </si>
  <si>
    <t>Rack 2 Hostnames (Secondary AZ)</t>
  </si>
  <si>
    <t>Rack 3 Hostnames (Secondary AZ)</t>
  </si>
  <si>
    <t>Rack 4 Hostnames (Secondary AZ)</t>
  </si>
  <si>
    <t>Rack 5 Hostnames (Secondary AZ)</t>
  </si>
  <si>
    <t>Rack 6 Hostnames (Secondary AZ)</t>
  </si>
  <si>
    <t>Rack 7 Hostnames (Secondary AZ)</t>
  </si>
  <si>
    <t>Rack 8 Hostnames (Secondary AZ)</t>
  </si>
  <si>
    <t>MGMT Rack 1 Hostnames (Secondary AZ)</t>
  </si>
  <si>
    <t>MGMT Rack 1 FQDNs (Secondary AZ)</t>
  </si>
  <si>
    <t>MGMT Rack 1 VLANs  (Primary AZ)</t>
  </si>
  <si>
    <t>MGMT Rack 1 Portgroup Names  (Secondary AZ)</t>
  </si>
  <si>
    <t>MGMT Rack 1 Portgroup Names  (Primary AZ)</t>
  </si>
  <si>
    <t>AZ 2 Actual Value</t>
  </si>
  <si>
    <t>MGMT Rack 1 VLANs  (Secondary AZ)</t>
  </si>
  <si>
    <t>Rack 1 Network Gateways  (Secondary AZ)</t>
  </si>
  <si>
    <t>Rack 1 Network CIDRs  (Secondary AZ)</t>
  </si>
  <si>
    <t xml:space="preserve"> Rack 1 Network MTU  (Secondary AZ)</t>
  </si>
  <si>
    <t>Rack 1 Network Pool Ranges (Secondary AZ)</t>
  </si>
  <si>
    <t>Rack 1 Host Overlay Profiles (Secondary AZ)</t>
  </si>
  <si>
    <t>Rack 1 Subnet Masks (Calculated)  (Secondary AZ)</t>
  </si>
  <si>
    <t>Rack1 AZ1 Mgmt VM Mgmt Network</t>
  </si>
  <si>
    <t>Rack1 AZ1 ESXI Management Network</t>
  </si>
  <si>
    <t>Rack 1 AZ1 vMotion Network</t>
  </si>
  <si>
    <t>Rack 1 Principal Storage Network</t>
  </si>
  <si>
    <t>Rack 1 Uplink 01 Network</t>
  </si>
  <si>
    <t>Rack 1 Uplink 02 Network</t>
  </si>
  <si>
    <t>Rack 1 VRMS Network</t>
  </si>
  <si>
    <t xml:space="preserve"> Minimum 8 Characters, 1 Uppercase, 1 Special</t>
  </si>
  <si>
    <t xml:space="preserve"> Minimum 12 Characters, 1 Uppercase, 1 Special</t>
  </si>
  <si>
    <t xml:space="preserve"> Minimum 15 Characters, 1 Uppercase, 1 Special</t>
  </si>
  <si>
    <t xml:space="preserve"> Rack 1 Edge Node 2 (Primary AZ)</t>
  </si>
  <si>
    <t>MGMT Rack 1 Edge Node 2 (Primary AZ)</t>
  </si>
  <si>
    <t xml:space="preserve">Shared Edge and Compute </t>
  </si>
  <si>
    <t>Storage Type</t>
  </si>
  <si>
    <t>vVols storage protocol</t>
  </si>
  <si>
    <r>
      <t>User Name</t>
    </r>
    <r>
      <rPr>
        <i/>
        <sz val="12"/>
        <color rgb="FF000000"/>
        <rFont val="Helvetica"/>
        <family val="2"/>
      </rPr>
      <t xml:space="preserve"> </t>
    </r>
  </si>
  <si>
    <t>Workload Domain Switch Configuration Primary Cluster  VDS</t>
  </si>
  <si>
    <t xml:space="preserve">vSan Datastore Name </t>
  </si>
  <si>
    <t xml:space="preserve">vSAN Dedup and Compression </t>
  </si>
  <si>
    <t xml:space="preserve">Cluster Name </t>
  </si>
  <si>
    <t xml:space="preserve">NFS Datastore Name </t>
  </si>
  <si>
    <t>NFS Server Address</t>
  </si>
  <si>
    <t xml:space="preserve">NFS Share Path </t>
  </si>
  <si>
    <t xml:space="preserve">Workload Domain Storage Configuration Secondary Cluster </t>
  </si>
  <si>
    <t xml:space="preserve"> Network Pool  Name</t>
  </si>
  <si>
    <t>Host 5</t>
  </si>
  <si>
    <t>Host 6</t>
  </si>
  <si>
    <t>Host 7</t>
  </si>
  <si>
    <t>Host 8</t>
  </si>
  <si>
    <t>Host 9</t>
  </si>
  <si>
    <t>Host 10</t>
  </si>
  <si>
    <t>Host 11</t>
  </si>
  <si>
    <t>Host 12</t>
  </si>
  <si>
    <t>Host 13</t>
  </si>
  <si>
    <t>Host 14</t>
  </si>
  <si>
    <t>Host 15</t>
  </si>
  <si>
    <t>Host 16</t>
  </si>
  <si>
    <t>EVC</t>
  </si>
  <si>
    <t>vSAN Datastore FTT</t>
  </si>
  <si>
    <t>MGMT Domain Switch Configuration Primary Cluster  VDS</t>
  </si>
  <si>
    <t>Rack 1 Primary Cluster Portgroup Names  (Primary AZ)</t>
  </si>
  <si>
    <t>Secondary Cluster Portgroup Names  (Primary AZ)</t>
  </si>
  <si>
    <t>Tertiary Cluster Portgroup Names  (Primary AZ)</t>
  </si>
  <si>
    <t xml:space="preserve">MGMT Domain Storage Configuration Primary Cluster </t>
  </si>
  <si>
    <t xml:space="preserve">Workload Domain Storage Configuration Primary Cluster </t>
  </si>
  <si>
    <t>Management Domain Cluster Objects</t>
  </si>
  <si>
    <t>Workload Domain Primary  Cluster Objects</t>
  </si>
  <si>
    <t>Workload Domain Tertiary Cluster Objects</t>
  </si>
  <si>
    <t>Workload Domain Secondary  Cluster Objects</t>
  </si>
  <si>
    <t>Workload Domain Storage Configuration  Tertiary Cluster</t>
  </si>
  <si>
    <t xml:space="preserve">Private Cloud Automation IPs													</t>
  </si>
  <si>
    <t xml:space="preserve">Deploy a Secondary Cluster </t>
  </si>
  <si>
    <t>Failures to Tolerate</t>
  </si>
  <si>
    <t>Space efficiency</t>
  </si>
  <si>
    <t>IP Range</t>
  </si>
  <si>
    <t xml:space="preserve">Deploy a Tertiary Cluster </t>
  </si>
  <si>
    <t>Host Function</t>
  </si>
  <si>
    <t>Rack number Include</t>
  </si>
  <si>
    <t xml:space="preserve">Edge Clusters </t>
  </si>
  <si>
    <t>Hosts</t>
  </si>
  <si>
    <t>RTEP Network  Pool Name</t>
  </si>
  <si>
    <t>Intelligent Network Visibility  for VMware Cloud Foundation</t>
  </si>
  <si>
    <t>Private Cloud Automation  for VMware Cloud Foundation</t>
  </si>
  <si>
    <t>Intelligent Operations Management  for VMware Cloud Foundation</t>
  </si>
  <si>
    <t>Cross Cloud Mobility  for VMware Cloud Foundation</t>
  </si>
  <si>
    <t>VMware Cloud Foundation Aware Workspace ONE Access</t>
  </si>
  <si>
    <t>Note: If any cells state #N/A this means that you have enabled a Deployment Option that requires deployment of a component but you have not yet specified the relevant appliance size on the Management Domain Sizing Inputs.</t>
  </si>
  <si>
    <t>VMware Validated Solution Requirements</t>
  </si>
  <si>
    <t>VMware Validated Solutions Sizing Details</t>
  </si>
  <si>
    <t>No sizing optionality for the appliance</t>
  </si>
  <si>
    <t>XX-Large</t>
  </si>
  <si>
    <t>Cross Instance Overlay-Backed Segment</t>
  </si>
  <si>
    <t>CEIP</t>
  </si>
  <si>
    <t>NSX - Active Directory Domain Controller</t>
  </si>
  <si>
    <t>Local Instance Datacenter Name</t>
  </si>
  <si>
    <t>SRM License</t>
  </si>
  <si>
    <t>Site Recovery Manager (Workload Domain)</t>
  </si>
  <si>
    <t>Edge Overlay Pool: Start IP</t>
  </si>
  <si>
    <t>Edge Overlay Pool: End IP</t>
  </si>
  <si>
    <t>Start IP of the Edge Overlay Network Pool Range</t>
  </si>
  <si>
    <t>End IP of the Edge Overlay Network Pool Range</t>
  </si>
  <si>
    <t>NSX Edge Overlay Network Pool Name</t>
  </si>
  <si>
    <t>NSX Host Edge Network Pool Name</t>
  </si>
  <si>
    <t>Edge Overlay Network Pool Name</t>
  </si>
  <si>
    <t>AVI Load Balancer</t>
  </si>
  <si>
    <t>ESXi Management Network</t>
  </si>
  <si>
    <t xml:space="preserve">Deploy AVI Loadbalancer </t>
  </si>
  <si>
    <t>Management Domain AVI Load Balancer</t>
  </si>
  <si>
    <t>Avi Load Balancer Result</t>
  </si>
  <si>
    <t>Avi Load Balancer Appliance Size</t>
  </si>
  <si>
    <t>Excluded</t>
  </si>
  <si>
    <t>AVI Load Balancer CPU</t>
  </si>
  <si>
    <t>AVI Load Balancer Ram</t>
  </si>
  <si>
    <t>AVI Load Balancer Disk</t>
  </si>
  <si>
    <t>Avi LoadBalancer</t>
  </si>
  <si>
    <t>AVI Appliances</t>
  </si>
  <si>
    <t>AVI vCPU</t>
  </si>
  <si>
    <t>AVI RAM</t>
  </si>
  <si>
    <t>AVI Disk (GB)</t>
  </si>
  <si>
    <t xml:space="preserve">                                       </t>
  </si>
  <si>
    <t>AVI Load Valancer VIP</t>
  </si>
  <si>
    <t>AVI Load Balancer Node C</t>
  </si>
  <si>
    <t>AVI Load Balancer Node B</t>
  </si>
  <si>
    <t>AVI Load Balancer Node A</t>
  </si>
  <si>
    <t>AVI Load Balancer Virtual Server</t>
  </si>
  <si>
    <t>AVI Load Balancer Manager Node A</t>
  </si>
  <si>
    <t>AVI Load Balancer Manager Node B</t>
  </si>
  <si>
    <t>AVI Load Balancer Manager Node C</t>
  </si>
  <si>
    <t>Select Version</t>
  </si>
  <si>
    <t>Form Factor</t>
  </si>
  <si>
    <t>Settings</t>
  </si>
  <si>
    <t>Node 1 IP Address</t>
  </si>
  <si>
    <t>Node 2 IP Address</t>
  </si>
  <si>
    <t>Node 3 IP Address</t>
  </si>
  <si>
    <t>Cluster VIP</t>
  </si>
  <si>
    <t>AVI LB (root)</t>
  </si>
  <si>
    <t>AVI Load Balancer Cluster Name</t>
  </si>
  <si>
    <t>sfo-m01-avilb01</t>
  </si>
  <si>
    <t>Separate VLAN for Management VMs and ESXi Management VMK Interfaces</t>
  </si>
  <si>
    <t>Deploy Advanced Load Balancer</t>
  </si>
  <si>
    <t>Advanced Load Balancer</t>
  </si>
  <si>
    <t>AVI Load Balancer Version</t>
  </si>
  <si>
    <t>22.1.6</t>
  </si>
  <si>
    <t>AVI Load Balancer Cluster Version</t>
  </si>
  <si>
    <t>AVI Load Balancer Cluster version</t>
  </si>
  <si>
    <t>Avi Load Balancer</t>
  </si>
  <si>
    <t>Workladd Domain AVI Load Balancer</t>
  </si>
  <si>
    <t>Workload Domain Virtual Infrastructure Secondary Cluster Inputs</t>
  </si>
  <si>
    <t xml:space="preserve">Workload Domain Virtual Infrastructure Tertiary Cluster Inputs </t>
  </si>
  <si>
    <t>Shared Edge and Compute</t>
  </si>
  <si>
    <t>Dedicated Compute</t>
  </si>
  <si>
    <t>Dedicated Edge</t>
  </si>
  <si>
    <t>Rack 1 Node Count</t>
  </si>
  <si>
    <t>Rack 2 Node Count</t>
  </si>
  <si>
    <t>Rack 3 Node Count</t>
  </si>
  <si>
    <t>Rack 4 Node Count</t>
  </si>
  <si>
    <t>Rack 5 Node Count</t>
  </si>
  <si>
    <t>Rack 6 Node Count</t>
  </si>
  <si>
    <t>Rack 7 Node Count</t>
  </si>
  <si>
    <t>Rack 8  Node Count</t>
  </si>
  <si>
    <t>Management,vMotion,vSan,Overlay</t>
  </si>
  <si>
    <t>MGMT IP</t>
  </si>
  <si>
    <t>VM Management VLAN ID</t>
  </si>
  <si>
    <t>Configuration Detail</t>
  </si>
  <si>
    <t xml:space="preserve">Host Configuration and Commissioning Rack 2 </t>
  </si>
  <si>
    <t>ESX Management VLAN ID</t>
  </si>
  <si>
    <t xml:space="preserve">No Additional input required </t>
  </si>
  <si>
    <t>Network Type</t>
  </si>
  <si>
    <t xml:space="preserve">VLAN ID </t>
  </si>
  <si>
    <t xml:space="preserve">MTU </t>
  </si>
  <si>
    <t>NETWORK</t>
  </si>
  <si>
    <t xml:space="preserve">SUBNET MASK </t>
  </si>
  <si>
    <t>GATEWAY</t>
  </si>
  <si>
    <t>Included IP Address Ranges Start IP</t>
  </si>
  <si>
    <t>Included IP Address Ranges End IP</t>
  </si>
  <si>
    <t>Create Network Pool</t>
  </si>
  <si>
    <t>VSAN</t>
  </si>
  <si>
    <t xml:space="preserve">NFS </t>
  </si>
  <si>
    <t>Host Configuration and Commissioning Rack 3</t>
  </si>
  <si>
    <t>Host Configuration and Commissioning Rack 4</t>
  </si>
  <si>
    <t>Host Configuration and Commissioning Rack 5</t>
  </si>
  <si>
    <t>Host Configuration and Commissioning Rack 6</t>
  </si>
  <si>
    <t>Host Configuration and Commissioning Rack 7</t>
  </si>
  <si>
    <t>Host Configuration and Commissioning Rack 8</t>
  </si>
  <si>
    <t>Host Configuration and Commissioning Rack 1</t>
  </si>
  <si>
    <t>{</t>
  </si>
  <si>
    <t>},</t>
  </si>
  <si>
    <t>}</t>
  </si>
  <si>
    <t>]</t>
  </si>
  <si>
    <t>],</t>
  </si>
  <si>
    <t>"uplink2"</t>
  </si>
  <si>
    <t>Cyber Recovery Connector OVA Link</t>
  </si>
  <si>
    <t>svc-vlcr-vsphere</t>
  </si>
  <si>
    <t>VMware Live Cyber Recovery to vSphere Integration</t>
  </si>
  <si>
    <r>
      <t xml:space="preserve">Member </t>
    </r>
    <r>
      <rPr>
        <i/>
        <sz val="12"/>
        <color theme="1"/>
        <rFont val="Helvetica"/>
        <family val="2"/>
      </rPr>
      <t>(Cyber Recovery Connector Node 1)</t>
    </r>
  </si>
  <si>
    <t>no-reply-vlcr</t>
  </si>
  <si>
    <t>Verify the Integration of VMware Aria Automation with VMware Aria Operations for Private Cloud Automation for VMware Cloud Foundation</t>
  </si>
  <si>
    <t>Create Virtual Machine and Template Folder for the VMware Live Cyber Recovery Connector Appliances for Cloud-Based Ransomware Recovery for VMware Cloud Foundation</t>
  </si>
  <si>
    <r>
      <t xml:space="preserve">Folder Name </t>
    </r>
    <r>
      <rPr>
        <i/>
        <sz val="12"/>
        <color rgb="FF000000"/>
        <rFont val="Helvetica"/>
        <family val="2"/>
      </rPr>
      <t>(Cyber Recovery Connectors)</t>
    </r>
  </si>
  <si>
    <t>Deploy the VMware Live Cyber Recovery Connector Appliances for Cloud-Based Ransomware Recovery for VMware Cloud Foundation</t>
  </si>
  <si>
    <t>Configure a vSphere DRS Anti-Affinity Rule for the VMware Live Cyber Recovery Connector Appliances for Cloud-Based Ransomware Recovery for VMware Cloud Foundation</t>
  </si>
  <si>
    <r>
      <t xml:space="preserve">Member </t>
    </r>
    <r>
      <rPr>
        <i/>
        <sz val="12"/>
        <color theme="1"/>
        <rFont val="Helvetica"/>
        <family val="2"/>
      </rPr>
      <t>(Cyber Recovery Connector Node 2)</t>
    </r>
  </si>
  <si>
    <t>Dedicated Compute Cluster Hosts</t>
  </si>
  <si>
    <t xml:space="preserve">Dedicated Compute Cluster Hosts for API fucntion </t>
  </si>
  <si>
    <t xml:space="preserve">Dedicated Compute Cluster Host Overlay Network Profile for API function </t>
  </si>
  <si>
    <t xml:space="preserve">Dedicated Compute Cluster Host Uplink Profile for API function </t>
  </si>
  <si>
    <t xml:space="preserve">Dedicated Compute Cluster Host Pools for API function </t>
  </si>
  <si>
    <t xml:space="preserve">Dedicated Compute Cluster Host Overlay VLAN for API function </t>
  </si>
  <si>
    <t xml:space="preserve">Dedicated Compute Cluster Host Overlay CIDR for API function </t>
  </si>
  <si>
    <t xml:space="preserve">Dedicated Compute Cluster Host Overlay Gateway for API function </t>
  </si>
  <si>
    <t>"id": "&lt;------------Insert Host ID -------------&gt;",</t>
  </si>
  <si>
    <t>"clusterImageId": "&lt;------------Insert Image ID -------------&gt;"</t>
  </si>
  <si>
    <t xml:space="preserve">First Edge Rack Variables </t>
  </si>
  <si>
    <t xml:space="preserve">Second Edge Rack Variables </t>
  </si>
  <si>
    <t xml:space="preserve">Edge Node 1: MGMT Port Group VLAN </t>
  </si>
  <si>
    <t xml:space="preserve">Edge Node 2: MGMT Port Group VLAN </t>
  </si>
  <si>
    <t>Edge Node 1: Edge Overlay Start IP</t>
  </si>
  <si>
    <t>Edge Node 1: Edge Overlay End IP</t>
  </si>
  <si>
    <t>"clusterId":  "&lt;------------Insert Cluster  ID -------------&gt;",</t>
  </si>
  <si>
    <t>Edge Node 1: Edge Tep Pool Name</t>
  </si>
  <si>
    <t>Edge Node 1: Edge Overlay Cidr</t>
  </si>
  <si>
    <t>vSAN Fault Domain</t>
  </si>
  <si>
    <t>MGMT Rack 1 Profiles</t>
  </si>
  <si>
    <t>Rack 1 Profiles</t>
  </si>
  <si>
    <t>Rack 2 Profiles</t>
  </si>
  <si>
    <t>Rack 3 Profiles</t>
  </si>
  <si>
    <t>Rack 4 Profiles</t>
  </si>
  <si>
    <t>Rack 5 Profiles</t>
  </si>
  <si>
    <t>Rack 6 Profiles</t>
  </si>
  <si>
    <t>Rack 7 Profiles</t>
  </si>
  <si>
    <t>Rack 8 Profiles</t>
  </si>
  <si>
    <t>Edge Node 1: ASN Peer Tor 2</t>
  </si>
  <si>
    <t>Edge Node 1: ASN Peer Tor 1</t>
  </si>
  <si>
    <t>Edge Node 1: ASN Peer Tor 1 BGP Pass</t>
  </si>
  <si>
    <t>Edge Node 1: ASN Peer Tor 2 BGP Pass</t>
  </si>
  <si>
    <t>Edge Node 2: ASN Peer Tor 2 BGP Pass</t>
  </si>
  <si>
    <t>Edge Node 2: ASN Peer Tor 1 BGP Pass</t>
  </si>
  <si>
    <t>"computeSpec": {</t>
  </si>
  <si>
    <t>"clusterSpecs": [</t>
  </si>
  <si>
    <t>"hostSpecs": [</t>
  </si>
  <si>
    <t>"hostNetworkSpec": {</t>
  </si>
  <si>
    <t>"vmNics": [</t>
  </si>
  <si>
    <t>"id": "vmnic0",</t>
  </si>
  <si>
    <t>"uplink": "uplink1"</t>
  </si>
  <si>
    <t>"id": "vmnic1",</t>
  </si>
  <si>
    <t>"uplink": "uplink2"</t>
  </si>
  <si>
    <t>"datastoreSpec": {</t>
  </si>
  <si>
    <t>"vsanDatastoreSpec": {</t>
  </si>
  <si>
    <t>"esaConfig": {</t>
  </si>
  <si>
    <t>"networkSpec": {</t>
  </si>
  <si>
    <t>"vdsSpecs": [</t>
  </si>
  <si>
    <t>"portGroupSpecs": [</t>
  </si>
  <si>
    <t>"transportType": "MANAGEMENT",</t>
  </si>
  <si>
    <t>"standByUplinks": [],</t>
  </si>
  <si>
    <t>"teamingPolicy": "loadbalance_loadbased",</t>
  </si>
  <si>
    <t>"activeUplinks": [</t>
  </si>
  <si>
    <t>"uplink1",</t>
  </si>
  <si>
    <t>"transportType": "VMOTION",</t>
  </si>
  <si>
    <t>"transportType": "VSAN",</t>
  </si>
  <si>
    <t>"nsxtSwitchConfig": {</t>
  </si>
  <si>
    <t>"hostSwitchOperationalMode": "STANDARD",</t>
  </si>
  <si>
    <t>"transportZones": [</t>
  </si>
  <si>
    <t>"transportType": "VLAN"</t>
  </si>
  <si>
    <t>"transportType": "OVERLAY"</t>
  </si>
  <si>
    <t>"networkProfiles": [</t>
  </si>
  <si>
    <t>"isDefault": true,</t>
  </si>
  <si>
    <t>"nsxtHostSwitchConfigs": [</t>
  </si>
  <si>
    <t>"vdsUplinkToNsxUplink": [</t>
  </si>
  <si>
    <t>"nsxUplinkName": "uplink1",</t>
  </si>
  <si>
    <t>"vdsUplinkName": "uplink1"</t>
  </si>
  <si>
    <t>"nsxUplinkName": "uplink2",</t>
  </si>
  <si>
    <t>"vdsUplinkName": "uplink2"</t>
  </si>
  <si>
    <t>"isDefault": false,</t>
  </si>
  <si>
    <t>"nsxClusterSpec": {</t>
  </si>
  <si>
    <t>"nsxTClusterSpec": {</t>
  </si>
  <si>
    <t>"ipAddressPoolsSpec": [</t>
  </si>
  <si>
    <t>"subnets": [</t>
  </si>
  <si>
    <t>"ipAddressPoolRanges": [</t>
  </si>
  <si>
    <t>"uplinkProfiles": [</t>
  </si>
  <si>
    <t>"teamings": [</t>
  </si>
  <si>
    <t>"name": "DEFAULT",</t>
  </si>
  <si>
    <t>"policy": "LOADBALANCE_SRCID",</t>
  </si>
  <si>
    <t>"nsxTSpec": {</t>
  </si>
  <si>
    <t>"formFactor": "MEDIUM",</t>
  </si>
  <si>
    <t>"nsxManagerSpecs": [</t>
  </si>
  <si>
    <t>"networkDetailsSpec": {</t>
  </si>
  <si>
    <t>"nsxManagerAdminPassword": "VMw@re1!VMw@re1!"</t>
  </si>
  <si>
    <t xml:space="preserve">USE /v1/Personalities to list availaible Cluster Image Ids </t>
  </si>
  <si>
    <t xml:space="preserve">Create Custom Switch Configuraton </t>
  </si>
  <si>
    <t xml:space="preserve">Copy From Preconfigured Profile </t>
  </si>
  <si>
    <t>Number of Uplinks</t>
  </si>
  <si>
    <t>uplink1</t>
  </si>
  <si>
    <t>uplink2</t>
  </si>
  <si>
    <t>Number of uplinks</t>
  </si>
  <si>
    <t>Management Distributed PortGroup Name</t>
  </si>
  <si>
    <t>vMotion Distributed Portgroup Name</t>
  </si>
  <si>
    <t>NSX Overlay Traffic  VLAN ID</t>
  </si>
  <si>
    <t>NSX Overlay Traffic VLAN ID</t>
  </si>
  <si>
    <t>vSAN Distributed Portgroup Name</t>
  </si>
  <si>
    <t>Static IP Pool</t>
  </si>
  <si>
    <t>Cluster 2: Host Overlay Start IP</t>
  </si>
  <si>
    <t>Cluster 2: Host Overlay End IP</t>
  </si>
  <si>
    <t>Cluster 1: Host Overlay End IP</t>
  </si>
  <si>
    <t>Cluster 1: Host Overlay Start IP</t>
  </si>
  <si>
    <t>Cluster 2: Host Overlay Tep Pool Name</t>
  </si>
  <si>
    <t>Cluster 1: Host Overlay Pool Name</t>
  </si>
  <si>
    <t>Cluster 2: Host Overlay Gateway</t>
  </si>
  <si>
    <t>Cluster 1: Host Overlay Gateway</t>
  </si>
  <si>
    <t>Cluster 1: Host Overlay CIDR</t>
  </si>
  <si>
    <t>Cluster 2: Host Overlay CIDR</t>
  </si>
  <si>
    <t>Cluster 1: Host Overlay VLAN</t>
  </si>
  <si>
    <t>Cluster 2: Host Overlay VLAN</t>
  </si>
  <si>
    <t xml:space="preserve">Lifecycle Management </t>
  </si>
  <si>
    <t>Cluster 1: Uplink Profile Name</t>
  </si>
  <si>
    <t>Cluster 2: Uplink Profile Name</t>
  </si>
  <si>
    <t>NSX Uplink Profile Name</t>
  </si>
  <si>
    <t>"edgeTepIpAddressPool": {</t>
  </si>
  <si>
    <t>"interRackCluster": "false",</t>
  </si>
  <si>
    <t>"uplinkNetwork": [</t>
  </si>
  <si>
    <t>"bgpPeers": [</t>
  </si>
  <si>
    <t>vSwitch0</t>
  </si>
  <si>
    <t>vSphere Standard Switch - Management</t>
  </si>
  <si>
    <t>vSphere Standard Switch Name</t>
  </si>
  <si>
    <t>Deploy a Vector Database by Using a Self-Service Catalog Item in VMware Aria Automation for RAG Workloads for Private AI Ready Infrastructure for VMware Cloud Foundation</t>
  </si>
  <si>
    <t>Create a Vector Database Catalog Item in VMware Aria Automation for RAG Workloads for Private AI Ready Infrastructure for VMware Cloud Foundation</t>
  </si>
  <si>
    <t>Provision a Tanzu Kubernetes Grid Cluster from the VMware Aria Automation Self-Service Catalog for Private AI Ready Infrastructure for VMware Cloud Foundation</t>
  </si>
  <si>
    <t>Deploy a Deep Learning VM from the VMware Aria Automation Self-Service Catalog for Private AI Ready Infrastructure for VMware Cloud Foundation</t>
  </si>
  <si>
    <t>Content Library Name</t>
  </si>
  <si>
    <t>Create a Content Library with Deep Learning VM Images for Private AI Ready Infrastructure for VMware Cloud Foundation</t>
  </si>
  <si>
    <t>Deploy VMware Data Services Manager for Private AI Ready Infrastructure for VMware Cloud Foundation</t>
  </si>
  <si>
    <t>Create AI Self-Service Catalog Items in VMware Aria Automation for Private AI Ready Infrastructure for VMware Cloud Foundation</t>
  </si>
  <si>
    <t>GPU Operator Network Namespace</t>
  </si>
  <si>
    <t>Install the NVIDIA Network Operator for Private AI Ready Infrastructure for VMware Cloud Foundation</t>
  </si>
  <si>
    <t>GPU Operator Namespace</t>
  </si>
  <si>
    <t>Install the NVIDIA GPU Operator for Private AI Ready Infrastructure for VMware Cloud Foundation</t>
  </si>
  <si>
    <t>Provision a Tanzu Kubernetes Grid Cluster for Private AI Ready Infrastructure for VMware Cloud Foundation</t>
  </si>
  <si>
    <t>GPU VM Class Mem Reservation</t>
  </si>
  <si>
    <t>GPU VM Class CPU Reservation</t>
  </si>
  <si>
    <t>GPU VM Class</t>
  </si>
  <si>
    <t>Add GPU-Enabled VM Classes for the Tanzu Kubernetes Grid Cluster for Private AI Ready Infrastructure for VMware Cloud Foundation</t>
  </si>
  <si>
    <t>Create a Namespace for the Tanzu Kubernetes Grid Cluster for Private AI Ready Infrastructure for VMware Cloud Foundation</t>
  </si>
  <si>
    <t>&lt;harbor_server_fqdn&gt;</t>
  </si>
  <si>
    <t>HarbourValuesYAML</t>
  </si>
  <si>
    <t>HarbourDefinitionYAML</t>
  </si>
  <si>
    <t>contour-data-values.yaml</t>
  </si>
  <si>
    <t>Contour Values YAML</t>
  </si>
  <si>
    <t>contour.yaml</t>
  </si>
  <si>
    <t>Contour Definition YAML</t>
  </si>
  <si>
    <t>Install the Vendor GPU Driver on the ESXi Hosts for Private AI Ready Infrastructure for VMware Cloud Foundation</t>
  </si>
  <si>
    <t>Enable vSphere vMotion for vGPU-Enabled Virtual Machines for Private AI Ready Infrastructure for VMware Cloud Foundation</t>
  </si>
  <si>
    <t>This page contains all user required values used during the deployment of the Private AI Ready Infrastruture Validated Solution. Each table and value maps directly to a process in the deployment guidance documentation.</t>
  </si>
  <si>
    <t>Private AI Ready Infrastructure Validated Solution</t>
  </si>
  <si>
    <t>Private AI Ready Infrastructure References</t>
  </si>
  <si>
    <t>Private AI License</t>
  </si>
  <si>
    <t>Harbor Hostname</t>
  </si>
  <si>
    <t>Harbor Envoy Ingress IP</t>
  </si>
  <si>
    <t>GPU Network Operator Namespace</t>
  </si>
  <si>
    <t>nvidia-network-operator</t>
  </si>
  <si>
    <t>gpu-operator</t>
  </si>
  <si>
    <t>vgpu-a100-16vcpu-128gb</t>
  </si>
  <si>
    <t>Private AI Ready Infrastructure Inputs</t>
  </si>
  <si>
    <t>Private AI Ready Infrastructure using VMware Cloud Foundation</t>
  </si>
  <si>
    <t>Private AI Ready Infrastructure</t>
  </si>
  <si>
    <r>
      <t xml:space="preserve">vCenter Server, where vSphere Replication is registered </t>
    </r>
    <r>
      <rPr>
        <i/>
        <sz val="12"/>
        <color theme="1"/>
        <rFont val="Helvetica"/>
        <family val="2"/>
      </rPr>
      <t>(Management Domain)</t>
    </r>
  </si>
  <si>
    <r>
      <t>vCenter Server, where vSphere Replication is registered</t>
    </r>
    <r>
      <rPr>
        <i/>
        <sz val="12"/>
        <color theme="1"/>
        <rFont val="Helvetica"/>
        <family val="2"/>
      </rPr>
      <t xml:space="preserve"> (VI Workload Domain)</t>
    </r>
  </si>
  <si>
    <t xml:space="preserve">Min Number of Racks with Dedicated Edges </t>
  </si>
  <si>
    <t xml:space="preserve">Min Number of Racks without Dedicated Edges </t>
  </si>
  <si>
    <t>vmnic2</t>
  </si>
  <si>
    <t>vmnic3</t>
  </si>
  <si>
    <t>vmnic4</t>
  </si>
  <si>
    <t>vmnic5</t>
  </si>
  <si>
    <t>xint-vm-group-operations</t>
  </si>
  <si>
    <t>xint-vm-group-automation</t>
  </si>
  <si>
    <t>Import the Workspace ONE Access Certificate to VMware Aria Suite Lifecycle</t>
  </si>
  <si>
    <t>Add Workspace ONE Access Passwords to VMware Aria Suite Lifecycle</t>
  </si>
  <si>
    <t>"id": "vmnic2",</t>
  </si>
  <si>
    <t>"id": "vmnic3",</t>
  </si>
  <si>
    <t>"id": "vmnic4",</t>
  </si>
  <si>
    <t>"id": "vmnic5",</t>
  </si>
  <si>
    <t>USE /v1/Hosts to list availaible hosts Detail incl ID's</t>
  </si>
  <si>
    <t>Network Inputs Racks</t>
  </si>
  <si>
    <t>Network Inputs - VVS</t>
  </si>
  <si>
    <t>Name &amp; IP Address Inputs - VM</t>
  </si>
  <si>
    <t>Name &amp; IP Address Inputs - Rack</t>
  </si>
  <si>
    <t>SDDC Inputs - Common</t>
  </si>
  <si>
    <t>SDDC Inputs - Rack</t>
  </si>
  <si>
    <t>Aria Lifecycle &amp; VCF Aware WSA</t>
  </si>
  <si>
    <t>VI Workload Domain Rack Config</t>
  </si>
  <si>
    <t>Configure all NSX Nodes to Forward Logs to VMware Aria Operations for Logs for Intelligent Logging and Analytics for VMware Cloud Foundation</t>
  </si>
  <si>
    <r>
      <t xml:space="preserve">Username </t>
    </r>
    <r>
      <rPr>
        <i/>
        <sz val="12"/>
        <color theme="1"/>
        <rFont val="Helvetica"/>
        <family val="2"/>
      </rPr>
      <t>(VMware Depot User)</t>
    </r>
  </si>
  <si>
    <r>
      <t xml:space="preserve">Password </t>
    </r>
    <r>
      <rPr>
        <i/>
        <sz val="12"/>
        <color rgb="FF000000"/>
        <rFont val="Helvetica"/>
        <family val="2"/>
      </rPr>
      <t>(VMware Depot User)</t>
    </r>
  </si>
  <si>
    <t>v1.5.2.001</t>
  </si>
  <si>
    <t>07/23/2024</t>
  </si>
  <si>
    <t>support.broadcom.com</t>
  </si>
  <si>
    <t>Edge Deployment Model</t>
  </si>
  <si>
    <t>Internet Proxy</t>
  </si>
  <si>
    <t>Offline Depot</t>
  </si>
  <si>
    <t>Username (Offline Depot User)</t>
  </si>
  <si>
    <t>Password (Offline Depot User)</t>
  </si>
  <si>
    <t>Username (Proxy User)</t>
  </si>
  <si>
    <t>Password (Proxy Password)</t>
  </si>
  <si>
    <t>Proxy Settings</t>
  </si>
  <si>
    <t>Proxy Type</t>
  </si>
  <si>
    <t>Address</t>
  </si>
  <si>
    <t>Depot Settings</t>
  </si>
  <si>
    <t>HTTPS</t>
  </si>
  <si>
    <t>Authentication</t>
  </si>
  <si>
    <t>internet-proxy.rainpole.io</t>
  </si>
  <si>
    <t>offline-depot</t>
  </si>
  <si>
    <t xml:space="preserve">Username </t>
  </si>
  <si>
    <t>Configure a Internet Proxy in SDDC Manager</t>
  </si>
  <si>
    <t>Configure a Offline Depot in SDDC Manager</t>
  </si>
  <si>
    <t>Proxy Address</t>
  </si>
  <si>
    <t>Proy Port</t>
  </si>
  <si>
    <t>Offline Depot Hostname</t>
  </si>
  <si>
    <t>Offline Depot Port</t>
  </si>
  <si>
    <t>Proxy Password</t>
  </si>
  <si>
    <t>Proxy User</t>
  </si>
  <si>
    <t>Offline Depot Password</t>
  </si>
  <si>
    <t>Offline Depot User</t>
  </si>
  <si>
    <t>Proxy Authentication</t>
  </si>
  <si>
    <t>Management Domain Sizing</t>
  </si>
  <si>
    <t xml:space="preserve">These tabs do not require direct user inputs. Instead, all the values displayed are consolidated from the various input tabs to present the information required to execute the respective deployment. On each of these tabs is a series of tables that map directly to the names of the processes being followed in the deployment guides. </t>
  </si>
  <si>
    <t>General Guidance
• Configure the Assumptions and Host parameters according to your preference. All green cells are user-configurable either via drop-down or manual value entry.
• When choosing appliance sizes on this tab or later in the workbook  for VMware Aria  Suite and Workspace ONE Access, consider sizing them to support the end state of the environment after predicted growth to reduce the potential impact of having to increase the sizes of appliance or the management domain itself in the future
• Management Domain Assumptions and Management Domain Host Parameters do not apply to the Workload Domains. Each workload domain may have its own user-defined values for these parameters, which are not listed here as they do not directly impact the sizing of the management domain.
• The over-subscription ratio maximums of 2:1 are designed to ensure a performant management domain for most deployments. Regardless of the ratios you choose, you should monitor the platform continuously and add hardware if consistent performance bottlenecks are observed
vSphere and NSX-T Sizing
• As each workload domain requires additional vSphere and, optionally, NSX-T components to be deployed, this tab allows you to correctly calculate the requirements for your management domain by selecting the intended number and profile of workload domains you intend to deploy.
• This workbook allows for gathering inputs for the management domain and the first workload domain only (w01). To gather inputs for subsequent workload domains (w02 through w24), you should use separate copies of this file for each domain.
• The management domain is mandatory and cannot be deselected. Its NSX-T Manager instance is mandatory and dedicated. 
• The first workload domain (w01) is included or excluded based on the choice made on the Deployment Options Tab. The remaining workload domains (w02 through w24) may be enabled manually on this tab, and their intended profiles may be selected. 
• The NSX-T instance for the first workload domain is mandatory, but subsequent VI workload domains may share this instance or deploy their dedicated instance. Isolated VI workload domains must use their dedicated instance.
• A maximum of four NSX-T Local Manager instances may be federated by a single NSX-T Global Manager instance. This includes inter-region and intra-region NSX-T Local Manager instances. Factor in this maximum when deciding whether to include Global Manager resources for a new workload domain.
Site Protection
• Site Protection &amp; Disaster Recovery for w01 is included or excluded based on the choice made on the Deployment Options Tab, and that choice affects w01 only. The remaining workload domains (w02 through w24) may be enabled manually on this tab in order to determine the requirements for hosting all SRM appliances.</t>
  </si>
  <si>
    <t>Storage Traffic and NSX Traffic Separation</t>
  </si>
  <si>
    <t>NSX Traffic Separation</t>
  </si>
  <si>
    <t>Storage Traffic Separation</t>
  </si>
  <si>
    <t xml:space="preserve">This page contains all user-required values used during the deployment of the Multi Rack Workload Domain. Some system-generated values (Host IDs) must be obtained once hosts are commissioned. </t>
  </si>
  <si>
    <t xml:space="preserve">This example show first four host based on the vlaue entered previously within the document </t>
  </si>
  <si>
    <t xml:space="preserve">You can add additional hosts following the same format in the sample json. </t>
  </si>
  <si>
    <t xml:space="preserve">This page contains all user-required values used during the deployment of the Edge Nodes. Some system-generated values (Cluster IDs) must be obtained once cluster is deployed.. </t>
  </si>
  <si>
    <t>USE /v1/Clusters to list availaible Cluster Details incl ID's</t>
  </si>
  <si>
    <t>Edge Deployment Model 2 Node Json</t>
  </si>
  <si>
    <t>Edge Deployment Model 4 Node Json</t>
  </si>
  <si>
    <t>Use the SDDC Manager Devcenter to capture Cluster ID</t>
  </si>
  <si>
    <t xml:space="preserve">Use the SDDC Manager Devcenter to capture the Cluster Image ID for the initial cluster deployment. </t>
  </si>
  <si>
    <t xml:space="preserve">Use the SDDC Manager Devcenter to capture the Host IDs for the initial cluster deployment. </t>
  </si>
  <si>
    <t>Create vSAN Fault Domains for each Rack</t>
  </si>
  <si>
    <t>Rack 1</t>
  </si>
  <si>
    <t>Rack 2</t>
  </si>
  <si>
    <t>Rack 3</t>
  </si>
  <si>
    <t>Rack 4</t>
  </si>
  <si>
    <t>Rack 5</t>
  </si>
  <si>
    <t>Rack 6</t>
  </si>
  <si>
    <t>Rack 7</t>
  </si>
  <si>
    <t>Rack 8</t>
  </si>
  <si>
    <t>Disable vSAN Auto-Policy Management</t>
  </si>
  <si>
    <t>Unconfigured</t>
  </si>
  <si>
    <t>Create and Assign and new  vSAN Storage Policy</t>
  </si>
  <si>
    <t>Failures to tolerate</t>
  </si>
  <si>
    <t>Import the VMware Aria Automation OVA to vSphere Content Library for Private Cloud Automation for VMware Cloud Foundation</t>
  </si>
  <si>
    <t>Import the VMware Aria Operations for Logs OVA to vSphere Content Library for Intelligent Logging and Analytics for VMware Cloud Foundation</t>
  </si>
  <si>
    <t>Import the VMware Aria Operations OVA to vSphere Content Library for Intelligent Operations Management for VMware Cloud Foundation</t>
  </si>
  <si>
    <t>Import the VMware Aria Operations for Networks OVA to vSphere Content Library for Intelligent Network Visibility for VMware Cloud Foundation</t>
  </si>
  <si>
    <t>Service Interface IP Address of NSX Load Balancer used for VMware Aria Components</t>
  </si>
  <si>
    <t>Cloud Proxy 1 of VMware Aria Operations</t>
  </si>
  <si>
    <t>Cloud Proxy 2 of VMware Aria Operations</t>
  </si>
  <si>
    <t xml:space="preserve">Primay node of VMware Aria Operations for Networks </t>
  </si>
  <si>
    <t>Cloud Proxy 1 of VMware Aria Operations for Networks</t>
  </si>
  <si>
    <t>Configure NTP on Workspace ONE Access</t>
  </si>
  <si>
    <t>Configure the Domain and Domain Search Parameters on Workspace ONE Access</t>
  </si>
  <si>
    <t>Assign Roles to Active Directory Groups for Workspace ONE Access</t>
  </si>
  <si>
    <t>gg-lcm-admins</t>
  </si>
  <si>
    <t>gg-lcm-release-managers</t>
  </si>
  <si>
    <t>gg-lcm-content-developers</t>
  </si>
  <si>
    <t>gg-idm-admins</t>
  </si>
  <si>
    <t>gg-idm-directory-admins</t>
  </si>
  <si>
    <t>gg-idm-read-only</t>
  </si>
  <si>
    <t>NSX</t>
  </si>
  <si>
    <t>anti-affinity-rule-idm</t>
  </si>
  <si>
    <t>Role name</t>
  </si>
  <si>
    <t>Role Name</t>
  </si>
  <si>
    <t>xint-ops-root</t>
  </si>
  <si>
    <r>
      <rPr>
        <sz val="12"/>
        <color theme="1"/>
        <rFont val="Helvetica"/>
        <family val="2"/>
      </rPr>
      <t xml:space="preserve">(Optional) </t>
    </r>
    <r>
      <rPr>
        <b/>
        <sz val="12"/>
        <color theme="1"/>
        <rFont val="Helvetica"/>
        <family val="2"/>
      </rPr>
      <t>Password</t>
    </r>
  </si>
  <si>
    <r>
      <rPr>
        <sz val="12"/>
        <color theme="1"/>
        <rFont val="Helvetica"/>
        <family val="2"/>
      </rPr>
      <t xml:space="preserve">(Optional) </t>
    </r>
    <r>
      <rPr>
        <b/>
        <sz val="12"/>
        <color theme="1"/>
        <rFont val="Helvetica"/>
        <family val="2"/>
      </rPr>
      <t>User name</t>
    </r>
  </si>
  <si>
    <t>&lt;sddc_manager_server_fqdn&gt;</t>
  </si>
  <si>
    <t>VI Workload Domain Local Manager</t>
  </si>
  <si>
    <t>VI Workload Domain Global Manager</t>
  </si>
  <si>
    <t>&lt;workload_nsx_manager_fqdn&gt;</t>
  </si>
  <si>
    <t>&lt;managment_nsx_manager_fqdn&gt;</t>
  </si>
  <si>
    <t>VMware Aria Operations Cluster Appliance Size</t>
  </si>
  <si>
    <t>VMware Aria Operations Cloud Proxy Appliance Size</t>
  </si>
  <si>
    <t>vm-vm-rule-idm-operations</t>
  </si>
  <si>
    <t>vm-vm-rule-idm-automation</t>
  </si>
  <si>
    <t>gg-logs-admins</t>
  </si>
  <si>
    <t>gg-logs-users</t>
  </si>
  <si>
    <t>gg-logs-viewers</t>
  </si>
  <si>
    <t>svc-idm-ad</t>
  </si>
  <si>
    <r>
      <rPr>
        <sz val="12"/>
        <color theme="1"/>
        <rFont val="Helvetica"/>
        <family val="2"/>
      </rPr>
      <t xml:space="preserve">(Optional) </t>
    </r>
    <r>
      <rPr>
        <b/>
        <sz val="12"/>
        <color theme="1"/>
        <rFont val="Helvetica"/>
        <family val="2"/>
      </rPr>
      <t>User Name</t>
    </r>
  </si>
  <si>
    <r>
      <rPr>
        <sz val="12"/>
        <color theme="1"/>
        <rFont val="Helvetica"/>
        <family val="2"/>
      </rPr>
      <t>(Optional)</t>
    </r>
    <r>
      <rPr>
        <b/>
        <sz val="12"/>
        <color theme="1"/>
        <rFont val="Helvetica"/>
        <family val="2"/>
      </rPr>
      <t xml:space="preserve"> Password</t>
    </r>
  </si>
  <si>
    <t>sfo-w01-registry01</t>
  </si>
  <si>
    <t xml:space="preserve">Harbor </t>
  </si>
  <si>
    <t>xint-cmp-root</t>
  </si>
  <si>
    <t>gg-ops-admins</t>
  </si>
  <si>
    <t>gg-ops-content-admins</t>
  </si>
  <si>
    <t>gg-ops-read-only</t>
  </si>
  <si>
    <t>gg-cmp-org-owners</t>
  </si>
  <si>
    <t>gg-cmp-cloud-assembly-admins</t>
  </si>
  <si>
    <t>gg-cmp-cloud-assembly-users</t>
  </si>
  <si>
    <t>gg-cmp-cloud-assembly-viewers</t>
  </si>
  <si>
    <t>gg-cmp-service-broker-admins</t>
  </si>
  <si>
    <t>gg-cmp-service-broker-users</t>
  </si>
  <si>
    <t>gg-cmp-service-broker-viewers</t>
  </si>
  <si>
    <t>gg-cmp-orchestrator-admins</t>
  </si>
  <si>
    <t>gg-cmp-orchestrator-designers</t>
  </si>
  <si>
    <t>gg-cmp-orchestrator-viewers</t>
  </si>
  <si>
    <t>gg-cmp-project-admins-sample</t>
  </si>
  <si>
    <t>gg-cmp-project-users-sample</t>
  </si>
  <si>
    <t>Configure Service Account Permissions for the VMware Aria Automation to NSX Integration on the VI Workload Domain NSX Manager Cluster for Private Cloud Automation</t>
  </si>
  <si>
    <t>svc-ops-vcf</t>
  </si>
  <si>
    <t>svc-ops-vsphere</t>
  </si>
  <si>
    <t>svc-ops-cmp</t>
  </si>
  <si>
    <t>svc-net-ad</t>
  </si>
  <si>
    <t>svc-net-vsphere</t>
  </si>
  <si>
    <t>svc-cmp-vsphere</t>
  </si>
  <si>
    <t>svc-cmp-nsx</t>
  </si>
  <si>
    <t>svc-cmp-vcf</t>
  </si>
  <si>
    <t>svc-orch-vsphere</t>
  </si>
  <si>
    <t>svc-cmp-ops</t>
  </si>
  <si>
    <t>svc-hrm-ops</t>
  </si>
  <si>
    <t>SDDC Manager Network Pool Name</t>
  </si>
  <si>
    <t>NSX Uplink Profile</t>
  </si>
  <si>
    <t>vmnic0</t>
  </si>
  <si>
    <t>vmnic1</t>
  </si>
  <si>
    <t>EUR</t>
  </si>
  <si>
    <t>NSX Host Overlay Network Pool Description</t>
  </si>
  <si>
    <t>Deploy Parameters Tab</t>
  </si>
  <si>
    <t>License Now</t>
  </si>
  <si>
    <t xml:space="preserve">VCF Solution Licensing </t>
  </si>
  <si>
    <t>VI WLD Multi Rack API Sample</t>
  </si>
  <si>
    <t>VI WLD Multi Rack EdgeAPI Sample</t>
  </si>
  <si>
    <t>Deploy a Multi Rack Cluster in a VI Workload Domain</t>
  </si>
  <si>
    <t>Use Sample JSON to Build Multi Rack Workload Domain</t>
  </si>
  <si>
    <t>Create am NSX Edge Cluster for Multi Rack</t>
  </si>
  <si>
    <t>Use Sample JSON to Create am NSX Edge Cluster for Multi Rack</t>
  </si>
  <si>
    <t>VI WLD Multi Rack Edge Deployment API Sample</t>
  </si>
  <si>
    <t>Deploy Layer 3 Multi Rack Configuration</t>
  </si>
  <si>
    <t>Virtual Infrastructure (VI) Workload Domain: Layer 3 Multi Rack Deployment Options</t>
  </si>
  <si>
    <t>NSX Client Certificate Credentials</t>
  </si>
  <si>
    <t>Extra_Large</t>
  </si>
  <si>
    <r>
      <t xml:space="preserve">VMware Aria Suite </t>
    </r>
    <r>
      <rPr>
        <sz val="12"/>
        <color theme="1"/>
        <rFont val="Helvetica"/>
        <family val="2"/>
      </rPr>
      <t>(optional)</t>
    </r>
  </si>
  <si>
    <t>License Later</t>
  </si>
  <si>
    <t xml:space="preserve">
1.
2.
3.
4.
5.
6.
7.
8.
9.
10.
11.
12.
13.
14.
15.
16.
17.
18.
</t>
  </si>
  <si>
    <t xml:space="preserve"> - Added Support for VCF 5.2 
 - Added Multi Rack Deployment Option
   - Updated Sample IP addresses
   - Updated Sample BGP values
   - Updated ESXi Hosts name to include rack identifier 
   - Added an additional Tab with JSON Examples for Multi Rack deployment 
   - Added an additional Tab with JSON Examples for Edge Deployment in Multi Rack configuration
   - Network Input Tabs split into two distinct tabs to separate Rack and VVS Network Inputs
   - The Name and IP Address Input tab is split into two distinct tabs to separate Rack specific names and IP addresses from those that are not.
   - The SDDC Input tab is split into two distinct tabs to separate SDDC Input values that are Rack specific and those that are not.
   - Updated VI Workload Domain Rack Config to remove duplicate information and support Multi Rack 
- Added VCF Component licensing Option
- Updated Passwords to show complexity requirements
- Removed reference columns from output tabs.
- Added AVI deployment option
- Updated to allow users to set the appropriate VMware Validated Solution appliance size in Management Domain Sizing Inputs rather than in each specific VVS
- Added Supported for vSAN MAX as a support Primary Storage option. 
- Removed NSX sharing restriction for Isolated Workload Domains on Management Domain Sizing Inputs
- Added Offline Depot deployment option
- Added Internet Proxy deployment option
- Added Private AI for VMware Cloud Foundation
- Removed Cloud-Based Workload Protection
- Removed SDDC Manager License inputs</t>
  </si>
  <si>
    <t>Aria Automation Virtual Server</t>
  </si>
  <si>
    <t>Aria Automation Node A</t>
  </si>
  <si>
    <t>Aria Automation Node B</t>
  </si>
  <si>
    <t>Aria Automation Node C</t>
  </si>
  <si>
    <t>Aria Operatons for Logs Virtual Server</t>
  </si>
  <si>
    <t>Aria Operatons for Logs Node A</t>
  </si>
  <si>
    <t>Aria Operatons for Logs Node B</t>
  </si>
  <si>
    <t>Aria Operatons for Logs Node C</t>
  </si>
  <si>
    <t>Aria Operatons Virtual Server</t>
  </si>
  <si>
    <t>Aria Operatons Node A</t>
  </si>
  <si>
    <t>Aria Operatons Node B</t>
  </si>
  <si>
    <t>Aria Operatons Node C</t>
  </si>
  <si>
    <t>Aria Operatons Collector A</t>
  </si>
  <si>
    <t>Aria Operatons Collector B</t>
  </si>
  <si>
    <t>Aria Operatons Remote Collector A</t>
  </si>
  <si>
    <t>Aria Operatons Remote Collector B</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</si>
  <si>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</si>
  <si>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</si>
  <si>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</si>
  <si>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</si>
  <si>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</si>
  <si>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</si>
  <si>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</si>
  <si>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</si>
  <si>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</si>
  <si>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</si>
  <si>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</si>
  <si>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</si>
  <si>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</si>
  <si>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</si>
  <si>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</si>
  <si>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</si>
  <si>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</si>
  <si>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</si>
  <si>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</si>
  <si>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</si>
  <si>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</si>
  <si>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</si>
  <si>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</si>
  <si>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BYR</t>
  </si>
  <si>
    <t>BZD</t>
  </si>
  <si>
    <t>CAD</t>
  </si>
  <si>
    <t>CDF</t>
  </si>
  <si>
    <t>CHF</t>
  </si>
  <si>
    <t>CLF</t>
  </si>
  <si>
    <t>CLP</t>
  </si>
  <si>
    <t>CNY</t>
  </si>
  <si>
    <t>COP</t>
  </si>
  <si>
    <t>COU</t>
  </si>
  <si>
    <t>CRC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</si>
  <si>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</si>
  <si>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</si>
  <si>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</si>
  <si>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</si>
  <si>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</si>
  <si>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</si>
  <si>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</si>
  <si>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</si>
  <si>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</si>
  <si>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</si>
  <si>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</si>
  <si>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</si>
  <si>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</si>
  <si>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</si>
  <si>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</si>
  <si>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</si>
  <si>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</si>
  <si>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</si>
  <si>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</si>
  <si>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</si>
  <si>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</si>
  <si>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</si>
  <si>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</si>
  <si>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</si>
  <si>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</si>
  <si>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</si>
  <si>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</si>
  <si>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</si>
  <si>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</si>
  <si>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</si>
  <si>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</si>
  <si>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</si>
  <si>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</si>
  <si>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</si>
  <si>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</si>
  <si>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</si>
  <si>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</si>
  <si>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</si>
  <si>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</si>
  <si>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</si>
  <si>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</si>
  <si>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</si>
  <si>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</si>
  <si>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</si>
  <si>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</si>
  <si>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</si>
  <si>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</si>
  <si>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</si>
  <si>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LVL</t>
  </si>
  <si>
    <t>LYD</t>
  </si>
  <si>
    <t>MAD</t>
  </si>
  <si>
    <t>MDL</t>
  </si>
  <si>
    <t>MGA</t>
  </si>
  <si>
    <t>MKD</t>
  </si>
  <si>
    <t>MMK</t>
  </si>
  <si>
    <t>MNT</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</si>
  <si>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</si>
  <si>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</si>
  <si>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</si>
  <si>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</si>
  <si>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</si>
  <si>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</si>
  <si>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</si>
  <si>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</si>
  <si>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</si>
  <si>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</si>
  <si>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</si>
  <si>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</si>
  <si>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</si>
  <si>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</si>
  <si>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</si>
  <si>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</si>
  <si>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</si>
  <si>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</si>
  <si>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</si>
  <si>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</si>
  <si>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</si>
  <si>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</si>
  <si>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</si>
  <si>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</si>
  <si>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</si>
  <si>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</si>
  <si>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</si>
  <si>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</si>
  <si>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</si>
  <si>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</si>
  <si>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</si>
  <si>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</si>
  <si>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</si>
  <si>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</si>
  <si>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</si>
  <si>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</si>
  <si>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SRD</t>
  </si>
  <si>
    <t>STD</t>
  </si>
  <si>
    <t>SYP</t>
  </si>
  <si>
    <t>SZL</t>
  </si>
  <si>
    <t>THB</t>
  </si>
  <si>
    <t>TJS</t>
  </si>
  <si>
    <t>TMT</t>
  </si>
  <si>
    <t>TND</t>
  </si>
  <si>
    <t>TOP</t>
  </si>
  <si>
    <t>TRY</t>
  </si>
  <si>
    <t>TTD</t>
  </si>
  <si>
    <t>TWD</t>
  </si>
  <si>
    <t>TZS</t>
  </si>
  <si>
    <t>UAH</t>
  </si>
  <si>
    <t>UGX</t>
  </si>
  <si>
    <t>USD</t>
  </si>
  <si>
    <t>UYU</t>
  </si>
  <si>
    <t>UZS</t>
  </si>
  <si>
    <t>VEF</t>
  </si>
  <si>
    <t>VND</t>
  </si>
  <si>
    <t>VUV</t>
  </si>
  <si>
    <t>WST</t>
  </si>
  <si>
    <t>XAF</t>
  </si>
  <si>
    <t>YER</t>
  </si>
  <si>
    <t>ZAR</t>
  </si>
  <si>
    <t>ZMK</t>
  </si>
  <si>
    <t>ZWL</t>
  </si>
  <si>
    <t>Currency Codes</t>
  </si>
  <si>
    <t>xint-net-admin</t>
  </si>
  <si>
    <t>xint-net-support</t>
  </si>
  <si>
    <t>xint-net-consoleuser</t>
  </si>
  <si>
    <t>svc-ops-vrms</t>
  </si>
  <si>
    <t>svc-ops-srm</t>
  </si>
  <si>
    <t>Name and IP Address Inputs - Rack</t>
  </si>
  <si>
    <t>Name and IP Address Inputs - VM</t>
  </si>
  <si>
    <t>Network Inputs - Rack</t>
  </si>
  <si>
    <t>VMware Live Cyber Recovery Connector Appliance Size</t>
  </si>
  <si>
    <t>HCX Connector Appliance Size</t>
  </si>
  <si>
    <t>Host Virtual Machine (Photon Appliance)</t>
  </si>
  <si>
    <t>VMware Aria Operations for Logs Appliance Size</t>
  </si>
  <si>
    <t>VCF Aware Workspace ONE Access Appliance Size</t>
  </si>
  <si>
    <t>Needed to extend VMware Aria Operations topology or perform Day 2 ops after DR failover</t>
  </si>
  <si>
    <t>Existing: VMware Aria Operations Analytics Cluster Virtual FQDN</t>
  </si>
  <si>
    <t>Existing: VMware Aria Operations Primary Node VM Name</t>
  </si>
  <si>
    <t>Existing: VMware Aria Operations Primary Node FQDN</t>
  </si>
  <si>
    <t>Existing: VMware Aria Operations Replica Node VM Name</t>
  </si>
  <si>
    <t>Existing: VMware Aria Operations Replica Node FQDN</t>
  </si>
  <si>
    <t>Existing: VMware Aria Operations Data Node VM Name</t>
  </si>
  <si>
    <t>Existing: VMware Aria Operations Data Node FQDN</t>
  </si>
  <si>
    <r>
      <t>Existing: VMware Aria Operations VM Name</t>
    </r>
    <r>
      <rPr>
        <i/>
        <sz val="12"/>
        <color theme="1"/>
        <rFont val="Helvetica"/>
        <family val="2"/>
      </rPr>
      <t xml:space="preserve"> (Collector 1)</t>
    </r>
  </si>
  <si>
    <r>
      <t xml:space="preserve">Existing: VMware Aria Operations FQDN </t>
    </r>
    <r>
      <rPr>
        <sz val="12"/>
        <color theme="1"/>
        <rFont val="Helvetica"/>
        <family val="2"/>
      </rPr>
      <t>(Collector 1)</t>
    </r>
  </si>
  <si>
    <r>
      <t xml:space="preserve">Existing: VMware Aria Operations VM Name </t>
    </r>
    <r>
      <rPr>
        <sz val="12"/>
        <color theme="1"/>
        <rFont val="Helvetica"/>
        <family val="2"/>
      </rPr>
      <t>(Collector 2)</t>
    </r>
  </si>
  <si>
    <r>
      <t xml:space="preserve">Existing: VMware Aria Operations FQDN </t>
    </r>
    <r>
      <rPr>
        <sz val="12"/>
        <color theme="1"/>
        <rFont val="Helvetica"/>
        <family val="2"/>
      </rPr>
      <t>(Collector 2)</t>
    </r>
  </si>
  <si>
    <t>Existing: Aria Operations Primary Node</t>
  </si>
  <si>
    <t>Existing: Aria Operations Replica Node</t>
  </si>
  <si>
    <t>Existing: Aria Operations Data Node VM</t>
  </si>
  <si>
    <t>Existing: Aria Operations Cloud Proxy 1</t>
  </si>
  <si>
    <t>Existing: Aria Operations Cloud Proxy 2</t>
  </si>
  <si>
    <t>Existing: Aria Operations Cluster Virtual Server FQDN</t>
  </si>
  <si>
    <t>Existing: Aria Operations Primary Node FQDN</t>
  </si>
  <si>
    <t>Existing: Aria Operations Replica Node FQDN</t>
  </si>
  <si>
    <t>Existing: Aria Operations Data Node VM FQDN</t>
  </si>
  <si>
    <t>Existing: Aria Operations Cloud Proxy 2 FQDN</t>
  </si>
  <si>
    <t>Existing: Aria Operations Cloud Proxy 1 FQDN</t>
  </si>
  <si>
    <t>Developer Ready Infrastructure IPs</t>
  </si>
  <si>
    <t>Developer Ready Infrastructure Hostnames</t>
  </si>
  <si>
    <t>Developer Ready Infrastructure FQDN</t>
  </si>
  <si>
    <t>Harbor Envoy FQDN</t>
  </si>
  <si>
    <t>Install Contour as a Supervisor Service for Developer Ready Infrastructure for VMware Cloud Foundation</t>
  </si>
  <si>
    <t>Install Harbor as a Supervisor Service for Developer Ready Infrastructure for VMware Cloud Foundation</t>
  </si>
  <si>
    <t>Establish Trust with the Harbor Service for Developer Ready Infrastructure for VMware Cloud Foundation</t>
  </si>
  <si>
    <t>harbor-data-values.yaml</t>
  </si>
  <si>
    <t>harbor.yaml</t>
  </si>
  <si>
    <t xml:space="preserve">VIDM Anti-Affinty Rule </t>
  </si>
  <si>
    <t>vCenter Server and Network</t>
  </si>
  <si>
    <t>Supervisor Location</t>
  </si>
  <si>
    <t>Supervisor Name</t>
  </si>
  <si>
    <t>Control Plane Storage Policy</t>
  </si>
  <si>
    <t>Image Cache Storage Policy</t>
  </si>
  <si>
    <t>Ephemeral Disks Storage Policy</t>
  </si>
  <si>
    <t>Workload Network</t>
  </si>
  <si>
    <t>Segment Gateway CIDR</t>
  </si>
  <si>
    <t>NSX Global Manager</t>
  </si>
  <si>
    <t>NSX Tier 1 Gateway: IP Address</t>
  </si>
  <si>
    <t>NSX License</t>
  </si>
  <si>
    <t>Create an NSX Edge Cluster</t>
  </si>
  <si>
    <r>
      <t xml:space="preserve">Group </t>
    </r>
    <r>
      <rPr>
        <i/>
        <sz val="12"/>
        <color theme="1"/>
        <rFont val="Helvetica"/>
        <family val="2"/>
      </rPr>
      <t>(NSX  Enterprise Admins)</t>
    </r>
  </si>
  <si>
    <r>
      <t>Group (</t>
    </r>
    <r>
      <rPr>
        <i/>
        <sz val="12"/>
        <color theme="1"/>
        <rFont val="Helvetica"/>
        <family val="2"/>
      </rPr>
      <t>NSX Network Admin)</t>
    </r>
  </si>
  <si>
    <r>
      <t>Group (</t>
    </r>
    <r>
      <rPr>
        <i/>
        <sz val="12"/>
        <color theme="1"/>
        <rFont val="Helvetica"/>
        <family val="2"/>
      </rPr>
      <t>NSX  Auditor)</t>
    </r>
  </si>
  <si>
    <r>
      <t xml:space="preserve">Group </t>
    </r>
    <r>
      <rPr>
        <i/>
        <sz val="12"/>
        <color theme="1"/>
        <rFont val="Helvetica"/>
        <family val="2"/>
      </rPr>
      <t>(NSX Enterprise Admins)</t>
    </r>
  </si>
  <si>
    <r>
      <t>Group (</t>
    </r>
    <r>
      <rPr>
        <i/>
        <sz val="12"/>
        <color theme="1"/>
        <rFont val="Helvetica"/>
        <family val="2"/>
      </rPr>
      <t>NSX Auditor)</t>
    </r>
  </si>
  <si>
    <r>
      <t>Group (</t>
    </r>
    <r>
      <rPr>
        <i/>
        <sz val="12"/>
        <color theme="1"/>
        <rFont val="Helvetica"/>
        <family val="2"/>
      </rPr>
      <t>NSX  Network Admin)</t>
    </r>
  </si>
  <si>
    <t xml:space="preserve">Domain - NSX </t>
  </si>
  <si>
    <t>Domain - NSX</t>
  </si>
  <si>
    <t>Add NSX Adapters in VMware Aria Operations</t>
  </si>
  <si>
    <r>
      <t>Virtual IP/NSX Manager</t>
    </r>
    <r>
      <rPr>
        <i/>
        <sz val="12"/>
        <color theme="1"/>
        <rFont val="Helvetica"/>
        <family val="2"/>
      </rPr>
      <t xml:space="preserve"> (Management Domain)</t>
    </r>
  </si>
  <si>
    <r>
      <t xml:space="preserve">Virtual IP/NSX Manager </t>
    </r>
    <r>
      <rPr>
        <i/>
        <sz val="12"/>
        <color theme="1"/>
        <rFont val="Helvetica"/>
        <family val="2"/>
      </rPr>
      <t>(VI Workload Domain)</t>
    </r>
  </si>
  <si>
    <t>Folder Name (Platform Node)</t>
  </si>
  <si>
    <t>Folder Name (Data Collector)</t>
  </si>
  <si>
    <t>Create Virtual Machine and Template Folders for the Platform and Collector Nodes for Intelligent Network Visibility for VMware Cloud Foundation</t>
  </si>
  <si>
    <t>The name of the cloud proxy in the aria ops ui is  CloudProxy-&lt;random generated string&gt;</t>
  </si>
  <si>
    <t>VMware Cloud Foundation Lifecycle Management</t>
  </si>
  <si>
    <t>rpl-ad01.rainpole.io</t>
  </si>
  <si>
    <r>
      <t xml:space="preserve">Address list </t>
    </r>
    <r>
      <rPr>
        <i/>
        <sz val="12"/>
        <color theme="1"/>
        <rFont val="Helvetica"/>
        <family val="2"/>
      </rPr>
      <t>(Platform Nodes)</t>
    </r>
  </si>
  <si>
    <r>
      <t xml:space="preserve">Address list </t>
    </r>
    <r>
      <rPr>
        <i/>
        <sz val="12"/>
        <color theme="1"/>
        <rFont val="Helvetica"/>
        <family val="2"/>
      </rPr>
      <t>(Collector Nodes)</t>
    </r>
  </si>
  <si>
    <t>Configure the VMware Aria Operations for Networks Management Pack in VMware Aria Operations for Intelligent Network Visibility for VMware Cloud Foundation</t>
  </si>
  <si>
    <t>Configure Credentials for VMware Aria Operations for Networks in VMware Aria Operations for Intelligent Network Visibility for VMware Cloud Foundation</t>
  </si>
  <si>
    <t>Operations for Networks FQDN/IP</t>
  </si>
  <si>
    <t>LDAP Domain</t>
  </si>
  <si>
    <t>LDAP Username</t>
  </si>
  <si>
    <t>LDAP Password</t>
  </si>
  <si>
    <t>LDAP - Networks Credentials</t>
  </si>
  <si>
    <t>VMware Aria Operations to VMware Aria Operations for Networks</t>
  </si>
  <si>
    <t>svc-net-ops</t>
  </si>
  <si>
    <r>
      <t xml:space="preserve">Aria Operations Service Account </t>
    </r>
    <r>
      <rPr>
        <i/>
        <sz val="12"/>
        <color theme="1"/>
        <rFont val="Helvetica"/>
        <family val="2"/>
      </rPr>
      <t>(Username)</t>
    </r>
  </si>
  <si>
    <r>
      <t xml:space="preserve">Aria Operations Service Account </t>
    </r>
    <r>
      <rPr>
        <i/>
        <sz val="12"/>
        <color theme="1"/>
        <rFont val="Helvetica"/>
        <family val="2"/>
      </rPr>
      <t>(Password)</t>
    </r>
  </si>
  <si>
    <t>test</t>
  </si>
  <si>
    <t>etst</t>
  </si>
  <si>
    <t>Integration with Intelligent Logging and Analytics for VMware Cloud Foundation</t>
  </si>
  <si>
    <t>Configure the Logging Service in VMware Aria Operations for Networks for Sending Logs to VMware Aria Operations for Intelligent Network Visibility for VMware Cloud Foundation</t>
  </si>
  <si>
    <t>Nickname (Optional)</t>
  </si>
  <si>
    <t>v1.5.2.002</t>
  </si>
  <si>
    <t>07/24/2024</t>
  </si>
  <si>
    <t xml:space="preserve"> - Resolved locked cells in multi-rack section of Deployment Options</t>
  </si>
  <si>
    <t>v1.5.2.003</t>
  </si>
  <si>
    <t xml:space="preserve">
Use the Multi-Instance Integration Model option to define how this VCF instance will integrate with other VCF instances. Use First Domain when this is the very first VCF domain or where no integration with other VCF instances is required. Use Additional Domain when you intend to integrate the new VCF instance with management components deployed in another VCF instance but where you desire a distinct SSO domain. Reference values for the First Domain are based on location SFO, while the Additional Domain option is based on LAX. Site Protection and Disaster Recovery assumes the First Domain to be the Protected Site, with Additional Domain options assumed to be Recovery. Several processes effecting the recovery site are carried out using the protected site P&amp;P workbook to minimise input requirements.
Choosing VCF Solution Licensing: The applicable VCF components will deploy in evaluation mode. After deployment, you add the keys in the vSphere Client
Choose additional Management Domain: Deployment options. 
Choosing Consolidated Management Domain will exclude VI Workload Domain.
Choose Management Domain: Post-Deployment Options. Overlay-backed NSX Routing for the Management Domain assumes the use of BGP, while VLAN-Backed assumes Static Routes. Overlay-Backed is required for NSX Federation for the Management Domain, and NSX Routing for the Management Domain is required to enable VMware Aria Suite Lifecycle.
Choose VMware Aria Suite Lifecycle and VCF Aware Workspace ONE options as required. VMware Aria Suite Lifecycle is required for VMware Aria Suite based Validated Solutions.
Choose VI Workload Domain: Deployment options.
Choose VI Workload Domain: Multi Rack Deployment options. Choosing Dedicated Racks for vSphere Cluster hosting NSX Edges will dedicate two Racks to host vSphere Cluster hosting NSX Edges. Excluding Dedicated Racks for vSphere Cluster hosting NSX Edges will place two vSphere Cluster hosting NSX Edges in two separate racks that will also contain hosts for the multi rack compute cluster. 
Setting the number of Additional Racks will determine the total number of racks contributing to the VMware Cloud Foundation instance. Once the VI Workload Domain is enabled, the first rack is automatically counted by default.
Set the number of compute hosts that will be deployed and configured per rack in the Initial cluster. Standard vSAN scaling limits apply. 
Choose the Racks where the vSphere Clusters hosting the NSX Edges will be placed.
Choose the edge deployment model . Two node will deploy a two node edge cluster and place one edge node per cluster. Four node will deploy a four nodes edge cluster and place two edge nodes per cluster .
Choose VI Workload Domain: Post-Deployment options.
Choose desired Validated Solution: Deployment options, choosing Initial Deployment or Connect Instance where appropriate.
Adjust your chosen options until all dependencies and compatibility issues highlighted in red are resolved.
Populate the necessary inputs on the Input Tabs. Based on your chosen options, cells and rows where the input is not required will be greyed out.
Deploy Management and VI Workload Domains using Deployment Overview of VMware Cloud Foundation. 
Deploy Validated Solutions using their respective documentation. Each section in the documentation requiring user values will have a corresponding named table in the relevant Deployment Tab. Processes not needed due to your chosen options will be greyed out.
</t>
  </si>
  <si>
    <t>Portgroup Name: Management VM Network</t>
  </si>
  <si>
    <t>08/16/2024</t>
  </si>
  <si>
    <t xml:space="preserve"> - Corrected disparity in Host TEP pool names between AZ1 and AZ2
 - Corrected Conditonal formatting issue
 - Resolved locked cells in Sizing Inputs
 - Resolved Transport Zone naming issue for DRI VVS </t>
  </si>
  <si>
    <t>Host 4 SSL Thumbprints (SHA256)</t>
  </si>
  <si>
    <t>Host 3 SSL Thumbprints (SHA256)</t>
  </si>
  <si>
    <t>Host 2 SSL Thumbprints (SHA256)</t>
  </si>
  <si>
    <t>Host 1 SSL Thumbprints (SHA256)</t>
  </si>
  <si>
    <t>31:BC:7F:B3:CF:8C:AC:F4:69:8F:8B:20:EA:CB:60:A8:45:70:23:84:E7:5A:11:DC:4C:AC:94:AD:23:EF:10:2A</t>
  </si>
  <si>
    <t>E3:33:4D:5B:87:5C:5E:39:B1:06:CA:0B:23:B4:43:BA:1D:AE:8B:AB:B:60:A8:45:70:23:84:E7:5A:11::A3:77</t>
  </si>
  <si>
    <t>EB:A3:F2:55:00:46:EE:2B:9F:89:3D:A3:5A:A8:65:6B:A3:77:57:87:39:B1:06:CA:0B:23:B4:43:BA:0E:24:0A</t>
  </si>
  <si>
    <t>13:42:5E:6A:B7:1A:3A:5E:5E:AA:54:0E:24:0A:AD:FF:55:FA:14:4D:02:EA:CB:60:A8:45:70:23:84:E7:5A:1F</t>
  </si>
  <si>
    <r>
      <rPr>
        <b/>
        <sz val="12"/>
        <color theme="1"/>
        <rFont val="Helvetica"/>
        <family val="2"/>
      </rPr>
      <t>Note</t>
    </r>
    <r>
      <rPr>
        <sz val="12"/>
        <color theme="1"/>
        <rFont val="Helvetica"/>
        <family val="2"/>
      </rPr>
      <t xml:space="preserve">
The Rainpole example uses 10.x.x.x addresses for all networks backed by a datacenter provided VLAN.  It uses 192.168.x.x addresses for all networks backed by an overlay network</t>
    </r>
  </si>
  <si>
    <t>General Info</t>
  </si>
  <si>
    <t xml:space="preserve">Select Deployment Type </t>
  </si>
  <si>
    <t>VCF Instance Name</t>
  </si>
  <si>
    <t xml:space="preserve">VCF Version </t>
  </si>
  <si>
    <t xml:space="preserve">Deployment Model </t>
  </si>
  <si>
    <t xml:space="preserve">Password Creation </t>
  </si>
  <si>
    <t>Deployment Parameters</t>
  </si>
  <si>
    <t>DNS Server #1</t>
  </si>
  <si>
    <t>NTP Server #3</t>
  </si>
  <si>
    <t xml:space="preserve">Enable Customer Expeiremce Programe CEIP </t>
  </si>
  <si>
    <t xml:space="preserve">Enbale FIPS Security Mode </t>
  </si>
  <si>
    <t xml:space="preserve">vCenter Server </t>
  </si>
  <si>
    <t>Appliance FQDN</t>
  </si>
  <si>
    <t xml:space="preserve">Select Storage Type </t>
  </si>
  <si>
    <t xml:space="preserve">vSAN Architecture </t>
  </si>
  <si>
    <t xml:space="preserve">vSAN Deduplication and Compression </t>
  </si>
  <si>
    <t>Appliance Cluster FQDN</t>
  </si>
  <si>
    <t>Appliance 1 FQDN</t>
  </si>
  <si>
    <t>Appliance 2 FQDN</t>
  </si>
  <si>
    <t>Appliance 3 FQDN</t>
  </si>
  <si>
    <t>VPC Configuration</t>
  </si>
  <si>
    <t>VPC External IP Blocks</t>
  </si>
  <si>
    <t>Auditor Password</t>
  </si>
  <si>
    <t>VCF Operations and Management</t>
  </si>
  <si>
    <t xml:space="preserve">I have an exisitng VCF Automation I want to join </t>
  </si>
  <si>
    <t xml:space="preserve">I have an exisitng VCF Operations I want to join </t>
  </si>
  <si>
    <t>Analytics Appliance FQDN</t>
  </si>
  <si>
    <t>Analytics Appliance Password</t>
  </si>
  <si>
    <t>LCM Appliance FQDN</t>
  </si>
  <si>
    <t>LCM Administrator Password</t>
  </si>
  <si>
    <t>Cloud Proxy FQDN</t>
  </si>
  <si>
    <t>Cloud Proxy Password</t>
  </si>
  <si>
    <t xml:space="preserve">VCF Automation Appliance Password </t>
  </si>
  <si>
    <t xml:space="preserve">VCF Automation Appliance FQDN </t>
  </si>
  <si>
    <t>Analytics Appliance Size</t>
  </si>
  <si>
    <t>Local Region</t>
  </si>
  <si>
    <t>Cross Region</t>
  </si>
  <si>
    <t>Node IP Pool</t>
  </si>
  <si>
    <t>ESXi Hosts</t>
  </si>
  <si>
    <t>ESXI Root Password</t>
  </si>
  <si>
    <t xml:space="preserve">Host 1 Fingerprint </t>
  </si>
  <si>
    <t>Host 1 FQDN</t>
  </si>
  <si>
    <t>Host 2 FQDN</t>
  </si>
  <si>
    <t xml:space="preserve">Host 2 Fingerprint </t>
  </si>
  <si>
    <t>Host 3 FQDN</t>
  </si>
  <si>
    <t xml:space="preserve">Host 3 Fingerprint </t>
  </si>
  <si>
    <t>Host 4 FQDN</t>
  </si>
  <si>
    <t xml:space="preserve">Host 4 Fingerprint </t>
  </si>
  <si>
    <t>Host Network</t>
  </si>
  <si>
    <t>VM Management Network VLAN ID</t>
  </si>
  <si>
    <t>Management Network VLAN ID</t>
  </si>
  <si>
    <t>Management Network Gateway</t>
  </si>
  <si>
    <t>Management Network Subnet Mask</t>
  </si>
  <si>
    <t>Management Network MTU</t>
  </si>
  <si>
    <t>vMotion Network VLAN ID</t>
  </si>
  <si>
    <t>vMotion Network Gateway</t>
  </si>
  <si>
    <t>vMotion Network Subnet Mask</t>
  </si>
  <si>
    <t>vMotion Network MTU</t>
  </si>
  <si>
    <t>vMotion Network IP Address Range</t>
  </si>
  <si>
    <t>vSAN Network VLAN ID</t>
  </si>
  <si>
    <t>vSAN Network Gateway</t>
  </si>
  <si>
    <t>vSAN Network Subnet Mask</t>
  </si>
  <si>
    <t>vSAN Network MTU</t>
  </si>
  <si>
    <t>vSAN Network IP Address Range</t>
  </si>
  <si>
    <t>Conditional on Storage Selected</t>
  </si>
  <si>
    <t xml:space="preserve">Not required for Existing </t>
  </si>
  <si>
    <t xml:space="preserve">vSphere Distributed Switch </t>
  </si>
  <si>
    <t>Preconfigured profiles</t>
  </si>
  <si>
    <t>VCF Installer</t>
  </si>
  <si>
    <t>Inside | Outside</t>
  </si>
  <si>
    <t>vcf Password</t>
  </si>
  <si>
    <t>If inside then SDDC Manager details are shown</t>
  </si>
  <si>
    <t>medium</t>
  </si>
  <si>
    <t>VM Management Network Gateway</t>
  </si>
  <si>
    <t>VM Management Network Subnet Mask</t>
  </si>
  <si>
    <t>VM Management Network MTU</t>
  </si>
  <si>
    <t>Connect Depot</t>
  </si>
  <si>
    <t>Online/Offline</t>
  </si>
  <si>
    <t xml:space="preserve">Select Depot Type </t>
  </si>
  <si>
    <t>Proxy enabled</t>
  </si>
  <si>
    <t>Proxy Port</t>
  </si>
  <si>
    <t xml:space="preserve">Protocol </t>
  </si>
  <si>
    <r>
      <t>"hostSpecs"</t>
    </r>
    <r>
      <rPr>
        <sz val="12"/>
        <color rgb="FFCCCCCC"/>
        <rFont val="Menlo"/>
        <family val="2"/>
      </rPr>
      <t>: [</t>
    </r>
  </si>
  <si>
    <r>
      <t>"hostname"</t>
    </r>
    <r>
      <rPr>
        <sz val="12"/>
        <color rgb="FFCCCCCC"/>
        <rFont val="Menlo"/>
        <family val="2"/>
      </rPr>
      <t xml:space="preserve">: </t>
    </r>
    <r>
      <rPr>
        <sz val="12"/>
        <color rgb="FFCE9178"/>
        <rFont val="Menlo"/>
        <family val="2"/>
      </rPr>
      <t>"esxi-1"</t>
    </r>
    <r>
      <rPr>
        <sz val="12"/>
        <color rgb="FFCCCCCC"/>
        <rFont val="Menlo"/>
        <family val="2"/>
      </rPr>
      <t>,</t>
    </r>
  </si>
  <si>
    <r>
      <t>"credentials"</t>
    </r>
    <r>
      <rPr>
        <sz val="12"/>
        <color rgb="FFCCCCCC"/>
        <rFont val="Menlo"/>
        <family val="2"/>
      </rPr>
      <t>: {</t>
    </r>
  </si>
  <si>
    <r>
      <t>"username"</t>
    </r>
    <r>
      <rPr>
        <sz val="12"/>
        <color rgb="FFCCCCCC"/>
        <rFont val="Menlo"/>
        <family val="2"/>
      </rPr>
      <t xml:space="preserve">: </t>
    </r>
    <r>
      <rPr>
        <sz val="12"/>
        <color rgb="FFCE9178"/>
        <rFont val="Menlo"/>
        <family val="2"/>
      </rPr>
      <t>"root"</t>
    </r>
    <r>
      <rPr>
        <sz val="12"/>
        <color rgb="FFCCCCCC"/>
        <rFont val="Menlo"/>
        <family val="2"/>
      </rPr>
      <t>,</t>
    </r>
  </si>
  <si>
    <r>
      <t>"password"</t>
    </r>
    <r>
      <rPr>
        <sz val="12"/>
        <color rgb="FFCCCCCC"/>
        <rFont val="Menlo"/>
        <family val="2"/>
      </rPr>
      <t xml:space="preserve">: </t>
    </r>
    <r>
      <rPr>
        <sz val="12"/>
        <color rgb="FFCE9178"/>
        <rFont val="Menlo"/>
        <family val="2"/>
      </rPr>
      <t>"EvoSddc!2016"</t>
    </r>
  </si>
  <si>
    <r>
      <t>"hostname"</t>
    </r>
    <r>
      <rPr>
        <sz val="12"/>
        <color rgb="FFCCCCCC"/>
        <rFont val="Menlo"/>
        <family val="2"/>
      </rPr>
      <t xml:space="preserve">: </t>
    </r>
    <r>
      <rPr>
        <sz val="12"/>
        <color rgb="FFCE9178"/>
        <rFont val="Menlo"/>
        <family val="2"/>
      </rPr>
      <t>"esxi-2"</t>
    </r>
    <r>
      <rPr>
        <sz val="12"/>
        <color rgb="FFCCCCCC"/>
        <rFont val="Menlo"/>
        <family val="2"/>
      </rPr>
      <t>,</t>
    </r>
  </si>
  <si>
    <r>
      <t>"hostname"</t>
    </r>
    <r>
      <rPr>
        <sz val="12"/>
        <color rgb="FFCCCCCC"/>
        <rFont val="Menlo"/>
        <family val="2"/>
      </rPr>
      <t xml:space="preserve">: </t>
    </r>
    <r>
      <rPr>
        <sz val="12"/>
        <color rgb="FFCE9178"/>
        <rFont val="Menlo"/>
        <family val="2"/>
      </rPr>
      <t>"esxi-3"</t>
    </r>
    <r>
      <rPr>
        <sz val="12"/>
        <color rgb="FFCCCCCC"/>
        <rFont val="Menlo"/>
        <family val="2"/>
      </rPr>
      <t>,</t>
    </r>
  </si>
  <si>
    <r>
      <t>"hostname"</t>
    </r>
    <r>
      <rPr>
        <sz val="12"/>
        <color rgb="FFCCCCCC"/>
        <rFont val="Menlo"/>
        <family val="2"/>
      </rPr>
      <t xml:space="preserve">: </t>
    </r>
    <r>
      <rPr>
        <sz val="12"/>
        <color rgb="FFCE9178"/>
        <rFont val="Menlo"/>
        <family val="2"/>
      </rPr>
      <t>"esxi-4"</t>
    </r>
    <r>
      <rPr>
        <sz val="12"/>
        <color rgb="FFCCCCCC"/>
        <rFont val="Menlo"/>
        <family val="2"/>
      </rPr>
      <t>,</t>
    </r>
  </si>
  <si>
    <r>
      <t>"vcenterSpec"</t>
    </r>
    <r>
      <rPr>
        <sz val="12"/>
        <color rgb="FFCCCCCC"/>
        <rFont val="Menlo"/>
        <family val="2"/>
      </rPr>
      <t>: {</t>
    </r>
  </si>
  <si>
    <r>
      <t>"licenseFile"</t>
    </r>
    <r>
      <rPr>
        <sz val="12"/>
        <color rgb="FFCCCCCC"/>
        <rFont val="Menlo"/>
        <family val="2"/>
      </rPr>
      <t xml:space="preserve">: </t>
    </r>
    <r>
      <rPr>
        <sz val="12"/>
        <color rgb="FFCE9178"/>
        <rFont val="Menlo"/>
        <family val="2"/>
      </rPr>
      <t>"81297-4C30J-H80NH-007UM-1JLQ0"</t>
    </r>
    <r>
      <rPr>
        <sz val="12"/>
        <color rgb="FFCCCCCC"/>
        <rFont val="Menlo"/>
        <family val="2"/>
      </rPr>
      <t>,</t>
    </r>
  </si>
  <si>
    <r>
      <t>"vcenterHostname"</t>
    </r>
    <r>
      <rPr>
        <sz val="12"/>
        <color rgb="FFCCCCCC"/>
        <rFont val="Menlo"/>
        <family val="2"/>
      </rPr>
      <t xml:space="preserve">: </t>
    </r>
    <r>
      <rPr>
        <sz val="12"/>
        <color rgb="FFCE9178"/>
        <rFont val="Menlo"/>
        <family val="2"/>
      </rPr>
      <t>"vcenter-1"</t>
    </r>
    <r>
      <rPr>
        <sz val="12"/>
        <color rgb="FFCCCCCC"/>
        <rFont val="Menlo"/>
        <family val="2"/>
      </rPr>
      <t>,</t>
    </r>
  </si>
  <si>
    <r>
      <t>"rootVcenterPassword"</t>
    </r>
    <r>
      <rPr>
        <sz val="12"/>
        <color rgb="FFCCCCCC"/>
        <rFont val="Menlo"/>
        <family val="2"/>
      </rPr>
      <t xml:space="preserve">: </t>
    </r>
    <r>
      <rPr>
        <sz val="12"/>
        <color rgb="FFCE9178"/>
        <rFont val="Menlo"/>
        <family val="2"/>
      </rPr>
      <t>"VMware123!VMware123!"</t>
    </r>
    <r>
      <rPr>
        <sz val="12"/>
        <color rgb="FFCCCCCC"/>
        <rFont val="Menlo"/>
        <family val="2"/>
      </rPr>
      <t>,</t>
    </r>
  </si>
  <si>
    <r>
      <t>"vmSize"</t>
    </r>
    <r>
      <rPr>
        <sz val="12"/>
        <color rgb="FFCCCCCC"/>
        <rFont val="Menlo"/>
        <family val="2"/>
      </rPr>
      <t xml:space="preserve">: </t>
    </r>
    <r>
      <rPr>
        <sz val="12"/>
        <color rgb="FFCE9178"/>
        <rFont val="Menlo"/>
        <family val="2"/>
      </rPr>
      <t>"small"</t>
    </r>
  </si>
  <si>
    <r>
      <t>"clusterSpec"</t>
    </r>
    <r>
      <rPr>
        <sz val="12"/>
        <color rgb="FFCCCCCC"/>
        <rFont val="Menlo"/>
        <family val="2"/>
      </rPr>
      <t>: {</t>
    </r>
  </si>
  <si>
    <r>
      <t>"clusterName"</t>
    </r>
    <r>
      <rPr>
        <sz val="12"/>
        <color rgb="FFCCCCCC"/>
        <rFont val="Menlo"/>
        <family val="2"/>
      </rPr>
      <t xml:space="preserve">: </t>
    </r>
    <r>
      <rPr>
        <sz val="12"/>
        <color rgb="FFCE9178"/>
        <rFont val="Menlo"/>
        <family val="2"/>
      </rPr>
      <t>"MGMT-L1-L2-CORE-cluster-001"</t>
    </r>
  </si>
  <si>
    <r>
      <t>"dvsSpecs"</t>
    </r>
    <r>
      <rPr>
        <sz val="12"/>
        <color rgb="FFCCCCCC"/>
        <rFont val="Menlo"/>
        <family val="2"/>
      </rPr>
      <t>: [</t>
    </r>
  </si>
  <si>
    <r>
      <t>"dvsName"</t>
    </r>
    <r>
      <rPr>
        <sz val="12"/>
        <color rgb="FFCCCCCC"/>
        <rFont val="Menlo"/>
        <family val="2"/>
      </rPr>
      <t xml:space="preserve">: </t>
    </r>
    <r>
      <rPr>
        <sz val="12"/>
        <color rgb="FFCE9178"/>
        <rFont val="Menlo"/>
        <family val="2"/>
      </rPr>
      <t>"MGMT-L1-L2-CORE-cluster-001-vds-001"</t>
    </r>
    <r>
      <rPr>
        <sz val="12"/>
        <color rgb="FFCCCCCC"/>
        <rFont val="Menlo"/>
        <family val="2"/>
      </rPr>
      <t>,</t>
    </r>
  </si>
  <si>
    <r>
      <t>"networks"</t>
    </r>
    <r>
      <rPr>
        <sz val="12"/>
        <color rgb="FFCCCCCC"/>
        <rFont val="Menlo"/>
        <family val="2"/>
      </rPr>
      <t>: [</t>
    </r>
  </si>
  <si>
    <r>
      <t>"MANAGEMENT"</t>
    </r>
    <r>
      <rPr>
        <sz val="12"/>
        <color rgb="FFCCCCCC"/>
        <rFont val="Menlo"/>
        <family val="2"/>
      </rPr>
      <t>,</t>
    </r>
  </si>
  <si>
    <r>
      <t>"VSAN"</t>
    </r>
    <r>
      <rPr>
        <sz val="12"/>
        <color rgb="FFCCCCCC"/>
        <rFont val="Menlo"/>
        <family val="2"/>
      </rPr>
      <t>,</t>
    </r>
  </si>
  <si>
    <t>"VMOTION"</t>
  </si>
  <si>
    <r>
      <t>"mtu"</t>
    </r>
    <r>
      <rPr>
        <sz val="12"/>
        <color rgb="FFCCCCCC"/>
        <rFont val="Menlo"/>
        <family val="2"/>
      </rPr>
      <t xml:space="preserve">: </t>
    </r>
    <r>
      <rPr>
        <sz val="12"/>
        <color rgb="FFB5CEA8"/>
        <rFont val="Menlo"/>
        <family val="2"/>
      </rPr>
      <t>8940</t>
    </r>
    <r>
      <rPr>
        <sz val="12"/>
        <color rgb="FFCCCCCC"/>
        <rFont val="Menlo"/>
        <family val="2"/>
      </rPr>
      <t>,</t>
    </r>
  </si>
  <si>
    <r>
      <t>"nsxtSwitchConfig"</t>
    </r>
    <r>
      <rPr>
        <sz val="12"/>
        <color rgb="FFCCCCCC"/>
        <rFont val="Menlo"/>
        <family val="2"/>
      </rPr>
      <t>: {</t>
    </r>
  </si>
  <si>
    <r>
      <t>"transportZones"</t>
    </r>
    <r>
      <rPr>
        <sz val="12"/>
        <color rgb="FFCCCCCC"/>
        <rFont val="Menlo"/>
        <family val="2"/>
      </rPr>
      <t>: [</t>
    </r>
  </si>
  <si>
    <r>
      <t>"name"</t>
    </r>
    <r>
      <rPr>
        <sz val="12"/>
        <color rgb="FFCCCCCC"/>
        <rFont val="Menlo"/>
        <family val="2"/>
      </rPr>
      <t xml:space="preserve">: </t>
    </r>
    <r>
      <rPr>
        <sz val="12"/>
        <color rgb="FFCE9178"/>
        <rFont val="Menlo"/>
        <family val="2"/>
      </rPr>
      <t>"overlay-tz-mgmt-nsxt"</t>
    </r>
    <r>
      <rPr>
        <sz val="12"/>
        <color rgb="FFCCCCCC"/>
        <rFont val="Menlo"/>
        <family val="2"/>
      </rPr>
      <t>,</t>
    </r>
  </si>
  <si>
    <r>
      <t>"transportType"</t>
    </r>
    <r>
      <rPr>
        <sz val="12"/>
        <color rgb="FFCCCCCC"/>
        <rFont val="Menlo"/>
        <family val="2"/>
      </rPr>
      <t xml:space="preserve">: </t>
    </r>
    <r>
      <rPr>
        <sz val="12"/>
        <color rgb="FFCE9178"/>
        <rFont val="Menlo"/>
        <family val="2"/>
      </rPr>
      <t>"OVERLAY"</t>
    </r>
  </si>
  <si>
    <r>
      <t>"name"</t>
    </r>
    <r>
      <rPr>
        <sz val="12"/>
        <color rgb="FFCCCCCC"/>
        <rFont val="Menlo"/>
        <family val="2"/>
      </rPr>
      <t xml:space="preserve">: </t>
    </r>
    <r>
      <rPr>
        <sz val="12"/>
        <color rgb="FFCE9178"/>
        <rFont val="Menlo"/>
        <family val="2"/>
      </rPr>
      <t>"vlan-tz-mgmt-nsxt"</t>
    </r>
    <r>
      <rPr>
        <sz val="12"/>
        <color rgb="FFCCCCCC"/>
        <rFont val="Menlo"/>
        <family val="2"/>
      </rPr>
      <t>,</t>
    </r>
  </si>
  <si>
    <r>
      <t>"transportType"</t>
    </r>
    <r>
      <rPr>
        <sz val="12"/>
        <color rgb="FFCCCCCC"/>
        <rFont val="Menlo"/>
        <family val="2"/>
      </rPr>
      <t xml:space="preserve">: </t>
    </r>
    <r>
      <rPr>
        <sz val="12"/>
        <color rgb="FFCE9178"/>
        <rFont val="Menlo"/>
        <family val="2"/>
      </rPr>
      <t>"VLAN"</t>
    </r>
  </si>
  <si>
    <r>
      <t>"vmnicsToUplinks"</t>
    </r>
    <r>
      <rPr>
        <sz val="12"/>
        <color rgb="FFCCCCCC"/>
        <rFont val="Menlo"/>
        <family val="2"/>
      </rPr>
      <t>: [</t>
    </r>
  </si>
  <si>
    <r>
      <t>"id"</t>
    </r>
    <r>
      <rPr>
        <sz val="12"/>
        <color rgb="FFCCCCCC"/>
        <rFont val="Menlo"/>
        <family val="2"/>
      </rPr>
      <t xml:space="preserve">: </t>
    </r>
    <r>
      <rPr>
        <sz val="12"/>
        <color rgb="FFCE9178"/>
        <rFont val="Menlo"/>
        <family val="2"/>
      </rPr>
      <t>"vmnic0"</t>
    </r>
    <r>
      <rPr>
        <sz val="12"/>
        <color rgb="FFCCCCCC"/>
        <rFont val="Menlo"/>
        <family val="2"/>
      </rPr>
      <t>,</t>
    </r>
  </si>
  <si>
    <r>
      <t>"uplink"</t>
    </r>
    <r>
      <rPr>
        <sz val="12"/>
        <color rgb="FFCCCCCC"/>
        <rFont val="Menlo"/>
        <family val="2"/>
      </rPr>
      <t xml:space="preserve">: </t>
    </r>
    <r>
      <rPr>
        <sz val="12"/>
        <color rgb="FFCE9178"/>
        <rFont val="Menlo"/>
        <family val="2"/>
      </rPr>
      <t>"uplink1"</t>
    </r>
  </si>
  <si>
    <r>
      <t>"id"</t>
    </r>
    <r>
      <rPr>
        <sz val="12"/>
        <color rgb="FFCCCCCC"/>
        <rFont val="Menlo"/>
        <family val="2"/>
      </rPr>
      <t xml:space="preserve">: </t>
    </r>
    <r>
      <rPr>
        <sz val="12"/>
        <color rgb="FFCE9178"/>
        <rFont val="Menlo"/>
        <family val="2"/>
      </rPr>
      <t>"vmnic1"</t>
    </r>
    <r>
      <rPr>
        <sz val="12"/>
        <color rgb="FFCCCCCC"/>
        <rFont val="Menlo"/>
        <family val="2"/>
      </rPr>
      <t>,</t>
    </r>
  </si>
  <si>
    <r>
      <t>"uplink"</t>
    </r>
    <r>
      <rPr>
        <sz val="12"/>
        <color rgb="FFCCCCCC"/>
        <rFont val="Menlo"/>
        <family val="2"/>
      </rPr>
      <t xml:space="preserve">: </t>
    </r>
    <r>
      <rPr>
        <sz val="12"/>
        <color rgb="FFCE9178"/>
        <rFont val="Menlo"/>
        <family val="2"/>
      </rPr>
      <t>"uplink2"</t>
    </r>
  </si>
  <si>
    <r>
      <t>"nsxTeamings"</t>
    </r>
    <r>
      <rPr>
        <sz val="12"/>
        <color rgb="FFCCCCCC"/>
        <rFont val="Menlo"/>
        <family val="2"/>
      </rPr>
      <t>: [</t>
    </r>
  </si>
  <si>
    <r>
      <t>"policy"</t>
    </r>
    <r>
      <rPr>
        <sz val="12"/>
        <color rgb="FFCCCCCC"/>
        <rFont val="Menlo"/>
        <family val="2"/>
      </rPr>
      <t xml:space="preserve">: </t>
    </r>
    <r>
      <rPr>
        <sz val="12"/>
        <color rgb="FFCE9178"/>
        <rFont val="Menlo"/>
        <family val="2"/>
      </rPr>
      <t>"LOADBALANCE_SRCID"</t>
    </r>
    <r>
      <rPr>
        <sz val="12"/>
        <color rgb="FFCCCCCC"/>
        <rFont val="Menlo"/>
        <family val="2"/>
      </rPr>
      <t>,</t>
    </r>
  </si>
  <si>
    <r>
      <t>"activeUplinks"</t>
    </r>
    <r>
      <rPr>
        <sz val="12"/>
        <color rgb="FFCCCCCC"/>
        <rFont val="Menlo"/>
        <family val="2"/>
      </rPr>
      <t>: [</t>
    </r>
  </si>
  <si>
    <r>
      <t>"uplink1"</t>
    </r>
    <r>
      <rPr>
        <sz val="12"/>
        <color rgb="FFCCCCCC"/>
        <rFont val="Menlo"/>
        <family val="2"/>
      </rPr>
      <t>,</t>
    </r>
  </si>
  <si>
    <r>
      <t>"vsanSpec"</t>
    </r>
    <r>
      <rPr>
        <sz val="12"/>
        <color rgb="FFCCCCCC"/>
        <rFont val="Menlo"/>
        <family val="2"/>
      </rPr>
      <t>: {</t>
    </r>
  </si>
  <si>
    <r>
      <t>"licenseFile"</t>
    </r>
    <r>
      <rPr>
        <sz val="12"/>
        <color rgb="FFCCCCCC"/>
        <rFont val="Menlo"/>
        <family val="2"/>
      </rPr>
      <t xml:space="preserve">: </t>
    </r>
    <r>
      <rPr>
        <sz val="12"/>
        <color rgb="FFCE9178"/>
        <rFont val="Menlo"/>
        <family val="2"/>
      </rPr>
      <t>"NH285-JDF40-58KN9-0ZV0M-F41J0"</t>
    </r>
    <r>
      <rPr>
        <sz val="12"/>
        <color rgb="FFCCCCCC"/>
        <rFont val="Menlo"/>
        <family val="2"/>
      </rPr>
      <t>,</t>
    </r>
  </si>
  <si>
    <r>
      <t>"datastoreName"</t>
    </r>
    <r>
      <rPr>
        <sz val="12"/>
        <color rgb="FFCCCCCC"/>
        <rFont val="Menlo"/>
        <family val="2"/>
      </rPr>
      <t xml:space="preserve">: </t>
    </r>
    <r>
      <rPr>
        <sz val="12"/>
        <color rgb="FFCE9178"/>
        <rFont val="Menlo"/>
        <family val="2"/>
      </rPr>
      <t>"MGMT-L1-L2-CORE-cluster-001-vsan"</t>
    </r>
  </si>
  <si>
    <r>
      <t>"nsxtSpec"</t>
    </r>
    <r>
      <rPr>
        <sz val="12"/>
        <color rgb="FFCCCCCC"/>
        <rFont val="Menlo"/>
        <family val="2"/>
      </rPr>
      <t>: {</t>
    </r>
  </si>
  <si>
    <r>
      <t>"nsxtManagers"</t>
    </r>
    <r>
      <rPr>
        <sz val="12"/>
        <color rgb="FFCCCCCC"/>
        <rFont val="Menlo"/>
        <family val="2"/>
      </rPr>
      <t>: [</t>
    </r>
  </si>
  <si>
    <r>
      <t>"hostname"</t>
    </r>
    <r>
      <rPr>
        <sz val="12"/>
        <color rgb="FFCCCCCC"/>
        <rFont val="Menlo"/>
        <family val="2"/>
      </rPr>
      <t xml:space="preserve">: </t>
    </r>
    <r>
      <rPr>
        <sz val="12"/>
        <color rgb="FFCE9178"/>
        <rFont val="Menlo"/>
        <family val="2"/>
      </rPr>
      <t>"nsx-mgmt-1"</t>
    </r>
    <r>
      <rPr>
        <sz val="12"/>
        <color rgb="FFCCCCCC"/>
        <rFont val="Menlo"/>
        <family val="2"/>
      </rPr>
      <t>,</t>
    </r>
  </si>
  <si>
    <r>
      <t>"nsxtManagerSize"</t>
    </r>
    <r>
      <rPr>
        <sz val="12"/>
        <color rgb="FFCCCCCC"/>
        <rFont val="Menlo"/>
        <family val="2"/>
      </rPr>
      <t xml:space="preserve">: </t>
    </r>
    <r>
      <rPr>
        <sz val="12"/>
        <color rgb="FFCE9178"/>
        <rFont val="Menlo"/>
        <family val="2"/>
      </rPr>
      <t>"medium"</t>
    </r>
    <r>
      <rPr>
        <sz val="12"/>
        <color rgb="FFCCCCCC"/>
        <rFont val="Menlo"/>
        <family val="2"/>
      </rPr>
      <t>,</t>
    </r>
  </si>
  <si>
    <r>
      <t>"nsxtLicense"</t>
    </r>
    <r>
      <rPr>
        <sz val="12"/>
        <color rgb="FFCCCCCC"/>
        <rFont val="Menlo"/>
        <family val="2"/>
      </rPr>
      <t xml:space="preserve">: </t>
    </r>
    <r>
      <rPr>
        <sz val="12"/>
        <color rgb="FFCE9178"/>
        <rFont val="Menlo"/>
        <family val="2"/>
      </rPr>
      <t>"MM4L3-DLL93-789CT-0LA26-0WW57"</t>
    </r>
    <r>
      <rPr>
        <sz val="12"/>
        <color rgb="FFCCCCCC"/>
        <rFont val="Menlo"/>
        <family val="2"/>
      </rPr>
      <t>,</t>
    </r>
  </si>
  <si>
    <r>
      <t>"vipFqdn"</t>
    </r>
    <r>
      <rPr>
        <sz val="12"/>
        <color rgb="FFCCCCCC"/>
        <rFont val="Menlo"/>
        <family val="2"/>
      </rPr>
      <t xml:space="preserve">: </t>
    </r>
    <r>
      <rPr>
        <sz val="12"/>
        <color rgb="FFCE9178"/>
        <rFont val="Menlo"/>
        <family val="2"/>
      </rPr>
      <t>"vip-nsx-mgmt"</t>
    </r>
    <r>
      <rPr>
        <sz val="12"/>
        <color rgb="FFCCCCCC"/>
        <rFont val="Menlo"/>
        <family val="2"/>
      </rPr>
      <t>,</t>
    </r>
  </si>
  <si>
    <r>
      <t>"rootNsxtManagerPassword"</t>
    </r>
    <r>
      <rPr>
        <sz val="12"/>
        <color rgb="FFCCCCCC"/>
        <rFont val="Menlo"/>
        <family val="2"/>
      </rPr>
      <t xml:space="preserve">: </t>
    </r>
    <r>
      <rPr>
        <sz val="12"/>
        <color rgb="FFCE9178"/>
        <rFont val="Menlo"/>
        <family val="2"/>
      </rPr>
      <t>"VMware123!VMware123!"</t>
    </r>
    <r>
      <rPr>
        <sz val="12"/>
        <color rgb="FFCCCCCC"/>
        <rFont val="Menlo"/>
        <family val="2"/>
      </rPr>
      <t>,</t>
    </r>
  </si>
  <si>
    <r>
      <t>"nsxtAdminPassword"</t>
    </r>
    <r>
      <rPr>
        <sz val="12"/>
        <color rgb="FFCCCCCC"/>
        <rFont val="Menlo"/>
        <family val="2"/>
      </rPr>
      <t xml:space="preserve">: </t>
    </r>
    <r>
      <rPr>
        <sz val="12"/>
        <color rgb="FFCE9178"/>
        <rFont val="Menlo"/>
        <family val="2"/>
      </rPr>
      <t>"VMware123!VMware123!"</t>
    </r>
    <r>
      <rPr>
        <sz val="12"/>
        <color rgb="FFCCCCCC"/>
        <rFont val="Menlo"/>
        <family val="2"/>
      </rPr>
      <t>,</t>
    </r>
  </si>
  <si>
    <r>
      <t>"nsxtAuditPassword"</t>
    </r>
    <r>
      <rPr>
        <sz val="12"/>
        <color rgb="FFCCCCCC"/>
        <rFont val="Menlo"/>
        <family val="2"/>
      </rPr>
      <t xml:space="preserve">: </t>
    </r>
    <r>
      <rPr>
        <sz val="12"/>
        <color rgb="FFCE9178"/>
        <rFont val="Menlo"/>
        <family val="2"/>
      </rPr>
      <t>"VMware123!VMware123!"</t>
    </r>
    <r>
      <rPr>
        <sz val="12"/>
        <color rgb="FFCCCCCC"/>
        <rFont val="Menlo"/>
        <family val="2"/>
      </rPr>
      <t>,</t>
    </r>
  </si>
  <si>
    <r>
      <t>"transportVlanId"</t>
    </r>
    <r>
      <rPr>
        <sz val="12"/>
        <color rgb="FFCCCCCC"/>
        <rFont val="Menlo"/>
        <family val="2"/>
      </rPr>
      <t xml:space="preserve">: </t>
    </r>
    <r>
      <rPr>
        <sz val="12"/>
        <color rgb="FFB5CEA8"/>
        <rFont val="Menlo"/>
        <family val="2"/>
      </rPr>
      <t>0</t>
    </r>
  </si>
  <si>
    <r>
      <t>"networkSpecs"</t>
    </r>
    <r>
      <rPr>
        <sz val="12"/>
        <color rgb="FFCCCCCC"/>
        <rFont val="Menlo"/>
        <family val="2"/>
      </rPr>
      <t>: [</t>
    </r>
  </si>
  <si>
    <r>
      <t>"networkType"</t>
    </r>
    <r>
      <rPr>
        <sz val="12"/>
        <color rgb="FFCCCCCC"/>
        <rFont val="Menlo"/>
        <family val="2"/>
      </rPr>
      <t xml:space="preserve">: </t>
    </r>
    <r>
      <rPr>
        <sz val="12"/>
        <color rgb="FFCE9178"/>
        <rFont val="Menlo"/>
        <family val="2"/>
      </rPr>
      <t>"MANAGEMENT"</t>
    </r>
    <r>
      <rPr>
        <sz val="12"/>
        <color rgb="FFCCCCCC"/>
        <rFont val="Menlo"/>
        <family val="2"/>
      </rPr>
      <t>,</t>
    </r>
  </si>
  <si>
    <r>
      <t>"subnet"</t>
    </r>
    <r>
      <rPr>
        <sz val="12"/>
        <color rgb="FFCCCCCC"/>
        <rFont val="Menlo"/>
        <family val="2"/>
      </rPr>
      <t xml:space="preserve">: </t>
    </r>
    <r>
      <rPr>
        <sz val="12"/>
        <color rgb="FFCE9178"/>
        <rFont val="Menlo"/>
        <family val="2"/>
      </rPr>
      <t>"10.0.0.0/22"</t>
    </r>
    <r>
      <rPr>
        <sz val="12"/>
        <color rgb="FFCCCCCC"/>
        <rFont val="Menlo"/>
        <family val="2"/>
      </rPr>
      <t>,</t>
    </r>
  </si>
  <si>
    <r>
      <t>"gateway"</t>
    </r>
    <r>
      <rPr>
        <sz val="12"/>
        <color rgb="FFCCCCCC"/>
        <rFont val="Menlo"/>
        <family val="2"/>
      </rPr>
      <t xml:space="preserve">: </t>
    </r>
    <r>
      <rPr>
        <sz val="12"/>
        <color rgb="FFCE9178"/>
        <rFont val="Menlo"/>
        <family val="2"/>
      </rPr>
      <t>"10.0.0.250"</t>
    </r>
    <r>
      <rPr>
        <sz val="12"/>
        <color rgb="FFCCCCCC"/>
        <rFont val="Menlo"/>
        <family val="2"/>
      </rPr>
      <t>,</t>
    </r>
  </si>
  <si>
    <r>
      <t>"vlanId"</t>
    </r>
    <r>
      <rPr>
        <sz val="12"/>
        <color rgb="FFCCCCCC"/>
        <rFont val="Menlo"/>
        <family val="2"/>
      </rPr>
      <t xml:space="preserve">: </t>
    </r>
    <r>
      <rPr>
        <sz val="12"/>
        <color rgb="FFCE9178"/>
        <rFont val="Menlo"/>
        <family val="2"/>
      </rPr>
      <t>"0"</t>
    </r>
    <r>
      <rPr>
        <sz val="12"/>
        <color rgb="FFCCCCCC"/>
        <rFont val="Menlo"/>
        <family val="2"/>
      </rPr>
      <t>,</t>
    </r>
  </si>
  <si>
    <r>
      <t>"mtu"</t>
    </r>
    <r>
      <rPr>
        <sz val="12"/>
        <color rgb="FFCCCCCC"/>
        <rFont val="Menlo"/>
        <family val="2"/>
      </rPr>
      <t xml:space="preserve">: </t>
    </r>
    <r>
      <rPr>
        <sz val="12"/>
        <color rgb="FFCE9178"/>
        <rFont val="Menlo"/>
        <family val="2"/>
      </rPr>
      <t>"1500"</t>
    </r>
    <r>
      <rPr>
        <sz val="12"/>
        <color rgb="FFCCCCCC"/>
        <rFont val="Menlo"/>
        <family val="2"/>
      </rPr>
      <t>,</t>
    </r>
  </si>
  <si>
    <r>
      <t>"teamingPolicy"</t>
    </r>
    <r>
      <rPr>
        <sz val="12"/>
        <color rgb="FFCCCCCC"/>
        <rFont val="Menlo"/>
        <family val="2"/>
      </rPr>
      <t xml:space="preserve">: </t>
    </r>
    <r>
      <rPr>
        <sz val="12"/>
        <color rgb="FFCE9178"/>
        <rFont val="Menlo"/>
        <family val="2"/>
      </rPr>
      <t>"loadbalance_loadbased"</t>
    </r>
    <r>
      <rPr>
        <sz val="12"/>
        <color rgb="FFCCCCCC"/>
        <rFont val="Menlo"/>
        <family val="2"/>
      </rPr>
      <t>,</t>
    </r>
  </si>
  <si>
    <r>
      <t>"networkType"</t>
    </r>
    <r>
      <rPr>
        <sz val="12"/>
        <color rgb="FFCCCCCC"/>
        <rFont val="Menlo"/>
        <family val="2"/>
      </rPr>
      <t xml:space="preserve">: </t>
    </r>
    <r>
      <rPr>
        <sz val="12"/>
        <color rgb="FFCE9178"/>
        <rFont val="Menlo"/>
        <family val="2"/>
      </rPr>
      <t>"VSAN"</t>
    </r>
    <r>
      <rPr>
        <sz val="12"/>
        <color rgb="FFCCCCCC"/>
        <rFont val="Menlo"/>
        <family val="2"/>
      </rPr>
      <t>,</t>
    </r>
  </si>
  <si>
    <r>
      <t>"subnet"</t>
    </r>
    <r>
      <rPr>
        <sz val="12"/>
        <color rgb="FFCCCCCC"/>
        <rFont val="Menlo"/>
        <family val="2"/>
      </rPr>
      <t xml:space="preserve">: </t>
    </r>
    <r>
      <rPr>
        <sz val="12"/>
        <color rgb="FFCE9178"/>
        <rFont val="Menlo"/>
        <family val="2"/>
      </rPr>
      <t>"10.0.4.0/24"</t>
    </r>
    <r>
      <rPr>
        <sz val="12"/>
        <color rgb="FFCCCCCC"/>
        <rFont val="Menlo"/>
        <family val="2"/>
      </rPr>
      <t>,</t>
    </r>
  </si>
  <si>
    <r>
      <t>"gateway"</t>
    </r>
    <r>
      <rPr>
        <sz val="12"/>
        <color rgb="FFCCCCCC"/>
        <rFont val="Menlo"/>
        <family val="2"/>
      </rPr>
      <t xml:space="preserve">: </t>
    </r>
    <r>
      <rPr>
        <sz val="12"/>
        <color rgb="FFCE9178"/>
        <rFont val="Menlo"/>
        <family val="2"/>
      </rPr>
      <t>"10.0.4.253"</t>
    </r>
    <r>
      <rPr>
        <sz val="12"/>
        <color rgb="FFCCCCCC"/>
        <rFont val="Menlo"/>
        <family val="2"/>
      </rPr>
      <t>,</t>
    </r>
  </si>
  <si>
    <r>
      <t>"includeIpAddressRanges"</t>
    </r>
    <r>
      <rPr>
        <sz val="12"/>
        <color rgb="FFCCCCCC"/>
        <rFont val="Menlo"/>
        <family val="2"/>
      </rPr>
      <t>: [</t>
    </r>
  </si>
  <si>
    <r>
      <t>"startIpAddress"</t>
    </r>
    <r>
      <rPr>
        <sz val="12"/>
        <color rgb="FFCCCCCC"/>
        <rFont val="Menlo"/>
        <family val="2"/>
      </rPr>
      <t xml:space="preserve">: </t>
    </r>
    <r>
      <rPr>
        <sz val="12"/>
        <color rgb="FFCE9178"/>
        <rFont val="Menlo"/>
        <family val="2"/>
      </rPr>
      <t>"10.0.4.3"</t>
    </r>
    <r>
      <rPr>
        <sz val="12"/>
        <color rgb="FFCCCCCC"/>
        <rFont val="Menlo"/>
        <family val="2"/>
      </rPr>
      <t>,</t>
    </r>
  </si>
  <si>
    <r>
      <t>"endIpAddress"</t>
    </r>
    <r>
      <rPr>
        <sz val="12"/>
        <color rgb="FFCCCCCC"/>
        <rFont val="Menlo"/>
        <family val="2"/>
      </rPr>
      <t xml:space="preserve">: </t>
    </r>
    <r>
      <rPr>
        <sz val="12"/>
        <color rgb="FFCE9178"/>
        <rFont val="Menlo"/>
        <family val="2"/>
      </rPr>
      <t>"10.0.4.50"</t>
    </r>
  </si>
  <si>
    <r>
      <t>"mtu"</t>
    </r>
    <r>
      <rPr>
        <sz val="12"/>
        <color rgb="FFCCCCCC"/>
        <rFont val="Menlo"/>
        <family val="2"/>
      </rPr>
      <t xml:space="preserve">: </t>
    </r>
    <r>
      <rPr>
        <sz val="12"/>
        <color rgb="FFCE9178"/>
        <rFont val="Menlo"/>
        <family val="2"/>
      </rPr>
      <t>"8940"</t>
    </r>
    <r>
      <rPr>
        <sz val="12"/>
        <color rgb="FFCCCCCC"/>
        <rFont val="Menlo"/>
        <family val="2"/>
      </rPr>
      <t>,</t>
    </r>
  </si>
  <si>
    <r>
      <t>"networkType"</t>
    </r>
    <r>
      <rPr>
        <sz val="12"/>
        <color rgb="FFCCCCCC"/>
        <rFont val="Menlo"/>
        <family val="2"/>
      </rPr>
      <t xml:space="preserve">: </t>
    </r>
    <r>
      <rPr>
        <sz val="12"/>
        <color rgb="FFCE9178"/>
        <rFont val="Menlo"/>
        <family val="2"/>
      </rPr>
      <t>"VMOTION"</t>
    </r>
    <r>
      <rPr>
        <sz val="12"/>
        <color rgb="FFCCCCCC"/>
        <rFont val="Menlo"/>
        <family val="2"/>
      </rPr>
      <t>,</t>
    </r>
  </si>
  <si>
    <r>
      <t>"subnet"</t>
    </r>
    <r>
      <rPr>
        <sz val="12"/>
        <color rgb="FFCCCCCC"/>
        <rFont val="Menlo"/>
        <family val="2"/>
      </rPr>
      <t xml:space="preserve">: </t>
    </r>
    <r>
      <rPr>
        <sz val="12"/>
        <color rgb="FFCE9178"/>
        <rFont val="Menlo"/>
        <family val="2"/>
      </rPr>
      <t>"10.0.8.0/24"</t>
    </r>
    <r>
      <rPr>
        <sz val="12"/>
        <color rgb="FFCCCCCC"/>
        <rFont val="Menlo"/>
        <family val="2"/>
      </rPr>
      <t>,</t>
    </r>
  </si>
  <si>
    <r>
      <t>"gateway"</t>
    </r>
    <r>
      <rPr>
        <sz val="12"/>
        <color rgb="FFCCCCCC"/>
        <rFont val="Menlo"/>
        <family val="2"/>
      </rPr>
      <t xml:space="preserve">: </t>
    </r>
    <r>
      <rPr>
        <sz val="12"/>
        <color rgb="FFCE9178"/>
        <rFont val="Menlo"/>
        <family val="2"/>
      </rPr>
      <t>"10.0.8.253"</t>
    </r>
    <r>
      <rPr>
        <sz val="12"/>
        <color rgb="FFCCCCCC"/>
        <rFont val="Menlo"/>
        <family val="2"/>
      </rPr>
      <t>,</t>
    </r>
  </si>
  <si>
    <r>
      <t>"startIpAddress"</t>
    </r>
    <r>
      <rPr>
        <sz val="12"/>
        <color rgb="FFCCCCCC"/>
        <rFont val="Menlo"/>
        <family val="2"/>
      </rPr>
      <t xml:space="preserve">: </t>
    </r>
    <r>
      <rPr>
        <sz val="12"/>
        <color rgb="FFCE9178"/>
        <rFont val="Menlo"/>
        <family val="2"/>
      </rPr>
      <t>"10.0.8.3"</t>
    </r>
    <r>
      <rPr>
        <sz val="12"/>
        <color rgb="FFCCCCCC"/>
        <rFont val="Menlo"/>
        <family val="2"/>
      </rPr>
      <t>,</t>
    </r>
  </si>
  <si>
    <r>
      <t>"endIpAddress"</t>
    </r>
    <r>
      <rPr>
        <sz val="12"/>
        <color rgb="FFCCCCCC"/>
        <rFont val="Menlo"/>
        <family val="2"/>
      </rPr>
      <t xml:space="preserve">: </t>
    </r>
    <r>
      <rPr>
        <sz val="12"/>
        <color rgb="FFCE9178"/>
        <rFont val="Menlo"/>
        <family val="2"/>
      </rPr>
      <t>"10.0.8.50"</t>
    </r>
  </si>
  <si>
    <r>
      <t>"dnsSpec"</t>
    </r>
    <r>
      <rPr>
        <sz val="12"/>
        <color rgb="FFCCCCCC"/>
        <rFont val="Menlo"/>
        <family val="2"/>
      </rPr>
      <t>: {</t>
    </r>
  </si>
  <si>
    <r>
      <t>"subdomain"</t>
    </r>
    <r>
      <rPr>
        <sz val="12"/>
        <color rgb="FFCCCCCC"/>
        <rFont val="Menlo"/>
        <family val="2"/>
      </rPr>
      <t xml:space="preserve">: </t>
    </r>
    <r>
      <rPr>
        <sz val="12"/>
        <color rgb="FFCE9178"/>
        <rFont val="Menlo"/>
        <family val="2"/>
      </rPr>
      <t>"vrack.vsphere.local"</t>
    </r>
    <r>
      <rPr>
        <sz val="12"/>
        <color rgb="FFCCCCCC"/>
        <rFont val="Menlo"/>
        <family val="2"/>
      </rPr>
      <t>,</t>
    </r>
  </si>
  <si>
    <r>
      <t>"domain"</t>
    </r>
    <r>
      <rPr>
        <sz val="12"/>
        <color rgb="FFCCCCCC"/>
        <rFont val="Menlo"/>
        <family val="2"/>
      </rPr>
      <t xml:space="preserve">: </t>
    </r>
    <r>
      <rPr>
        <sz val="12"/>
        <color rgb="FFCE9178"/>
        <rFont val="Menlo"/>
        <family val="2"/>
      </rPr>
      <t>"vsphere.local"</t>
    </r>
    <r>
      <rPr>
        <sz val="12"/>
        <color rgb="FFCCCCCC"/>
        <rFont val="Menlo"/>
        <family val="2"/>
      </rPr>
      <t>,</t>
    </r>
  </si>
  <si>
    <r>
      <t>"nameservers"</t>
    </r>
    <r>
      <rPr>
        <sz val="12"/>
        <color rgb="FFCCCCCC"/>
        <rFont val="Menlo"/>
        <family val="2"/>
      </rPr>
      <t>: [</t>
    </r>
  </si>
  <si>
    <t>"10.0.0.250"</t>
  </si>
  <si>
    <r>
      <t>"ntpServers"</t>
    </r>
    <r>
      <rPr>
        <sz val="12"/>
        <color rgb="FFCCCCCC"/>
        <rFont val="Menlo"/>
        <family val="2"/>
      </rPr>
      <t>: [</t>
    </r>
  </si>
  <si>
    <r>
      <t>"sddcManagerSpec"</t>
    </r>
    <r>
      <rPr>
        <sz val="12"/>
        <color rgb="FFCCCCCC"/>
        <rFont val="Menlo"/>
        <family val="2"/>
      </rPr>
      <t>: {</t>
    </r>
  </si>
  <si>
    <r>
      <t>"rootUserCredentials"</t>
    </r>
    <r>
      <rPr>
        <sz val="12"/>
        <color rgb="FFCCCCCC"/>
        <rFont val="Menlo"/>
        <family val="2"/>
      </rPr>
      <t>: {</t>
    </r>
  </si>
  <si>
    <r>
      <t>"password"</t>
    </r>
    <r>
      <rPr>
        <sz val="12"/>
        <color rgb="FFCCCCCC"/>
        <rFont val="Menlo"/>
        <family val="2"/>
      </rPr>
      <t xml:space="preserve">: </t>
    </r>
    <r>
      <rPr>
        <sz val="12"/>
        <color rgb="FFCE9178"/>
        <rFont val="Menlo"/>
        <family val="2"/>
      </rPr>
      <t>"VMware123!VMware123!"</t>
    </r>
  </si>
  <si>
    <r>
      <t>"hostname"</t>
    </r>
    <r>
      <rPr>
        <sz val="12"/>
        <color rgb="FFCCCCCC"/>
        <rFont val="Menlo"/>
        <family val="2"/>
      </rPr>
      <t xml:space="preserve">: </t>
    </r>
    <r>
      <rPr>
        <sz val="12"/>
        <color rgb="FFCE9178"/>
        <rFont val="Menlo"/>
        <family val="2"/>
      </rPr>
      <t>"sddc-manager"</t>
    </r>
    <r>
      <rPr>
        <sz val="12"/>
        <color rgb="FFCCCCCC"/>
        <rFont val="Menlo"/>
        <family val="2"/>
      </rPr>
      <t>,</t>
    </r>
  </si>
  <si>
    <r>
      <t>"secondUserCredentials"</t>
    </r>
    <r>
      <rPr>
        <sz val="12"/>
        <color rgb="FFCCCCCC"/>
        <rFont val="Menlo"/>
        <family val="2"/>
      </rPr>
      <t>: {</t>
    </r>
  </si>
  <si>
    <r>
      <t>"username"</t>
    </r>
    <r>
      <rPr>
        <sz val="12"/>
        <color rgb="FFCCCCCC"/>
        <rFont val="Menlo"/>
        <family val="2"/>
      </rPr>
      <t xml:space="preserve">: </t>
    </r>
    <r>
      <rPr>
        <sz val="12"/>
        <color rgb="FFCE9178"/>
        <rFont val="Menlo"/>
        <family val="2"/>
      </rPr>
      <t>"vcf"</t>
    </r>
    <r>
      <rPr>
        <sz val="12"/>
        <color rgb="FFCCCCCC"/>
        <rFont val="Menlo"/>
        <family val="2"/>
      </rPr>
      <t>,</t>
    </r>
  </si>
  <si>
    <r>
      <t>"restApiCredentials"</t>
    </r>
    <r>
      <rPr>
        <sz val="12"/>
        <color rgb="FFCCCCCC"/>
        <rFont val="Menlo"/>
        <family val="2"/>
      </rPr>
      <t>: {</t>
    </r>
  </si>
  <si>
    <r>
      <t>"username"</t>
    </r>
    <r>
      <rPr>
        <sz val="12"/>
        <color rgb="FFCCCCCC"/>
        <rFont val="Menlo"/>
        <family val="2"/>
      </rPr>
      <t xml:space="preserve">: </t>
    </r>
    <r>
      <rPr>
        <sz val="12"/>
        <color rgb="FFCE9178"/>
        <rFont val="Menlo"/>
        <family val="2"/>
      </rPr>
      <t>"admin"</t>
    </r>
    <r>
      <rPr>
        <sz val="12"/>
        <color rgb="FFCCCCCC"/>
        <rFont val="Menlo"/>
        <family val="2"/>
      </rPr>
      <t>,</t>
    </r>
  </si>
  <si>
    <r>
      <t>"localUserPassword"</t>
    </r>
    <r>
      <rPr>
        <sz val="12"/>
        <color rgb="FFCCCCCC"/>
        <rFont val="Menlo"/>
        <family val="2"/>
      </rPr>
      <t xml:space="preserve">: </t>
    </r>
    <r>
      <rPr>
        <sz val="12"/>
        <color rgb="FFCE9178"/>
        <rFont val="Menlo"/>
        <family val="2"/>
      </rPr>
      <t>"VMware123!VMware123!"</t>
    </r>
  </si>
  <si>
    <r>
      <t>"pscSpecs"</t>
    </r>
    <r>
      <rPr>
        <sz val="12"/>
        <color rgb="FFCCCCCC"/>
        <rFont val="Menlo"/>
        <family val="2"/>
      </rPr>
      <t>: [</t>
    </r>
  </si>
  <si>
    <r>
      <t>"pscSsoSpec"</t>
    </r>
    <r>
      <rPr>
        <sz val="12"/>
        <color rgb="FFCCCCCC"/>
        <rFont val="Menlo"/>
        <family val="2"/>
      </rPr>
      <t>: {</t>
    </r>
  </si>
  <si>
    <r>
      <t>"ssoDomain"</t>
    </r>
    <r>
      <rPr>
        <sz val="12"/>
        <color rgb="FFCCCCCC"/>
        <rFont val="Menlo"/>
        <family val="2"/>
      </rPr>
      <t xml:space="preserve">: </t>
    </r>
    <r>
      <rPr>
        <sz val="12"/>
        <color rgb="FFCE9178"/>
        <rFont val="Menlo"/>
        <family val="2"/>
      </rPr>
      <t>"vsphere.local"</t>
    </r>
  </si>
  <si>
    <r>
      <t>"adminUserSsoPassword"</t>
    </r>
    <r>
      <rPr>
        <sz val="12"/>
        <color rgb="FFCCCCCC"/>
        <rFont val="Menlo"/>
        <family val="2"/>
      </rPr>
      <t xml:space="preserve">: </t>
    </r>
    <r>
      <rPr>
        <sz val="12"/>
        <color rgb="FFCE9178"/>
        <rFont val="Menlo"/>
        <family val="2"/>
      </rPr>
      <t>"VMware123!VMware123!"</t>
    </r>
  </si>
  <si>
    <r>
      <t>"ariaSpec"</t>
    </r>
    <r>
      <rPr>
        <sz val="12"/>
        <color rgb="FFCCCCCC"/>
        <rFont val="Menlo"/>
        <family val="2"/>
      </rPr>
      <t xml:space="preserve">: { </t>
    </r>
    <r>
      <rPr>
        <sz val="12"/>
        <color rgb="FFF44747"/>
        <rFont val="Menlo"/>
        <family val="2"/>
      </rPr>
      <t>...</t>
    </r>
    <r>
      <rPr>
        <sz val="12"/>
        <color rgb="FFCCCCCC"/>
        <rFont val="Menlo"/>
        <family val="2"/>
      </rPr>
      <t xml:space="preserve"> }</t>
    </r>
  </si>
  <si>
    <r>
      <t>"managementPoolName"</t>
    </r>
    <r>
      <rPr>
        <sz val="12"/>
        <color rgb="FFF44747"/>
        <rFont val="Menlo"/>
        <family val="2"/>
      </rPr>
      <t>:</t>
    </r>
    <r>
      <rPr>
        <sz val="12"/>
        <color rgb="FFCCCCCC"/>
        <rFont val="Menlo"/>
        <family val="2"/>
      </rPr>
      <t xml:space="preserve"> </t>
    </r>
    <r>
      <rPr>
        <sz val="12"/>
        <color rgb="FFCE9178"/>
        <rFont val="Menlo"/>
        <family val="2"/>
      </rPr>
      <t>"networkpool-001"</t>
    </r>
    <r>
      <rPr>
        <sz val="12"/>
        <color rgb="FFCCCCCC"/>
        <rFont val="Menlo"/>
        <family val="2"/>
      </rPr>
      <t>,</t>
    </r>
  </si>
  <si>
    <r>
      <t>"esxLicense"</t>
    </r>
    <r>
      <rPr>
        <sz val="12"/>
        <color rgb="FFCCCCCC"/>
        <rFont val="Menlo"/>
        <family val="2"/>
      </rPr>
      <t xml:space="preserve">: </t>
    </r>
    <r>
      <rPr>
        <sz val="12"/>
        <color rgb="FFCE9178"/>
        <rFont val="Menlo"/>
        <family val="2"/>
      </rPr>
      <t>"N0415-JEWD2-J8VN0-07HH4-F9VQ0"</t>
    </r>
  </si>
  <si>
    <t>"vdsSpec": [</t>
  </si>
  <si>
    <t>"networks": [</t>
  </si>
  <si>
    <t>"MANAGEMENT",</t>
  </si>
  <si>
    <t>"VSAN",</t>
  </si>
  <si>
    <t>"vmnicsToUplinks": [</t>
  </si>
  <si>
    <t>"nsxTeamings": [</t>
  </si>
  <si>
    <t>"vsanSpec": {</t>
  </si>
  <si>
    <t>"nsxtSpec": {</t>
  </si>
  <si>
    <t>"nsxtManagers": [</t>
  </si>
  <si>
    <t>"networkSpecs": [</t>
  </si>
  <si>
    <t>"networkType": "MANAGEMENT",</t>
  </si>
  <si>
    <t>"networkType": "VSAN",</t>
  </si>
  <si>
    <t>"includeIpAddressRanges": [</t>
  </si>
  <si>
    <t>"networkType": "VMOTION",</t>
  </si>
  <si>
    <t>"dnsSpec": {</t>
  </si>
  <si>
    <t>"nameservers": [</t>
  </si>
  <si>
    <t>"ntpServers": [</t>
  </si>
  <si>
    <t>"sddcManagerSpec": {</t>
  </si>
  <si>
    <t>"rootUserCredentials": {</t>
  </si>
  <si>
    <t>"secondUserCredentials": {</t>
  </si>
  <si>
    <t>"restApiCredentials": {</t>
  </si>
  <si>
    <t>"pscSpecs": [</t>
  </si>
  <si>
    <t>"pscSsoSpec": {</t>
  </si>
  <si>
    <t>"ariaSpec":</t>
  </si>
  <si>
    <t xml:space="preserve">Quick Start </t>
  </si>
  <si>
    <t>Quick Start</t>
  </si>
  <si>
    <t xml:space="preserve">Quick Start Mode </t>
  </si>
  <si>
    <t>Remain</t>
  </si>
  <si>
    <t>09/19/2024</t>
  </si>
  <si>
    <t>Internal Version History</t>
  </si>
  <si>
    <t>QuickStart: backup</t>
  </si>
  <si>
    <t>QuickStart: root</t>
  </si>
  <si>
    <t xml:space="preserve">QuickStart: vcf </t>
  </si>
  <si>
    <t>QuickStart: auth</t>
  </si>
  <si>
    <t>QuickStart: local</t>
  </si>
  <si>
    <t>09/23/2024</t>
  </si>
  <si>
    <t>[Removed] sample_cbr_csp_token_name
[Removed] sample_cbr_csp_token
[Removed] input_cbr_csp_token
[Removed] input_cbr_csp_token_name
[Removed] cbr_csp_token_name
[Removed] cbr_csp_token</t>
  </si>
  <si>
    <t xml:space="preserve">[Added] quickstart_backup_password
[Added] quickstart_root_password
[Added] quickstart_vcf_password
[Added] quickstart_auth_password
[Added] quickstart_admin_local_password
[Added] quickstart_ip
[Added] quickstart_hostname
[Added] quickstart_fqdn 
[Added] quickstart_mode
[Added] pnp_version_history
[Fixed] sample_smtp_sender_username
[Removed] input_certificate_authority_model
[Removed] sample_certificate_authority_model
</t>
  </si>
  <si>
    <t>v5.2.x</t>
  </si>
  <si>
    <t>v1.5.2.006</t>
  </si>
  <si>
    <t>09/25/2024</t>
  </si>
  <si>
    <t xml:space="preserve">[Added] sample_quickstart_ip
[Added] sample_quickstart_hostname
[Added] sample_quickstart_fqdn 
[Added] sample_quickstart_ip
[Added] sample_quickstart_hostname
[Added] sample_quickstart_fqdn
</t>
  </si>
  <si>
    <t xml:space="preserve"> - Resolved locked cells in SDDC inputs Common
 - Removed Certificate Authority input from SDDC Inputs Common
 - Removed inputs for API Token for Cloud-Based Ransomware Recovery for VMware Cloud Foundation
 - Removed Configure the API Token for Cloud-Based Ransomware Recovery for VMware Cloud Foundation Section
 - Removed the conditionality for setting  Cross Instance Tier 1 Value
 - Added default values for vDS Profile in SDDC Inputs
 - Updated the sample username for SMTP Server
 - Updated the Cross Instance NSX-T Segment to use the correct input value
-  Updated Management Domain Sizing Input to also RAM Count (GB) to be user-defined
 - Corrected formula in Management Domain Sizing that was returning error for some users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</si>
</sst>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2"/>
      <color theme="1"/>
      <name val="Calibri"/>
      <family val="2"/>
      <scheme val="minor"/>
    </font>
    <font>
      <sz val="12"/>
      <color theme="1"/>
      <name val="Calibri"/>
      <family val="2"/>
      <scheme val="minor"/>
    </font>
    <font>
      <sz val="12"/>
      <color theme="0"/>
      <name val="Calibri"/>
      <family val="2"/>
      <scheme val="minor"/>
    </font>
    <font>
      <sz val="11"/>
      <color theme="1"/>
      <name val="Calibri"/>
      <family val="2"/>
      <scheme val="minor"/>
    </font>
    <font>
      <sz val="12"/>
      <color theme="1"/>
      <name val="Helvetica"/>
      <family val="2"/>
    </font>
    <font>
      <b/>
      <sz val="14"/>
      <color theme="1"/>
      <name val="Helvetica"/>
      <family val="2"/>
    </font>
    <font>
      <sz val="14"/>
      <color theme="1"/>
      <name val="Helvetica"/>
      <family val="2"/>
    </font>
    <font>
      <b/>
      <sz val="12"/>
      <color theme="1"/>
      <name val="Helvetica"/>
      <family val="2"/>
    </font>
    <font>
      <b/>
      <sz val="14"/>
      <color theme="0"/>
      <name val="Helvetica"/>
      <family val="2"/>
    </font>
    <font>
      <b/>
      <sz val="12"/>
      <color rgb="FF000000"/>
      <name val="Helvetica"/>
      <family val="2"/>
    </font>
    <font>
      <sz val="12"/>
      <color rgb="FF000000"/>
      <name val="Helvetica"/>
      <family val="2"/>
    </font>
    <font>
      <sz val="12"/>
      <name val="Helvetica"/>
      <family val="2"/>
    </font>
    <font>
      <u/>
      <sz val="10"/>
      <color indexed="12"/>
      <name val="Verdana"/>
      <family val="2"/>
    </font>
    <font>
      <b/>
      <sz val="24"/>
      <color theme="1"/>
      <name val="Helvetica"/>
      <family val="2"/>
    </font>
    <font>
      <sz val="12"/>
      <color theme="9" tint="-0.249977111117893"/>
      <name val="Helvetica"/>
      <family val="2"/>
    </font>
    <font>
      <b/>
      <sz val="28"/>
      <color theme="0"/>
      <name val="Helvetica"/>
      <family val="2"/>
    </font>
    <font>
      <sz val="12"/>
      <color theme="0"/>
      <name val="Helvetica"/>
      <family val="2"/>
    </font>
    <font>
      <b/>
      <sz val="12"/>
      <color theme="0"/>
      <name val="Helvetica"/>
      <family val="2"/>
    </font>
    <font>
      <b/>
      <sz val="12"/>
      <color rgb="FFFFFFFF"/>
      <name val="Helvetica"/>
      <family val="2"/>
    </font>
    <font>
      <sz val="12"/>
      <color rgb="FFFFFFFF"/>
      <name val="Helvetica"/>
      <family val="2"/>
    </font>
    <font>
      <u/>
      <sz val="12"/>
      <color theme="10"/>
      <name val="Calibri"/>
      <family val="2"/>
      <scheme val="minor"/>
    </font>
    <font>
      <sz val="12"/>
      <color rgb="FF006100"/>
      <name val="Calibri"/>
      <family val="2"/>
      <scheme val="minor"/>
    </font>
    <font>
      <b/>
      <sz val="14"/>
      <color rgb="FFFF0000"/>
      <name val="Helvetica"/>
      <family val="2"/>
    </font>
    <font>
      <sz val="12"/>
      <color rgb="FF006100"/>
      <name val="Helvetica"/>
      <family val="2"/>
    </font>
    <font>
      <u/>
      <sz val="12"/>
      <color theme="10"/>
      <name val="Helvetica"/>
      <family val="2"/>
    </font>
    <font>
      <b/>
      <sz val="12"/>
      <color rgb="FFFF0000"/>
      <name val="Helvetica"/>
      <family val="2"/>
    </font>
    <font>
      <b/>
      <sz val="12"/>
      <name val="Helvetica"/>
      <family val="2"/>
    </font>
    <font>
      <sz val="12"/>
      <color rgb="FF000000"/>
      <name val="Calibri"/>
      <family val="2"/>
      <scheme val="minor"/>
    </font>
    <font>
      <b/>
      <sz val="12"/>
      <color rgb="FFC00000"/>
      <name val="Helvetica"/>
      <family val="2"/>
    </font>
    <font>
      <sz val="14"/>
      <name val="Helvetica"/>
      <family val="2"/>
    </font>
    <font>
      <sz val="12"/>
      <color rgb="FFFF0000"/>
      <name val="Calibri"/>
      <family val="2"/>
      <scheme val="minor"/>
    </font>
    <font>
      <sz val="12"/>
      <color rgb="FFFF0000"/>
      <name val="Helvetica"/>
      <family val="2"/>
    </font>
    <font>
      <b/>
      <sz val="26"/>
      <color theme="0"/>
      <name val="Helvetica"/>
      <family val="2"/>
    </font>
    <font>
      <b/>
      <sz val="12"/>
      <color rgb="FFFF0000"/>
      <name val="Calibri"/>
      <family val="2"/>
      <scheme val="minor"/>
    </font>
    <font>
      <i/>
      <sz val="12"/>
      <color theme="1"/>
      <name val="Helvetica"/>
      <family val="2"/>
    </font>
    <font>
      <b/>
      <sz val="14"/>
      <color rgb="FFFFFFFF"/>
      <name val="Helvetica"/>
      <family val="2"/>
    </font>
    <font>
      <sz val="12"/>
      <color rgb="FF9C0006"/>
      <name val="Helvetica"/>
      <family val="2"/>
    </font>
    <font>
      <i/>
      <sz val="12"/>
      <color rgb="FF000000"/>
      <name val="Helvetica"/>
      <family val="2"/>
    </font>
    <font>
      <i/>
      <sz val="12"/>
      <name val="Helvetica"/>
      <family val="2"/>
    </font>
    <font>
      <b/>
      <sz val="12"/>
      <color rgb="FF0070C0"/>
      <name val="Helvetica"/>
      <family val="2"/>
    </font>
    <font>
      <b/>
      <sz val="26"/>
      <color rgb="FFFFFFFF"/>
      <name val="Helvetica"/>
      <family val="2"/>
    </font>
    <font>
      <b/>
      <u/>
      <sz val="14"/>
      <color theme="0"/>
      <name val="Helvetica"/>
      <family val="2"/>
    </font>
    <font>
      <sz val="11.5"/>
      <color theme="1"/>
      <name val="Helvetica"/>
      <family val="2"/>
    </font>
    <font>
      <b/>
      <i/>
      <sz val="12"/>
      <color theme="1"/>
      <name val="Helvetica"/>
      <family val="2"/>
    </font>
    <font>
      <sz val="12"/>
      <color theme="10"/>
      <name val="Helvetica"/>
      <family val="2"/>
    </font>
    <font>
      <sz val="8"/>
      <name val="Calibri"/>
      <family val="2"/>
      <scheme val="minor"/>
    </font>
    <font>
      <sz val="12"/>
      <color theme="9"/>
      <name val="Helvetica"/>
      <family val="2"/>
    </font>
    <font>
      <sz val="12"/>
      <color theme="1" tint="0.249977111117893"/>
      <name val="Menlo"/>
      <family val="2"/>
    </font>
    <font>
      <sz val="12"/>
      <color theme="1" tint="0.249977111117893"/>
      <name val="Calibri"/>
      <family val="2"/>
      <scheme val="minor"/>
    </font>
    <font>
      <sz val="12"/>
      <color theme="1"/>
      <name val="Menlo"/>
      <family val="2"/>
    </font>
    <font>
      <b/>
      <u/>
      <sz val="14"/>
      <color theme="10"/>
      <name val="Helvetica"/>
      <family val="2"/>
    </font>
    <font>
      <b/>
      <sz val="12"/>
      <color theme="1"/>
      <name val="Calibri"/>
      <family val="2"/>
      <scheme val="minor"/>
    </font>
    <font>
      <b/>
      <sz val="28"/>
      <color theme="4" tint="0.39997558519241921"/>
      <name val="Helvetica"/>
      <family val="2"/>
    </font>
    <font>
      <sz val="12"/>
      <color rgb="FF202122"/>
      <name val="Helvetica"/>
      <family val="2"/>
    </font>
    <font>
      <b/>
      <sz val="24"/>
      <color theme="0"/>
      <name val="Helvetica"/>
      <family val="2"/>
    </font>
    <font>
      <sz val="12"/>
      <color rgb="FFCCCCCC"/>
      <name val="Menlo"/>
      <family val="2"/>
    </font>
    <font>
      <sz val="12"/>
      <color rgb="FF9CDCFE"/>
      <name val="Menlo"/>
      <family val="2"/>
    </font>
    <font>
      <sz val="12"/>
      <color rgb="FFCE9178"/>
      <name val="Menlo"/>
      <family val="2"/>
    </font>
    <font>
      <sz val="12"/>
      <color rgb="FFB5CEA8"/>
      <name val="Menlo"/>
      <family val="2"/>
    </font>
    <font>
      <sz val="12"/>
      <color rgb="FFF44747"/>
      <name val="Menlo"/>
      <family val="2"/>
    </font>
  </fonts>
  <fills count="51">
    <fill>
      <patternFill patternType="none"/>
    </fill>
    <fill>
      <patternFill patternType="gray125"/>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rgb="FF9BC2E6"/>
        <bgColor rgb="FF000000"/>
      </patternFill>
    </fill>
    <fill>
      <patternFill patternType="solid">
        <fgColor theme="7" tint="0.39997558519241921"/>
        <bgColor indexed="64"/>
      </patternFill>
    </fill>
    <fill>
      <patternFill patternType="solid">
        <fgColor theme="0" tint="-0.249977111117893"/>
        <bgColor indexed="64"/>
      </patternFill>
    </fill>
    <fill>
      <patternFill patternType="solid">
        <fgColor rgb="FFBFBFBF"/>
        <bgColor rgb="FF000000"/>
      </patternFill>
    </fill>
    <fill>
      <patternFill patternType="solid">
        <fgColor theme="9" tint="-0.249977111117893"/>
        <bgColor indexed="64"/>
      </patternFill>
    </fill>
    <fill>
      <patternFill patternType="solid">
        <fgColor theme="1" tint="0.34998626667073579"/>
        <bgColor indexed="64"/>
      </patternFill>
    </fill>
    <fill>
      <patternFill patternType="solid">
        <fgColor rgb="FF595959"/>
        <bgColor rgb="FF000000"/>
      </patternFill>
    </fill>
    <fill>
      <patternFill patternType="solid">
        <fgColor theme="1" tint="0.49998474074526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6EFCE"/>
      </patternFill>
    </fill>
    <fill>
      <patternFill patternType="solid">
        <fgColor theme="1" tint="0.249977111117893"/>
        <bgColor indexed="64"/>
      </patternFill>
    </fill>
    <fill>
      <patternFill patternType="solid">
        <fgColor theme="8"/>
        <bgColor indexed="64"/>
      </patternFill>
    </fill>
    <fill>
      <patternFill patternType="solid">
        <fgColor theme="8" tint="-0.249977111117893"/>
        <bgColor indexed="64"/>
      </patternFill>
    </fill>
    <fill>
      <patternFill patternType="solid">
        <fgColor theme="0" tint="-0.34998626667073579"/>
        <bgColor indexed="64"/>
      </patternFill>
    </fill>
    <fill>
      <patternFill patternType="solid">
        <fgColor theme="9"/>
        <bgColor indexed="64"/>
      </patternFill>
    </fill>
    <fill>
      <patternFill patternType="solid">
        <fgColor theme="4" tint="0.39997558519241921"/>
        <bgColor indexed="64"/>
      </patternFill>
    </fill>
    <fill>
      <patternFill patternType="solid">
        <fgColor theme="7"/>
        <bgColor indexed="64"/>
      </patternFill>
    </fill>
    <fill>
      <patternFill patternType="solid">
        <fgColor rgb="FF7030A0"/>
        <bgColor indexed="64"/>
      </patternFill>
    </fill>
    <fill>
      <patternFill patternType="solid">
        <fgColor rgb="FF4472C4"/>
        <bgColor rgb="FF000000"/>
      </patternFill>
    </fill>
    <fill>
      <patternFill patternType="solid">
        <fgColor theme="9" tint="0.59999389629810485"/>
        <bgColor indexed="64"/>
      </patternFill>
    </fill>
    <fill>
      <patternFill patternType="solid">
        <fgColor theme="3"/>
        <bgColor indexed="64"/>
      </patternFill>
    </fill>
    <fill>
      <patternFill patternType="solid">
        <fgColor rgb="FFFFC7CE"/>
        <bgColor rgb="FF000000"/>
      </patternFill>
    </fill>
    <fill>
      <patternFill patternType="solid">
        <fgColor rgb="FFC00000"/>
        <bgColor indexed="64"/>
      </patternFill>
    </fill>
    <fill>
      <patternFill patternType="solid">
        <fgColor rgb="FFFFFF00"/>
        <bgColor indexed="64"/>
      </patternFill>
    </fill>
    <fill>
      <patternFill patternType="solid">
        <fgColor theme="0"/>
        <bgColor indexed="64"/>
      </patternFill>
    </fill>
    <fill>
      <patternFill patternType="solid">
        <fgColor rgb="FF5B9BD5"/>
        <bgColor rgb="FF000000"/>
      </patternFill>
    </fill>
    <fill>
      <patternFill patternType="solid">
        <fgColor rgb="FF548235"/>
        <bgColor rgb="FF000000"/>
      </patternFill>
    </fill>
    <fill>
      <patternFill patternType="solid">
        <fgColor rgb="FF7030A0"/>
        <bgColor rgb="FF000000"/>
      </patternFill>
    </fill>
    <fill>
      <patternFill patternType="solid">
        <fgColor theme="0"/>
        <bgColor rgb="FF000000"/>
      </patternFill>
    </fill>
    <fill>
      <patternFill patternType="solid">
        <fgColor rgb="FFFFFFFF"/>
        <bgColor rgb="FF000000"/>
      </patternFill>
    </fill>
    <fill>
      <patternFill patternType="solid">
        <fgColor rgb="FFC6EFCE"/>
        <bgColor rgb="FF000000"/>
      </patternFill>
    </fill>
    <fill>
      <patternFill patternType="solid">
        <fgColor rgb="FF5B9BD5"/>
        <bgColor indexed="64"/>
      </patternFill>
    </fill>
    <fill>
      <patternFill patternType="solid">
        <fgColor rgb="FF9BC2E6"/>
      </patternFill>
    </fill>
    <fill>
      <patternFill patternType="solid">
        <fgColor rgb="FF4472C4"/>
        <bgColor indexed="64"/>
      </patternFill>
    </fill>
    <fill>
      <patternFill patternType="solid">
        <fgColor rgb="FFF8CBAD"/>
        <bgColor indexed="64"/>
      </patternFill>
    </fill>
    <fill>
      <patternFill patternType="solid">
        <fgColor rgb="FFBFBFBF"/>
        <bgColor indexed="64"/>
      </patternFill>
    </fill>
    <fill>
      <patternFill patternType="solid">
        <fgColor rgb="FF808080"/>
        <bgColor rgb="FF000000"/>
      </patternFill>
    </fill>
    <fill>
      <patternFill patternType="solid">
        <fgColor rgb="FFA6A6A6"/>
        <bgColor indexed="64"/>
      </patternFill>
    </fill>
    <fill>
      <patternFill patternType="solid">
        <fgColor theme="2" tint="-9.9978637043366805E-2"/>
        <bgColor indexed="64"/>
      </patternFill>
    </fill>
    <fill>
      <patternFill patternType="solid">
        <fgColor rgb="FF9BC2E6"/>
        <bgColor indexed="64"/>
      </patternFill>
    </fill>
    <fill>
      <patternFill patternType="solid">
        <fgColor theme="6"/>
        <bgColor indexed="64"/>
      </patternFill>
    </fill>
    <fill>
      <patternFill patternType="solid">
        <fgColor theme="4"/>
        <bgColor indexed="64"/>
      </patternFill>
    </fill>
    <fill>
      <patternFill patternType="solid">
        <fgColor rgb="FF808080"/>
        <bgColor indexed="64"/>
      </patternFill>
    </fill>
    <fill>
      <patternFill patternType="solid">
        <fgColor theme="0" tint="-4.9989318521683403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style="thin">
        <color indexed="64"/>
      </bottom>
      <diagonal/>
    </border>
  </borders>
  <cellStyleXfs count="15">
    <xf numFmtId="0" fontId="0" fillId="0" borderId="0"/>
    <xf numFmtId="0" fontId="1" fillId="2" borderId="0"/>
    <xf numFmtId="0" fontId="1" fillId="3" borderId="0"/>
    <xf numFmtId="0" fontId="2" fillId="4" borderId="0"/>
    <xf numFmtId="0" fontId="21" fillId="16" borderId="0"/>
    <xf numFmtId="0" fontId="20" fillId="0" borderId="0"/>
    <xf numFmtId="0" fontId="12" fillId="0" borderId="0">
      <alignment vertical="top"/>
      <protection locked="0"/>
    </xf>
    <xf numFmtId="0" fontId="3" fillId="0" borderId="0"/>
    <xf numFmtId="0" fontId="1" fillId="0" borderId="0"/>
    <xf numFmtId="0" fontId="1" fillId="0" borderId="0"/>
    <xf numFmtId="0" fontId="2" fillId="4" borderId="0"/>
    <xf numFmtId="0" fontId="1" fillId="2" borderId="0"/>
    <xf numFmtId="0" fontId="1" fillId="3" borderId="0"/>
    <xf numFmtId="0" fontId="7" fillId="39" borderId="1">
      <alignment horizontal="left" vertical="center" wrapText="1" indent="1"/>
    </xf>
    <xf numFmtId="0" fontId="21" fillId="16" borderId="0"/>
  </cellStyleXfs>
  <cellXfs count="581">
    <xf numFmtId="0" fontId="0" fillId="0" borderId="0" xfId="0"/>
    <xf numFmtId="49" fontId="7" fillId="2" borderId="1" xfId="1" applyNumberFormat="1" applyFont="1" applyBorder="1" applyAlignment="1">
      <alignment horizontal="left" vertical="center" wrapText="1" indent="1"/>
    </xf>
    <xf numFmtId="0" fontId="9" fillId="5" borderId="1" xfId="0" applyFont="1" applyFill="1" applyBorder="1" applyAlignment="1">
      <alignment horizontal="left" vertical="center" wrapText="1" indent="1"/>
    </xf>
    <xf numFmtId="0" fontId="4" fillId="0" borderId="0" xfId="0" applyFont="1" applyAlignment="1">
      <alignment horizontal="left" vertical="center" indent="1"/>
    </xf>
    <xf numFmtId="0" fontId="6" fillId="0" borderId="0" xfId="0" applyFont="1" applyAlignment="1">
      <alignment horizontal="left" vertical="center" indent="1"/>
    </xf>
    <xf numFmtId="0" fontId="4" fillId="0" borderId="0" xfId="0" applyFont="1" applyAlignment="1">
      <alignment horizontal="left" vertical="center" wrapText="1" indent="1"/>
    </xf>
    <xf numFmtId="0" fontId="4" fillId="0" borderId="0" xfId="0" applyFont="1" applyAlignment="1" applyProtection="1">
      <alignment horizontal="left" vertical="center" indent="1"/>
      <protection locked="0"/>
    </xf>
    <xf numFmtId="49" fontId="4" fillId="0" borderId="0" xfId="0" applyNumberFormat="1" applyFont="1" applyAlignment="1">
      <alignment horizontal="left" vertical="center" indent="1"/>
    </xf>
    <xf numFmtId="0" fontId="7" fillId="2" borderId="1" xfId="1" applyFont="1" applyBorder="1" applyAlignment="1">
      <alignment horizontal="left" vertical="center" wrapText="1" indent="1"/>
    </xf>
    <xf numFmtId="0" fontId="14" fillId="0" borderId="0" xfId="0" applyFont="1" applyAlignment="1">
      <alignment horizontal="left" vertical="center" indent="1"/>
    </xf>
    <xf numFmtId="0" fontId="16" fillId="0" borderId="0" xfId="0" applyFont="1" applyAlignment="1">
      <alignment horizontal="left" vertical="center" indent="1"/>
    </xf>
    <xf numFmtId="0" fontId="4" fillId="0" borderId="1" xfId="7" applyFont="1" applyBorder="1" applyAlignment="1" applyProtection="1">
      <alignment horizontal="left" vertical="center" indent="1"/>
      <protection locked="0"/>
    </xf>
    <xf numFmtId="0" fontId="4" fillId="0" borderId="1" xfId="7" applyFont="1" applyBorder="1" applyAlignment="1">
      <alignment horizontal="left" vertical="center" indent="1"/>
    </xf>
    <xf numFmtId="49" fontId="0" fillId="0" borderId="0" xfId="0" applyNumberFormat="1"/>
    <xf numFmtId="0" fontId="4" fillId="0" borderId="1" xfId="0" applyFont="1" applyBorder="1" applyAlignment="1" applyProtection="1">
      <alignment horizontal="left" vertical="center" indent="1"/>
      <protection locked="0"/>
    </xf>
    <xf numFmtId="0" fontId="11" fillId="0" borderId="1" xfId="0" applyFont="1" applyBorder="1" applyAlignment="1">
      <alignment horizontal="left" vertical="center" wrapText="1" indent="1"/>
    </xf>
    <xf numFmtId="0" fontId="4" fillId="0" borderId="1" xfId="0" applyFont="1" applyBorder="1" applyAlignment="1">
      <alignment horizontal="left" vertical="center" wrapText="1" indent="1"/>
    </xf>
    <xf numFmtId="49" fontId="4" fillId="0" borderId="1" xfId="0" applyNumberFormat="1" applyFont="1" applyBorder="1" applyAlignment="1">
      <alignment horizontal="left" vertical="center" indent="1"/>
    </xf>
    <xf numFmtId="0" fontId="4" fillId="0" borderId="1" xfId="0" applyFont="1" applyBorder="1" applyAlignment="1">
      <alignment horizontal="left" vertical="center" indent="1"/>
    </xf>
    <xf numFmtId="0" fontId="5" fillId="0" borderId="0" xfId="0" applyFont="1" applyAlignment="1">
      <alignment horizontal="left" vertical="center" indent="1"/>
    </xf>
    <xf numFmtId="0" fontId="7" fillId="3" borderId="1" xfId="2" applyFont="1" applyBorder="1" applyAlignment="1">
      <alignment horizontal="left" vertical="center" wrapText="1" indent="1"/>
    </xf>
    <xf numFmtId="0" fontId="7" fillId="0" borderId="1" xfId="0" applyFont="1" applyBorder="1" applyAlignment="1">
      <alignment horizontal="left" vertical="center" indent="1"/>
    </xf>
    <xf numFmtId="0" fontId="4" fillId="7"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10" fillId="0" borderId="0" xfId="0" applyFont="1" applyAlignment="1">
      <alignment horizontal="left" vertical="center" indent="1"/>
    </xf>
    <xf numFmtId="0" fontId="4" fillId="7" borderId="1" xfId="0" applyFont="1" applyFill="1" applyBorder="1" applyAlignment="1">
      <alignment horizontal="left" vertical="center" wrapText="1" indent="1"/>
    </xf>
    <xf numFmtId="0" fontId="7" fillId="0" borderId="1" xfId="0" applyFont="1" applyBorder="1" applyAlignment="1">
      <alignment horizontal="left" vertical="center" wrapText="1" indent="1"/>
    </xf>
    <xf numFmtId="0" fontId="7" fillId="0" borderId="0" xfId="0" applyFont="1" applyAlignment="1">
      <alignment horizontal="left" vertical="center" indent="1"/>
    </xf>
    <xf numFmtId="0" fontId="4" fillId="17" borderId="0" xfId="0" applyFont="1" applyFill="1" applyAlignment="1">
      <alignment horizontal="left" vertical="center" indent="1"/>
    </xf>
    <xf numFmtId="0" fontId="4" fillId="17" borderId="0" xfId="0" applyFont="1" applyFill="1" applyAlignment="1">
      <alignment horizontal="left" vertical="center" wrapText="1" indent="1"/>
    </xf>
    <xf numFmtId="0" fontId="7" fillId="0" borderId="0" xfId="0" applyFont="1" applyAlignment="1">
      <alignment horizontal="left" vertical="center" wrapText="1" indent="1"/>
    </xf>
    <xf numFmtId="0" fontId="7" fillId="0" borderId="1" xfId="0" applyFont="1" applyBorder="1" applyAlignment="1">
      <alignment horizontal="left" indent="1"/>
    </xf>
    <xf numFmtId="0" fontId="7" fillId="0" borderId="0" xfId="0" applyFont="1" applyAlignment="1">
      <alignment horizontal="left" indent="1"/>
    </xf>
    <xf numFmtId="0" fontId="6" fillId="0" borderId="0" xfId="0" applyFont="1" applyAlignment="1">
      <alignment horizontal="left" vertical="center" wrapText="1" indent="1"/>
    </xf>
    <xf numFmtId="0" fontId="15" fillId="0" borderId="0" xfId="0" applyFont="1" applyAlignment="1">
      <alignment horizontal="left" vertical="center" indent="1"/>
    </xf>
    <xf numFmtId="0" fontId="11" fillId="0" borderId="0" xfId="0" applyFont="1" applyAlignment="1">
      <alignment horizontal="left" vertical="center" indent="1"/>
    </xf>
    <xf numFmtId="0" fontId="18" fillId="0" borderId="0" xfId="0" applyFont="1" applyAlignment="1">
      <alignment horizontal="left" vertical="center" indent="1"/>
    </xf>
    <xf numFmtId="0" fontId="19" fillId="0" borderId="0" xfId="0" applyFont="1" applyAlignment="1">
      <alignment horizontal="left" vertical="center" indent="1"/>
    </xf>
    <xf numFmtId="0" fontId="4" fillId="15" borderId="1" xfId="0" applyFont="1" applyFill="1" applyBorder="1" applyAlignment="1" applyProtection="1">
      <alignment horizontal="left" vertical="center" indent="1"/>
      <protection locked="0"/>
    </xf>
    <xf numFmtId="0" fontId="4" fillId="0" borderId="0" xfId="0" applyFont="1" applyAlignment="1">
      <alignment horizontal="left" vertical="top" wrapText="1"/>
    </xf>
    <xf numFmtId="0" fontId="25" fillId="0" borderId="1" xfId="0" applyFont="1" applyBorder="1" applyAlignment="1">
      <alignment horizontal="left" vertical="center" indent="1"/>
    </xf>
    <xf numFmtId="0" fontId="26" fillId="0" borderId="1" xfId="0" applyFont="1" applyBorder="1" applyAlignment="1">
      <alignment horizontal="left" vertical="center" indent="1"/>
    </xf>
    <xf numFmtId="0" fontId="25" fillId="0" borderId="0" xfId="0" applyFont="1" applyAlignment="1">
      <alignment vertical="center"/>
    </xf>
    <xf numFmtId="0" fontId="25" fillId="0" borderId="0" xfId="0" applyFont="1" applyAlignment="1">
      <alignment vertical="top" wrapText="1"/>
    </xf>
    <xf numFmtId="0" fontId="25" fillId="0" borderId="0" xfId="0" applyFont="1" applyAlignment="1">
      <alignment horizontal="left" vertical="center" indent="1"/>
    </xf>
    <xf numFmtId="0" fontId="22" fillId="0" borderId="0" xfId="0" applyFont="1" applyAlignment="1">
      <alignment horizontal="left" vertical="top" wrapText="1" indent="1"/>
    </xf>
    <xf numFmtId="0" fontId="4" fillId="0" borderId="1" xfId="0" applyFont="1" applyBorder="1" applyAlignment="1" applyProtection="1">
      <alignment horizontal="left" vertical="center" wrapText="1" indent="1"/>
      <protection locked="0"/>
    </xf>
    <xf numFmtId="0" fontId="4" fillId="0" borderId="1" xfId="0" applyFont="1" applyBorder="1" applyAlignment="1">
      <alignment horizontal="left" vertical="top" indent="1"/>
    </xf>
    <xf numFmtId="49" fontId="4" fillId="0" borderId="1" xfId="0" applyNumberFormat="1" applyFont="1" applyBorder="1" applyAlignment="1">
      <alignment horizontal="left" vertical="top" indent="1"/>
    </xf>
    <xf numFmtId="0" fontId="10" fillId="8" borderId="1" xfId="0" applyFont="1" applyFill="1" applyBorder="1" applyAlignment="1">
      <alignment horizontal="left" vertical="center" indent="1"/>
    </xf>
    <xf numFmtId="1" fontId="4" fillId="0" borderId="1" xfId="0" applyNumberFormat="1" applyFont="1" applyBorder="1" applyAlignment="1">
      <alignment horizontal="left" vertical="center" indent="1"/>
    </xf>
    <xf numFmtId="0" fontId="8" fillId="4" borderId="1" xfId="3" applyFont="1" applyBorder="1" applyAlignment="1">
      <alignment horizontal="left" vertical="center" indent="1"/>
    </xf>
    <xf numFmtId="0" fontId="9" fillId="0" borderId="1" xfId="0" applyFont="1" applyBorder="1" applyAlignment="1">
      <alignment horizontal="left" vertical="center" indent="1"/>
    </xf>
    <xf numFmtId="0" fontId="0" fillId="0" borderId="1" xfId="0" applyBorder="1"/>
    <xf numFmtId="0" fontId="28" fillId="0" borderId="1" xfId="0" applyFont="1" applyBorder="1" applyAlignment="1">
      <alignment horizontal="left" vertical="center" indent="1"/>
    </xf>
    <xf numFmtId="0" fontId="9" fillId="0" borderId="13" xfId="0" applyFont="1" applyBorder="1" applyAlignment="1">
      <alignment horizontal="left" vertical="center" indent="1"/>
    </xf>
    <xf numFmtId="0" fontId="11" fillId="7" borderId="1" xfId="0" applyFont="1" applyFill="1" applyBorder="1" applyAlignment="1">
      <alignment horizontal="left" vertical="center" indent="1"/>
    </xf>
    <xf numFmtId="0" fontId="11" fillId="0" borderId="1" xfId="0" applyFont="1" applyBorder="1" applyAlignment="1" applyProtection="1">
      <alignment horizontal="left" vertical="center" indent="1"/>
      <protection locked="0"/>
    </xf>
    <xf numFmtId="0" fontId="11" fillId="0" borderId="0" xfId="0" applyFont="1" applyAlignment="1">
      <alignment horizontal="left" vertical="center" wrapText="1" indent="1"/>
    </xf>
    <xf numFmtId="0" fontId="29" fillId="22" borderId="9" xfId="3" applyFont="1" applyFill="1" applyBorder="1" applyAlignment="1">
      <alignment horizontal="left" vertical="center" indent="1"/>
    </xf>
    <xf numFmtId="0" fontId="29" fillId="22" borderId="8" xfId="3" applyFont="1" applyFill="1" applyBorder="1" applyAlignment="1">
      <alignment horizontal="left" vertical="center" indent="1"/>
    </xf>
    <xf numFmtId="0" fontId="29" fillId="23" borderId="7" xfId="3" applyFont="1" applyFill="1" applyBorder="1" applyAlignment="1">
      <alignment horizontal="left" vertical="center" indent="1"/>
    </xf>
    <xf numFmtId="0" fontId="29" fillId="23" borderId="9" xfId="3" applyFont="1" applyFill="1" applyBorder="1" applyAlignment="1">
      <alignment horizontal="left" vertical="center" indent="1"/>
    </xf>
    <xf numFmtId="0" fontId="29" fillId="23" borderId="8" xfId="3" applyFont="1" applyFill="1" applyBorder="1" applyAlignment="1">
      <alignment horizontal="left" vertical="center" indent="1"/>
    </xf>
    <xf numFmtId="0" fontId="20" fillId="0" borderId="1" xfId="5" applyBorder="1" applyAlignment="1">
      <alignment horizontal="left" vertical="center" indent="1"/>
    </xf>
    <xf numFmtId="0" fontId="11" fillId="0" borderId="1" xfId="0" applyFont="1" applyBorder="1" applyAlignment="1">
      <alignment horizontal="left" vertical="center" indent="1"/>
    </xf>
    <xf numFmtId="0" fontId="31" fillId="0" borderId="1" xfId="0" applyFont="1" applyBorder="1" applyAlignment="1">
      <alignment horizontal="left" vertical="center" wrapText="1" indent="1"/>
    </xf>
    <xf numFmtId="0" fontId="25" fillId="0" borderId="1" xfId="0" applyFont="1" applyBorder="1" applyAlignment="1">
      <alignment horizontal="left" vertical="center" wrapText="1" indent="1"/>
    </xf>
    <xf numFmtId="0" fontId="8" fillId="4" borderId="7" xfId="3" applyFont="1" applyBorder="1" applyAlignment="1">
      <alignment horizontal="left" vertical="center" indent="1"/>
    </xf>
    <xf numFmtId="0" fontId="8" fillId="4" borderId="8" xfId="3" applyFont="1" applyBorder="1" applyAlignment="1">
      <alignment horizontal="left" vertical="center" indent="1"/>
    </xf>
    <xf numFmtId="0" fontId="9" fillId="0" borderId="1" xfId="0" applyFont="1" applyBorder="1" applyAlignment="1">
      <alignment horizontal="left" vertical="center" wrapText="1" indent="1"/>
    </xf>
    <xf numFmtId="0" fontId="33" fillId="0" borderId="1" xfId="0" applyFont="1" applyBorder="1"/>
    <xf numFmtId="0" fontId="31" fillId="0" borderId="1" xfId="0" applyFont="1" applyBorder="1" applyAlignment="1">
      <alignment horizontal="left" vertical="center" indent="1"/>
    </xf>
    <xf numFmtId="0" fontId="8" fillId="4" borderId="9" xfId="3" applyFont="1" applyBorder="1" applyAlignment="1">
      <alignment horizontal="left" vertical="center" indent="1"/>
    </xf>
    <xf numFmtId="0" fontId="32" fillId="19" borderId="9" xfId="0" applyFont="1" applyFill="1" applyBorder="1" applyAlignment="1">
      <alignment horizontal="left" vertical="center" indent="1"/>
    </xf>
    <xf numFmtId="0" fontId="32" fillId="19" borderId="8" xfId="0" applyFont="1" applyFill="1" applyBorder="1" applyAlignment="1">
      <alignment horizontal="left" vertical="center" indent="1"/>
    </xf>
    <xf numFmtId="0" fontId="23" fillId="16" borderId="1" xfId="4" applyFont="1" applyBorder="1" applyAlignment="1" applyProtection="1">
      <alignment horizontal="left" vertical="center" indent="1"/>
      <protection locked="0"/>
    </xf>
    <xf numFmtId="0" fontId="30" fillId="0" borderId="1" xfId="0" applyFont="1" applyBorder="1"/>
    <xf numFmtId="0" fontId="4" fillId="13" borderId="1" xfId="0" applyFont="1" applyFill="1" applyBorder="1" applyAlignment="1">
      <alignment horizontal="left" vertical="center" indent="1"/>
    </xf>
    <xf numFmtId="0" fontId="4" fillId="21" borderId="1" xfId="0" applyFont="1" applyFill="1" applyBorder="1" applyAlignment="1">
      <alignment horizontal="left" vertical="center" indent="1"/>
    </xf>
    <xf numFmtId="0" fontId="4" fillId="6" borderId="1" xfId="0" applyFont="1" applyFill="1" applyBorder="1" applyAlignment="1">
      <alignment horizontal="left" vertical="center" indent="1"/>
    </xf>
    <xf numFmtId="0" fontId="4" fillId="22" borderId="1" xfId="0" applyFont="1" applyFill="1" applyBorder="1" applyAlignment="1">
      <alignment horizontal="left" vertical="center" indent="1"/>
    </xf>
    <xf numFmtId="0" fontId="4" fillId="26" borderId="1" xfId="0" applyFont="1" applyFill="1" applyBorder="1" applyAlignment="1" applyProtection="1">
      <alignment horizontal="left" vertical="center" indent="1"/>
      <protection locked="0"/>
    </xf>
    <xf numFmtId="0" fontId="29" fillId="21" borderId="7" xfId="3" applyFont="1" applyFill="1" applyBorder="1" applyAlignment="1">
      <alignment horizontal="left" vertical="center" indent="1"/>
    </xf>
    <xf numFmtId="0" fontId="29" fillId="21" borderId="9" xfId="3" applyFont="1" applyFill="1" applyBorder="1" applyAlignment="1">
      <alignment horizontal="left" vertical="center" indent="1"/>
    </xf>
    <xf numFmtId="0" fontId="29" fillId="21" borderId="8" xfId="3" applyFont="1" applyFill="1" applyBorder="1" applyAlignment="1">
      <alignment horizontal="left" vertical="center" indent="1"/>
    </xf>
    <xf numFmtId="49" fontId="4" fillId="0" borderId="1" xfId="0" applyNumberFormat="1" applyFont="1" applyBorder="1" applyAlignment="1">
      <alignment horizontal="left" vertical="center" wrapText="1" indent="1"/>
    </xf>
    <xf numFmtId="0" fontId="17" fillId="20" borderId="1" xfId="3" applyFont="1" applyFill="1" applyBorder="1" applyAlignment="1">
      <alignment horizontal="left" vertical="center" indent="1"/>
    </xf>
    <xf numFmtId="0" fontId="15" fillId="9" borderId="1" xfId="0" applyFont="1" applyFill="1" applyBorder="1" applyAlignment="1">
      <alignment horizontal="left" vertical="center" indent="1"/>
    </xf>
    <xf numFmtId="0" fontId="10" fillId="8" borderId="8" xfId="0" applyFont="1" applyFill="1" applyBorder="1" applyAlignment="1">
      <alignment horizontal="left" vertical="center" indent="1"/>
    </xf>
    <xf numFmtId="0" fontId="27" fillId="0" borderId="8" xfId="0" applyFont="1" applyBorder="1"/>
    <xf numFmtId="0" fontId="30" fillId="0" borderId="0" xfId="0" applyFont="1"/>
    <xf numFmtId="0" fontId="32" fillId="9" borderId="1" xfId="0" applyFont="1" applyFill="1" applyBorder="1" applyAlignment="1">
      <alignment horizontal="left" vertical="center" indent="1"/>
    </xf>
    <xf numFmtId="0" fontId="34" fillId="0" borderId="1" xfId="0" applyFont="1" applyBorder="1" applyAlignment="1">
      <alignment horizontal="left" vertical="center" indent="1"/>
    </xf>
    <xf numFmtId="0" fontId="10" fillId="0" borderId="1" xfId="0" applyFont="1" applyBorder="1" applyAlignment="1">
      <alignment horizontal="left" vertical="center" indent="1"/>
    </xf>
    <xf numFmtId="0" fontId="16" fillId="27" borderId="1" xfId="0" applyFont="1" applyFill="1" applyBorder="1" applyAlignment="1">
      <alignment horizontal="left" vertical="center" indent="1"/>
    </xf>
    <xf numFmtId="0" fontId="7" fillId="0" borderId="13" xfId="0" applyFont="1" applyBorder="1" applyAlignment="1">
      <alignment horizontal="left" vertical="center" indent="1"/>
    </xf>
    <xf numFmtId="0" fontId="32" fillId="18" borderId="1" xfId="0" applyFont="1" applyFill="1" applyBorder="1" applyAlignment="1">
      <alignment horizontal="left" vertical="center" indent="1"/>
    </xf>
    <xf numFmtId="0" fontId="36" fillId="28" borderId="1" xfId="0" applyFont="1" applyFill="1" applyBorder="1" applyAlignment="1">
      <alignment horizontal="left" vertical="center" indent="1"/>
    </xf>
    <xf numFmtId="0" fontId="15" fillId="9" borderId="0" xfId="0" applyFont="1" applyFill="1" applyAlignment="1">
      <alignment horizontal="left" vertical="center" indent="1"/>
    </xf>
    <xf numFmtId="0" fontId="17" fillId="10" borderId="0" xfId="0" applyFont="1" applyFill="1" applyAlignment="1">
      <alignment horizontal="left" vertical="center" indent="1"/>
    </xf>
    <xf numFmtId="0" fontId="25" fillId="0" borderId="0" xfId="0" applyFont="1" applyAlignment="1">
      <alignment horizontal="left" vertical="center" wrapText="1" indent="1"/>
    </xf>
    <xf numFmtId="0" fontId="7" fillId="30" borderId="1" xfId="0" applyFont="1" applyFill="1" applyBorder="1" applyAlignment="1">
      <alignment horizontal="left" vertical="center" wrapText="1" indent="1"/>
    </xf>
    <xf numFmtId="0" fontId="0" fillId="31" borderId="0" xfId="0" applyFill="1"/>
    <xf numFmtId="0" fontId="20" fillId="0" borderId="0" xfId="5"/>
    <xf numFmtId="0" fontId="8" fillId="31" borderId="0" xfId="3" applyFont="1" applyFill="1" applyAlignment="1">
      <alignment horizontal="left" vertical="center" indent="1"/>
    </xf>
    <xf numFmtId="0" fontId="4" fillId="31" borderId="0" xfId="0" applyFont="1" applyFill="1" applyAlignment="1">
      <alignment horizontal="left" vertical="center" indent="1"/>
    </xf>
    <xf numFmtId="0" fontId="4" fillId="31" borderId="1" xfId="0" applyFont="1" applyFill="1" applyBorder="1" applyAlignment="1" applyProtection="1">
      <alignment horizontal="left" vertical="center" wrapText="1" indent="1"/>
      <protection locked="0"/>
    </xf>
    <xf numFmtId="0" fontId="7" fillId="0" borderId="1" xfId="1" applyFont="1" applyFill="1" applyBorder="1" applyAlignment="1">
      <alignment horizontal="left" vertical="center" wrapText="1" indent="1"/>
    </xf>
    <xf numFmtId="0" fontId="7" fillId="31" borderId="0" xfId="0" applyFont="1" applyFill="1" applyAlignment="1">
      <alignment horizontal="left" vertical="center" indent="1"/>
    </xf>
    <xf numFmtId="0" fontId="7" fillId="0" borderId="16" xfId="0" applyFont="1" applyBorder="1" applyAlignment="1">
      <alignment horizontal="left" vertical="center" indent="1"/>
    </xf>
    <xf numFmtId="14" fontId="4" fillId="0" borderId="1" xfId="0" applyNumberFormat="1" applyFont="1" applyBorder="1" applyAlignment="1">
      <alignment horizontal="left" vertical="top" indent="1"/>
    </xf>
    <xf numFmtId="0" fontId="7" fillId="2" borderId="1" xfId="11" applyFont="1" applyBorder="1" applyAlignment="1">
      <alignment horizontal="left" vertical="center" wrapText="1" indent="1"/>
    </xf>
    <xf numFmtId="0" fontId="7" fillId="3" borderId="1" xfId="12" applyFont="1" applyBorder="1" applyAlignment="1">
      <alignment horizontal="left" vertical="center" wrapText="1" indent="1"/>
    </xf>
    <xf numFmtId="0" fontId="7" fillId="0" borderId="1" xfId="7" applyFont="1" applyBorder="1" applyAlignment="1">
      <alignment horizontal="left" vertical="center" indent="1"/>
    </xf>
    <xf numFmtId="0" fontId="4" fillId="7" borderId="1" xfId="7" applyFont="1" applyFill="1" applyBorder="1" applyAlignment="1">
      <alignment horizontal="left" vertical="center" indent="1"/>
    </xf>
    <xf numFmtId="0" fontId="3" fillId="0" borderId="1" xfId="7" applyBorder="1"/>
    <xf numFmtId="0" fontId="7" fillId="0" borderId="1" xfId="7" applyFont="1" applyBorder="1" applyAlignment="1">
      <alignment horizontal="left" vertical="center" wrapText="1" indent="1"/>
    </xf>
    <xf numFmtId="0" fontId="9" fillId="0" borderId="1" xfId="7" applyFont="1" applyBorder="1" applyAlignment="1">
      <alignment horizontal="left" vertical="center" wrapText="1" indent="1"/>
    </xf>
    <xf numFmtId="49" fontId="4" fillId="0" borderId="1" xfId="0" applyNumberFormat="1" applyFont="1" applyBorder="1" applyAlignment="1" applyProtection="1">
      <alignment horizontal="left" vertical="center" indent="1"/>
      <protection locked="0"/>
    </xf>
    <xf numFmtId="0" fontId="10" fillId="31" borderId="0" xfId="0" applyFont="1" applyFill="1" applyAlignment="1" applyProtection="1">
      <alignment horizontal="left" vertical="center" indent="1"/>
      <protection locked="0"/>
    </xf>
    <xf numFmtId="0" fontId="10" fillId="31" borderId="0" xfId="0" applyFont="1" applyFill="1" applyAlignment="1">
      <alignment horizontal="left" vertical="center" indent="1"/>
    </xf>
    <xf numFmtId="0" fontId="27" fillId="31" borderId="0" xfId="0" applyFont="1" applyFill="1"/>
    <xf numFmtId="49" fontId="10" fillId="31" borderId="0" xfId="0" applyNumberFormat="1" applyFont="1" applyFill="1" applyAlignment="1">
      <alignment horizontal="left" vertical="center" indent="1"/>
    </xf>
    <xf numFmtId="0" fontId="10" fillId="31" borderId="0" xfId="0" applyFont="1" applyFill="1" applyAlignment="1">
      <alignment horizontal="left" vertical="center" wrapText="1" indent="1"/>
    </xf>
    <xf numFmtId="0" fontId="3" fillId="31" borderId="0" xfId="7" applyFill="1"/>
    <xf numFmtId="0" fontId="4" fillId="31" borderId="0" xfId="7" applyFont="1" applyFill="1" applyAlignment="1">
      <alignment horizontal="left" vertical="center" indent="1"/>
    </xf>
    <xf numFmtId="0" fontId="35" fillId="35" borderId="0" xfId="0" applyFont="1" applyFill="1" applyAlignment="1">
      <alignment horizontal="left" vertical="center" wrapText="1" indent="1"/>
    </xf>
    <xf numFmtId="0" fontId="4" fillId="31" borderId="0" xfId="0" applyFont="1" applyFill="1" applyAlignment="1" applyProtection="1">
      <alignment horizontal="left" vertical="center" indent="1"/>
      <protection locked="0"/>
    </xf>
    <xf numFmtId="0" fontId="4" fillId="31" borderId="5" xfId="0" applyFont="1" applyFill="1" applyBorder="1" applyAlignment="1">
      <alignment horizontal="left" vertical="center" wrapText="1" indent="1"/>
    </xf>
    <xf numFmtId="49" fontId="4" fillId="31" borderId="0" xfId="0" applyNumberFormat="1" applyFont="1" applyFill="1" applyAlignment="1">
      <alignment horizontal="left" vertical="center" indent="1"/>
    </xf>
    <xf numFmtId="0" fontId="4" fillId="31" borderId="0" xfId="0" applyFont="1" applyFill="1" applyAlignment="1">
      <alignment horizontal="left" vertical="center" wrapText="1" indent="1"/>
    </xf>
    <xf numFmtId="0" fontId="4" fillId="7" borderId="1" xfId="0" applyFont="1" applyFill="1" applyBorder="1" applyAlignment="1" applyProtection="1">
      <alignment horizontal="left" vertical="center" indent="1"/>
      <protection locked="0"/>
    </xf>
    <xf numFmtId="0" fontId="7" fillId="3" borderId="1" xfId="2" applyFont="1" applyBorder="1" applyAlignment="1" applyProtection="1">
      <alignment horizontal="left" vertical="center" wrapText="1" indent="1"/>
      <protection locked="0"/>
    </xf>
    <xf numFmtId="0" fontId="0" fillId="0" borderId="1" xfId="7" applyFont="1" applyBorder="1"/>
    <xf numFmtId="0" fontId="7" fillId="0" borderId="7" xfId="7" applyFont="1" applyBorder="1" applyAlignment="1">
      <alignment horizontal="left" vertical="center" wrapText="1" indent="1"/>
    </xf>
    <xf numFmtId="0" fontId="4" fillId="7" borderId="7" xfId="7" applyFont="1" applyFill="1" applyBorder="1" applyAlignment="1">
      <alignment horizontal="left" vertical="center" indent="1"/>
    </xf>
    <xf numFmtId="0" fontId="4" fillId="0" borderId="7" xfId="7" applyFont="1" applyBorder="1" applyAlignment="1">
      <alignment horizontal="left" vertical="center" indent="1"/>
    </xf>
    <xf numFmtId="0" fontId="0" fillId="0" borderId="7" xfId="7" applyFont="1" applyBorder="1"/>
    <xf numFmtId="0" fontId="7" fillId="0" borderId="1" xfId="7" applyFont="1" applyBorder="1" applyAlignment="1">
      <alignment vertical="top" wrapText="1" indent="1"/>
    </xf>
    <xf numFmtId="0" fontId="4" fillId="7" borderId="1" xfId="7" applyFont="1" applyFill="1" applyBorder="1" applyAlignment="1">
      <alignment horizontal="left" vertical="top" indent="1"/>
    </xf>
    <xf numFmtId="0" fontId="4" fillId="0" borderId="1" xfId="7" applyFont="1" applyBorder="1" applyAlignment="1">
      <alignment horizontal="left" vertical="top" indent="1"/>
    </xf>
    <xf numFmtId="0" fontId="0" fillId="0" borderId="7" xfId="7" applyFont="1" applyBorder="1" applyAlignment="1">
      <alignment vertical="top"/>
    </xf>
    <xf numFmtId="0" fontId="7" fillId="2" borderId="7" xfId="11" applyFont="1" applyBorder="1" applyAlignment="1">
      <alignment horizontal="left" vertical="center" wrapText="1" indent="1"/>
    </xf>
    <xf numFmtId="0" fontId="9" fillId="0" borderId="1" xfId="7" applyFont="1" applyBorder="1" applyAlignment="1">
      <alignment horizontal="left" vertical="center" indent="1"/>
    </xf>
    <xf numFmtId="0" fontId="4" fillId="0" borderId="7" xfId="7" applyFont="1" applyBorder="1" applyAlignment="1">
      <alignment horizontal="left" vertical="top" indent="1"/>
    </xf>
    <xf numFmtId="0" fontId="9" fillId="0" borderId="0" xfId="7" applyFont="1" applyAlignment="1">
      <alignment horizontal="left" vertical="center" indent="1"/>
    </xf>
    <xf numFmtId="0" fontId="0" fillId="0" borderId="0" xfId="7" applyFont="1" applyAlignment="1">
      <alignment vertical="top"/>
    </xf>
    <xf numFmtId="18" fontId="4" fillId="7" borderId="1" xfId="7" applyNumberFormat="1" applyFont="1" applyFill="1" applyBorder="1" applyAlignment="1">
      <alignment horizontal="left" vertical="center" indent="1"/>
    </xf>
    <xf numFmtId="0" fontId="9" fillId="0" borderId="7" xfId="7" applyFont="1" applyBorder="1" applyAlignment="1">
      <alignment horizontal="left" vertical="center" indent="1"/>
    </xf>
    <xf numFmtId="0" fontId="9" fillId="31" borderId="0" xfId="7" applyFont="1" applyFill="1" applyAlignment="1">
      <alignment horizontal="left" vertical="center" indent="1"/>
    </xf>
    <xf numFmtId="0" fontId="0" fillId="31" borderId="0" xfId="7" applyFont="1" applyFill="1"/>
    <xf numFmtId="0" fontId="9" fillId="0" borderId="1" xfId="7" quotePrefix="1" applyFont="1" applyBorder="1" applyAlignment="1">
      <alignment horizontal="left" vertical="center" indent="1"/>
    </xf>
    <xf numFmtId="0" fontId="4" fillId="7" borderId="1" xfId="7" applyFont="1" applyFill="1" applyBorder="1" applyAlignment="1">
      <alignment horizontal="left" vertical="center" wrapText="1" indent="1"/>
    </xf>
    <xf numFmtId="18" fontId="4" fillId="0" borderId="1" xfId="7" applyNumberFormat="1" applyFont="1" applyBorder="1" applyAlignment="1">
      <alignment horizontal="left" vertical="top" indent="1"/>
    </xf>
    <xf numFmtId="0" fontId="4" fillId="0" borderId="6" xfId="0" applyFont="1" applyBorder="1" applyAlignment="1" applyProtection="1">
      <alignment horizontal="left" vertical="center" indent="1"/>
      <protection locked="0"/>
    </xf>
    <xf numFmtId="0" fontId="7" fillId="3" borderId="0" xfId="12" applyFont="1" applyAlignment="1">
      <alignment horizontal="left" vertical="center" indent="1"/>
    </xf>
    <xf numFmtId="0" fontId="31" fillId="0" borderId="0" xfId="0" applyFont="1" applyAlignment="1">
      <alignment horizontal="left" vertical="center" indent="1"/>
    </xf>
    <xf numFmtId="0" fontId="4" fillId="0" borderId="1" xfId="7" applyFont="1" applyBorder="1" applyAlignment="1">
      <alignment horizontal="left" vertical="center" wrapText="1" indent="1"/>
    </xf>
    <xf numFmtId="0" fontId="4" fillId="31" borderId="1" xfId="1" applyFont="1" applyFill="1" applyBorder="1" applyAlignment="1">
      <alignment horizontal="left" vertical="top" wrapText="1" indent="1"/>
    </xf>
    <xf numFmtId="0" fontId="4" fillId="7" borderId="1" xfId="0" applyFont="1" applyFill="1" applyBorder="1" applyAlignment="1" applyProtection="1">
      <alignment horizontal="left" vertical="center" wrapText="1" indent="1"/>
      <protection locked="0"/>
    </xf>
    <xf numFmtId="14" fontId="4" fillId="31" borderId="1" xfId="1" applyNumberFormat="1" applyFont="1" applyFill="1" applyBorder="1" applyAlignment="1">
      <alignment horizontal="left" vertical="top" wrapText="1" indent="1"/>
    </xf>
    <xf numFmtId="0" fontId="41" fillId="24" borderId="0" xfId="5" applyFont="1" applyFill="1" applyAlignment="1">
      <alignment horizontal="left" vertical="center" indent="1"/>
    </xf>
    <xf numFmtId="0" fontId="7" fillId="0" borderId="7" xfId="7" applyFont="1" applyBorder="1" applyAlignment="1">
      <alignment horizontal="left" vertical="center" indent="1"/>
    </xf>
    <xf numFmtId="0" fontId="4" fillId="7" borderId="0" xfId="0" applyFont="1" applyFill="1" applyAlignment="1">
      <alignment horizontal="left" vertical="center" indent="1"/>
    </xf>
    <xf numFmtId="0" fontId="10" fillId="0" borderId="1" xfId="0" applyFont="1" applyBorder="1" applyAlignment="1">
      <alignment horizontal="left" vertical="center" wrapText="1" indent="1"/>
    </xf>
    <xf numFmtId="0" fontId="10" fillId="0" borderId="13" xfId="0" applyFont="1" applyBorder="1" applyAlignment="1">
      <alignment horizontal="left" vertical="center" wrapText="1" indent="1"/>
    </xf>
    <xf numFmtId="0" fontId="10" fillId="36" borderId="0" xfId="0" applyFont="1" applyFill="1" applyAlignment="1">
      <alignment horizontal="left" vertical="center" indent="1"/>
    </xf>
    <xf numFmtId="0" fontId="23" fillId="37" borderId="1" xfId="0" applyFont="1" applyFill="1" applyBorder="1" applyAlignment="1">
      <alignment horizontal="left" vertical="center" indent="1"/>
    </xf>
    <xf numFmtId="0" fontId="41" fillId="24" borderId="1" xfId="5" applyFont="1" applyFill="1" applyBorder="1" applyAlignment="1">
      <alignment horizontal="left" vertical="center" wrapText="1" indent="1"/>
    </xf>
    <xf numFmtId="0" fontId="20" fillId="0" borderId="0" xfId="5" applyProtection="1">
      <protection locked="0"/>
    </xf>
    <xf numFmtId="0" fontId="44" fillId="0" borderId="1" xfId="5" applyFont="1" applyBorder="1" applyAlignment="1" applyProtection="1">
      <alignment horizontal="left" vertical="center" indent="1"/>
      <protection locked="0"/>
    </xf>
    <xf numFmtId="0" fontId="0" fillId="0" borderId="9" xfId="0" applyBorder="1"/>
    <xf numFmtId="0" fontId="7" fillId="31" borderId="0" xfId="7" applyFont="1" applyFill="1" applyAlignment="1">
      <alignment horizontal="left" vertical="center" wrapText="1" indent="1"/>
    </xf>
    <xf numFmtId="0" fontId="4" fillId="13" borderId="13" xfId="0" applyFont="1" applyFill="1" applyBorder="1" applyAlignment="1">
      <alignment horizontal="left" vertical="center" indent="1"/>
    </xf>
    <xf numFmtId="0" fontId="10" fillId="0" borderId="13" xfId="0" applyFont="1" applyBorder="1" applyAlignment="1">
      <alignment horizontal="left" vertical="center" indent="1"/>
    </xf>
    <xf numFmtId="0" fontId="4" fillId="0" borderId="1" xfId="0" applyFont="1" applyBorder="1" applyAlignment="1">
      <alignment vertical="center"/>
    </xf>
    <xf numFmtId="0" fontId="4" fillId="0" borderId="1" xfId="0" applyFont="1" applyBorder="1"/>
    <xf numFmtId="0" fontId="41" fillId="24" borderId="1" xfId="5" applyFont="1" applyFill="1" applyBorder="1" applyAlignment="1">
      <alignment horizontal="left" vertical="center" indent="1"/>
    </xf>
    <xf numFmtId="0" fontId="41" fillId="18" borderId="1" xfId="5" applyFont="1" applyFill="1" applyBorder="1" applyAlignment="1">
      <alignment horizontal="left" vertical="center" indent="1"/>
    </xf>
    <xf numFmtId="0" fontId="8" fillId="4" borderId="13" xfId="3" applyFont="1" applyBorder="1" applyAlignment="1">
      <alignment horizontal="left" vertical="center" indent="1"/>
    </xf>
    <xf numFmtId="0" fontId="9" fillId="0" borderId="0" xfId="0" applyFont="1" applyAlignment="1">
      <alignment horizontal="left" vertical="center" indent="1"/>
    </xf>
    <xf numFmtId="0" fontId="29" fillId="22" borderId="1" xfId="3" applyFont="1" applyFill="1" applyBorder="1" applyAlignment="1">
      <alignment horizontal="left" vertical="center" indent="1"/>
    </xf>
    <xf numFmtId="0" fontId="8" fillId="4" borderId="1" xfId="10" applyFont="1" applyBorder="1" applyAlignment="1">
      <alignment horizontal="left" vertical="center" indent="1"/>
    </xf>
    <xf numFmtId="0" fontId="8" fillId="4" borderId="7" xfId="10" applyFont="1" applyBorder="1" applyAlignment="1">
      <alignment horizontal="left" vertical="center" indent="1"/>
    </xf>
    <xf numFmtId="0" fontId="0" fillId="0" borderId="1" xfId="0" applyBorder="1" applyAlignment="1">
      <alignment horizontal="left"/>
    </xf>
    <xf numFmtId="0" fontId="27" fillId="0" borderId="8" xfId="0" applyFont="1" applyBorder="1" applyAlignment="1">
      <alignment horizontal="left"/>
    </xf>
    <xf numFmtId="0" fontId="8" fillId="4" borderId="8" xfId="10" applyFont="1" applyBorder="1" applyAlignment="1">
      <alignment horizontal="left" vertical="center" indent="1"/>
    </xf>
    <xf numFmtId="0" fontId="8" fillId="4" borderId="9" xfId="10" applyFont="1" applyBorder="1" applyAlignment="1">
      <alignment horizontal="left" vertical="center" indent="1"/>
    </xf>
    <xf numFmtId="0" fontId="7" fillId="30" borderId="1" xfId="0" applyFont="1" applyFill="1" applyBorder="1" applyAlignment="1">
      <alignment horizontal="left" vertical="center" indent="1"/>
    </xf>
    <xf numFmtId="0" fontId="7" fillId="39" borderId="1" xfId="13">
      <alignment horizontal="left" vertical="center" wrapText="1" indent="1"/>
    </xf>
    <xf numFmtId="0" fontId="9" fillId="5" borderId="15" xfId="0" applyFont="1" applyFill="1" applyBorder="1" applyAlignment="1">
      <alignment horizontal="left" vertical="center" wrapText="1" indent="1"/>
    </xf>
    <xf numFmtId="0" fontId="7" fillId="31" borderId="0" xfId="0" applyFont="1" applyFill="1" applyAlignment="1">
      <alignment horizontal="left" vertical="center" wrapText="1" indent="1"/>
    </xf>
    <xf numFmtId="0" fontId="17" fillId="10" borderId="5" xfId="0" applyFont="1" applyFill="1" applyBorder="1" applyAlignment="1">
      <alignment horizontal="left" vertical="center" indent="1"/>
    </xf>
    <xf numFmtId="0" fontId="4" fillId="41" borderId="1" xfId="0" applyFont="1" applyFill="1" applyBorder="1" applyAlignment="1" applyProtection="1">
      <alignment horizontal="left" vertical="center" indent="1"/>
      <protection locked="0"/>
    </xf>
    <xf numFmtId="0" fontId="15" fillId="38" borderId="5" xfId="0" applyFont="1" applyFill="1" applyBorder="1" applyAlignment="1">
      <alignment horizontal="left" vertical="center" indent="1"/>
    </xf>
    <xf numFmtId="0" fontId="15" fillId="38" borderId="0" xfId="0" applyFont="1" applyFill="1" applyAlignment="1">
      <alignment horizontal="left" vertical="center" indent="1"/>
    </xf>
    <xf numFmtId="0" fontId="31" fillId="0" borderId="1" xfId="0" applyFont="1" applyBorder="1" applyAlignment="1" applyProtection="1">
      <alignment horizontal="left" vertical="center" indent="1"/>
      <protection locked="0"/>
    </xf>
    <xf numFmtId="0" fontId="7" fillId="0" borderId="7" xfId="0" applyFont="1" applyBorder="1" applyAlignment="1">
      <alignment horizontal="left" vertical="center" wrapText="1" indent="1"/>
    </xf>
    <xf numFmtId="0" fontId="25" fillId="0" borderId="13" xfId="0" applyFont="1" applyBorder="1" applyAlignment="1">
      <alignment horizontal="left" vertical="center" indent="1"/>
    </xf>
    <xf numFmtId="0" fontId="46" fillId="0" borderId="1" xfId="0" applyFont="1" applyBorder="1" applyAlignment="1" applyProtection="1">
      <alignment horizontal="left" vertical="center" indent="1"/>
      <protection locked="0"/>
    </xf>
    <xf numFmtId="0" fontId="46" fillId="0" borderId="1" xfId="0" applyFont="1" applyBorder="1" applyAlignment="1">
      <alignment horizontal="left" vertical="center" indent="1"/>
    </xf>
    <xf numFmtId="0" fontId="4" fillId="42" borderId="1" xfId="0" applyFont="1" applyFill="1" applyBorder="1" applyAlignment="1">
      <alignment horizontal="left" vertical="center" indent="1"/>
    </xf>
    <xf numFmtId="0" fontId="31" fillId="42" borderId="1" xfId="0" applyFont="1" applyFill="1" applyBorder="1" applyAlignment="1">
      <alignment horizontal="left" vertical="center" indent="1"/>
    </xf>
    <xf numFmtId="0" fontId="7" fillId="3" borderId="1" xfId="2" applyFont="1" applyBorder="1" applyAlignment="1">
      <alignment horizontal="left" vertical="center" indent="1"/>
    </xf>
    <xf numFmtId="0" fontId="7" fillId="2" borderId="1" xfId="1" applyFont="1" applyBorder="1" applyAlignment="1">
      <alignment horizontal="left" vertical="center" indent="1"/>
    </xf>
    <xf numFmtId="0" fontId="7" fillId="3" borderId="0" xfId="2" applyFont="1" applyAlignment="1">
      <alignment horizontal="left" vertical="center" indent="1"/>
    </xf>
    <xf numFmtId="0" fontId="7" fillId="3" borderId="9" xfId="2" applyFont="1" applyBorder="1" applyAlignment="1">
      <alignment horizontal="left" vertical="center" indent="1"/>
    </xf>
    <xf numFmtId="0" fontId="8" fillId="40" borderId="1" xfId="10" applyFont="1" applyFill="1" applyBorder="1" applyAlignment="1">
      <alignment horizontal="left" vertical="center" indent="1"/>
    </xf>
    <xf numFmtId="0" fontId="15" fillId="18" borderId="9" xfId="0" applyFont="1" applyFill="1" applyBorder="1" applyAlignment="1">
      <alignment horizontal="left" vertical="center" indent="1"/>
    </xf>
    <xf numFmtId="0" fontId="0" fillId="0" borderId="12" xfId="0" applyBorder="1"/>
    <xf numFmtId="0" fontId="0" fillId="0" borderId="11" xfId="0" applyBorder="1"/>
    <xf numFmtId="0" fontId="0" fillId="0" borderId="3" xfId="0" applyBorder="1"/>
    <xf numFmtId="0" fontId="0" fillId="0" borderId="4" xfId="0" applyBorder="1"/>
    <xf numFmtId="0" fontId="8" fillId="0" borderId="12" xfId="10" applyFont="1" applyFill="1" applyBorder="1" applyAlignment="1">
      <alignment horizontal="left" vertical="center" indent="1"/>
    </xf>
    <xf numFmtId="0" fontId="8" fillId="0" borderId="11" xfId="10" applyFont="1" applyFill="1" applyBorder="1" applyAlignment="1">
      <alignment horizontal="left" vertical="center" indent="1"/>
    </xf>
    <xf numFmtId="0" fontId="8" fillId="0" borderId="3" xfId="10" applyFont="1" applyFill="1" applyBorder="1" applyAlignment="1">
      <alignment horizontal="left" vertical="center" indent="1"/>
    </xf>
    <xf numFmtId="0" fontId="8" fillId="0" borderId="4" xfId="10" applyFont="1" applyFill="1" applyBorder="1" applyAlignment="1">
      <alignment horizontal="left" vertical="center" indent="1"/>
    </xf>
    <xf numFmtId="0" fontId="4" fillId="2" borderId="1" xfId="1" applyFont="1" applyBorder="1" applyAlignment="1">
      <alignment horizontal="left" vertical="center" indent="1"/>
    </xf>
    <xf numFmtId="0" fontId="4" fillId="31" borderId="1" xfId="0" applyFont="1" applyFill="1" applyBorder="1" applyAlignment="1">
      <alignment horizontal="left" vertical="center" indent="1"/>
    </xf>
    <xf numFmtId="0" fontId="16" fillId="20" borderId="1" xfId="3" applyFont="1" applyFill="1" applyBorder="1" applyAlignment="1">
      <alignment horizontal="left" vertical="center" indent="1"/>
    </xf>
    <xf numFmtId="0" fontId="7" fillId="31" borderId="1" xfId="3" applyFont="1" applyFill="1" applyBorder="1" applyAlignment="1">
      <alignment horizontal="left" vertical="center" indent="1"/>
    </xf>
    <xf numFmtId="0" fontId="4" fillId="20" borderId="1" xfId="3" applyFont="1" applyFill="1" applyBorder="1" applyAlignment="1">
      <alignment horizontal="left" vertical="center" indent="1"/>
    </xf>
    <xf numFmtId="0" fontId="2" fillId="4" borderId="0" xfId="3"/>
    <xf numFmtId="0" fontId="16" fillId="31" borderId="1" xfId="3" applyFont="1" applyFill="1" applyBorder="1" applyAlignment="1">
      <alignment horizontal="left" vertical="center" indent="1"/>
    </xf>
    <xf numFmtId="0" fontId="4" fillId="0" borderId="7" xfId="0" applyFont="1" applyBorder="1" applyAlignment="1">
      <alignment horizontal="left" vertical="center" indent="1"/>
    </xf>
    <xf numFmtId="0" fontId="4" fillId="0" borderId="9" xfId="0" applyFont="1" applyBorder="1" applyAlignment="1">
      <alignment horizontal="left" vertical="center" indent="1"/>
    </xf>
    <xf numFmtId="0" fontId="4" fillId="0" borderId="8" xfId="0" applyFont="1" applyBorder="1" applyAlignment="1">
      <alignment horizontal="left" vertical="center" indent="1"/>
    </xf>
    <xf numFmtId="0" fontId="4" fillId="31" borderId="1" xfId="0" applyFont="1" applyFill="1" applyBorder="1" applyAlignment="1" applyProtection="1">
      <alignment horizontal="left" vertical="center" indent="1"/>
      <protection locked="0"/>
    </xf>
    <xf numFmtId="0" fontId="19" fillId="43" borderId="1" xfId="0" applyFont="1" applyFill="1" applyBorder="1" applyAlignment="1" applyProtection="1">
      <alignment horizontal="left" vertical="center" indent="1"/>
      <protection locked="0"/>
    </xf>
    <xf numFmtId="0" fontId="4" fillId="45" borderId="1" xfId="0" applyFont="1" applyFill="1" applyBorder="1" applyAlignment="1">
      <alignment horizontal="left" vertical="center" indent="1"/>
    </xf>
    <xf numFmtId="0" fontId="8" fillId="31" borderId="1" xfId="3" applyFont="1" applyFill="1" applyBorder="1" applyAlignment="1">
      <alignment horizontal="left" vertical="center" indent="1"/>
    </xf>
    <xf numFmtId="0" fontId="10" fillId="7" borderId="1" xfId="0" applyFont="1" applyFill="1" applyBorder="1" applyAlignment="1">
      <alignment horizontal="left" vertical="center" indent="1"/>
    </xf>
    <xf numFmtId="0" fontId="10" fillId="42" borderId="1" xfId="0" applyFont="1" applyFill="1" applyBorder="1" applyAlignment="1">
      <alignment horizontal="left" vertical="center" indent="1"/>
    </xf>
    <xf numFmtId="0" fontId="7" fillId="46" borderId="1" xfId="2" applyFont="1" applyFill="1" applyBorder="1" applyAlignment="1">
      <alignment horizontal="left" vertical="center" wrapText="1" indent="1"/>
    </xf>
    <xf numFmtId="0" fontId="7" fillId="46" borderId="1" xfId="0" applyFont="1" applyFill="1" applyBorder="1" applyAlignment="1">
      <alignment horizontal="left" vertical="center"/>
    </xf>
    <xf numFmtId="0" fontId="7" fillId="46" borderId="1" xfId="0" applyFont="1" applyFill="1" applyBorder="1" applyAlignment="1">
      <alignment horizontal="left" vertical="center" indent="1"/>
    </xf>
    <xf numFmtId="0" fontId="8" fillId="24" borderId="2" xfId="3" applyFont="1" applyFill="1" applyBorder="1" applyAlignment="1">
      <alignment horizontal="left" vertical="center" indent="1"/>
    </xf>
    <xf numFmtId="0" fontId="8" fillId="24" borderId="3" xfId="3" applyFont="1" applyFill="1" applyBorder="1" applyAlignment="1">
      <alignment horizontal="left" vertical="center" indent="1"/>
    </xf>
    <xf numFmtId="0" fontId="7" fillId="46" borderId="7" xfId="2" applyFont="1" applyFill="1" applyBorder="1" applyAlignment="1">
      <alignment horizontal="left" vertical="center" wrapText="1" indent="1"/>
    </xf>
    <xf numFmtId="0" fontId="7" fillId="46" borderId="9" xfId="2" applyFont="1" applyFill="1" applyBorder="1" applyAlignment="1">
      <alignment horizontal="left" vertical="center" wrapText="1" indent="1"/>
    </xf>
    <xf numFmtId="0" fontId="7" fillId="46" borderId="8" xfId="2" applyFont="1" applyFill="1" applyBorder="1" applyAlignment="1">
      <alignment horizontal="left" vertical="center" wrapText="1" indent="1"/>
    </xf>
    <xf numFmtId="0" fontId="7" fillId="46" borderId="8" xfId="0" applyFont="1" applyFill="1" applyBorder="1" applyAlignment="1">
      <alignment horizontal="left" vertical="center" indent="1"/>
    </xf>
    <xf numFmtId="0" fontId="4" fillId="0" borderId="0" xfId="0" applyFont="1" applyAlignment="1">
      <alignment horizontal="left" vertical="center"/>
    </xf>
    <xf numFmtId="0" fontId="4" fillId="0" borderId="1" xfId="0" applyFont="1" applyBorder="1" applyAlignment="1">
      <alignment horizontal="left" vertical="center" indent="2"/>
    </xf>
    <xf numFmtId="0" fontId="7" fillId="46" borderId="9" xfId="2" applyFont="1" applyFill="1" applyBorder="1" applyAlignment="1">
      <alignment horizontal="left" vertical="center" wrapText="1" indent="2"/>
    </xf>
    <xf numFmtId="0" fontId="7" fillId="7" borderId="1" xfId="0" applyFont="1" applyFill="1" applyBorder="1" applyAlignment="1">
      <alignment horizontal="left" vertical="center" indent="1"/>
    </xf>
    <xf numFmtId="0" fontId="9" fillId="7" borderId="1" xfId="0" applyFont="1" applyFill="1" applyBorder="1" applyAlignment="1">
      <alignment horizontal="left" vertical="center" indent="1"/>
    </xf>
    <xf numFmtId="0" fontId="4" fillId="7" borderId="1" xfId="0" applyFont="1" applyFill="1" applyBorder="1" applyAlignment="1">
      <alignment horizontal="left" vertical="top" indent="1"/>
    </xf>
    <xf numFmtId="0" fontId="4" fillId="0" borderId="1" xfId="0" applyFont="1" applyBorder="1" applyAlignment="1">
      <alignment vertical="top" wrapText="1"/>
    </xf>
    <xf numFmtId="0" fontId="4" fillId="0" borderId="0" xfId="0" applyFont="1" applyAlignment="1">
      <alignment vertical="center" wrapText="1"/>
    </xf>
    <xf numFmtId="0" fontId="4" fillId="0" borderId="0" xfId="0" applyFont="1" applyAlignment="1">
      <alignment vertical="top" wrapText="1"/>
    </xf>
    <xf numFmtId="0" fontId="2" fillId="0" borderId="0" xfId="0" applyFont="1"/>
    <xf numFmtId="0" fontId="6" fillId="0" borderId="0" xfId="0" applyFont="1" applyAlignment="1">
      <alignment horizontal="left" vertical="center"/>
    </xf>
    <xf numFmtId="0" fontId="47" fillId="31" borderId="15" xfId="0" applyFont="1" applyFill="1" applyBorder="1"/>
    <xf numFmtId="0" fontId="47" fillId="31" borderId="16" xfId="0" applyFont="1" applyFill="1" applyBorder="1"/>
    <xf numFmtId="0" fontId="47" fillId="31" borderId="13" xfId="0" applyFont="1" applyFill="1" applyBorder="1"/>
    <xf numFmtId="0" fontId="7" fillId="31" borderId="1" xfId="0" applyFont="1" applyFill="1" applyBorder="1" applyAlignment="1">
      <alignment horizontal="left" vertical="center" indent="1"/>
    </xf>
    <xf numFmtId="0" fontId="0" fillId="31" borderId="1" xfId="0" applyFill="1" applyBorder="1"/>
    <xf numFmtId="0" fontId="7" fillId="31" borderId="1" xfId="0" applyFont="1" applyFill="1" applyBorder="1" applyAlignment="1">
      <alignment horizontal="left" vertical="center" wrapText="1" indent="1"/>
    </xf>
    <xf numFmtId="0" fontId="25" fillId="31" borderId="1" xfId="0" applyFont="1" applyFill="1" applyBorder="1" applyAlignment="1">
      <alignment horizontal="left" vertical="center" wrapText="1" indent="1"/>
    </xf>
    <xf numFmtId="0" fontId="41" fillId="38" borderId="1" xfId="5" applyFont="1" applyFill="1" applyBorder="1" applyAlignment="1">
      <alignment horizontal="left" vertical="center" indent="1"/>
    </xf>
    <xf numFmtId="0" fontId="50" fillId="0" borderId="0" xfId="5" applyFont="1" applyAlignment="1">
      <alignment horizontal="left" vertical="center" indent="1"/>
    </xf>
    <xf numFmtId="0" fontId="49" fillId="31" borderId="16" xfId="0" applyFont="1" applyFill="1" applyBorder="1"/>
    <xf numFmtId="0" fontId="49" fillId="31" borderId="15" xfId="0" applyFont="1" applyFill="1" applyBorder="1"/>
    <xf numFmtId="0" fontId="49" fillId="31" borderId="13" xfId="0" applyFont="1" applyFill="1" applyBorder="1"/>
    <xf numFmtId="0" fontId="4" fillId="13" borderId="15" xfId="0" applyFont="1" applyFill="1" applyBorder="1" applyAlignment="1">
      <alignment horizontal="left" vertical="center" indent="1"/>
    </xf>
    <xf numFmtId="0" fontId="4" fillId="13" borderId="10" xfId="0" applyFont="1" applyFill="1" applyBorder="1" applyAlignment="1">
      <alignment horizontal="left" vertical="center" indent="1"/>
    </xf>
    <xf numFmtId="0" fontId="4" fillId="13" borderId="12" xfId="0" applyFont="1" applyFill="1" applyBorder="1" applyAlignment="1">
      <alignment horizontal="left" vertical="center" indent="1"/>
    </xf>
    <xf numFmtId="0" fontId="4" fillId="13" borderId="11" xfId="0" applyFont="1" applyFill="1" applyBorder="1" applyAlignment="1">
      <alignment horizontal="left" vertical="center" indent="1"/>
    </xf>
    <xf numFmtId="0" fontId="7" fillId="2" borderId="13" xfId="1" applyFont="1" applyBorder="1" applyAlignment="1">
      <alignment horizontal="left" vertical="center" wrapText="1" indent="1"/>
    </xf>
    <xf numFmtId="0" fontId="7" fillId="3" borderId="13" xfId="2" applyFont="1" applyBorder="1" applyAlignment="1">
      <alignment horizontal="left" vertical="center" wrapText="1" indent="1"/>
    </xf>
    <xf numFmtId="0" fontId="9" fillId="0" borderId="0" xfId="0" applyFont="1" applyAlignment="1">
      <alignment horizontal="left" vertical="center"/>
    </xf>
    <xf numFmtId="0" fontId="48" fillId="31" borderId="0" xfId="0" applyFont="1" applyFill="1"/>
    <xf numFmtId="0" fontId="49" fillId="31" borderId="0" xfId="0" applyFont="1" applyFill="1"/>
    <xf numFmtId="0" fontId="0" fillId="31" borderId="5" xfId="0" applyFill="1" applyBorder="1"/>
    <xf numFmtId="0" fontId="0" fillId="31" borderId="10" xfId="0" applyFill="1" applyBorder="1"/>
    <xf numFmtId="0" fontId="48" fillId="31" borderId="11" xfId="0" applyFont="1" applyFill="1" applyBorder="1"/>
    <xf numFmtId="0" fontId="48" fillId="31" borderId="6" xfId="0" applyFont="1" applyFill="1" applyBorder="1"/>
    <xf numFmtId="0" fontId="51" fillId="31" borderId="0" xfId="0" applyFont="1" applyFill="1"/>
    <xf numFmtId="0" fontId="49" fillId="0" borderId="16" xfId="0" applyFont="1" applyBorder="1"/>
    <xf numFmtId="0" fontId="49" fillId="0" borderId="13" xfId="0" applyFont="1" applyBorder="1"/>
    <xf numFmtId="0" fontId="0" fillId="31" borderId="6" xfId="0" applyFill="1" applyBorder="1"/>
    <xf numFmtId="0" fontId="4" fillId="42" borderId="1" xfId="7" applyFont="1" applyFill="1" applyBorder="1" applyAlignment="1">
      <alignment horizontal="left" vertical="center" indent="1"/>
    </xf>
    <xf numFmtId="0" fontId="4" fillId="47" borderId="1" xfId="0" applyFont="1" applyFill="1" applyBorder="1" applyAlignment="1">
      <alignment horizontal="left" vertical="center" indent="1"/>
    </xf>
    <xf numFmtId="0" fontId="7" fillId="46" borderId="1" xfId="1" applyFont="1" applyFill="1" applyBorder="1" applyAlignment="1">
      <alignment horizontal="left" vertical="center" wrapText="1" indent="1"/>
    </xf>
    <xf numFmtId="0" fontId="4" fillId="44" borderId="9" xfId="3" applyFont="1" applyFill="1" applyBorder="1" applyAlignment="1">
      <alignment horizontal="left" vertical="center" indent="1"/>
    </xf>
    <xf numFmtId="0" fontId="4" fillId="50" borderId="0" xfId="0" applyFont="1" applyFill="1" applyAlignment="1">
      <alignment horizontal="left" vertical="center" indent="1"/>
    </xf>
    <xf numFmtId="0" fontId="7" fillId="50" borderId="0" xfId="0" applyFont="1" applyFill="1" applyAlignment="1">
      <alignment horizontal="left" vertical="center" indent="1"/>
    </xf>
    <xf numFmtId="0" fontId="4" fillId="50" borderId="0" xfId="0" applyFont="1" applyFill="1" applyAlignment="1" applyProtection="1">
      <alignment horizontal="left" vertical="center" indent="1"/>
      <protection locked="0"/>
    </xf>
    <xf numFmtId="0" fontId="0" fillId="0" borderId="0" xfId="0" applyAlignment="1">
      <alignment horizontal="left" vertical="center" indent="1"/>
    </xf>
    <xf numFmtId="0" fontId="8" fillId="4" borderId="0" xfId="3" applyFont="1" applyAlignment="1">
      <alignment horizontal="left" vertical="center" indent="1"/>
    </xf>
    <xf numFmtId="0" fontId="53" fillId="0" borderId="1" xfId="0" applyFont="1" applyBorder="1"/>
    <xf numFmtId="0" fontId="20" fillId="0" borderId="0" xfId="5" applyAlignment="1" applyProtection="1">
      <alignment horizontal="left" indent="1"/>
      <protection locked="0"/>
    </xf>
    <xf numFmtId="0" fontId="50" fillId="0" borderId="1" xfId="5" applyFont="1" applyBorder="1" applyAlignment="1">
      <alignment horizontal="left" vertical="center" indent="1"/>
    </xf>
    <xf numFmtId="0" fontId="10" fillId="36" borderId="1" xfId="0" applyFont="1" applyFill="1" applyBorder="1" applyAlignment="1">
      <alignment horizontal="left" vertical="top" wrapText="1" indent="1"/>
    </xf>
    <xf numFmtId="14" fontId="10" fillId="36" borderId="8" xfId="0" applyNumberFormat="1" applyFont="1" applyFill="1" applyBorder="1" applyAlignment="1">
      <alignment horizontal="left" vertical="top" wrapText="1" indent="1"/>
    </xf>
    <xf numFmtId="1" fontId="4" fillId="0" borderId="1" xfId="7" applyNumberFormat="1" applyFont="1" applyBorder="1" applyAlignment="1" applyProtection="1">
      <alignment horizontal="left" vertical="center" indent="1"/>
      <protection locked="0"/>
    </xf>
    <xf numFmtId="0" fontId="24" fillId="0" borderId="1" xfId="5" applyFont="1" applyBorder="1" applyAlignment="1" applyProtection="1">
      <alignment horizontal="left" vertical="center" indent="1"/>
      <protection locked="0"/>
    </xf>
    <xf numFmtId="0" fontId="24" fillId="0" borderId="0" xfId="5" applyFont="1" applyAlignment="1" applyProtection="1">
      <alignment horizontal="left" vertical="center" indent="1"/>
      <protection locked="0"/>
    </xf>
    <xf numFmtId="0" fontId="0" fillId="0" borderId="1" xfId="0" applyBorder="1" applyAlignment="1">
      <alignment horizontal="left" vertical="center" indent="1"/>
    </xf>
    <xf numFmtId="0" fontId="15" fillId="9" borderId="10" xfId="0" applyFont="1" applyFill="1" applyBorder="1" applyAlignment="1">
      <alignment vertical="center"/>
    </xf>
    <xf numFmtId="0" fontId="15" fillId="9" borderId="12" xfId="0" applyFont="1" applyFill="1" applyBorder="1" applyAlignment="1">
      <alignment vertical="center"/>
    </xf>
    <xf numFmtId="0" fontId="51" fillId="0" borderId="1" xfId="0" applyFont="1" applyBorder="1"/>
    <xf numFmtId="0" fontId="51" fillId="0" borderId="1" xfId="0" applyFont="1" applyBorder="1" applyAlignment="1">
      <alignment horizontal="left" vertical="center" indent="1"/>
    </xf>
    <xf numFmtId="0" fontId="4" fillId="0" borderId="1" xfId="0" applyFont="1" applyBorder="1" applyAlignment="1">
      <alignment horizontal="left" indent="1"/>
    </xf>
    <xf numFmtId="0" fontId="0" fillId="0" borderId="0" xfId="0" applyAlignment="1">
      <alignment wrapText="1"/>
    </xf>
    <xf numFmtId="0" fontId="55" fillId="0" borderId="0" xfId="0" applyFont="1"/>
    <xf numFmtId="0" fontId="56" fillId="0" borderId="0" xfId="0" applyFont="1"/>
    <xf numFmtId="0" fontId="57" fillId="0" borderId="0" xfId="0" applyFont="1"/>
    <xf numFmtId="0" fontId="4" fillId="31" borderId="1" xfId="1" applyFont="1" applyFill="1" applyBorder="1" applyAlignment="1">
      <alignment horizontal="left" vertical="center" wrapText="1" indent="1"/>
    </xf>
    <xf numFmtId="49" fontId="4" fillId="31" borderId="8" xfId="1" applyNumberFormat="1" applyFont="1" applyFill="1" applyBorder="1" applyAlignment="1">
      <alignment horizontal="left" vertical="center" wrapText="1" indent="1"/>
    </xf>
    <xf numFmtId="0" fontId="24" fillId="0" borderId="1" xfId="5" applyFont="1" applyBorder="1" applyAlignment="1" applyProtection="1">
      <alignment horizontal="left" vertical="center" indent="1"/>
      <protection locked="0"/>
    </xf>
    <xf numFmtId="0" fontId="4" fillId="0" borderId="10"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11" xfId="0" applyFont="1" applyBorder="1" applyAlignment="1">
      <alignment horizontal="left" vertical="center" wrapText="1" indent="1"/>
    </xf>
    <xf numFmtId="0" fontId="4" fillId="0" borderId="5" xfId="0" applyFont="1" applyBorder="1" applyAlignment="1">
      <alignment horizontal="left" vertical="center" wrapText="1" indent="1"/>
    </xf>
    <xf numFmtId="0" fontId="4" fillId="0" borderId="0" xfId="0" applyFont="1" applyAlignment="1">
      <alignment horizontal="left" vertical="center" wrapText="1" indent="1"/>
    </xf>
    <xf numFmtId="0" fontId="4" fillId="0" borderId="6" xfId="0" applyFont="1" applyBorder="1" applyAlignment="1">
      <alignment horizontal="left" vertical="center" wrapText="1" indent="1"/>
    </xf>
    <xf numFmtId="0" fontId="4" fillId="0" borderId="2" xfId="0" applyFont="1" applyBorder="1" applyAlignment="1">
      <alignment horizontal="left" vertical="center" wrapText="1" inden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24" fillId="0" borderId="1" xfId="5" applyFont="1" applyBorder="1" applyAlignment="1" applyProtection="1">
      <alignment horizontal="left" vertical="center"/>
      <protection locked="0"/>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4" fillId="0" borderId="11" xfId="0" applyFont="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Alignment="1">
      <alignment horizontal="left" vertical="center" wrapText="1"/>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24" fillId="0" borderId="15" xfId="5" applyFont="1" applyBorder="1" applyAlignment="1" applyProtection="1">
      <alignment horizontal="center" vertical="center" wrapText="1"/>
      <protection locked="0"/>
    </xf>
    <xf numFmtId="0" fontId="24" fillId="0" borderId="16" xfId="5" applyFont="1" applyBorder="1" applyAlignment="1" applyProtection="1">
      <alignment horizontal="center" vertical="center" wrapText="1"/>
      <protection locked="0"/>
    </xf>
    <xf numFmtId="0" fontId="24" fillId="0" borderId="13" xfId="5" applyFont="1" applyBorder="1" applyAlignment="1" applyProtection="1">
      <alignment horizontal="center" vertical="center" wrapText="1"/>
      <protection locked="0"/>
    </xf>
    <xf numFmtId="0" fontId="8" fillId="4" borderId="10" xfId="3" applyFont="1" applyBorder="1" applyAlignment="1">
      <alignment horizontal="left" vertical="center" indent="1"/>
    </xf>
    <xf numFmtId="0" fontId="8" fillId="4" borderId="12" xfId="3" applyFont="1" applyBorder="1" applyAlignment="1">
      <alignment horizontal="left" vertical="center" indent="1"/>
    </xf>
    <xf numFmtId="0" fontId="8" fillId="4" borderId="11" xfId="3" applyFont="1" applyBorder="1" applyAlignment="1">
      <alignment horizontal="left" vertical="center" indent="1"/>
    </xf>
    <xf numFmtId="0" fontId="4" fillId="18" borderId="7" xfId="0" applyFont="1" applyFill="1" applyBorder="1" applyAlignment="1">
      <alignment horizontal="left" vertical="center" indent="1"/>
    </xf>
    <xf numFmtId="0" fontId="4" fillId="18" borderId="9" xfId="0" applyFont="1" applyFill="1" applyBorder="1" applyAlignment="1">
      <alignment horizontal="left" vertical="center" indent="1"/>
    </xf>
    <xf numFmtId="0" fontId="4" fillId="18" borderId="8" xfId="0" applyFont="1" applyFill="1" applyBorder="1" applyAlignment="1">
      <alignment horizontal="left" vertical="center" indent="1"/>
    </xf>
    <xf numFmtId="0" fontId="17" fillId="10" borderId="7" xfId="0" applyFont="1" applyFill="1" applyBorder="1" applyAlignment="1">
      <alignment horizontal="left" vertical="center" indent="1"/>
    </xf>
    <xf numFmtId="0" fontId="17" fillId="10" borderId="9" xfId="0" applyFont="1" applyFill="1" applyBorder="1" applyAlignment="1">
      <alignment horizontal="left" vertical="center" indent="1"/>
    </xf>
    <xf numFmtId="0" fontId="17" fillId="10" borderId="8" xfId="0" applyFont="1" applyFill="1" applyBorder="1" applyAlignment="1">
      <alignment horizontal="left" vertical="center" indent="1"/>
    </xf>
    <xf numFmtId="0" fontId="8" fillId="4" borderId="1" xfId="3" applyFont="1" applyBorder="1" applyAlignment="1">
      <alignment horizontal="left" vertical="center" indent="1"/>
    </xf>
    <xf numFmtId="0" fontId="7" fillId="2" borderId="1" xfId="1" applyFont="1" applyBorder="1" applyAlignment="1">
      <alignment horizontal="left" vertical="center" wrapText="1" indent="1"/>
    </xf>
    <xf numFmtId="0" fontId="29" fillId="21" borderId="7" xfId="3" applyFont="1" applyFill="1" applyBorder="1" applyAlignment="1">
      <alignment horizontal="left" vertical="center" indent="1"/>
    </xf>
    <xf numFmtId="0" fontId="29" fillId="21" borderId="9" xfId="3" applyFont="1" applyFill="1" applyBorder="1" applyAlignment="1">
      <alignment horizontal="left" vertical="center" indent="1"/>
    </xf>
    <xf numFmtId="0" fontId="29" fillId="21" borderId="8" xfId="3" applyFont="1" applyFill="1" applyBorder="1" applyAlignment="1">
      <alignment horizontal="left" vertical="center" indent="1"/>
    </xf>
    <xf numFmtId="0" fontId="4" fillId="0" borderId="2" xfId="0" applyFont="1" applyBorder="1" applyAlignment="1">
      <alignment horizontal="left" vertical="center" indent="1"/>
    </xf>
    <xf numFmtId="0" fontId="4" fillId="0" borderId="3" xfId="0" applyFont="1" applyBorder="1" applyAlignment="1">
      <alignment horizontal="left" vertical="center" indent="1"/>
    </xf>
    <xf numFmtId="0" fontId="4" fillId="0" borderId="4" xfId="0" applyFont="1" applyBorder="1" applyAlignment="1">
      <alignment horizontal="left" vertical="center" indent="1"/>
    </xf>
    <xf numFmtId="0" fontId="42" fillId="0" borderId="10" xfId="0" applyFont="1" applyBorder="1" applyAlignment="1">
      <alignment horizontal="left" vertical="top" wrapText="1"/>
    </xf>
    <xf numFmtId="0" fontId="42" fillId="0" borderId="12" xfId="0" applyFont="1" applyBorder="1" applyAlignment="1">
      <alignment horizontal="left" vertical="top" wrapText="1"/>
    </xf>
    <xf numFmtId="0" fontId="42" fillId="0" borderId="11" xfId="0" applyFont="1" applyBorder="1" applyAlignment="1">
      <alignment horizontal="left" vertical="top" wrapText="1"/>
    </xf>
    <xf numFmtId="0" fontId="42" fillId="0" borderId="5" xfId="0" applyFont="1" applyBorder="1" applyAlignment="1">
      <alignment horizontal="left" vertical="top" wrapText="1"/>
    </xf>
    <xf numFmtId="0" fontId="42" fillId="0" borderId="0" xfId="0" applyFont="1" applyAlignment="1">
      <alignment horizontal="left" vertical="top" wrapText="1"/>
    </xf>
    <xf numFmtId="0" fontId="42" fillId="0" borderId="6" xfId="0" applyFont="1" applyBorder="1" applyAlignment="1">
      <alignment horizontal="left" vertical="top" wrapText="1"/>
    </xf>
    <xf numFmtId="0" fontId="42" fillId="0" borderId="2" xfId="0" applyFont="1" applyBorder="1" applyAlignment="1">
      <alignment horizontal="left" vertical="top" wrapText="1"/>
    </xf>
    <xf numFmtId="0" fontId="42" fillId="0" borderId="3" xfId="0" applyFont="1" applyBorder="1" applyAlignment="1">
      <alignment horizontal="left" vertical="top" wrapText="1"/>
    </xf>
    <xf numFmtId="0" fontId="42" fillId="0" borderId="4" xfId="0" applyFont="1" applyBorder="1" applyAlignment="1">
      <alignment horizontal="left" vertical="top" wrapText="1"/>
    </xf>
    <xf numFmtId="49" fontId="42" fillId="0" borderId="15" xfId="0" applyNumberFormat="1" applyFont="1" applyBorder="1" applyAlignment="1">
      <alignment horizontal="left" vertical="top" wrapText="1"/>
    </xf>
    <xf numFmtId="49" fontId="42" fillId="0" borderId="16" xfId="0" applyNumberFormat="1" applyFont="1" applyBorder="1" applyAlignment="1">
      <alignment horizontal="left" vertical="top" wrapText="1"/>
    </xf>
    <xf numFmtId="49" fontId="42" fillId="0" borderId="13" xfId="0" applyNumberFormat="1" applyFont="1" applyBorder="1" applyAlignment="1">
      <alignment horizontal="left" vertical="top" wrapText="1"/>
    </xf>
    <xf numFmtId="0" fontId="24" fillId="0" borderId="7" xfId="5" applyFont="1" applyBorder="1" applyAlignment="1" applyProtection="1">
      <alignment horizontal="left" vertical="center"/>
      <protection locked="0"/>
    </xf>
    <xf numFmtId="0" fontId="24" fillId="0" borderId="9" xfId="5" applyFont="1" applyBorder="1" applyAlignment="1" applyProtection="1">
      <alignment horizontal="left" vertical="center"/>
      <protection locked="0"/>
    </xf>
    <xf numFmtId="0" fontId="24" fillId="0" borderId="8" xfId="5" applyFont="1" applyBorder="1" applyAlignment="1" applyProtection="1">
      <alignment horizontal="left" vertical="center"/>
      <protection locked="0"/>
    </xf>
    <xf numFmtId="0" fontId="4" fillId="0" borderId="10" xfId="0" applyFont="1" applyBorder="1" applyAlignment="1">
      <alignment vertical="top" wrapText="1"/>
    </xf>
    <xf numFmtId="0" fontId="4" fillId="0" borderId="12" xfId="0" applyFont="1" applyBorder="1" applyAlignment="1">
      <alignment vertical="top" wrapText="1"/>
    </xf>
    <xf numFmtId="0" fontId="4" fillId="0" borderId="11" xfId="0" applyFont="1" applyBorder="1" applyAlignment="1">
      <alignment vertical="top" wrapText="1"/>
    </xf>
    <xf numFmtId="0" fontId="4" fillId="0" borderId="5"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13" fillId="0" borderId="10" xfId="0" applyFont="1" applyBorder="1" applyAlignment="1">
      <alignment horizontal="center" vertical="center"/>
    </xf>
    <xf numFmtId="0" fontId="13" fillId="0" borderId="12" xfId="0" applyFont="1" applyBorder="1" applyAlignment="1">
      <alignment horizontal="center" vertical="center"/>
    </xf>
    <xf numFmtId="0" fontId="13" fillId="0" borderId="1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8" fillId="29" borderId="15" xfId="3" applyFont="1" applyFill="1" applyBorder="1" applyAlignment="1">
      <alignment horizontal="left" vertical="center" indent="1"/>
    </xf>
    <xf numFmtId="0" fontId="17" fillId="10" borderId="2" xfId="0" applyFont="1" applyFill="1" applyBorder="1" applyAlignment="1">
      <alignment horizontal="left" vertical="center" indent="1"/>
    </xf>
    <xf numFmtId="0" fontId="17" fillId="10" borderId="3" xfId="0" applyFont="1" applyFill="1" applyBorder="1" applyAlignment="1">
      <alignment horizontal="left" vertical="center" indent="1"/>
    </xf>
    <xf numFmtId="0" fontId="54" fillId="9" borderId="12" xfId="0" applyFont="1" applyFill="1" applyBorder="1" applyAlignment="1">
      <alignment horizontal="left" vertical="center" indent="28"/>
    </xf>
    <xf numFmtId="0" fontId="8" fillId="21" borderId="1" xfId="3" applyFont="1" applyFill="1" applyBorder="1" applyAlignment="1">
      <alignment horizontal="left" vertical="center" wrapText="1" indent="1"/>
    </xf>
    <xf numFmtId="0" fontId="8" fillId="21" borderId="1" xfId="3" applyFont="1" applyFill="1" applyBorder="1" applyAlignment="1">
      <alignment horizontal="left" vertical="center" indent="1"/>
    </xf>
    <xf numFmtId="0" fontId="4" fillId="0" borderId="7" xfId="0" applyFont="1" applyBorder="1" applyAlignment="1">
      <alignment horizontal="left" vertical="top" wrapText="1" indent="1"/>
    </xf>
    <xf numFmtId="0" fontId="4" fillId="0" borderId="9" xfId="0" applyFont="1" applyBorder="1" applyAlignment="1">
      <alignment horizontal="left" vertical="top" wrapText="1" indent="1"/>
    </xf>
    <xf numFmtId="0" fontId="4" fillId="0" borderId="8" xfId="0" applyFont="1" applyBorder="1" applyAlignment="1">
      <alignment horizontal="left" vertical="top" wrapText="1" indent="1"/>
    </xf>
    <xf numFmtId="0" fontId="4" fillId="0" borderId="1" xfId="0" applyFont="1" applyBorder="1" applyAlignment="1">
      <alignment horizontal="left" vertical="top" wrapText="1" indent="1"/>
    </xf>
    <xf numFmtId="0" fontId="15" fillId="9" borderId="0" xfId="0" applyFont="1" applyFill="1" applyAlignment="1">
      <alignment horizontal="left" vertical="center" indent="1"/>
    </xf>
    <xf numFmtId="0" fontId="17" fillId="10" borderId="0" xfId="0" applyFont="1" applyFill="1" applyAlignment="1">
      <alignment horizontal="left" vertical="center" indent="1"/>
    </xf>
    <xf numFmtId="0" fontId="4" fillId="0" borderId="7" xfId="0" quotePrefix="1" applyFont="1" applyBorder="1" applyAlignment="1">
      <alignment horizontal="left" vertical="top" wrapText="1" indent="1"/>
    </xf>
    <xf numFmtId="0" fontId="4" fillId="0" borderId="9" xfId="0" quotePrefix="1" applyFont="1" applyBorder="1" applyAlignment="1">
      <alignment horizontal="left" vertical="top" wrapText="1" indent="1"/>
    </xf>
    <xf numFmtId="0" fontId="4" fillId="0" borderId="8" xfId="0" quotePrefix="1" applyFont="1" applyBorder="1" applyAlignment="1">
      <alignment horizontal="left" vertical="top" wrapText="1" indent="1"/>
    </xf>
    <xf numFmtId="0" fontId="4" fillId="31" borderId="7" xfId="1" quotePrefix="1" applyFont="1" applyFill="1" applyBorder="1" applyAlignment="1">
      <alignment horizontal="left" vertical="top" wrapText="1"/>
    </xf>
    <xf numFmtId="0" fontId="4" fillId="31" borderId="9" xfId="1" applyFont="1" applyFill="1" applyBorder="1" applyAlignment="1">
      <alignment horizontal="left" vertical="top" wrapText="1"/>
    </xf>
    <xf numFmtId="0" fontId="4" fillId="31" borderId="8" xfId="1" applyFont="1" applyFill="1" applyBorder="1" applyAlignment="1">
      <alignment horizontal="left" vertical="top" wrapText="1"/>
    </xf>
    <xf numFmtId="0" fontId="4" fillId="31" borderId="7" xfId="1" applyFont="1" applyFill="1" applyBorder="1" applyAlignment="1">
      <alignment horizontal="left" vertical="center" wrapText="1" indent="1"/>
    </xf>
    <xf numFmtId="0" fontId="4" fillId="31" borderId="9" xfId="1" applyFont="1" applyFill="1" applyBorder="1" applyAlignment="1">
      <alignment horizontal="left" vertical="center" wrapText="1" indent="1"/>
    </xf>
    <xf numFmtId="0" fontId="4" fillId="31" borderId="8" xfId="1" applyFont="1" applyFill="1" applyBorder="1" applyAlignment="1">
      <alignment horizontal="left" vertical="center" wrapText="1" indent="1"/>
    </xf>
    <xf numFmtId="49" fontId="4" fillId="0" borderId="1" xfId="0" applyNumberFormat="1" applyFont="1" applyBorder="1" applyAlignment="1">
      <alignment horizontal="left" vertical="center" wrapText="1" indent="1"/>
    </xf>
    <xf numFmtId="0" fontId="4" fillId="0" borderId="1" xfId="0" applyFont="1" applyBorder="1" applyAlignment="1">
      <alignment horizontal="left" vertical="center" wrapText="1"/>
    </xf>
    <xf numFmtId="0" fontId="4" fillId="0" borderId="1" xfId="0" applyFont="1" applyBorder="1" applyAlignment="1">
      <alignment horizontal="left" vertical="center" wrapText="1" indent="1"/>
    </xf>
    <xf numFmtId="0" fontId="4" fillId="0" borderId="1" xfId="0" applyFont="1" applyBorder="1" applyAlignment="1">
      <alignment horizontal="left" vertical="center" indent="1"/>
    </xf>
    <xf numFmtId="49" fontId="4" fillId="0" borderId="7" xfId="0" applyNumberFormat="1" applyFont="1" applyBorder="1" applyAlignment="1">
      <alignment horizontal="left" vertical="center" wrapText="1" indent="1"/>
    </xf>
    <xf numFmtId="49" fontId="4" fillId="0" borderId="8" xfId="0" applyNumberFormat="1" applyFont="1" applyBorder="1" applyAlignment="1">
      <alignment horizontal="left" vertical="center" wrapText="1" inden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0" fillId="0" borderId="10" xfId="0" applyBorder="1" applyAlignment="1">
      <alignment horizontal="left" vertical="center" wrapText="1" indent="1"/>
    </xf>
    <xf numFmtId="0" fontId="0" fillId="0" borderId="11" xfId="0" applyBorder="1" applyAlignment="1">
      <alignment horizontal="left" vertical="center" wrapText="1" indent="1"/>
    </xf>
    <xf numFmtId="0" fontId="0" fillId="0" borderId="5" xfId="0" applyBorder="1" applyAlignment="1">
      <alignment horizontal="left" vertical="center" wrapText="1" indent="1"/>
    </xf>
    <xf numFmtId="0" fontId="0" fillId="0" borderId="6" xfId="0" applyBorder="1" applyAlignment="1">
      <alignment horizontal="left" vertical="center" wrapText="1" indent="1"/>
    </xf>
    <xf numFmtId="0" fontId="0" fillId="0" borderId="2" xfId="0" applyBorder="1" applyAlignment="1">
      <alignment horizontal="left" vertical="center" wrapText="1" indent="1"/>
    </xf>
    <xf numFmtId="0" fontId="0" fillId="0" borderId="4" xfId="0" applyBorder="1" applyAlignment="1">
      <alignment horizontal="left" vertical="center" wrapText="1" indent="1"/>
    </xf>
    <xf numFmtId="0" fontId="4" fillId="0" borderId="7" xfId="0" applyFont="1" applyBorder="1" applyAlignment="1" applyProtection="1">
      <alignment horizontal="left" vertical="center" wrapText="1" indent="1"/>
      <protection locked="0"/>
    </xf>
    <xf numFmtId="0" fontId="4" fillId="0" borderId="8" xfId="0" applyFont="1" applyBorder="1" applyAlignment="1" applyProtection="1">
      <alignment horizontal="left" vertical="center" wrapText="1" indent="1"/>
      <protection locked="0"/>
    </xf>
    <xf numFmtId="0" fontId="17" fillId="12" borderId="7" xfId="3" applyFont="1" applyFill="1" applyBorder="1" applyAlignment="1">
      <alignment horizontal="left" vertical="center" indent="1"/>
    </xf>
    <xf numFmtId="0" fontId="17" fillId="12" borderId="9" xfId="3" applyFont="1" applyFill="1" applyBorder="1" applyAlignment="1">
      <alignment horizontal="left" vertical="center" indent="1"/>
    </xf>
    <xf numFmtId="0" fontId="17" fillId="12" borderId="8" xfId="3" applyFont="1" applyFill="1" applyBorder="1" applyAlignment="1">
      <alignment horizontal="left" vertical="center" indent="1"/>
    </xf>
    <xf numFmtId="0" fontId="4" fillId="0" borderId="7" xfId="0" applyFont="1" applyBorder="1" applyAlignment="1">
      <alignment horizontal="left" vertical="center" indent="1"/>
    </xf>
    <xf numFmtId="0" fontId="4" fillId="0" borderId="9" xfId="0" applyFont="1" applyBorder="1" applyAlignment="1">
      <alignment horizontal="left" vertical="center" indent="1"/>
    </xf>
    <xf numFmtId="0" fontId="4" fillId="0" borderId="8" xfId="0" applyFont="1" applyBorder="1" applyAlignment="1">
      <alignment horizontal="left" vertical="center" indent="1"/>
    </xf>
    <xf numFmtId="0" fontId="17" fillId="12" borderId="1" xfId="3" applyFont="1" applyFill="1" applyBorder="1" applyAlignment="1">
      <alignment horizontal="left" vertical="center" indent="1"/>
    </xf>
    <xf numFmtId="0" fontId="8" fillId="4" borderId="8" xfId="3" applyFont="1" applyBorder="1" applyAlignment="1">
      <alignment horizontal="left" vertical="center" indent="1"/>
    </xf>
    <xf numFmtId="0" fontId="8" fillId="4" borderId="7" xfId="3" applyFont="1" applyBorder="1" applyAlignment="1">
      <alignment horizontal="left" vertical="center" indent="1"/>
    </xf>
    <xf numFmtId="0" fontId="8" fillId="4" borderId="9" xfId="3" applyFont="1" applyBorder="1" applyAlignment="1">
      <alignment horizontal="left" vertical="center" indent="1"/>
    </xf>
    <xf numFmtId="0" fontId="4" fillId="0" borderId="1" xfId="0" applyFont="1" applyBorder="1" applyAlignment="1" applyProtection="1">
      <alignment horizontal="left" vertical="center" indent="1"/>
      <protection locked="0"/>
    </xf>
    <xf numFmtId="49" fontId="4" fillId="0" borderId="1" xfId="0" applyNumberFormat="1" applyFont="1" applyBorder="1" applyAlignment="1">
      <alignment horizontal="left" vertical="center" indent="1"/>
    </xf>
    <xf numFmtId="0" fontId="4" fillId="0" borderId="7" xfId="0" applyFont="1" applyBorder="1" applyAlignment="1">
      <alignment horizontal="left" vertical="center" wrapText="1" indent="1"/>
    </xf>
    <xf numFmtId="0" fontId="4" fillId="0" borderId="9" xfId="0" applyFont="1" applyBorder="1" applyAlignment="1">
      <alignment horizontal="left" vertical="center" wrapText="1" indent="1"/>
    </xf>
    <xf numFmtId="0" fontId="4" fillId="0" borderId="8" xfId="0" applyFont="1" applyBorder="1" applyAlignment="1">
      <alignment horizontal="left" vertical="center" wrapText="1" indent="1"/>
    </xf>
    <xf numFmtId="0" fontId="18" fillId="11" borderId="0" xfId="0" applyFont="1" applyFill="1" applyAlignment="1">
      <alignment horizontal="left" vertical="center" indent="1"/>
    </xf>
    <xf numFmtId="0" fontId="4" fillId="0" borderId="0" xfId="0" applyFont="1" applyAlignment="1">
      <alignment horizontal="left" vertical="top" wrapText="1"/>
    </xf>
    <xf numFmtId="0" fontId="8" fillId="40" borderId="1" xfId="10" applyFont="1" applyFill="1" applyBorder="1" applyAlignment="1">
      <alignment horizontal="left" vertical="center" indent="1"/>
    </xf>
    <xf numFmtId="0" fontId="17" fillId="12" borderId="1" xfId="10" applyFont="1" applyFill="1" applyBorder="1" applyAlignment="1">
      <alignment horizontal="left" vertical="center" indent="1"/>
    </xf>
    <xf numFmtId="0" fontId="8" fillId="40" borderId="7" xfId="10" applyFont="1" applyFill="1" applyBorder="1" applyAlignment="1">
      <alignment horizontal="left" vertical="center" indent="1"/>
    </xf>
    <xf numFmtId="0" fontId="8" fillId="40" borderId="9" xfId="10" applyFont="1" applyFill="1" applyBorder="1" applyAlignment="1">
      <alignment horizontal="left" vertical="center" indent="1"/>
    </xf>
    <xf numFmtId="0" fontId="8" fillId="40" borderId="8" xfId="10" applyFont="1" applyFill="1" applyBorder="1" applyAlignment="1">
      <alignment horizontal="left" vertical="center" indent="1"/>
    </xf>
    <xf numFmtId="0" fontId="4" fillId="7" borderId="1" xfId="0" applyFont="1" applyFill="1" applyBorder="1" applyAlignment="1">
      <alignment horizontal="left" vertical="center" indent="1"/>
    </xf>
    <xf numFmtId="0" fontId="4" fillId="7" borderId="7" xfId="0" applyFont="1" applyFill="1" applyBorder="1" applyAlignment="1">
      <alignment horizontal="left" vertical="center" indent="1"/>
    </xf>
    <xf numFmtId="0" fontId="0" fillId="0" borderId="9" xfId="0" applyBorder="1" applyAlignment="1">
      <alignment horizontal="left" vertical="center" indent="1"/>
    </xf>
    <xf numFmtId="0" fontId="0" fillId="0" borderId="8" xfId="0" applyBorder="1" applyAlignment="1">
      <alignment horizontal="left" vertical="center" indent="1"/>
    </xf>
    <xf numFmtId="0" fontId="4" fillId="7" borderId="1" xfId="0" applyFont="1" applyFill="1" applyBorder="1" applyAlignment="1">
      <alignment horizontal="left" vertical="center" wrapText="1" indent="1"/>
    </xf>
    <xf numFmtId="0" fontId="7" fillId="2" borderId="7" xfId="1" applyFont="1" applyBorder="1" applyAlignment="1">
      <alignment horizontal="left" vertical="center" wrapText="1" indent="1"/>
    </xf>
    <xf numFmtId="0" fontId="0" fillId="0" borderId="8" xfId="0" applyBorder="1" applyAlignment="1">
      <alignment horizontal="left" vertical="center" wrapText="1" indent="1"/>
    </xf>
    <xf numFmtId="0" fontId="7" fillId="3" borderId="7" xfId="2" applyFont="1" applyBorder="1" applyAlignment="1">
      <alignment horizontal="left" vertical="center" wrapText="1"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4" fillId="7" borderId="8" xfId="0" applyFont="1" applyFill="1" applyBorder="1" applyAlignment="1">
      <alignment horizontal="left" vertical="center" indent="1"/>
    </xf>
    <xf numFmtId="0" fontId="4" fillId="7" borderId="7" xfId="0" applyFont="1" applyFill="1" applyBorder="1" applyAlignment="1" applyProtection="1">
      <alignment horizontal="left" vertical="center" indent="1"/>
      <protection locked="0"/>
    </xf>
    <xf numFmtId="0" fontId="0" fillId="0" borderId="8" xfId="0" applyBorder="1" applyAlignment="1" applyProtection="1">
      <alignment horizontal="left" vertical="center" indent="1"/>
      <protection locked="0"/>
    </xf>
    <xf numFmtId="0" fontId="4" fillId="7" borderId="7" xfId="0" applyFont="1" applyFill="1" applyBorder="1" applyAlignment="1">
      <alignment horizontal="left" vertical="center" wrapText="1" indent="1"/>
    </xf>
    <xf numFmtId="0" fontId="4" fillId="7" borderId="9" xfId="0" applyFont="1" applyFill="1" applyBorder="1" applyAlignment="1">
      <alignment horizontal="left" vertical="center" wrapText="1" indent="1"/>
    </xf>
    <xf numFmtId="0" fontId="4" fillId="7" borderId="8" xfId="0" applyFont="1" applyFill="1" applyBorder="1" applyAlignment="1">
      <alignment horizontal="left" vertical="center" wrapText="1" indent="1"/>
    </xf>
    <xf numFmtId="0" fontId="8" fillId="40" borderId="15" xfId="10" applyFont="1" applyFill="1" applyBorder="1" applyAlignment="1">
      <alignment horizontal="left" vertical="center" indent="1"/>
    </xf>
    <xf numFmtId="0" fontId="7" fillId="39" borderId="1" xfId="13">
      <alignment horizontal="left" vertical="center" wrapText="1" indent="1"/>
    </xf>
    <xf numFmtId="0" fontId="17" fillId="12" borderId="13" xfId="10" applyFont="1" applyFill="1" applyBorder="1" applyAlignment="1">
      <alignment horizontal="left" vertical="center" indent="1"/>
    </xf>
    <xf numFmtId="0" fontId="7" fillId="7" borderId="9" xfId="0" applyFont="1" applyFill="1" applyBorder="1" applyAlignment="1">
      <alignment horizontal="center" vertical="center"/>
    </xf>
    <xf numFmtId="0" fontId="7" fillId="7" borderId="8" xfId="0" applyFont="1" applyFill="1" applyBorder="1" applyAlignment="1">
      <alignment horizontal="center" vertical="center"/>
    </xf>
    <xf numFmtId="0" fontId="4" fillId="7" borderId="9" xfId="0" applyFont="1" applyFill="1" applyBorder="1" applyAlignment="1">
      <alignment horizontal="left" vertical="center" indent="1"/>
    </xf>
    <xf numFmtId="0" fontId="7" fillId="2" borderId="9" xfId="1" applyFont="1" applyBorder="1" applyAlignment="1">
      <alignment horizontal="left" vertical="center" wrapText="1" indent="1"/>
    </xf>
    <xf numFmtId="0" fontId="7" fillId="2" borderId="8" xfId="1" applyFont="1" applyBorder="1" applyAlignment="1">
      <alignment horizontal="left" vertical="center" wrapText="1" indent="1"/>
    </xf>
    <xf numFmtId="0" fontId="4" fillId="7" borderId="9" xfId="0" applyFont="1" applyFill="1" applyBorder="1" applyAlignment="1">
      <alignment horizontal="center" vertical="center"/>
    </xf>
    <xf numFmtId="0" fontId="4" fillId="7" borderId="8" xfId="0" applyFont="1" applyFill="1" applyBorder="1" applyAlignment="1">
      <alignment horizontal="center" vertical="center"/>
    </xf>
    <xf numFmtId="0" fontId="17" fillId="20" borderId="7" xfId="3" applyFont="1" applyFill="1" applyBorder="1" applyAlignment="1">
      <alignment horizontal="left" vertical="center" indent="1"/>
    </xf>
    <xf numFmtId="0" fontId="17" fillId="20" borderId="9" xfId="3" applyFont="1" applyFill="1" applyBorder="1" applyAlignment="1">
      <alignment horizontal="left" vertical="center" indent="1"/>
    </xf>
    <xf numFmtId="0" fontId="17" fillId="20" borderId="8" xfId="3" applyFont="1" applyFill="1" applyBorder="1" applyAlignment="1">
      <alignment horizontal="left" vertical="center" indent="1"/>
    </xf>
    <xf numFmtId="0" fontId="15" fillId="9" borderId="1" xfId="0" applyFont="1" applyFill="1" applyBorder="1" applyAlignment="1">
      <alignment horizontal="left" vertical="center" indent="1"/>
    </xf>
    <xf numFmtId="0" fontId="17" fillId="10" borderId="1" xfId="0" applyFont="1" applyFill="1" applyBorder="1" applyAlignment="1">
      <alignment horizontal="left" vertical="center" indent="1"/>
    </xf>
    <xf numFmtId="0" fontId="17" fillId="20" borderId="1" xfId="3" applyFont="1" applyFill="1" applyBorder="1" applyAlignment="1">
      <alignment horizontal="left" vertical="center" indent="1"/>
    </xf>
    <xf numFmtId="0" fontId="17" fillId="20" borderId="7" xfId="0" applyFont="1" applyFill="1" applyBorder="1" applyAlignment="1">
      <alignment horizontal="left" vertical="center" indent="1"/>
    </xf>
    <xf numFmtId="0" fontId="17" fillId="20" borderId="9" xfId="0" applyFont="1" applyFill="1" applyBorder="1" applyAlignment="1">
      <alignment horizontal="left" vertical="center" indent="1"/>
    </xf>
    <xf numFmtId="0" fontId="17" fillId="20" borderId="8" xfId="0" applyFont="1" applyFill="1" applyBorder="1" applyAlignment="1">
      <alignment horizontal="left" vertical="center" indent="1"/>
    </xf>
    <xf numFmtId="0" fontId="17" fillId="44" borderId="7" xfId="0" applyFont="1" applyFill="1" applyBorder="1" applyAlignment="1">
      <alignment horizontal="left" vertical="center" indent="1"/>
    </xf>
    <xf numFmtId="0" fontId="17" fillId="44" borderId="9" xfId="0" applyFont="1" applyFill="1" applyBorder="1" applyAlignment="1">
      <alignment horizontal="left" vertical="center" indent="1"/>
    </xf>
    <xf numFmtId="0" fontId="17" fillId="44" borderId="8" xfId="0" applyFont="1" applyFill="1" applyBorder="1" applyAlignment="1">
      <alignment horizontal="left" vertical="center" indent="1"/>
    </xf>
    <xf numFmtId="0" fontId="17" fillId="44" borderId="7" xfId="3" applyFont="1" applyFill="1" applyBorder="1" applyAlignment="1">
      <alignment horizontal="left" vertical="center" indent="1"/>
    </xf>
    <xf numFmtId="0" fontId="17" fillId="44" borderId="9" xfId="3" applyFont="1" applyFill="1" applyBorder="1" applyAlignment="1">
      <alignment horizontal="left" vertical="center" indent="1"/>
    </xf>
    <xf numFmtId="0" fontId="17" fillId="44" borderId="8" xfId="3" applyFont="1" applyFill="1" applyBorder="1" applyAlignment="1">
      <alignment horizontal="left" vertical="center" indent="1"/>
    </xf>
    <xf numFmtId="0" fontId="8" fillId="4" borderId="2" xfId="3" applyFont="1" applyBorder="1" applyAlignment="1">
      <alignment horizontal="left" vertical="center" indent="1"/>
    </xf>
    <xf numFmtId="0" fontId="8" fillId="4" borderId="3" xfId="3" applyFont="1" applyBorder="1" applyAlignment="1">
      <alignment horizontal="left" vertical="center" indent="1"/>
    </xf>
    <xf numFmtId="0" fontId="25" fillId="0" borderId="0" xfId="0" applyFont="1" applyAlignment="1">
      <alignment horizontal="left" vertical="center" wrapText="1" indent="1"/>
    </xf>
    <xf numFmtId="0" fontId="25" fillId="0" borderId="5" xfId="0" applyFont="1" applyBorder="1" applyAlignment="1">
      <alignment horizontal="left" vertical="center" wrapText="1" indent="1"/>
    </xf>
    <xf numFmtId="0" fontId="8" fillId="4" borderId="1" xfId="3" applyFont="1" applyBorder="1" applyAlignment="1">
      <alignment horizontal="left" vertical="center" wrapText="1" indent="1"/>
    </xf>
    <xf numFmtId="0" fontId="8" fillId="4" borderId="7" xfId="3" applyFont="1" applyBorder="1" applyAlignment="1">
      <alignment horizontal="left" vertical="center" wrapText="1" indent="1"/>
    </xf>
    <xf numFmtId="0" fontId="8" fillId="4" borderId="9" xfId="3" applyFont="1" applyBorder="1" applyAlignment="1">
      <alignment horizontal="left" vertical="center" wrapText="1" indent="1"/>
    </xf>
    <xf numFmtId="0" fontId="8" fillId="4" borderId="8" xfId="3" applyFont="1" applyBorder="1" applyAlignment="1">
      <alignment horizontal="left" vertical="center" wrapText="1" indent="1"/>
    </xf>
    <xf numFmtId="0" fontId="15" fillId="18" borderId="7" xfId="0" applyFont="1" applyFill="1" applyBorder="1" applyAlignment="1">
      <alignment horizontal="left" vertical="center" indent="1"/>
    </xf>
    <xf numFmtId="0" fontId="15" fillId="18" borderId="8" xfId="0" applyFont="1" applyFill="1" applyBorder="1" applyAlignment="1">
      <alignment horizontal="left" vertical="center" indent="1"/>
    </xf>
    <xf numFmtId="0" fontId="17" fillId="10" borderId="7" xfId="3" applyFont="1" applyFill="1" applyBorder="1" applyAlignment="1">
      <alignment horizontal="left" vertical="center" indent="1"/>
    </xf>
    <xf numFmtId="0" fontId="17" fillId="10" borderId="9" xfId="3" applyFont="1" applyFill="1" applyBorder="1" applyAlignment="1">
      <alignment horizontal="left" vertical="center" indent="1"/>
    </xf>
    <xf numFmtId="0" fontId="17" fillId="10" borderId="8" xfId="3" applyFont="1" applyFill="1" applyBorder="1" applyAlignment="1">
      <alignment horizontal="left" vertical="center" indent="1"/>
    </xf>
    <xf numFmtId="0" fontId="32" fillId="9" borderId="7" xfId="0" applyFont="1" applyFill="1" applyBorder="1" applyAlignment="1">
      <alignment horizontal="left" vertical="center" indent="1"/>
    </xf>
    <xf numFmtId="0" fontId="32" fillId="9" borderId="8" xfId="0" applyFont="1" applyFill="1" applyBorder="1" applyAlignment="1">
      <alignment horizontal="left" vertical="center" indent="1"/>
    </xf>
    <xf numFmtId="0" fontId="15" fillId="9" borderId="9" xfId="0" applyFont="1" applyFill="1" applyBorder="1" applyAlignment="1">
      <alignment horizontal="left" vertical="center" indent="1"/>
    </xf>
    <xf numFmtId="0" fontId="15" fillId="9" borderId="8" xfId="0" applyFont="1" applyFill="1" applyBorder="1" applyAlignment="1">
      <alignment horizontal="left" vertical="center" indent="1"/>
    </xf>
    <xf numFmtId="0" fontId="17" fillId="10" borderId="13" xfId="0" applyFont="1" applyFill="1" applyBorder="1" applyAlignment="1">
      <alignment horizontal="left" vertical="center" indent="1"/>
    </xf>
    <xf numFmtId="0" fontId="15" fillId="18" borderId="9" xfId="0" applyFont="1" applyFill="1" applyBorder="1" applyAlignment="1">
      <alignment horizontal="left" vertical="center" indent="1"/>
    </xf>
    <xf numFmtId="0" fontId="8" fillId="4" borderId="7" xfId="10" applyFont="1" applyBorder="1" applyAlignment="1">
      <alignment horizontal="left" vertical="center" indent="1"/>
    </xf>
    <xf numFmtId="0" fontId="8" fillId="4" borderId="9" xfId="10" applyFont="1" applyBorder="1" applyAlignment="1">
      <alignment horizontal="left" vertical="center" indent="1"/>
    </xf>
    <xf numFmtId="0" fontId="8" fillId="4" borderId="8" xfId="10" applyFont="1" applyBorder="1" applyAlignment="1">
      <alignment horizontal="left" vertical="center" indent="1"/>
    </xf>
    <xf numFmtId="0" fontId="7" fillId="46" borderId="9" xfId="2" applyFont="1" applyFill="1" applyBorder="1" applyAlignment="1">
      <alignment horizontal="left" vertical="center" wrapText="1" indent="1"/>
    </xf>
    <xf numFmtId="0" fontId="8" fillId="24" borderId="1" xfId="3" applyFont="1" applyFill="1" applyBorder="1" applyAlignment="1">
      <alignment horizontal="left" vertical="center" indent="1"/>
    </xf>
    <xf numFmtId="0" fontId="8" fillId="24" borderId="7" xfId="3" applyFont="1" applyFill="1" applyBorder="1" applyAlignment="1">
      <alignment horizontal="left" vertical="center" indent="1"/>
    </xf>
    <xf numFmtId="0" fontId="8" fillId="24" borderId="9" xfId="3" applyFont="1" applyFill="1" applyBorder="1" applyAlignment="1">
      <alignment horizontal="left" vertical="center" indent="1"/>
    </xf>
    <xf numFmtId="0" fontId="8" fillId="24" borderId="8" xfId="3" applyFont="1" applyFill="1" applyBorder="1" applyAlignment="1">
      <alignment horizontal="left" vertical="center" indent="1"/>
    </xf>
    <xf numFmtId="0" fontId="7" fillId="31" borderId="1" xfId="0" applyFont="1" applyFill="1" applyBorder="1" applyAlignment="1">
      <alignment horizontal="left" vertical="center" indent="1"/>
    </xf>
    <xf numFmtId="0" fontId="4" fillId="31" borderId="11" xfId="0" applyFont="1" applyFill="1" applyBorder="1" applyAlignment="1">
      <alignment horizontal="left" vertical="center" indent="1"/>
    </xf>
    <xf numFmtId="0" fontId="4" fillId="31" borderId="6" xfId="0" applyFont="1" applyFill="1" applyBorder="1" applyAlignment="1">
      <alignment horizontal="left" vertical="center" indent="1"/>
    </xf>
    <xf numFmtId="0" fontId="4" fillId="31" borderId="4" xfId="0" applyFont="1" applyFill="1" applyBorder="1" applyAlignment="1">
      <alignment horizontal="left" vertical="center" indent="1"/>
    </xf>
    <xf numFmtId="0" fontId="32" fillId="9" borderId="5" xfId="0" applyFont="1" applyFill="1" applyBorder="1" applyAlignment="1">
      <alignment horizontal="left" vertical="center" indent="1"/>
    </xf>
    <xf numFmtId="0" fontId="32" fillId="9" borderId="0" xfId="0" applyFont="1" applyFill="1" applyAlignment="1">
      <alignment horizontal="left" vertical="center" indent="1"/>
    </xf>
    <xf numFmtId="0" fontId="17" fillId="10" borderId="5" xfId="0" applyFont="1" applyFill="1" applyBorder="1" applyAlignment="1">
      <alignment horizontal="left" vertical="center" indent="1"/>
    </xf>
    <xf numFmtId="0" fontId="8" fillId="21" borderId="7" xfId="3" applyFont="1" applyFill="1" applyBorder="1" applyAlignment="1">
      <alignment horizontal="left" vertical="center" wrapText="1" indent="1"/>
    </xf>
    <xf numFmtId="0" fontId="8" fillId="21" borderId="9" xfId="3" applyFont="1" applyFill="1" applyBorder="1" applyAlignment="1">
      <alignment horizontal="left" vertical="center" wrapText="1" indent="1"/>
    </xf>
    <xf numFmtId="0" fontId="8" fillId="21" borderId="8" xfId="3" applyFont="1" applyFill="1" applyBorder="1" applyAlignment="1">
      <alignment horizontal="left" vertical="center" wrapText="1" indent="1"/>
    </xf>
    <xf numFmtId="0" fontId="41" fillId="24" borderId="0" xfId="5" applyFont="1" applyFill="1" applyAlignment="1">
      <alignment horizontal="left" vertical="center" indent="1"/>
    </xf>
    <xf numFmtId="0" fontId="41" fillId="24" borderId="1" xfId="5" applyFont="1" applyFill="1" applyBorder="1" applyAlignment="1">
      <alignment horizontal="left" vertical="center" indent="1"/>
    </xf>
    <xf numFmtId="0" fontId="35" fillId="25" borderId="5" xfId="0" applyFont="1" applyFill="1" applyBorder="1" applyAlignment="1">
      <alignment horizontal="left" vertical="center" indent="1"/>
    </xf>
    <xf numFmtId="0" fontId="35" fillId="25" borderId="0" xfId="0" applyFont="1" applyFill="1" applyAlignment="1">
      <alignment horizontal="left" vertical="center" indent="1"/>
    </xf>
    <xf numFmtId="0" fontId="32" fillId="9" borderId="1" xfId="0" applyFont="1" applyFill="1" applyBorder="1" applyAlignment="1">
      <alignment horizontal="left" vertical="center" indent="1"/>
    </xf>
    <xf numFmtId="0" fontId="52" fillId="18" borderId="7" xfId="0" applyFont="1" applyFill="1" applyBorder="1" applyAlignment="1">
      <alignment horizontal="left" vertical="center" indent="1"/>
    </xf>
    <xf numFmtId="0" fontId="52" fillId="18" borderId="8" xfId="0" applyFont="1" applyFill="1" applyBorder="1" applyAlignment="1">
      <alignment horizontal="left" vertical="center" indent="1"/>
    </xf>
    <xf numFmtId="0" fontId="32" fillId="9" borderId="9" xfId="0" applyFont="1" applyFill="1" applyBorder="1" applyAlignment="1">
      <alignment horizontal="left" vertical="center" indent="1"/>
    </xf>
    <xf numFmtId="0" fontId="17" fillId="47" borderId="7" xfId="0" applyFont="1" applyFill="1" applyBorder="1" applyAlignment="1">
      <alignment horizontal="left" vertical="center" indent="1"/>
    </xf>
    <xf numFmtId="0" fontId="17" fillId="47" borderId="9" xfId="0" applyFont="1" applyFill="1" applyBorder="1" applyAlignment="1">
      <alignment horizontal="left" vertical="center" indent="1"/>
    </xf>
    <xf numFmtId="0" fontId="17" fillId="47" borderId="8" xfId="0" applyFont="1" applyFill="1" applyBorder="1" applyAlignment="1">
      <alignment horizontal="left" vertical="center" indent="1"/>
    </xf>
    <xf numFmtId="0" fontId="17" fillId="12" borderId="7" xfId="0" applyFont="1" applyFill="1" applyBorder="1" applyAlignment="1">
      <alignment horizontal="left" vertical="center" indent="1"/>
    </xf>
    <xf numFmtId="0" fontId="17" fillId="12" borderId="9" xfId="0" applyFont="1" applyFill="1" applyBorder="1" applyAlignment="1">
      <alignment horizontal="left" vertical="center" indent="1"/>
    </xf>
    <xf numFmtId="0" fontId="17" fillId="12" borderId="8" xfId="0" applyFont="1" applyFill="1" applyBorder="1" applyAlignment="1">
      <alignment horizontal="left" vertical="center" indent="1"/>
    </xf>
    <xf numFmtId="0" fontId="32" fillId="18" borderId="7" xfId="0" applyFont="1" applyFill="1" applyBorder="1" applyAlignment="1">
      <alignment horizontal="left" vertical="center" indent="1"/>
    </xf>
    <xf numFmtId="0" fontId="32" fillId="18" borderId="8" xfId="0" applyFont="1" applyFill="1" applyBorder="1" applyAlignment="1">
      <alignment horizontal="left" vertical="center" indent="1"/>
    </xf>
    <xf numFmtId="0" fontId="8" fillId="24" borderId="7" xfId="3" applyFont="1" applyFill="1" applyBorder="1" applyAlignment="1">
      <alignment horizontal="left" vertical="center" wrapText="1" indent="1"/>
    </xf>
    <xf numFmtId="0" fontId="8" fillId="24" borderId="9" xfId="3" applyFont="1" applyFill="1" applyBorder="1" applyAlignment="1">
      <alignment horizontal="left" vertical="center" wrapText="1" indent="1"/>
    </xf>
    <xf numFmtId="0" fontId="8" fillId="24" borderId="8" xfId="3" applyFont="1" applyFill="1" applyBorder="1" applyAlignment="1">
      <alignment horizontal="left" vertical="center" wrapText="1" indent="1"/>
    </xf>
    <xf numFmtId="0" fontId="17" fillId="49" borderId="7" xfId="0" applyFont="1" applyFill="1" applyBorder="1" applyAlignment="1">
      <alignment horizontal="left" vertical="center" indent="1"/>
    </xf>
    <xf numFmtId="0" fontId="2" fillId="49" borderId="9" xfId="0" applyFont="1" applyFill="1" applyBorder="1" applyAlignment="1">
      <alignment horizontal="left" indent="1"/>
    </xf>
    <xf numFmtId="0" fontId="2" fillId="49" borderId="8" xfId="0" applyFont="1" applyFill="1" applyBorder="1" applyAlignment="1">
      <alignment horizontal="left" indent="1"/>
    </xf>
    <xf numFmtId="0" fontId="8" fillId="40" borderId="7" xfId="3" applyFont="1" applyFill="1" applyBorder="1" applyAlignment="1">
      <alignment horizontal="left" vertical="center" indent="1"/>
    </xf>
    <xf numFmtId="0" fontId="8" fillId="40" borderId="9" xfId="3" applyFont="1" applyFill="1" applyBorder="1" applyAlignment="1">
      <alignment horizontal="left" vertical="center" indent="1"/>
    </xf>
    <xf numFmtId="0" fontId="8" fillId="40" borderId="8" xfId="3" applyFont="1" applyFill="1" applyBorder="1" applyAlignment="1">
      <alignment horizontal="left" vertical="center" indent="1"/>
    </xf>
    <xf numFmtId="0" fontId="17" fillId="49" borderId="7" xfId="3" applyFont="1" applyFill="1" applyBorder="1" applyAlignment="1">
      <alignment horizontal="left" vertical="center" indent="1"/>
    </xf>
    <xf numFmtId="0" fontId="17" fillId="49" borderId="9" xfId="3" applyFont="1" applyFill="1" applyBorder="1" applyAlignment="1">
      <alignment horizontal="left" vertical="center" indent="1"/>
    </xf>
    <xf numFmtId="0" fontId="17" fillId="49" borderId="8" xfId="3" applyFont="1" applyFill="1" applyBorder="1" applyAlignment="1">
      <alignment horizontal="left" vertical="center" indent="1"/>
    </xf>
    <xf numFmtId="0" fontId="32" fillId="38" borderId="7" xfId="0" applyFont="1" applyFill="1" applyBorder="1" applyAlignment="1">
      <alignment horizontal="left" vertical="center" indent="1"/>
    </xf>
    <xf numFmtId="0" fontId="32" fillId="38" borderId="8" xfId="0" applyFont="1" applyFill="1" applyBorder="1" applyAlignment="1">
      <alignment horizontal="left" vertical="center" indent="1"/>
    </xf>
    <xf numFmtId="0" fontId="17" fillId="17" borderId="7" xfId="0" applyFont="1" applyFill="1" applyBorder="1" applyAlignment="1">
      <alignment horizontal="left" vertical="center" indent="1"/>
    </xf>
    <xf numFmtId="0" fontId="17" fillId="17" borderId="9" xfId="0" applyFont="1" applyFill="1" applyBorder="1" applyAlignment="1">
      <alignment horizontal="left" vertical="center" indent="1"/>
    </xf>
    <xf numFmtId="0" fontId="17" fillId="17" borderId="8" xfId="0" applyFont="1" applyFill="1" applyBorder="1" applyAlignment="1">
      <alignment horizontal="left" vertical="center" indent="1"/>
    </xf>
    <xf numFmtId="0" fontId="8" fillId="24" borderId="1" xfId="3" applyFont="1" applyFill="1" applyBorder="1" applyAlignment="1">
      <alignment horizontal="left" vertical="center" wrapText="1" indent="1"/>
    </xf>
    <xf numFmtId="0" fontId="17" fillId="20" borderId="7" xfId="1" applyFont="1" applyFill="1" applyBorder="1" applyAlignment="1">
      <alignment horizontal="left" vertical="center" wrapText="1" indent="1"/>
    </xf>
    <xf numFmtId="0" fontId="2" fillId="20" borderId="9" xfId="0" applyFont="1" applyFill="1" applyBorder="1" applyAlignment="1">
      <alignment horizontal="left" vertical="center" wrapText="1" indent="1"/>
    </xf>
    <xf numFmtId="0" fontId="2" fillId="20" borderId="8" xfId="0" applyFont="1" applyFill="1" applyBorder="1" applyAlignment="1">
      <alignment horizontal="left" vertical="center" wrapText="1" indent="1"/>
    </xf>
    <xf numFmtId="0" fontId="8" fillId="4" borderId="1" xfId="10" applyFont="1" applyBorder="1" applyAlignment="1">
      <alignment horizontal="left" vertical="center" wrapText="1" indent="1"/>
    </xf>
    <xf numFmtId="0" fontId="8" fillId="4" borderId="1" xfId="10" applyFont="1" applyBorder="1" applyAlignment="1">
      <alignment horizontal="left" vertical="center" indent="1"/>
    </xf>
    <xf numFmtId="0" fontId="17" fillId="12" borderId="7" xfId="10" applyFont="1" applyFill="1" applyBorder="1" applyAlignment="1">
      <alignment horizontal="left" vertical="center" indent="1"/>
    </xf>
    <xf numFmtId="0" fontId="17" fillId="12" borderId="9" xfId="10" applyFont="1" applyFill="1" applyBorder="1" applyAlignment="1">
      <alignment horizontal="left" vertical="center" indent="1"/>
    </xf>
    <xf numFmtId="0" fontId="17" fillId="12" borderId="8" xfId="10" applyFont="1" applyFill="1" applyBorder="1" applyAlignment="1">
      <alignment horizontal="left" vertical="center" indent="1"/>
    </xf>
    <xf numFmtId="0" fontId="8" fillId="48" borderId="1" xfId="3" applyFont="1" applyFill="1" applyBorder="1" applyAlignment="1">
      <alignment horizontal="left" vertical="center" indent="1"/>
    </xf>
    <xf numFmtId="0" fontId="8" fillId="21" borderId="1" xfId="0" applyFont="1" applyFill="1" applyBorder="1" applyAlignment="1">
      <alignment horizontal="left" vertical="center" indent="1"/>
    </xf>
    <xf numFmtId="0" fontId="0" fillId="0" borderId="1" xfId="0" applyBorder="1" applyAlignment="1">
      <alignment horizontal="left" vertical="center" indent="1"/>
    </xf>
    <xf numFmtId="0" fontId="35" fillId="34" borderId="7" xfId="0" applyFont="1" applyFill="1" applyBorder="1" applyAlignment="1">
      <alignment horizontal="left" vertical="center" wrapText="1" indent="1"/>
    </xf>
    <xf numFmtId="0" fontId="40" fillId="32" borderId="7" xfId="0" applyFont="1" applyFill="1" applyBorder="1" applyAlignment="1">
      <alignment horizontal="left" vertical="center" indent="1"/>
    </xf>
    <xf numFmtId="0" fontId="40" fillId="33" borderId="17" xfId="0" applyFont="1" applyFill="1" applyBorder="1" applyAlignment="1">
      <alignment horizontal="left" vertical="center" indent="1"/>
    </xf>
    <xf numFmtId="0" fontId="18" fillId="11" borderId="7" xfId="0" applyFont="1" applyFill="1" applyBorder="1" applyAlignment="1">
      <alignment horizontal="left" vertical="center" indent="1"/>
    </xf>
    <xf numFmtId="0" fontId="35" fillId="25" borderId="7" xfId="0" applyFont="1" applyFill="1" applyBorder="1" applyAlignment="1">
      <alignment horizontal="left" vertical="center" indent="1"/>
    </xf>
    <xf numFmtId="0" fontId="35" fillId="25" borderId="9" xfId="0" applyFont="1" applyFill="1" applyBorder="1" applyAlignment="1">
      <alignment horizontal="left" vertical="center" indent="1"/>
    </xf>
    <xf numFmtId="0" fontId="35" fillId="25" borderId="14" xfId="0" applyFont="1" applyFill="1" applyBorder="1" applyAlignment="1">
      <alignment horizontal="left" vertical="center" indent="1"/>
    </xf>
    <xf numFmtId="0" fontId="35" fillId="25" borderId="1" xfId="0" applyFont="1" applyFill="1" applyBorder="1" applyAlignment="1">
      <alignment horizontal="left" vertical="center" indent="1"/>
    </xf>
    <xf numFmtId="0" fontId="17" fillId="20" borderId="9" xfId="1" applyFont="1" applyFill="1" applyBorder="1" applyAlignment="1">
      <alignment horizontal="left" vertical="center" wrapText="1" indent="1"/>
    </xf>
    <xf numFmtId="0" fontId="17" fillId="20" borderId="8" xfId="1" applyFont="1" applyFill="1" applyBorder="1" applyAlignment="1">
      <alignment horizontal="left" vertical="center" wrapText="1" indent="1"/>
    </xf>
    <xf numFmtId="0" fontId="17" fillId="12" borderId="1" xfId="1" applyFont="1" applyFill="1" applyBorder="1" applyAlignment="1">
      <alignment horizontal="left" vertical="center" wrapText="1" indent="1"/>
    </xf>
    <xf numFmtId="0" fontId="40" fillId="32" borderId="14" xfId="0" applyFont="1" applyFill="1" applyBorder="1" applyAlignment="1">
      <alignment horizontal="left" vertical="center" indent="1"/>
    </xf>
    <xf numFmtId="0" fontId="40" fillId="33" borderId="14" xfId="0" applyFont="1" applyFill="1" applyBorder="1" applyAlignment="1">
      <alignment horizontal="left" vertical="center" indent="1"/>
    </xf>
    <xf numFmtId="0" fontId="18" fillId="11" borderId="9" xfId="0" applyFont="1" applyFill="1" applyBorder="1" applyAlignment="1">
      <alignment horizontal="left" vertical="center" indent="1"/>
    </xf>
    <xf numFmtId="0" fontId="18" fillId="11" borderId="14" xfId="0" applyFont="1" applyFill="1" applyBorder="1" applyAlignment="1">
      <alignment horizontal="left" vertical="center" indent="1"/>
    </xf>
    <xf numFmtId="0" fontId="35" fillId="34" borderId="9" xfId="0" applyFont="1" applyFill="1" applyBorder="1" applyAlignment="1">
      <alignment horizontal="left" vertical="center" wrapText="1" indent="1"/>
    </xf>
    <xf numFmtId="0" fontId="35" fillId="34" borderId="8" xfId="0" applyFont="1" applyFill="1" applyBorder="1" applyAlignment="1">
      <alignment horizontal="left" vertical="center" wrapText="1" indent="1"/>
    </xf>
  </cellXfs>
  <cellStyles count="15">
    <cellStyle name="60% - Accent5" xfId="1" builtinId="48"/>
    <cellStyle name="60% - Accent5 2" xfId="11" xr:uid="{6FEE3A86-02BD-7046-8B5A-207300E9CC23}"/>
    <cellStyle name="60% - Accent6" xfId="2" builtinId="52"/>
    <cellStyle name="60% - Accent6 2" xfId="12" xr:uid="{75A3C389-D80C-174E-9589-28B0030318B1}"/>
    <cellStyle name="Accent1" xfId="3" builtinId="29"/>
    <cellStyle name="Accent1 2" xfId="10" xr:uid="{CB3211DC-D768-D642-9105-76DBB8D84227}"/>
    <cellStyle name="Good" xfId="4" builtinId="26"/>
    <cellStyle name="Good 2" xfId="14" xr:uid="{8B86BB56-064F-044F-8848-1DA5022F7658}"/>
    <cellStyle name="Hyperlink" xfId="5" builtinId="8"/>
    <cellStyle name="Hyperlink 2" xfId="6" xr:uid="{00000000-0005-0000-0000-000005000000}"/>
    <cellStyle name="Normal" xfId="0" builtinId="0"/>
    <cellStyle name="Normal 2" xfId="7" xr:uid="{00000000-0005-0000-0000-000007000000}"/>
    <cellStyle name="Normal 3" xfId="8" xr:uid="{00000000-0005-0000-0000-000008000000}"/>
    <cellStyle name="Normal 3 2" xfId="9" xr:uid="{00000000-0005-0000-0000-000009000000}"/>
    <cellStyle name="Style 5" xfId="13" xr:uid="{7DF98C92-0AA6-5D4F-B9EB-35211FA16406}"/>
  </cellStyles>
  <dxfs count="509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rgb="FF9C0006"/>
      </font>
      <fill>
        <patternFill>
          <bgColor rgb="FFFFC7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fgColor theme="1"/>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fgColor auto="1"/>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8CBAD"/>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8CBAD"/>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ont>
        <color rgb="FF006100"/>
      </font>
      <fill>
        <patternFill>
          <bgColor rgb="FFC6EFCE"/>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1" tint="0.24994659260841701"/>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9C0006"/>
      </font>
      <fill>
        <patternFill>
          <bgColor rgb="FFFFC7CE"/>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1" tint="0.24994659260841701"/>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ill>
        <patternFill>
          <bgColor theme="1" tint="0.24994659260841701"/>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ill>
        <patternFill>
          <bgColor theme="1" tint="0.24994659260841701"/>
        </patternFill>
      </fill>
    </dxf>
    <dxf>
      <fill>
        <patternFill>
          <bgColor theme="1" tint="0.24994659260841701"/>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1"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8CBAD"/>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1" tint="0.24994659260841701"/>
        </patternFill>
      </fill>
    </dxf>
    <dxf>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0"/>
      </font>
      <fill>
        <patternFill>
          <fgColor theme="0"/>
          <bgColor theme="0"/>
        </patternFill>
      </fill>
      <border>
        <left/>
        <right/>
        <top style="thin">
          <color auto="1"/>
        </top>
        <bottom/>
        <vertical/>
        <horizontal/>
      </border>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ont>
        <color theme="1"/>
      </font>
      <fill>
        <patternFill>
          <fgColor theme="1" tint="0.34998626667073579"/>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ont>
        <color theme="1"/>
      </font>
      <fill>
        <patternFill>
          <fgColor auto="1"/>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auto="1"/>
      </font>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auto="1"/>
      </font>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auto="1"/>
      </font>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theme="5" tint="0.59996337778862885"/>
      </font>
      <fill>
        <patternFill>
          <bgColor rgb="FFF8CBAD"/>
        </patternFill>
      </fill>
    </dxf>
    <dxf>
      <font>
        <color auto="1"/>
      </font>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auto="1"/>
      </font>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ont>
        <color auto="1"/>
      </font>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auto="1"/>
      </font>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auto="1"/>
      </font>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fgColor theme="0"/>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auto="1"/>
      </font>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theme="1"/>
      </font>
      <fill>
        <patternFill>
          <bgColor theme="1" tint="0.24994659260841701"/>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theme="1"/>
      </font>
      <fill>
        <patternFill>
          <bgColor theme="1" tint="0.24994659260841701"/>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theme="1"/>
      </font>
      <fill>
        <patternFill>
          <bgColor theme="1" tint="0.24994659260841701"/>
        </patternFill>
      </fill>
    </dxf>
    <dxf>
      <fill>
        <patternFill>
          <bgColor theme="5" tint="0.59996337778862885"/>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rgb="FFF8CBAD"/>
        </patternFill>
      </fill>
    </dxf>
    <dxf>
      <font>
        <color rgb="FF006100"/>
      </font>
      <fill>
        <patternFill>
          <bgColor rgb="FFC6EFCE"/>
        </patternFill>
      </fill>
    </dxf>
    <dxf>
      <font>
        <color rgb="FF006100"/>
      </font>
      <fill>
        <patternFill>
          <bgColor rgb="FFC6EFCE"/>
        </patternFill>
      </fill>
    </dxf>
    <dxf>
      <fill>
        <patternFill>
          <bgColor rgb="FFF8CBAD"/>
        </patternFill>
      </fill>
    </dxf>
    <dxf>
      <fill>
        <patternFill>
          <bgColor rgb="FFF8CBAD"/>
        </patternFill>
      </fill>
    </dxf>
    <dxf>
      <font>
        <color rgb="FF006100"/>
      </font>
      <fill>
        <patternFill>
          <bgColor rgb="FFC6EFCE"/>
        </patternFill>
      </fill>
    </dxf>
    <dxf>
      <fill>
        <patternFill>
          <bgColor theme="5" tint="0.59996337778862885"/>
        </patternFill>
      </fill>
    </dxf>
    <dxf>
      <fill>
        <patternFill>
          <bgColor rgb="FFF8CBAD"/>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rgb="FFF8CBAD"/>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theme="1"/>
      </font>
      <fill>
        <patternFill>
          <bgColor theme="1" tint="0.24994659260841701"/>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theme="1"/>
      </font>
      <fill>
        <patternFill>
          <bgColor theme="1" tint="0.24994659260841701"/>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ill>
        <patternFill>
          <bgColor rgb="FFF8CBAD"/>
        </patternFill>
      </fill>
    </dxf>
    <dxf>
      <font>
        <color rgb="FF006100"/>
      </font>
      <fill>
        <patternFill>
          <bgColor rgb="FFC6EFCE"/>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ill>
        <patternFill>
          <bgColor rgb="FFF8CBAD"/>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rgb="FFF8CBAD"/>
        </patternFill>
      </fill>
    </dxf>
    <dxf>
      <font>
        <color rgb="FF006100"/>
      </font>
      <fill>
        <patternFill>
          <bgColor rgb="FFC6EFCE"/>
        </patternFill>
      </fill>
    </dxf>
    <dxf>
      <font>
        <color theme="1"/>
      </font>
      <fill>
        <patternFill>
          <bgColor theme="1" tint="0.24994659260841701"/>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fgColor theme="0"/>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fgColor theme="0"/>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fgColor theme="0"/>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theme="1"/>
      </font>
      <fill>
        <patternFill>
          <bgColor theme="1" tint="0.24994659260841701"/>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ont>
        <color rgb="FF006100"/>
      </font>
      <fill>
        <patternFill>
          <bgColor rgb="FFC6EFCE"/>
        </patternFill>
      </fill>
    </dxf>
    <dxf>
      <fill>
        <patternFill>
          <bgColor rgb="FFF8CBAD"/>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9" tint="0.79998168889431442"/>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9" tint="0.79998168889431442"/>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fgColor auto="1"/>
          <bgColor theme="9" tint="0.79998168889431442"/>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fgColor auto="1"/>
          <bgColor theme="9" tint="0.79998168889431442"/>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9" tint="0.79998168889431442"/>
        </patternFill>
      </fill>
    </dxf>
    <dxf>
      <fill>
        <patternFill>
          <bgColor theme="5" tint="0.59996337778862885"/>
        </patternFill>
      </fill>
    </dxf>
    <dxf>
      <fill>
        <patternFill>
          <bgColor theme="9" tint="0.79998168889431442"/>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9" tint="0.79998168889431442"/>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fgColor auto="1"/>
          <bgColor theme="9" tint="0.79998168889431442"/>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rgb="FFF8CBAD"/>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theme="1"/>
      </font>
      <fill>
        <patternFill>
          <bgColor theme="1" tint="0.24994659260841701"/>
        </patternFill>
      </fill>
    </dxf>
    <dxf>
      <fill>
        <patternFill>
          <bgColor theme="5" tint="0.59996337778862885"/>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ill>
        <patternFill>
          <bgColor theme="5" tint="0.59996337778862885"/>
        </patternFill>
      </fill>
    </dxf>
    <dxf>
      <font>
        <color rgb="FF006100"/>
      </font>
      <fill>
        <patternFill>
          <bgColor rgb="FFC6EFCE"/>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u val="none"/>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theme="0"/>
      </font>
      <fill>
        <patternFill>
          <fgColor auto="1"/>
          <bgColor theme="2" tint="-0.499984740745262"/>
        </patternFill>
      </fill>
    </dxf>
    <dxf>
      <font>
        <color theme="0"/>
      </font>
      <fill>
        <patternFill>
          <bgColor theme="2" tint="-0.499984740745262"/>
        </patternFill>
      </fill>
    </dxf>
    <dxf>
      <font>
        <color rgb="FF006100"/>
      </font>
      <fill>
        <patternFill>
          <bgColor rgb="FFC6EFCE"/>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theme="0"/>
      </font>
      <fill>
        <patternFill>
          <bgColor theme="2" tint="-0.499984740745262"/>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0"/>
      </font>
      <fill>
        <patternFill>
          <bgColor theme="2" tint="-0.499984740745262"/>
        </patternFill>
      </fill>
    </dxf>
    <dxf>
      <font>
        <color theme="1"/>
      </font>
      <fill>
        <patternFill>
          <bgColor theme="1" tint="0.24994659260841701"/>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rgb="FF006100"/>
      </font>
      <fill>
        <patternFill>
          <bgColor rgb="FFC6EFCE"/>
        </patternFill>
      </fill>
    </dxf>
    <dxf>
      <font>
        <color theme="0"/>
      </font>
      <fill>
        <patternFill>
          <fgColor theme="0"/>
          <bgColor theme="2" tint="-0.499984740745262"/>
        </patternFill>
      </fill>
    </dxf>
    <dxf>
      <font>
        <color rgb="FF006100"/>
      </font>
      <fill>
        <patternFill>
          <bgColor rgb="FFC6EFCE"/>
        </patternFill>
      </fill>
    </dxf>
    <dxf>
      <font>
        <color theme="0"/>
      </font>
      <fill>
        <patternFill>
          <bgColor theme="2" tint="-0.499984740745262"/>
        </patternFill>
      </fill>
    </dxf>
    <dxf>
      <font>
        <color theme="1"/>
      </font>
      <fill>
        <patternFill>
          <bgColor theme="1" tint="0.24994659260841701"/>
        </patternFill>
      </fill>
    </dxf>
    <dxf>
      <font>
        <color rgb="FF006100"/>
      </font>
      <fill>
        <patternFill>
          <bgColor rgb="FFC6EFCE"/>
        </patternFill>
      </fill>
    </dxf>
    <dxf>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rgb="FF006100"/>
      </font>
      <fill>
        <patternFill>
          <bgColor rgb="FFC6EFCE"/>
        </patternFill>
      </fill>
    </dxf>
    <dxf>
      <font>
        <color theme="1"/>
      </font>
      <fill>
        <patternFill>
          <bgColor theme="1" tint="0.24994659260841701"/>
        </patternFill>
      </fill>
    </dxf>
    <dxf>
      <fill>
        <patternFill>
          <bgColor theme="1"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theme="0"/>
      </font>
      <fill>
        <patternFill>
          <bgColor theme="2" tint="-0.499984740745262"/>
        </patternFill>
      </fill>
    </dxf>
    <dxf>
      <font>
        <color rgb="FF006100"/>
      </font>
      <fill>
        <patternFill>
          <bgColor rgb="FFC6EFCE"/>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theme="0"/>
      </font>
      <fill>
        <patternFill>
          <bgColor theme="2" tint="-0.499984740745262"/>
        </patternFill>
      </fill>
    </dxf>
    <dxf>
      <font>
        <color rgb="FF006100"/>
      </font>
      <fill>
        <patternFill>
          <bgColor rgb="FFC6EFCE"/>
        </patternFill>
      </fill>
    </dxf>
    <dxf>
      <font>
        <u val="none"/>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0"/>
      </font>
      <fill>
        <patternFill>
          <bgColor theme="2" tint="-0.499984740745262"/>
        </patternFill>
      </fill>
    </dxf>
    <dxf>
      <font>
        <color rgb="FF006100"/>
      </font>
      <fill>
        <patternFill>
          <bgColor rgb="FFC6EFCE"/>
        </patternFill>
      </fill>
    </dxf>
    <dxf>
      <font>
        <color theme="1"/>
      </font>
      <fill>
        <patternFill>
          <bgColor theme="1" tint="0.24994659260841701"/>
        </patternFill>
      </fill>
    </dxf>
    <dxf>
      <fill>
        <patternFill>
          <bgColor theme="5" tint="0.59996337778862885"/>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u val="none"/>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fgColor theme="1"/>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border>
        <left style="thin">
          <color auto="1"/>
        </left>
        <right style="thin">
          <color auto="1"/>
        </right>
        <top style="thin">
          <color auto="1"/>
        </top>
        <bottom style="thin">
          <color auto="1"/>
        </bottom>
        <vertical/>
        <horizontal/>
      </border>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1"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0"/>
      </font>
      <fill>
        <patternFill>
          <bgColor theme="0"/>
        </patternFill>
      </fill>
      <border>
        <left/>
        <right/>
        <top style="thin">
          <color auto="1"/>
        </top>
        <bottom/>
      </border>
    </dxf>
    <dxf>
      <font>
        <color theme="1"/>
      </font>
      <fill>
        <patternFill>
          <bgColor theme="1" tint="0.24994659260841701"/>
        </patternFill>
      </fill>
    </dxf>
    <dxf>
      <font>
        <color theme="1"/>
      </font>
      <fill>
        <patternFill>
          <fgColor theme="1" tint="0.34998626667073579"/>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ill>
        <patternFill>
          <bgColor theme="1" tint="0.24994659260841701"/>
        </patternFill>
      </fill>
    </dxf>
    <dxf>
      <fill>
        <patternFill>
          <bgColor theme="1" tint="0.24994659260841701"/>
        </patternFill>
      </fill>
    </dxf>
    <dxf>
      <font>
        <color theme="1"/>
      </font>
      <fill>
        <patternFill>
          <bgColor theme="1" tint="0.24994659260841701"/>
        </patternFill>
      </fill>
    </dxf>
    <dxf>
      <fill>
        <patternFill>
          <bgColor theme="1" tint="0.24994659260841701"/>
        </patternFill>
      </fill>
    </dxf>
    <dxf>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1"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strike val="0"/>
        <color theme="1"/>
      </font>
      <fill>
        <patternFill>
          <fgColor theme="1"/>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theme="1"/>
      </font>
      <fill>
        <patternFill>
          <bgColor theme="1" tint="0.24994659260841701"/>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fgColor auto="1"/>
          <bgColor rgb="FFFF992F"/>
        </patternFill>
      </fill>
    </dxf>
    <dxf>
      <font>
        <color rgb="FFC00000"/>
      </font>
      <fill>
        <patternFill>
          <bgColor rgb="FFFF992F"/>
        </patternFill>
      </fill>
    </dxf>
    <dxf>
      <font>
        <color rgb="FFC00000"/>
      </font>
      <fill>
        <patternFill>
          <bgColor rgb="FFFF992F"/>
        </patternFill>
      </fill>
    </dxf>
    <dxf>
      <font>
        <color theme="0"/>
      </font>
      <fill>
        <patternFill>
          <bgColor theme="2" tint="-0.499984740745262"/>
        </patternFill>
      </fill>
    </dxf>
    <dxf>
      <font>
        <color rgb="FF006100"/>
      </font>
      <fill>
        <patternFill>
          <bgColor rgb="FFC6EFCE"/>
        </patternFill>
      </fill>
    </dxf>
    <dxf>
      <font>
        <color theme="0"/>
      </font>
      <fill>
        <patternFill>
          <bgColor theme="0" tint="-0.499984740745262"/>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theme="0"/>
      </font>
      <fill>
        <patternFill>
          <bgColor theme="0" tint="-0.49998474074526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2"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rgb="FF006100"/>
      </font>
      <fill>
        <patternFill>
          <bgColor rgb="FFC6EFCE"/>
        </patternFill>
      </fill>
    </dxf>
    <dxf>
      <font>
        <color theme="0"/>
      </font>
      <fill>
        <patternFill>
          <bgColor theme="1" tint="0.499984740745262"/>
        </patternFill>
      </fill>
    </dxf>
    <dxf>
      <font>
        <color theme="0"/>
      </font>
      <fill>
        <patternFill>
          <bgColor theme="1" tint="0.49998474074526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9C0006"/>
      </font>
      <fill>
        <patternFill>
          <bgColor rgb="FFFFC7CE"/>
        </patternFill>
      </fill>
    </dxf>
    <dxf>
      <font>
        <color theme="0"/>
      </font>
      <fill>
        <patternFill>
          <bgColor theme="1" tint="0.499984740745262"/>
        </patternFill>
      </fill>
    </dxf>
    <dxf>
      <font>
        <color theme="0"/>
      </font>
      <fill>
        <patternFill>
          <bgColor theme="1" tint="0.499984740745262"/>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theme="0"/>
      </font>
      <fill>
        <patternFill>
          <bgColor theme="1" tint="0.499984740745262"/>
        </patternFill>
      </fill>
    </dxf>
    <dxf>
      <font>
        <color rgb="FF006100"/>
      </font>
      <fill>
        <patternFill>
          <bgColor rgb="FFC6EFCE"/>
        </patternFill>
      </fill>
    </dxf>
    <dxf>
      <font>
        <color theme="0"/>
      </font>
      <fill>
        <patternFill>
          <fgColor theme="0" tint="-0.499984740745262"/>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1" tint="0.499984740745262"/>
        </patternFill>
      </fill>
    </dxf>
    <dxf>
      <font>
        <color theme="0"/>
      </font>
      <fill>
        <patternFill>
          <bgColor theme="1" tint="0.49998474074526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1" tint="0.499984740745262"/>
        </patternFill>
      </fill>
    </dxf>
    <dxf>
      <font>
        <color rgb="FF9C0006"/>
      </font>
      <fill>
        <patternFill>
          <bgColor rgb="FFFFC7CE"/>
        </patternFill>
      </fill>
    </dxf>
    <dxf>
      <font>
        <color rgb="FF006100"/>
      </font>
      <fill>
        <patternFill>
          <bgColor rgb="FFC6EFCE"/>
        </patternFill>
      </fill>
    </dxf>
    <dxf>
      <font>
        <color theme="0"/>
      </font>
      <fill>
        <patternFill>
          <fgColor theme="0" tint="-0.499984740745262"/>
          <bgColor theme="0" tint="-0.499984740745262"/>
        </patternFill>
      </fill>
    </dxf>
    <dxf>
      <font>
        <color rgb="FF006100"/>
      </font>
      <fill>
        <patternFill>
          <bgColor rgb="FFC6EFCE"/>
        </patternFill>
      </fill>
    </dxf>
    <dxf>
      <font>
        <color theme="1"/>
      </font>
      <fill>
        <patternFill>
          <bgColor theme="5" tint="0.39994506668294322"/>
        </patternFill>
      </fill>
    </dxf>
    <dxf>
      <font>
        <color rgb="FF9C0006"/>
      </font>
      <fill>
        <patternFill>
          <bgColor rgb="FFFFC7CE"/>
        </patternFill>
      </fill>
    </dxf>
  </dxfs>
  <tableStyles count="0" defaultTableStyle="TableStyleMedium2" defaultPivotStyle="PivotStyleLight16"/>
  <colors>
    <mruColors>
      <color rgb="FF808080"/>
      <color rgb="FF9BC2E6"/>
      <color rgb="FFA6A6A6"/>
      <color rgb="FF4472C4"/>
      <color rgb="FFBFBFBF"/>
      <color rgb="FF5B9BD5"/>
      <color rgb="FFF8CBAD"/>
      <color rgb="FFFF992F"/>
      <color rgb="FFFF8AD8"/>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microsoft.com/office/2017/06/relationships/rdRichValueStructure" Target="richData/rdrichvaluestructure.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microsoft.com/office/2017/06/relationships/rdRichValueTypes" Target="richData/rdRichValueTyp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06/relationships/rdRichValue" Target="richData/rdrichvalue.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14817</xdr:colOff>
      <xdr:row>1</xdr:row>
      <xdr:rowOff>14816</xdr:rowOff>
    </xdr:from>
    <xdr:to>
      <xdr:col>8</xdr:col>
      <xdr:colOff>1786114</xdr:colOff>
      <xdr:row>1</xdr:row>
      <xdr:rowOff>672041</xdr:rowOff>
    </xdr:to>
    <xdr:pic>
      <xdr:nvPicPr>
        <xdr:cNvPr id="3" name="Picture 2">
          <a:extLst>
            <a:ext uri="{FF2B5EF4-FFF2-40B4-BE49-F238E27FC236}">
              <a16:creationId xmlns:a16="http://schemas.microsoft.com/office/drawing/2014/main" id="{19701B7E-58BB-F64A-B3A3-F036ED6608F4}"/>
            </a:ext>
          </a:extLst>
        </xdr:cNvPr>
        <xdr:cNvPicPr>
          <a:picLocks noChangeAspect="1"/>
        </xdr:cNvPicPr>
      </xdr:nvPicPr>
      <xdr:blipFill>
        <a:blip xmlns:r="http://schemas.openxmlformats.org/officeDocument/2006/relationships" r:embed="rId1"/>
        <a:stretch>
          <a:fillRect/>
        </a:stretch>
      </xdr:blipFill>
      <xdr:spPr>
        <a:xfrm>
          <a:off x="226484" y="215899"/>
          <a:ext cx="9698566"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12700</xdr:colOff>
      <xdr:row>1</xdr:row>
      <xdr:rowOff>25400</xdr:rowOff>
    </xdr:from>
    <xdr:ext cx="9709150" cy="657225"/>
    <xdr:pic>
      <xdr:nvPicPr>
        <xdr:cNvPr id="2" name="Picture 1">
          <a:extLst>
            <a:ext uri="{FF2B5EF4-FFF2-40B4-BE49-F238E27FC236}">
              <a16:creationId xmlns:a16="http://schemas.microsoft.com/office/drawing/2014/main" id="{4CBDAE75-CA9E-394C-9871-37F3487E512C}"/>
            </a:ext>
          </a:extLst>
        </xdr:cNvPr>
        <xdr:cNvPicPr>
          <a:picLocks noChangeAspect="1"/>
        </xdr:cNvPicPr>
      </xdr:nvPicPr>
      <xdr:blipFill>
        <a:blip xmlns:r="http://schemas.openxmlformats.org/officeDocument/2006/relationships" r:embed="rId1"/>
        <a:stretch>
          <a:fillRect/>
        </a:stretch>
      </xdr:blipFill>
      <xdr:spPr>
        <a:xfrm>
          <a:off x="850900" y="228600"/>
          <a:ext cx="9709150" cy="657225"/>
        </a:xfrm>
        <a:prstGeom prst="rect">
          <a:avLst/>
        </a:prstGeom>
        <a:solidFill>
          <a:srgbClr val="5B9BD5"/>
        </a:solidFill>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25400</xdr:colOff>
      <xdr:row>1</xdr:row>
      <xdr:rowOff>25400</xdr:rowOff>
    </xdr:from>
    <xdr:to>
      <xdr:col>2</xdr:col>
      <xdr:colOff>4879975</xdr:colOff>
      <xdr:row>1</xdr:row>
      <xdr:rowOff>682625</xdr:rowOff>
    </xdr:to>
    <xdr:pic>
      <xdr:nvPicPr>
        <xdr:cNvPr id="2" name="Picture 1">
          <a:extLst>
            <a:ext uri="{FF2B5EF4-FFF2-40B4-BE49-F238E27FC236}">
              <a16:creationId xmlns:a16="http://schemas.microsoft.com/office/drawing/2014/main" id="{848AFF10-8609-9842-82A9-5138B374F94B}"/>
            </a:ext>
          </a:extLst>
        </xdr:cNvPr>
        <xdr:cNvPicPr>
          <a:picLocks noChangeAspect="1"/>
        </xdr:cNvPicPr>
      </xdr:nvPicPr>
      <xdr:blipFill>
        <a:blip xmlns:r="http://schemas.openxmlformats.org/officeDocument/2006/relationships" r:embed="rId1"/>
        <a:stretch>
          <a:fillRect/>
        </a:stretch>
      </xdr:blipFill>
      <xdr:spPr>
        <a:xfrm>
          <a:off x="241300" y="228600"/>
          <a:ext cx="9702800" cy="647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12700</xdr:colOff>
      <xdr:row>1</xdr:row>
      <xdr:rowOff>25400</xdr:rowOff>
    </xdr:from>
    <xdr:to>
      <xdr:col>2</xdr:col>
      <xdr:colOff>5086350</xdr:colOff>
      <xdr:row>2</xdr:row>
      <xdr:rowOff>835</xdr:rowOff>
    </xdr:to>
    <xdr:pic>
      <xdr:nvPicPr>
        <xdr:cNvPr id="2" name="Picture 1">
          <a:extLst>
            <a:ext uri="{FF2B5EF4-FFF2-40B4-BE49-F238E27FC236}">
              <a16:creationId xmlns:a16="http://schemas.microsoft.com/office/drawing/2014/main" id="{CA8CCFE6-900A-C343-9F0D-A4D98193AAB1}"/>
            </a:ext>
          </a:extLst>
        </xdr:cNvPr>
        <xdr:cNvPicPr>
          <a:picLocks noChangeAspect="1"/>
        </xdr:cNvPicPr>
      </xdr:nvPicPr>
      <xdr:blipFill>
        <a:blip xmlns:r="http://schemas.openxmlformats.org/officeDocument/2006/relationships" r:embed="rId1"/>
        <a:stretch>
          <a:fillRect/>
        </a:stretch>
      </xdr:blipFill>
      <xdr:spPr>
        <a:xfrm>
          <a:off x="228600" y="228600"/>
          <a:ext cx="9702800" cy="647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12700</xdr:colOff>
      <xdr:row>1</xdr:row>
      <xdr:rowOff>25400</xdr:rowOff>
    </xdr:from>
    <xdr:to>
      <xdr:col>1</xdr:col>
      <xdr:colOff>9334500</xdr:colOff>
      <xdr:row>1</xdr:row>
      <xdr:rowOff>682625</xdr:rowOff>
    </xdr:to>
    <xdr:pic>
      <xdr:nvPicPr>
        <xdr:cNvPr id="2" name="Picture 1">
          <a:extLst>
            <a:ext uri="{FF2B5EF4-FFF2-40B4-BE49-F238E27FC236}">
              <a16:creationId xmlns:a16="http://schemas.microsoft.com/office/drawing/2014/main" id="{AF559C80-7E2B-4A4F-97BC-B3E847E9AB98}"/>
            </a:ext>
          </a:extLst>
        </xdr:cNvPr>
        <xdr:cNvPicPr>
          <a:picLocks noChangeAspect="1"/>
        </xdr:cNvPicPr>
      </xdr:nvPicPr>
      <xdr:blipFill>
        <a:blip xmlns:r="http://schemas.openxmlformats.org/officeDocument/2006/relationships" r:embed="rId1"/>
        <a:stretch>
          <a:fillRect/>
        </a:stretch>
      </xdr:blipFill>
      <xdr:spPr>
        <a:xfrm>
          <a:off x="228600" y="228600"/>
          <a:ext cx="9321800"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12700</xdr:colOff>
      <xdr:row>1</xdr:row>
      <xdr:rowOff>12700</xdr:rowOff>
    </xdr:from>
    <xdr:to>
      <xdr:col>2</xdr:col>
      <xdr:colOff>5089525</xdr:colOff>
      <xdr:row>1</xdr:row>
      <xdr:rowOff>669925</xdr:rowOff>
    </xdr:to>
    <xdr:pic>
      <xdr:nvPicPr>
        <xdr:cNvPr id="2" name="Picture 1">
          <a:extLst>
            <a:ext uri="{FF2B5EF4-FFF2-40B4-BE49-F238E27FC236}">
              <a16:creationId xmlns:a16="http://schemas.microsoft.com/office/drawing/2014/main" id="{EF3C656D-8AC2-B544-A0DD-E603E8A96AA0}"/>
            </a:ext>
          </a:extLst>
        </xdr:cNvPr>
        <xdr:cNvPicPr>
          <a:picLocks noChangeAspect="1"/>
        </xdr:cNvPicPr>
      </xdr:nvPicPr>
      <xdr:blipFill>
        <a:blip xmlns:r="http://schemas.openxmlformats.org/officeDocument/2006/relationships" r:embed="rId1"/>
        <a:stretch>
          <a:fillRect/>
        </a:stretch>
      </xdr:blipFill>
      <xdr:spPr>
        <a:xfrm>
          <a:off x="228600" y="215900"/>
          <a:ext cx="9712325" cy="6572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12700</xdr:colOff>
      <xdr:row>1</xdr:row>
      <xdr:rowOff>25400</xdr:rowOff>
    </xdr:from>
    <xdr:to>
      <xdr:col>2</xdr:col>
      <xdr:colOff>5086350</xdr:colOff>
      <xdr:row>1</xdr:row>
      <xdr:rowOff>682625</xdr:rowOff>
    </xdr:to>
    <xdr:pic>
      <xdr:nvPicPr>
        <xdr:cNvPr id="2" name="Picture 1">
          <a:extLst>
            <a:ext uri="{FF2B5EF4-FFF2-40B4-BE49-F238E27FC236}">
              <a16:creationId xmlns:a16="http://schemas.microsoft.com/office/drawing/2014/main" id="{AAA61B12-07C3-1A48-B343-979EC7A74EE7}"/>
            </a:ext>
          </a:extLst>
        </xdr:cNvPr>
        <xdr:cNvPicPr>
          <a:picLocks noChangeAspect="1"/>
        </xdr:cNvPicPr>
      </xdr:nvPicPr>
      <xdr:blipFill>
        <a:blip xmlns:r="http://schemas.openxmlformats.org/officeDocument/2006/relationships" r:embed="rId1"/>
        <a:stretch>
          <a:fillRect/>
        </a:stretch>
      </xdr:blipFill>
      <xdr:spPr>
        <a:xfrm>
          <a:off x="228600" y="228600"/>
          <a:ext cx="9702800" cy="6477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12700</xdr:colOff>
      <xdr:row>1</xdr:row>
      <xdr:rowOff>25400</xdr:rowOff>
    </xdr:from>
    <xdr:to>
      <xdr:col>2</xdr:col>
      <xdr:colOff>3641725</xdr:colOff>
      <xdr:row>1</xdr:row>
      <xdr:rowOff>682625</xdr:rowOff>
    </xdr:to>
    <xdr:pic>
      <xdr:nvPicPr>
        <xdr:cNvPr id="2" name="Picture 1">
          <a:extLst>
            <a:ext uri="{FF2B5EF4-FFF2-40B4-BE49-F238E27FC236}">
              <a16:creationId xmlns:a16="http://schemas.microsoft.com/office/drawing/2014/main" id="{EE1CE727-2FA6-B842-AC5F-796A4EE32E57}"/>
            </a:ext>
          </a:extLst>
        </xdr:cNvPr>
        <xdr:cNvPicPr>
          <a:picLocks noChangeAspect="1"/>
        </xdr:cNvPicPr>
      </xdr:nvPicPr>
      <xdr:blipFill>
        <a:blip xmlns:r="http://schemas.openxmlformats.org/officeDocument/2006/relationships" r:embed="rId1"/>
        <a:stretch>
          <a:fillRect/>
        </a:stretch>
      </xdr:blipFill>
      <xdr:spPr>
        <a:xfrm>
          <a:off x="228600" y="228600"/>
          <a:ext cx="9702800" cy="6477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12700</xdr:colOff>
      <xdr:row>1</xdr:row>
      <xdr:rowOff>12700</xdr:rowOff>
    </xdr:from>
    <xdr:to>
      <xdr:col>2</xdr:col>
      <xdr:colOff>4860925</xdr:colOff>
      <xdr:row>1</xdr:row>
      <xdr:rowOff>669925</xdr:rowOff>
    </xdr:to>
    <xdr:pic>
      <xdr:nvPicPr>
        <xdr:cNvPr id="2" name="Picture 1">
          <a:extLst>
            <a:ext uri="{FF2B5EF4-FFF2-40B4-BE49-F238E27FC236}">
              <a16:creationId xmlns:a16="http://schemas.microsoft.com/office/drawing/2014/main" id="{52965E49-A45C-E946-AEB0-14A940080F64}"/>
            </a:ext>
          </a:extLst>
        </xdr:cNvPr>
        <xdr:cNvPicPr>
          <a:picLocks noChangeAspect="1"/>
        </xdr:cNvPicPr>
      </xdr:nvPicPr>
      <xdr:blipFill>
        <a:blip xmlns:r="http://schemas.openxmlformats.org/officeDocument/2006/relationships" r:embed="rId1"/>
        <a:stretch>
          <a:fillRect/>
        </a:stretch>
      </xdr:blipFill>
      <xdr:spPr>
        <a:xfrm>
          <a:off x="228600" y="215900"/>
          <a:ext cx="9712325" cy="6572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12700</xdr:colOff>
      <xdr:row>1</xdr:row>
      <xdr:rowOff>12700</xdr:rowOff>
    </xdr:from>
    <xdr:to>
      <xdr:col>2</xdr:col>
      <xdr:colOff>4860925</xdr:colOff>
      <xdr:row>1</xdr:row>
      <xdr:rowOff>669925</xdr:rowOff>
    </xdr:to>
    <xdr:pic>
      <xdr:nvPicPr>
        <xdr:cNvPr id="2" name="Picture 1">
          <a:extLst>
            <a:ext uri="{FF2B5EF4-FFF2-40B4-BE49-F238E27FC236}">
              <a16:creationId xmlns:a16="http://schemas.microsoft.com/office/drawing/2014/main" id="{4EB9506C-7877-4C42-9FC7-FCDB247DBC07}"/>
            </a:ext>
          </a:extLst>
        </xdr:cNvPr>
        <xdr:cNvPicPr>
          <a:picLocks noChangeAspect="1"/>
        </xdr:cNvPicPr>
      </xdr:nvPicPr>
      <xdr:blipFill>
        <a:blip xmlns:r="http://schemas.openxmlformats.org/officeDocument/2006/relationships" r:embed="rId1"/>
        <a:stretch>
          <a:fillRect/>
        </a:stretch>
      </xdr:blipFill>
      <xdr:spPr>
        <a:xfrm>
          <a:off x="228600" y="215900"/>
          <a:ext cx="9712325" cy="6572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12700</xdr:colOff>
      <xdr:row>1</xdr:row>
      <xdr:rowOff>12700</xdr:rowOff>
    </xdr:from>
    <xdr:to>
      <xdr:col>2</xdr:col>
      <xdr:colOff>4860925</xdr:colOff>
      <xdr:row>1</xdr:row>
      <xdr:rowOff>669925</xdr:rowOff>
    </xdr:to>
    <xdr:pic>
      <xdr:nvPicPr>
        <xdr:cNvPr id="2" name="Picture 1">
          <a:extLst>
            <a:ext uri="{FF2B5EF4-FFF2-40B4-BE49-F238E27FC236}">
              <a16:creationId xmlns:a16="http://schemas.microsoft.com/office/drawing/2014/main" id="{201FBC8B-C693-F04C-B97A-701F9982D38A}"/>
            </a:ext>
          </a:extLst>
        </xdr:cNvPr>
        <xdr:cNvPicPr>
          <a:picLocks noChangeAspect="1"/>
        </xdr:cNvPicPr>
      </xdr:nvPicPr>
      <xdr:blipFill>
        <a:blip xmlns:r="http://schemas.openxmlformats.org/officeDocument/2006/relationships" r:embed="rId1"/>
        <a:stretch>
          <a:fillRect/>
        </a:stretch>
      </xdr:blipFill>
      <xdr:spPr>
        <a:xfrm>
          <a:off x="228600" y="215900"/>
          <a:ext cx="9712325"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18222</xdr:rowOff>
    </xdr:from>
    <xdr:to>
      <xdr:col>3</xdr:col>
      <xdr:colOff>3124200</xdr:colOff>
      <xdr:row>2</xdr:row>
      <xdr:rowOff>12700</xdr:rowOff>
    </xdr:to>
    <xdr:pic>
      <xdr:nvPicPr>
        <xdr:cNvPr id="3" name="Picture 2">
          <a:extLst>
            <a:ext uri="{FF2B5EF4-FFF2-40B4-BE49-F238E27FC236}">
              <a16:creationId xmlns:a16="http://schemas.microsoft.com/office/drawing/2014/main" id="{FBE43E9D-A034-B540-9D18-15953E8DFAFE}"/>
            </a:ext>
          </a:extLst>
        </xdr:cNvPr>
        <xdr:cNvPicPr>
          <a:picLocks noChangeAspect="1"/>
        </xdr:cNvPicPr>
      </xdr:nvPicPr>
      <xdr:blipFill>
        <a:blip xmlns:r="http://schemas.openxmlformats.org/officeDocument/2006/relationships" r:embed="rId1"/>
        <a:stretch>
          <a:fillRect/>
        </a:stretch>
      </xdr:blipFill>
      <xdr:spPr>
        <a:xfrm>
          <a:off x="228600" y="221422"/>
          <a:ext cx="7747000" cy="680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25401</xdr:colOff>
      <xdr:row>1</xdr:row>
      <xdr:rowOff>12700</xdr:rowOff>
    </xdr:from>
    <xdr:to>
      <xdr:col>3</xdr:col>
      <xdr:colOff>3797301</xdr:colOff>
      <xdr:row>1</xdr:row>
      <xdr:rowOff>673100</xdr:rowOff>
    </xdr:to>
    <xdr:pic>
      <xdr:nvPicPr>
        <xdr:cNvPr id="2" name="Picture 1">
          <a:extLst>
            <a:ext uri="{FF2B5EF4-FFF2-40B4-BE49-F238E27FC236}">
              <a16:creationId xmlns:a16="http://schemas.microsoft.com/office/drawing/2014/main" id="{505C3ACB-255D-0D43-A5D0-FDE0232419C7}"/>
            </a:ext>
          </a:extLst>
        </xdr:cNvPr>
        <xdr:cNvPicPr>
          <a:picLocks noChangeAspect="1"/>
        </xdr:cNvPicPr>
      </xdr:nvPicPr>
      <xdr:blipFill>
        <a:blip xmlns:r="http://schemas.openxmlformats.org/officeDocument/2006/relationships" r:embed="rId1"/>
        <a:stretch>
          <a:fillRect/>
        </a:stretch>
      </xdr:blipFill>
      <xdr:spPr>
        <a:xfrm>
          <a:off x="241301" y="215900"/>
          <a:ext cx="8483600" cy="660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xdr:colOff>
      <xdr:row>1</xdr:row>
      <xdr:rowOff>25400</xdr:rowOff>
    </xdr:from>
    <xdr:to>
      <xdr:col>3</xdr:col>
      <xdr:colOff>0</xdr:colOff>
      <xdr:row>1</xdr:row>
      <xdr:rowOff>682625</xdr:rowOff>
    </xdr:to>
    <xdr:pic>
      <xdr:nvPicPr>
        <xdr:cNvPr id="4" name="Picture 3">
          <a:extLst>
            <a:ext uri="{FF2B5EF4-FFF2-40B4-BE49-F238E27FC236}">
              <a16:creationId xmlns:a16="http://schemas.microsoft.com/office/drawing/2014/main" id="{7208F12B-5FEC-D34B-9CAD-57043BA5BD7C}"/>
            </a:ext>
          </a:extLst>
        </xdr:cNvPr>
        <xdr:cNvPicPr>
          <a:picLocks noChangeAspect="1"/>
        </xdr:cNvPicPr>
      </xdr:nvPicPr>
      <xdr:blipFill>
        <a:blip xmlns:r="http://schemas.openxmlformats.org/officeDocument/2006/relationships" r:embed="rId1"/>
        <a:stretch>
          <a:fillRect/>
        </a:stretch>
      </xdr:blipFill>
      <xdr:spPr>
        <a:xfrm>
          <a:off x="241300" y="228600"/>
          <a:ext cx="9702800" cy="647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38100</xdr:colOff>
      <xdr:row>1</xdr:row>
      <xdr:rowOff>38100</xdr:rowOff>
    </xdr:from>
    <xdr:to>
      <xdr:col>14</xdr:col>
      <xdr:colOff>2162175</xdr:colOff>
      <xdr:row>1</xdr:row>
      <xdr:rowOff>657225</xdr:rowOff>
    </xdr:to>
    <xdr:pic>
      <xdr:nvPicPr>
        <xdr:cNvPr id="3" name="Picture 2">
          <a:extLst>
            <a:ext uri="{FF2B5EF4-FFF2-40B4-BE49-F238E27FC236}">
              <a16:creationId xmlns:a16="http://schemas.microsoft.com/office/drawing/2014/main" id="{167D79CC-69B2-E042-87D5-B45DD9F944C2}"/>
            </a:ext>
          </a:extLst>
        </xdr:cNvPr>
        <xdr:cNvPicPr>
          <a:picLocks noChangeAspect="1"/>
        </xdr:cNvPicPr>
      </xdr:nvPicPr>
      <xdr:blipFill>
        <a:blip xmlns:r="http://schemas.openxmlformats.org/officeDocument/2006/relationships" r:embed="rId1"/>
        <a:stretch>
          <a:fillRect/>
        </a:stretch>
      </xdr:blipFill>
      <xdr:spPr>
        <a:xfrm>
          <a:off x="254000" y="241300"/>
          <a:ext cx="5994400" cy="622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38100</xdr:colOff>
      <xdr:row>1</xdr:row>
      <xdr:rowOff>38100</xdr:rowOff>
    </xdr:from>
    <xdr:ext cx="5997575" cy="619125"/>
    <xdr:pic>
      <xdr:nvPicPr>
        <xdr:cNvPr id="2" name="Picture 1">
          <a:extLst>
            <a:ext uri="{FF2B5EF4-FFF2-40B4-BE49-F238E27FC236}">
              <a16:creationId xmlns:a16="http://schemas.microsoft.com/office/drawing/2014/main" id="{6B57F66B-15B4-5540-8196-A858FA5001F8}"/>
            </a:ext>
          </a:extLst>
        </xdr:cNvPr>
        <xdr:cNvPicPr>
          <a:picLocks noChangeAspect="1"/>
        </xdr:cNvPicPr>
      </xdr:nvPicPr>
      <xdr:blipFill>
        <a:blip xmlns:r="http://schemas.openxmlformats.org/officeDocument/2006/relationships" r:embed="rId1"/>
        <a:stretch>
          <a:fillRect/>
        </a:stretch>
      </xdr:blipFill>
      <xdr:spPr>
        <a:xfrm>
          <a:off x="4495800" y="241300"/>
          <a:ext cx="5997575" cy="6191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15875</xdr:rowOff>
    </xdr:from>
    <xdr:to>
      <xdr:col>2</xdr:col>
      <xdr:colOff>2778125</xdr:colOff>
      <xdr:row>1</xdr:row>
      <xdr:rowOff>677332</xdr:rowOff>
    </xdr:to>
    <xdr:pic>
      <xdr:nvPicPr>
        <xdr:cNvPr id="2" name="Picture 1">
          <a:extLst>
            <a:ext uri="{FF2B5EF4-FFF2-40B4-BE49-F238E27FC236}">
              <a16:creationId xmlns:a16="http://schemas.microsoft.com/office/drawing/2014/main" id="{3C3D8F4F-E7CD-2B48-A4FF-44617EC2D4D0}"/>
            </a:ext>
          </a:extLst>
        </xdr:cNvPr>
        <xdr:cNvPicPr>
          <a:picLocks noChangeAspect="1"/>
        </xdr:cNvPicPr>
      </xdr:nvPicPr>
      <xdr:blipFill>
        <a:blip xmlns:r="http://schemas.openxmlformats.org/officeDocument/2006/relationships" r:embed="rId1"/>
        <a:stretch>
          <a:fillRect/>
        </a:stretch>
      </xdr:blipFill>
      <xdr:spPr>
        <a:xfrm>
          <a:off x="222250" y="222250"/>
          <a:ext cx="8128000" cy="6614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1</xdr:row>
      <xdr:rowOff>25400</xdr:rowOff>
    </xdr:from>
    <xdr:to>
      <xdr:col>2</xdr:col>
      <xdr:colOff>4857750</xdr:colOff>
      <xdr:row>1</xdr:row>
      <xdr:rowOff>682625</xdr:rowOff>
    </xdr:to>
    <xdr:pic>
      <xdr:nvPicPr>
        <xdr:cNvPr id="4" name="Picture 3">
          <a:extLst>
            <a:ext uri="{FF2B5EF4-FFF2-40B4-BE49-F238E27FC236}">
              <a16:creationId xmlns:a16="http://schemas.microsoft.com/office/drawing/2014/main" id="{AB9952AD-CF55-EE4D-AE1F-09896F3FE0B1}"/>
            </a:ext>
          </a:extLst>
        </xdr:cNvPr>
        <xdr:cNvPicPr>
          <a:picLocks noChangeAspect="1"/>
        </xdr:cNvPicPr>
      </xdr:nvPicPr>
      <xdr:blipFill>
        <a:blip xmlns:r="http://schemas.openxmlformats.org/officeDocument/2006/relationships" r:embed="rId1"/>
        <a:stretch>
          <a:fillRect/>
        </a:stretch>
      </xdr:blipFill>
      <xdr:spPr>
        <a:xfrm>
          <a:off x="228600" y="228600"/>
          <a:ext cx="9702800" cy="647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12700</xdr:colOff>
      <xdr:row>1</xdr:row>
      <xdr:rowOff>25400</xdr:rowOff>
    </xdr:from>
    <xdr:to>
      <xdr:col>2</xdr:col>
      <xdr:colOff>4857750</xdr:colOff>
      <xdr:row>1</xdr:row>
      <xdr:rowOff>682625</xdr:rowOff>
    </xdr:to>
    <xdr:pic>
      <xdr:nvPicPr>
        <xdr:cNvPr id="2" name="Picture 1">
          <a:extLst>
            <a:ext uri="{FF2B5EF4-FFF2-40B4-BE49-F238E27FC236}">
              <a16:creationId xmlns:a16="http://schemas.microsoft.com/office/drawing/2014/main" id="{BAB6D86D-5F13-A54F-8EDD-F87421267251}"/>
            </a:ext>
          </a:extLst>
        </xdr:cNvPr>
        <xdr:cNvPicPr>
          <a:picLocks noChangeAspect="1"/>
        </xdr:cNvPicPr>
      </xdr:nvPicPr>
      <xdr:blipFill>
        <a:blip xmlns:r="http://schemas.openxmlformats.org/officeDocument/2006/relationships" r:embed="rId1"/>
        <a:stretch>
          <a:fillRect/>
        </a:stretch>
      </xdr:blipFill>
      <xdr:spPr>
        <a:xfrm>
          <a:off x="228600" y="228600"/>
          <a:ext cx="9702800" cy="647700"/>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1">
    <v>13</v>
    <v>3</v>
  </rv>
</rvData>
</file>

<file path=xl/richData/rdrichvaluestructure.xml><?xml version="1.0" encoding="utf-8"?>
<rvStructures xmlns="http://schemas.microsoft.com/office/spreadsheetml/2017/richdata" count="2">
  <s t="_localImage">
    <k n="_rvRel:LocalImageIdentifier" t="i"/>
    <k n="CalcOrigin" t="i"/>
  </s>
  <s t="_error">
    <k n="errorType" t="i"/>
    <k n="subType"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ocs.vmware.com/en/VMware-Cloud-Foundation/services/vcf-health-reporting-and-monitoring-v1/GUID-CF73FFF1-7875-4A84-BECF-0EB4CA60279D.html" TargetMode="External"/><Relationship Id="rId13" Type="http://schemas.openxmlformats.org/officeDocument/2006/relationships/hyperlink" Target="https://docs.vmware.com/en/VMware-Cloud-Foundation/4.3/vcf-vi-workload-domain-design/GUID-F229E3F8-EB63-4512-9515-012341DD5464.html" TargetMode="External"/><Relationship Id="rId18" Type="http://schemas.openxmlformats.org/officeDocument/2006/relationships/hyperlink" Target="https://docs.vmware.com/en/VMware-Cloud-Foundation/5.2/vcf-getting-started/GUID-C000FB7D-5A4C-4AA7-AEAB-D67F335BCB21.html" TargetMode="External"/><Relationship Id="rId3" Type="http://schemas.openxmlformats.org/officeDocument/2006/relationships/hyperlink" Target="https://docs.vmware.com/en/VMware-Cloud-Foundation/services/vcf-developer-ready-infrastructure-v1/GUID-641F8C25-CA4E-4F27-B467-484C849C7332.html" TargetMode="External"/><Relationship Id="rId21" Type="http://schemas.openxmlformats.org/officeDocument/2006/relationships/hyperlink" Target="https://docs.vmware.com/en/VMware-Cloud-Foundation/5.2/vcf-operations/GUID-BE7C1509-709A-4A56-875B-EAC5EA61BB56.html" TargetMode="External"/><Relationship Id="rId7" Type="http://schemas.openxmlformats.org/officeDocument/2006/relationships/hyperlink" Target="https://docs.vmware.com/en/VMware-Cloud-Foundation/services/vcf-site-protection-and-disaster-recovery-v1/GUID-CA4DCF12-8BCC-4137-884C-E9DB2A19FAA4.html" TargetMode="External"/><Relationship Id="rId12" Type="http://schemas.openxmlformats.org/officeDocument/2006/relationships/hyperlink" Target="https://docs.vmware.com/en/VMware-Cloud-Foundation/4.3/vcf-getting-started/GUID-C000FB7D-5A4C-4AA7-AEAB-D67F335BCB21.html" TargetMode="External"/><Relationship Id="rId17" Type="http://schemas.openxmlformats.org/officeDocument/2006/relationships/hyperlink" Target="https://docs.vmware.com/en/VMware-Cloud-Foundation/4.3/vcf-management-domain-design/GUID-5B0A8D19-E82C-49B6-BA36-D72FF0A4F9C7.html" TargetMode="External"/><Relationship Id="rId25" Type="http://schemas.openxmlformats.org/officeDocument/2006/relationships/drawing" Target="../drawings/drawing1.xml"/><Relationship Id="rId2" Type="http://schemas.openxmlformats.org/officeDocument/2006/relationships/hyperlink" Target="https://docs.vmware.com/en/VMware-Cloud-Foundation/services/vcf-identity-and-access-management-v1/GUID-FF35966D-2225-4825-9E38-C7287B069D4D.html" TargetMode="External"/><Relationship Id="rId16" Type="http://schemas.openxmlformats.org/officeDocument/2006/relationships/hyperlink" Target="https://docs.vmware.com/en/VMware-Cloud-Foundation/4.3/vcf-vi-workload-domain-design/GUID-F229E3F8-EB63-4512-9515-012341DD5464.html" TargetMode="External"/><Relationship Id="rId20" Type="http://schemas.openxmlformats.org/officeDocument/2006/relationships/hyperlink" Target="https://docs.vmware.com/en/VMware-Cloud-Foundation/5.2/vcf-admin/GUID-D5A44DAA-866D-47C9-B1FB-BF9761F97E36.html" TargetMode="External"/><Relationship Id="rId1" Type="http://schemas.openxmlformats.org/officeDocument/2006/relationships/hyperlink" Target="https://docs.vmware.com/en/VMware-Cloud-Foundation/4.4/vcf-planning-and-preparation-workbook-feedback/GUID-E14CAE45-6BE8-49FD-B73F-7CF57937930F.html" TargetMode="External"/><Relationship Id="rId6" Type="http://schemas.openxmlformats.org/officeDocument/2006/relationships/hyperlink" Target="https://docs.vmware.com/en/VMware-Cloud-Foundation/services/vcf-intelligent-operations-management-v1/GUID-31B18AB1-9E88-4355-BECF-A90F1E1F7C19.html" TargetMode="External"/><Relationship Id="rId11" Type="http://schemas.openxmlformats.org/officeDocument/2006/relationships/hyperlink" Target="https://docs.vmware.com/en/VMware-Cloud-Foundation/services/vcf-private-ai-ready-infrastructure-v1/GUID-CA16F579-5F4C-4A86-A904-A8BB108F64C2.html" TargetMode="External"/><Relationship Id="rId24" Type="http://schemas.openxmlformats.org/officeDocument/2006/relationships/hyperlink" Target="https://docs.vmware.com/en/VMware-Cloud-Foundation/5.2/vcf-getting-started/GUID-F77789E2-5A3E-4055-AA4D-904DB2DDC8C3.html" TargetMode="External"/><Relationship Id="rId5" Type="http://schemas.openxmlformats.org/officeDocument/2006/relationships/hyperlink" Target="https://docs.vmware.com/en/VMware-Cloud-Foundation/services/vcf-intelligent-logging-and-analytics-v1/GUID-42022E8E-7C84-4864-AE49-69D016EF5600.html" TargetMode="External"/><Relationship Id="rId15" Type="http://schemas.openxmlformats.org/officeDocument/2006/relationships/hyperlink" Target="https://docs.vmware.com/en/VMware-Cloud-Foundation/4.3/vcf-vrslcm-wsa-design/GUID-9E611257-C45A-4634-9E32-39AD43191C01.html" TargetMode="External"/><Relationship Id="rId23" Type="http://schemas.openxmlformats.org/officeDocument/2006/relationships/hyperlink" Target="https://docs.vmware.com/en/VMware-Cloud-Foundation/5.1/vcf-lifecycle/GUID-C82BB0D4-FD52-4CC9-A6BB-3A6CF35E380E.html" TargetMode="External"/><Relationship Id="rId10" Type="http://schemas.openxmlformats.org/officeDocument/2006/relationships/hyperlink" Target="https://docs.vmware.com/en/VMware-Cloud-Foundation/services/vcf-cross-cloud-mobility-v1/GUID-20440B6A-0805-4A73-88A9-DD431088791C.html" TargetMode="External"/><Relationship Id="rId19" Type="http://schemas.openxmlformats.org/officeDocument/2006/relationships/hyperlink" Target="https://docs.vmware.com/en/VMware-Cloud-Foundation/5.2/vcf-design/GUID-5B0A8D19-E82C-49B6-BA36-D72FF0A4F9C7.html" TargetMode="External"/><Relationship Id="rId4" Type="http://schemas.openxmlformats.org/officeDocument/2006/relationships/hyperlink" Target="https://docs.vmware.com/en/VMware-Cloud-Foundation/services/vcf-private-cloud-automation-v1/GUID-33896484-4331-46F1-8875-B487BBEDCE05.html" TargetMode="External"/><Relationship Id="rId9" Type="http://schemas.openxmlformats.org/officeDocument/2006/relationships/hyperlink" Target="https://docs.vmware.com/en/VMware-Cloud-Foundation/services/vcf-cloud-based-network-visibility-v1/GUID-2C1C697A-A959-4C87-827F-616C66F4482A.html" TargetMode="External"/><Relationship Id="rId14" Type="http://schemas.openxmlformats.org/officeDocument/2006/relationships/hyperlink" Target="https://core.vmware.com/resource/frequently-asked-questions-faq-vmware-validated-solutions" TargetMode="External"/><Relationship Id="rId22" Type="http://schemas.openxmlformats.org/officeDocument/2006/relationships/hyperlink" Target="https://core.vmware.com/resource/frequently-asked-questions-faqs-vmware-validated-solution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configadmin@rainpole.io"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hyperlink" Target="mailto:administrator@vsphere.local" TargetMode="External"/><Relationship Id="rId2" Type="http://schemas.openxmlformats.org/officeDocument/2006/relationships/hyperlink" Target="mailto:administrator@vsphere.local" TargetMode="External"/><Relationship Id="rId1" Type="http://schemas.openxmlformats.org/officeDocument/2006/relationships/hyperlink" Target="mailto:administrator@vsphere.local" TargetMode="External"/><Relationship Id="rId5" Type="http://schemas.openxmlformats.org/officeDocument/2006/relationships/drawing" Target="../drawings/drawing5.xml"/><Relationship Id="rId4" Type="http://schemas.openxmlformats.org/officeDocument/2006/relationships/hyperlink" Target="mailto:administrator@vsphere.local"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mailto:svc-cbo-vsphere@sfo.rainpole.io"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mailto:svc-cbo-vsphere@sfo.rainpole.i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F3F34-F350-C748-BC40-E8FBB32E71BD}">
  <sheetPr codeName="Sheet2">
    <tabColor theme="5" tint="0.39997558519241921"/>
  </sheetPr>
  <dimension ref="A1:AN1218"/>
  <sheetViews>
    <sheetView zoomScaleNormal="100" workbookViewId="0">
      <pane ySplit="4" topLeftCell="A5" activePane="bottomLeft" state="frozen"/>
      <selection pane="bottomLeft"/>
    </sheetView>
  </sheetViews>
  <sheetFormatPr baseColWidth="10" defaultColWidth="10.83203125" defaultRowHeight="16"/>
  <cols>
    <col min="1" max="1" width="2.83203125" style="106" customWidth="1"/>
    <col min="2" max="2" width="3.6640625" style="3" customWidth="1"/>
    <col min="3" max="4" width="15.83203125" style="3" customWidth="1"/>
    <col min="5" max="5" width="12.83203125" style="3" customWidth="1"/>
    <col min="6" max="6" width="11.6640625" style="3" customWidth="1"/>
    <col min="7" max="7" width="2.83203125" style="3" customWidth="1"/>
    <col min="8" max="8" width="34.33203125" style="3" customWidth="1"/>
    <col min="9" max="9" width="72" style="3" customWidth="1"/>
    <col min="10" max="10" width="25.33203125" style="3" customWidth="1"/>
    <col min="11" max="11" width="100.83203125" style="3" customWidth="1"/>
    <col min="12" max="12" width="2.83203125" style="3" customWidth="1"/>
    <col min="13" max="13" width="26.83203125" style="3" customWidth="1"/>
    <col min="14" max="14" width="24.5" style="3" customWidth="1"/>
    <col min="15" max="15" width="21.6640625" style="3" customWidth="1"/>
    <col min="16" max="16" width="11.5" style="106" customWidth="1"/>
    <col min="17" max="17" width="10.83203125" style="106" customWidth="1"/>
    <col min="18" max="40" width="10.83203125" style="106"/>
    <col min="41" max="16384" width="10.83203125" style="3"/>
  </cols>
  <sheetData>
    <row r="1" spans="1:21" s="106" customFormat="1" ht="16" customHeight="1">
      <c r="A1" s="128"/>
    </row>
    <row r="2" spans="1:21" ht="54" customHeight="1">
      <c r="B2" s="338"/>
      <c r="C2" s="339"/>
      <c r="D2" s="339"/>
      <c r="E2" s="339"/>
      <c r="F2" s="339"/>
      <c r="G2" s="339"/>
      <c r="H2" s="339"/>
      <c r="I2" s="340"/>
      <c r="J2" s="74" t="s">
        <v>0</v>
      </c>
      <c r="K2" s="74"/>
      <c r="L2" s="74"/>
      <c r="M2" s="74"/>
      <c r="N2" s="74"/>
      <c r="O2" s="75"/>
    </row>
    <row r="3" spans="1:21" ht="20" customHeight="1">
      <c r="B3" s="341" t="s">
        <v>1</v>
      </c>
      <c r="C3" s="342"/>
      <c r="D3" s="342"/>
      <c r="E3" s="342"/>
      <c r="F3" s="342"/>
      <c r="G3" s="342"/>
      <c r="H3" s="342"/>
      <c r="I3" s="342"/>
      <c r="J3" s="342"/>
      <c r="K3" s="342"/>
      <c r="L3" s="342"/>
      <c r="M3" s="342"/>
      <c r="N3" s="342"/>
      <c r="O3" s="343"/>
    </row>
    <row r="4" spans="1:21" s="106" customFormat="1">
      <c r="E4" s="130"/>
      <c r="F4" s="130"/>
      <c r="G4" s="131"/>
      <c r="H4" s="131"/>
    </row>
    <row r="5" spans="1:21" s="106" customFormat="1" ht="20" customHeight="1"/>
    <row r="6" spans="1:21" ht="20" customHeight="1">
      <c r="B6" s="335" t="s">
        <v>2</v>
      </c>
      <c r="C6" s="336"/>
      <c r="D6" s="336"/>
      <c r="E6" s="336"/>
      <c r="F6" s="336"/>
      <c r="G6" s="336"/>
      <c r="H6" s="336"/>
      <c r="I6" s="336"/>
      <c r="J6" s="336"/>
      <c r="K6" s="336"/>
      <c r="L6" s="336"/>
      <c r="M6" s="336"/>
      <c r="N6" s="336"/>
      <c r="O6" s="337"/>
    </row>
    <row r="7" spans="1:21" ht="20" customHeight="1">
      <c r="B7" s="349" t="s">
        <v>4</v>
      </c>
      <c r="C7" s="350"/>
      <c r="D7" s="350"/>
      <c r="E7" s="350"/>
      <c r="F7" s="350"/>
      <c r="G7" s="350"/>
      <c r="H7" s="350"/>
      <c r="I7" s="350"/>
      <c r="J7" s="350"/>
      <c r="K7" s="350"/>
      <c r="L7" s="350"/>
      <c r="M7" s="350"/>
      <c r="N7" s="350"/>
      <c r="O7" s="351"/>
    </row>
    <row r="8" spans="1:21" s="106" customFormat="1" ht="20" customHeight="1">
      <c r="E8" s="130"/>
      <c r="F8" s="130"/>
      <c r="G8" s="131"/>
      <c r="H8" s="131"/>
    </row>
    <row r="9" spans="1:21" ht="20" customHeight="1">
      <c r="B9" s="344" t="s">
        <v>3128</v>
      </c>
      <c r="C9" s="344"/>
      <c r="D9" s="344"/>
      <c r="E9" s="344"/>
      <c r="F9" s="344"/>
      <c r="G9" s="131"/>
      <c r="H9" s="346" t="s">
        <v>6</v>
      </c>
      <c r="I9" s="347"/>
      <c r="J9" s="347"/>
      <c r="K9" s="348"/>
      <c r="L9" s="106"/>
      <c r="M9" s="68" t="s">
        <v>3</v>
      </c>
      <c r="N9" s="73"/>
      <c r="O9" s="69"/>
    </row>
    <row r="10" spans="1:21" ht="20" customHeight="1">
      <c r="B10" s="345" t="s">
        <v>7</v>
      </c>
      <c r="C10" s="345"/>
      <c r="D10" s="345"/>
      <c r="E10" s="345"/>
      <c r="F10" s="345"/>
      <c r="G10" s="131"/>
      <c r="H10" s="8" t="s">
        <v>8</v>
      </c>
      <c r="I10" s="8" t="s">
        <v>9</v>
      </c>
      <c r="J10" s="8" t="s">
        <v>10</v>
      </c>
      <c r="K10" s="8" t="s">
        <v>11</v>
      </c>
      <c r="L10" s="106"/>
      <c r="M10" s="267" t="s">
        <v>5</v>
      </c>
      <c r="N10" s="268"/>
      <c r="O10" s="269"/>
    </row>
    <row r="11" spans="1:21" ht="20" customHeight="1">
      <c r="B11" s="376" t="str">
        <f>IF(vcf_version_chosen="No Version Selected","Select Version",vcf_version_chosen)</f>
        <v>v5.2.x</v>
      </c>
      <c r="C11" s="377"/>
      <c r="D11" s="377"/>
      <c r="E11" s="377"/>
      <c r="F11" s="378"/>
      <c r="G11" s="131"/>
      <c r="H11" s="76" t="s">
        <v>5165</v>
      </c>
      <c r="I11" s="18" t="s">
        <v>3127</v>
      </c>
      <c r="J11" s="12" t="str">
        <f>IF(vcf_version_chosen="No Version Selected","Excluded","Included")</f>
        <v>Included</v>
      </c>
      <c r="K11" s="18" t="str">
        <f>IF(vcf_version_result="Excluded","Cause: VCF Deployment Version is not selected",_xlfn.CONCAT("VMware Cloud Foundation Version ",vcf_version," selected"))</f>
        <v>VMware Cloud Foundation Version v5.2.x selected</v>
      </c>
      <c r="L11" s="106"/>
      <c r="M11" s="367" t="s">
        <v>3512</v>
      </c>
      <c r="N11" s="368"/>
      <c r="O11" s="369"/>
    </row>
    <row r="12" spans="1:21" ht="20" customHeight="1">
      <c r="B12" s="379"/>
      <c r="C12" s="380"/>
      <c r="D12" s="380"/>
      <c r="E12" s="380"/>
      <c r="F12" s="381"/>
      <c r="G12" s="131"/>
      <c r="H12" s="11" t="s">
        <v>4022</v>
      </c>
      <c r="I12" s="18" t="s">
        <v>12</v>
      </c>
      <c r="J12" s="12" t="str">
        <f>IF(vcf_version_chosen="No Version Selected","Excluded","Included")</f>
        <v>Included</v>
      </c>
      <c r="K12" s="18" t="str">
        <f>IF(vcf_version_result="Excluded","Cause: VCF Deployment Version is not selected",IF(OR((mgmt_domain_chosen="First Domain"),(mgmt_domain_chosen="Additional Domain")),"This management domain will instantiate a new vSphere SSO Domain"))</f>
        <v>This management domain will instantiate a new vSphere SSO Domain</v>
      </c>
      <c r="L12" s="106"/>
      <c r="M12" s="370"/>
      <c r="N12" s="371"/>
      <c r="O12" s="372"/>
    </row>
    <row r="13" spans="1:21" ht="20" customHeight="1">
      <c r="B13" s="106"/>
      <c r="C13" s="106"/>
      <c r="D13" s="106"/>
      <c r="E13" s="106"/>
      <c r="F13" s="106"/>
      <c r="G13" s="131"/>
      <c r="H13" s="11" t="s">
        <v>3169</v>
      </c>
      <c r="I13" s="18" t="s">
        <v>3168</v>
      </c>
      <c r="J13" s="12" t="str">
        <f>IF(vcf_version_chosen="No Version Selected","Excluded","Included")</f>
        <v>Included</v>
      </c>
      <c r="K13" s="12" t="str">
        <f>IF(vcf_version_result="Excluded","Cause: VCF Deployment Version is not selected","Principal Storage will be "&amp;mgmt_principal_storage_chosen)</f>
        <v>Principal Storage will be vSAN-ESA</v>
      </c>
      <c r="L13" s="106"/>
      <c r="M13" s="370"/>
      <c r="N13" s="371"/>
      <c r="O13" s="372"/>
      <c r="Q13" s="131"/>
      <c r="U13" s="131"/>
    </row>
    <row r="14" spans="1:21" ht="20" customHeight="1">
      <c r="B14" s="382" t="s">
        <v>20</v>
      </c>
      <c r="C14" s="382"/>
      <c r="D14" s="382"/>
      <c r="E14" s="382"/>
      <c r="F14" s="382"/>
      <c r="G14" s="131"/>
      <c r="H14" s="14" t="s">
        <v>3180</v>
      </c>
      <c r="I14" s="18" t="s">
        <v>47</v>
      </c>
      <c r="J14" s="18" t="str">
        <f>IF(vcf_version_chosen="No Version Selected","Excluded",IF(AND(mgmt_vlcm_model_chosen="Baselines",mgmt_principal_storage_chosen="vSAN-ESA"),"Excluded","Included"))</f>
        <v>Included</v>
      </c>
      <c r="K14" s="18" t="str">
        <f>IF(vcf_version_chosen="No Version Selected","Cause: VCF Deployment version is not Selected",IF(vcf_version_chosen="Excluded","Cause: MGMT Workload Domain Required",IF(AND(mgmt_vlcm_model_chosen="Baselines",mgmt_principal_storage_chosen="vSAN-ESA"),"Cause: vSphere Lifecycle Manager Baselines are not supported with vSAN ESA","Management Domain will leverage vSphere Lifecycle Manager "&amp;mgmt_vlcm_model_chosen)))</f>
        <v>Management Domain will leverage vSphere Lifecycle Manager Images</v>
      </c>
      <c r="L14" s="106"/>
      <c r="M14" s="370"/>
      <c r="N14" s="371"/>
      <c r="O14" s="372"/>
      <c r="Q14" s="131"/>
      <c r="U14" s="131"/>
    </row>
    <row r="15" spans="1:21" ht="20" customHeight="1">
      <c r="B15" s="361" t="s">
        <v>4672</v>
      </c>
      <c r="C15" s="352" t="s">
        <v>4941</v>
      </c>
      <c r="D15" s="353"/>
      <c r="E15" s="353"/>
      <c r="F15" s="354"/>
      <c r="G15" s="131"/>
      <c r="H15" s="14" t="s">
        <v>14</v>
      </c>
      <c r="I15" s="18" t="s">
        <v>4658</v>
      </c>
      <c r="J15" s="18" t="str">
        <f>IF(vcf_version_chosen="No Version Selected","Excluded",IF(vcf_solution_license_chosen="Exclude","Excluded","Included"))</f>
        <v>Excluded</v>
      </c>
      <c r="K15" s="18" t="str">
        <f>IF(vcf_version_chosen="No Version Selected","Cause: VCF Deployment version is not Selected",IF(vcf_solution_license_chosen="Exclude","Cause: Not Selected. VCF Solution Licensing will not be used"," VCF Solution Licensing will be used"))</f>
        <v>Cause: Not Selected. VCF Solution Licensing will not be used</v>
      </c>
      <c r="L15" s="106"/>
      <c r="M15" s="370"/>
      <c r="N15" s="371"/>
      <c r="O15" s="372"/>
      <c r="Q15" s="131"/>
      <c r="U15" s="131"/>
    </row>
    <row r="16" spans="1:21" ht="20" customHeight="1">
      <c r="B16" s="362"/>
      <c r="C16" s="355"/>
      <c r="D16" s="356"/>
      <c r="E16" s="356"/>
      <c r="F16" s="357"/>
      <c r="G16" s="131"/>
      <c r="H16" s="14" t="s">
        <v>33</v>
      </c>
      <c r="I16" s="18" t="s">
        <v>4268</v>
      </c>
      <c r="J16" s="18" t="str">
        <f>IF(vcf_version_chosen="No Version Selected","Excluded",IF(mgmt_dpg_separation_chosen="Exclude","Excluded","Included"))</f>
        <v>Included</v>
      </c>
      <c r="K16" s="18" t="str">
        <f>IF(vcf_version_chosen="No Version Selected","Cause: VCF Deployment version is not Selected",IF(mgmt_dpg_separation_chosen="Exclude","Cause: Not Selected. Separated Management Distributed Virtual Portgroups will not be used","Separation of Distributed Virtual Portgroup will be used"))</f>
        <v>Separation of Distributed Virtual Portgroup will be used</v>
      </c>
      <c r="L16" s="106"/>
      <c r="M16" s="373"/>
      <c r="N16" s="374"/>
      <c r="O16" s="375"/>
      <c r="Q16" s="131"/>
      <c r="U16" s="131"/>
    </row>
    <row r="17" spans="2:21" ht="20" customHeight="1">
      <c r="B17" s="362"/>
      <c r="C17" s="355"/>
      <c r="D17" s="356"/>
      <c r="E17" s="356"/>
      <c r="F17" s="357"/>
      <c r="G17" s="131"/>
      <c r="H17" s="11" t="s">
        <v>3474</v>
      </c>
      <c r="I17" s="18" t="s">
        <v>16</v>
      </c>
      <c r="J17" s="12" t="str">
        <f>IF(vcf_version_chosen="Select VCF Version","Excluded","Included")</f>
        <v>Included</v>
      </c>
      <c r="K17" s="18" t="str">
        <f>IF(vcf_version_result="Excluded","Cause: VCF Deployment Version is not Selected",IF(mgmt_host_overlay_addressing_chosen="Static","Host Overlay IP Addressing will be configured using Static IP Addressing via NSX-T IP Pool","Host Overlay IP Addressing will be configured using DHCP"))</f>
        <v>Host Overlay IP Addressing will be configured using Static IP Addressing via NSX-T IP Pool</v>
      </c>
      <c r="L17" s="106"/>
      <c r="M17" s="106"/>
      <c r="N17" s="106"/>
      <c r="O17" s="106"/>
      <c r="P17" s="131"/>
      <c r="U17" s="131"/>
    </row>
    <row r="18" spans="2:21" ht="20" customHeight="1">
      <c r="B18" s="362"/>
      <c r="C18" s="355"/>
      <c r="D18" s="356"/>
      <c r="E18" s="356"/>
      <c r="F18" s="357"/>
      <c r="G18" s="106"/>
      <c r="H18" s="11" t="s">
        <v>14</v>
      </c>
      <c r="I18" s="18" t="s">
        <v>21</v>
      </c>
      <c r="J18" s="12" t="str">
        <f>IF(mgmt_consolidated_chosen="Exclude","Excluded","Included")</f>
        <v>Excluded</v>
      </c>
      <c r="K18" s="12" t="str">
        <f>IF(mgmt_consolidated_result = "Included", "Consolidated Management Domain","Cause: Not Selected. Standard Management / Workload Domain architecture will be deployed")</f>
        <v>Cause: Not Selected. Standard Management / Workload Domain architecture will be deployed</v>
      </c>
      <c r="L18" s="106"/>
      <c r="M18" s="79" t="s">
        <v>17</v>
      </c>
      <c r="N18" s="80" t="s">
        <v>18</v>
      </c>
      <c r="O18" s="81" t="s">
        <v>19</v>
      </c>
      <c r="U18" s="131"/>
    </row>
    <row r="19" spans="2:21" ht="20" customHeight="1">
      <c r="B19" s="362"/>
      <c r="C19" s="355"/>
      <c r="D19" s="356"/>
      <c r="E19" s="356"/>
      <c r="F19" s="357"/>
      <c r="G19" s="106"/>
      <c r="H19" s="11" t="s">
        <v>14</v>
      </c>
      <c r="I19" s="18" t="s">
        <v>22</v>
      </c>
      <c r="J19" s="12" t="str">
        <f>IF(mgmt_esxi_external_certs_chosen="Exclude","Excluded","Included")</f>
        <v>Excluded</v>
      </c>
      <c r="K19" s="12" t="str">
        <f>IF(mgmt_esxi_external_certs_chosen="Exclude","Cause: Not Selected. Management domain will be deployed using hosts with VMCA-signed certificates","Management domain will be deployed using ESXi hosts with externally signed certificates")</f>
        <v>Cause: Not Selected. Management domain will be deployed using hosts with VMCA-signed certificates</v>
      </c>
      <c r="L19" s="106"/>
      <c r="M19" s="313" t="s">
        <v>4552</v>
      </c>
      <c r="N19" s="314"/>
      <c r="O19" s="315"/>
      <c r="U19" s="131"/>
    </row>
    <row r="20" spans="2:21" ht="20" customHeight="1">
      <c r="B20" s="362"/>
      <c r="C20" s="355"/>
      <c r="D20" s="356"/>
      <c r="E20" s="356"/>
      <c r="F20" s="357"/>
      <c r="G20" s="106"/>
      <c r="H20" s="167"/>
      <c r="J20" s="106"/>
      <c r="L20" s="106"/>
      <c r="M20" s="316"/>
      <c r="N20" s="317"/>
      <c r="O20" s="318"/>
      <c r="U20" s="131"/>
    </row>
    <row r="21" spans="2:21" ht="20" customHeight="1">
      <c r="B21" s="362"/>
      <c r="C21" s="355"/>
      <c r="D21" s="356"/>
      <c r="E21" s="356"/>
      <c r="F21" s="357"/>
      <c r="G21" s="106"/>
      <c r="H21" s="83" t="s">
        <v>23</v>
      </c>
      <c r="I21" s="84"/>
      <c r="J21" s="84"/>
      <c r="K21" s="85"/>
      <c r="L21" s="106"/>
      <c r="M21" s="316"/>
      <c r="N21" s="317"/>
      <c r="O21" s="318"/>
      <c r="U21" s="131"/>
    </row>
    <row r="22" spans="2:21" ht="20" customHeight="1">
      <c r="B22" s="362"/>
      <c r="C22" s="355"/>
      <c r="D22" s="356"/>
      <c r="E22" s="356"/>
      <c r="F22" s="357"/>
      <c r="G22" s="106"/>
      <c r="H22" s="8" t="s">
        <v>8</v>
      </c>
      <c r="I22" s="8" t="s">
        <v>9</v>
      </c>
      <c r="J22" s="8" t="s">
        <v>10</v>
      </c>
      <c r="K22" s="8" t="s">
        <v>11</v>
      </c>
      <c r="L22" s="106"/>
      <c r="M22" s="316"/>
      <c r="N22" s="317"/>
      <c r="O22" s="318"/>
      <c r="U22" s="131"/>
    </row>
    <row r="23" spans="2:21" ht="20" customHeight="1">
      <c r="B23" s="362"/>
      <c r="C23" s="355"/>
      <c r="D23" s="356"/>
      <c r="E23" s="356"/>
      <c r="F23" s="357"/>
      <c r="G23" s="106"/>
      <c r="H23" s="11" t="s">
        <v>14</v>
      </c>
      <c r="I23" s="18" t="s">
        <v>24</v>
      </c>
      <c r="J23" s="12" t="str">
        <f>IF(mgmt_signed_certs_chosen="Exclude","Excluded","Included")</f>
        <v>Excluded</v>
      </c>
      <c r="K23" s="12" t="str">
        <f>IF(mgmt_signed_certs_chosen="Exclude","Cause: Not Selected. Signed certificates will not be deployed",IF(mgmt_signed_certs_chosen="Microsoft CA","Microsoft CA based signed certificates will be deployed","OpenSSL CA based signed certificates will be deployed"))</f>
        <v>Cause: Not Selected. Signed certificates will not be deployed</v>
      </c>
      <c r="L23" s="106"/>
      <c r="M23" s="319"/>
      <c r="N23" s="320"/>
      <c r="O23" s="321"/>
      <c r="U23" s="131"/>
    </row>
    <row r="24" spans="2:21" ht="20" customHeight="1">
      <c r="B24" s="362"/>
      <c r="C24" s="355"/>
      <c r="D24" s="356"/>
      <c r="E24" s="356"/>
      <c r="F24" s="357"/>
      <c r="G24" s="106"/>
      <c r="H24" s="11" t="s">
        <v>14</v>
      </c>
      <c r="I24" s="18" t="s">
        <v>26</v>
      </c>
      <c r="J24" s="12" t="str">
        <f>IF(mgmt_vns_chosen="Exclude","Excluded","Included")</f>
        <v>Excluded</v>
      </c>
      <c r="K24" s="12" t="str">
        <f>IF(mgmt_vns_chosen="Exclude","Cause: Not Selected. NSX Routing for Managment Domain will not be deployed",IF(mgmt_vns_chosen="VLAN-Backed","NSX Edge cluster will be created. Static routing will be used. VLAN-Backed NSX Segements will be created.","NSX Edge cluster will be created. EBGP will be used. Overlay-Backed NSX Segements will be created."))</f>
        <v>Cause: Not Selected. NSX Routing for Managment Domain will not be deployed</v>
      </c>
      <c r="L24" s="106"/>
      <c r="M24" s="106"/>
      <c r="N24" s="106"/>
      <c r="O24" s="106"/>
      <c r="U24" s="131"/>
    </row>
    <row r="25" spans="2:21" ht="20" customHeight="1">
      <c r="B25" s="362"/>
      <c r="C25" s="355"/>
      <c r="D25" s="356"/>
      <c r="E25" s="356"/>
      <c r="F25" s="357"/>
      <c r="G25" s="106"/>
      <c r="H25" s="11" t="s">
        <v>14</v>
      </c>
      <c r="I25" s="18" t="s">
        <v>29</v>
      </c>
      <c r="J25" s="12" t="str">
        <f>IF(mgmt_nsxt_federation_chosen="Exclude","Excluded",IF(mgmt_vns_chosen="Overlay-Backed","Included","Excluded"))</f>
        <v>Excluded</v>
      </c>
      <c r="K25" s="12" t="str">
        <f>IF(mgmt_nsxt_federation_chosen = "Exclude","Cause: Not Selected. NSX Federation for Management Domain will not be deployed",IF(AND((mgmt_nsxt_federation_chosen="Active Global Manager"),(mgmt_nsxt_federation_result="Included")),"NSX Federation for Management Domain will be deployed with Active Global Manager",IF(AND((mgmt_nsxt_federation_chosen="Standby Global Manager"),(mgmt_nsxt_federation_result="Included")),"NSX Federation for Management Domain will be deployed with Standby Global Manager",IF(AND((mgmt_nsxt_federation_chosen="Connect Instance"),(mgmt_nsxt_federation_result="Included")),"Management Domain will be connected to an existing Global Manager","Cause: Overlay-Backed NSX Routing for Management Domain Required"))))</f>
        <v>Cause: Not Selected. NSX Federation for Management Domain will not be deployed</v>
      </c>
      <c r="L25" s="106"/>
      <c r="M25" s="344" t="s">
        <v>25</v>
      </c>
      <c r="N25" s="344"/>
      <c r="O25" s="344"/>
      <c r="U25" s="131"/>
    </row>
    <row r="26" spans="2:21" ht="20" customHeight="1">
      <c r="B26" s="362"/>
      <c r="C26" s="355"/>
      <c r="D26" s="356"/>
      <c r="E26" s="356"/>
      <c r="F26" s="357"/>
      <c r="G26" s="106"/>
      <c r="H26" s="11" t="s">
        <v>14</v>
      </c>
      <c r="I26" s="18" t="s">
        <v>30</v>
      </c>
      <c r="J26" s="12" t="str">
        <f>IF(mgmt_stretched_cluster_chosen="Exclude","Excluded",
IF(AND(OR(mgmt_vlcm_model_chosen="Images",mgmt_host_overlay_addressing_chosen="Static"),OR(vcf_version_chosen="v5.1.x", vcf_version_chosen="No Version Selected")),"Excluded",
IF(AND(vcf_version_chosen="v5.1.x",mgmt_principal_storage_chosen="vSAN-ESA"),"Excluded","Included")))</f>
        <v>Excluded</v>
      </c>
      <c r="K26" s="12" t="str">
        <f>IF(vcf_version_chosen="No Version Selected","Cause: VCF Deployment version is not Selected",IF(mgmt_stretched_cluster_chosen="Exclude","Cause: Not Selected. Stretched Cluster will not be deployed",
IF(AND(vcf_version_chosen="v5.1.x",mgmt_principal_storage_chosen="vSAN-ESA"),"Cause: vSAN ESA Stretched Cluster is not supported with with "&amp;vcf_version,
IF(mgmt_vns_chosen="VLAN-Backed","Note: VLAN-backed segments require L2 stretched VM Networks. Consider Overlay-backed instead.","Stretched Cluster will be deployed"))))</f>
        <v>Cause: Not Selected. Stretched Cluster will not be deployed</v>
      </c>
      <c r="L26" s="106"/>
      <c r="M26" s="174" t="s">
        <v>27</v>
      </c>
      <c r="N26" s="312" t="s">
        <v>28</v>
      </c>
      <c r="O26" s="312"/>
      <c r="U26" s="131"/>
    </row>
    <row r="27" spans="2:21" ht="20" customHeight="1">
      <c r="B27" s="362"/>
      <c r="C27" s="355"/>
      <c r="D27" s="356"/>
      <c r="E27" s="356"/>
      <c r="F27" s="357"/>
      <c r="G27" s="106"/>
      <c r="H27" s="229" t="s">
        <v>14</v>
      </c>
      <c r="I27" s="18" t="s">
        <v>4236</v>
      </c>
      <c r="J27" s="12" t="str">
        <f>IF(mgmt_avi_loadbalancer_chosen="Exclude","Excluded",IF(AND(vcf_version_chosen&lt;&gt;"v5.2.x",mgmt_avi_loadbalancer_chosen="Include"),"Excluded","Included"))</f>
        <v>Excluded</v>
      </c>
      <c r="K27" s="12" t="str">
        <f>IF(mgmt_avi_loadbalancer_chosen="Exclude","Cause: Not Selected.",IF(AND(vcf_version_chosen&lt;&gt;"v5.2.x",mgmt_avi_loadbalancer_chosen="Include"),"Cause: AVI Loadbalancer is not supported with VCF version "&amp;vcf_version,"Included"))</f>
        <v>Cause: Not Selected.</v>
      </c>
      <c r="L27" s="106"/>
      <c r="M27" s="266" t="s">
        <v>27</v>
      </c>
      <c r="N27" s="312" t="s">
        <v>4510</v>
      </c>
      <c r="O27" s="312"/>
      <c r="U27" s="131"/>
    </row>
    <row r="28" spans="2:21" ht="20" customHeight="1">
      <c r="B28" s="362"/>
      <c r="C28" s="355"/>
      <c r="D28" s="356"/>
      <c r="E28" s="356"/>
      <c r="F28" s="357"/>
      <c r="G28" s="106"/>
      <c r="H28" s="229" t="s">
        <v>14</v>
      </c>
      <c r="I28" s="18" t="s">
        <v>4525</v>
      </c>
      <c r="J28" s="12" t="str">
        <f>IF(mgmt_internet_proxy_chosen="Exclude","Excluded","Included")</f>
        <v>Excluded</v>
      </c>
      <c r="K28" s="12" t="str">
        <f>IF(mgmt_internet_proxy_chosen="Exclude","Cause: Not Selected. Internet Proxy will not be configured", "Internet Proxy will be configured")</f>
        <v>Cause: Not Selected. Internet Proxy will not be configured</v>
      </c>
      <c r="L28" s="106"/>
      <c r="M28" s="78" t="s">
        <v>27</v>
      </c>
      <c r="N28" s="312" t="s">
        <v>4511</v>
      </c>
      <c r="O28" s="312"/>
      <c r="U28" s="131"/>
    </row>
    <row r="29" spans="2:21" ht="20" customHeight="1">
      <c r="B29" s="362"/>
      <c r="C29" s="355"/>
      <c r="D29" s="356"/>
      <c r="E29" s="356"/>
      <c r="F29" s="357"/>
      <c r="G29" s="106"/>
      <c r="H29" s="229" t="s">
        <v>14</v>
      </c>
      <c r="I29" s="18" t="s">
        <v>4526</v>
      </c>
      <c r="J29" s="12" t="str">
        <f>IF(mgmt_offline_depot_chosen="Exclude","Excluded","Included")</f>
        <v>Excluded</v>
      </c>
      <c r="K29" s="12" t="str">
        <f>IF(mgmt_offline_depot_chosen="Exclude","Cause: Not Selected. Online Depot will not be configured", "Offline Depot will be configured")</f>
        <v>Cause: Not Selected. Online Depot will not be configured</v>
      </c>
      <c r="L29" s="106"/>
      <c r="M29" s="78" t="s">
        <v>27</v>
      </c>
      <c r="N29" s="312" t="s">
        <v>4512</v>
      </c>
      <c r="O29" s="312"/>
      <c r="U29" s="131"/>
    </row>
    <row r="30" spans="2:21" ht="20" customHeight="1">
      <c r="B30" s="362"/>
      <c r="C30" s="355"/>
      <c r="D30" s="356"/>
      <c r="E30" s="356"/>
      <c r="F30" s="357"/>
      <c r="G30" s="106"/>
      <c r="H30" s="106"/>
      <c r="I30" s="106"/>
      <c r="J30" s="106"/>
      <c r="K30" s="106"/>
      <c r="L30" s="106"/>
      <c r="M30" s="78" t="s">
        <v>27</v>
      </c>
      <c r="N30" s="312" t="s">
        <v>4513</v>
      </c>
      <c r="O30" s="312"/>
      <c r="U30" s="131"/>
    </row>
    <row r="31" spans="2:21" ht="20" customHeight="1">
      <c r="B31" s="362"/>
      <c r="C31" s="355"/>
      <c r="D31" s="356"/>
      <c r="E31" s="356"/>
      <c r="F31" s="357"/>
      <c r="G31" s="106"/>
      <c r="H31" s="83" t="s">
        <v>3186</v>
      </c>
      <c r="I31" s="84"/>
      <c r="J31" s="84"/>
      <c r="K31" s="85"/>
      <c r="L31" s="106"/>
      <c r="M31" s="78" t="s">
        <v>27</v>
      </c>
      <c r="N31" s="312" t="s">
        <v>4514</v>
      </c>
      <c r="O31" s="312"/>
      <c r="U31" s="131"/>
    </row>
    <row r="32" spans="2:21" ht="20" customHeight="1">
      <c r="B32" s="362"/>
      <c r="C32" s="355"/>
      <c r="D32" s="356"/>
      <c r="E32" s="356"/>
      <c r="F32" s="357"/>
      <c r="G32" s="106"/>
      <c r="H32" s="8" t="s">
        <v>8</v>
      </c>
      <c r="I32" s="8" t="s">
        <v>9</v>
      </c>
      <c r="J32" s="8" t="s">
        <v>10</v>
      </c>
      <c r="K32" s="8" t="s">
        <v>11</v>
      </c>
      <c r="L32" s="106"/>
      <c r="M32" s="78" t="s">
        <v>27</v>
      </c>
      <c r="N32" s="312" t="s">
        <v>4515</v>
      </c>
      <c r="O32" s="312"/>
      <c r="P32" s="131"/>
      <c r="U32" s="131"/>
    </row>
    <row r="33" spans="1:21" ht="20" customHeight="1">
      <c r="B33" s="362"/>
      <c r="C33" s="355"/>
      <c r="D33" s="356"/>
      <c r="E33" s="356"/>
      <c r="F33" s="357"/>
      <c r="G33" s="106"/>
      <c r="H33" s="11" t="s">
        <v>14</v>
      </c>
      <c r="I33" s="18" t="s">
        <v>3329</v>
      </c>
      <c r="J33" s="12" t="str">
        <f>IF(vrslcm_chosen="Exclude","Excluded",IF(mgmt_vns_result="Excluded","Excluded","Included"))</f>
        <v>Excluded</v>
      </c>
      <c r="K33" s="12" t="str">
        <f>IF(vrslcm_chosen="Exclude","Cause: Not Selected. VMware Aria Suite Lifecycle will not be deployed",IF(mgmt_vns_result="Excluded","Cause: NSX Routing for Management Domain Required","VMware Aria Suite Lifecycle will be deployed."))</f>
        <v>Cause: Not Selected. VMware Aria Suite Lifecycle will not be deployed</v>
      </c>
      <c r="L33" s="106"/>
      <c r="M33" s="78" t="s">
        <v>27</v>
      </c>
      <c r="N33" s="312" t="s">
        <v>31</v>
      </c>
      <c r="O33" s="312"/>
      <c r="P33" s="131"/>
      <c r="U33" s="131"/>
    </row>
    <row r="34" spans="1:21" ht="20" customHeight="1">
      <c r="B34" s="362"/>
      <c r="C34" s="355"/>
      <c r="D34" s="356"/>
      <c r="E34" s="356"/>
      <c r="F34" s="357"/>
      <c r="G34" s="106"/>
      <c r="H34" s="11" t="s">
        <v>14</v>
      </c>
      <c r="I34" s="18" t="s">
        <v>35</v>
      </c>
      <c r="J34" s="12" t="str">
        <f>IF(vcf_aware_wsa_chosen="Exclude","Excluded",IF(vrslcm_result="Excluded","Excluded","Included"))</f>
        <v>Excluded</v>
      </c>
      <c r="K34" s="12" t="str">
        <f>IF(vcf_aware_wsa_chosen="Exclude","Cause: Not Selected. VCF Aware Workspace ONE Access will not be deployed",IF(mgmt_vns_result="Excluded","Cause: NSX Routing for Management Domain Required",IF(vrslcm_result="Excluded","VMware Aria Suite Lifecycle Required",IF(vcf_aware_wsa_chosen="Standard","Note: Validated Solutions are optimized for Clustered Workspace ONE Access Deployments","Clustered Workspace ONE Access will be deployed. Large Edge form factor recommended"))))</f>
        <v>Cause: Not Selected. VCF Aware Workspace ONE Access will not be deployed</v>
      </c>
      <c r="L34" s="106"/>
      <c r="M34" s="79" t="s">
        <v>32</v>
      </c>
      <c r="N34" s="312" t="s">
        <v>4551</v>
      </c>
      <c r="O34" s="312"/>
      <c r="P34" s="131"/>
      <c r="U34" s="131"/>
    </row>
    <row r="35" spans="1:21" ht="20" customHeight="1">
      <c r="B35" s="362"/>
      <c r="C35" s="355"/>
      <c r="D35" s="356"/>
      <c r="E35" s="356"/>
      <c r="F35" s="357"/>
      <c r="G35" s="106"/>
      <c r="H35" s="106"/>
      <c r="I35" s="106"/>
      <c r="J35" s="106"/>
      <c r="K35" s="106"/>
      <c r="L35" s="106"/>
      <c r="M35" s="79" t="s">
        <v>32</v>
      </c>
      <c r="N35" s="312" t="s">
        <v>34</v>
      </c>
      <c r="O35" s="312"/>
      <c r="U35" s="131"/>
    </row>
    <row r="36" spans="1:21" ht="20" customHeight="1">
      <c r="B36" s="362"/>
      <c r="C36" s="355"/>
      <c r="D36" s="356"/>
      <c r="E36" s="356"/>
      <c r="F36" s="357"/>
      <c r="G36" s="106"/>
      <c r="H36" s="61" t="s">
        <v>37</v>
      </c>
      <c r="I36" s="62"/>
      <c r="J36" s="62"/>
      <c r="K36" s="63"/>
      <c r="L36" s="106"/>
      <c r="M36" s="79" t="s">
        <v>32</v>
      </c>
      <c r="N36" s="312" t="s">
        <v>36</v>
      </c>
      <c r="O36" s="312"/>
      <c r="U36" s="131"/>
    </row>
    <row r="37" spans="1:21" ht="20" customHeight="1">
      <c r="B37" s="362"/>
      <c r="C37" s="355"/>
      <c r="D37" s="356"/>
      <c r="E37" s="356"/>
      <c r="F37" s="357"/>
      <c r="G37" s="106"/>
      <c r="H37" s="8" t="s">
        <v>8</v>
      </c>
      <c r="I37" s="8" t="s">
        <v>9</v>
      </c>
      <c r="J37" s="8" t="s">
        <v>10</v>
      </c>
      <c r="K37" s="8" t="s">
        <v>11</v>
      </c>
      <c r="L37" s="106"/>
      <c r="M37" s="79" t="s">
        <v>32</v>
      </c>
      <c r="N37" s="312" t="s">
        <v>4516</v>
      </c>
      <c r="O37" s="312"/>
      <c r="U37" s="131"/>
    </row>
    <row r="38" spans="1:21" ht="20" customHeight="1">
      <c r="B38" s="362"/>
      <c r="C38" s="355"/>
      <c r="D38" s="356"/>
      <c r="E38" s="356"/>
      <c r="F38" s="357"/>
      <c r="G38" s="106"/>
      <c r="H38" s="11" t="s">
        <v>14</v>
      </c>
      <c r="I38" s="18" t="s">
        <v>40</v>
      </c>
      <c r="J38" s="12" t="str">
        <f>IF(vcf_version="Select Deployment Version","Excluded",IF(OR((wld_domain_chosen="Exclude"),(mgmt_consolidated_result="Included")),"Excluded","Included"))</f>
        <v>Excluded</v>
      </c>
      <c r="K38" s="12" t="str">
        <f>IF(vcf_version="Select Deployment Version","Deployment Version not Selected",IF(mgmt_consolidated_result="Included","Cause: Consolidated Management Domain Selected",IF(wld_domain_chosen="Exclude","Cause: Not Selected. Virtual Infrastructure (VI) Workload domain will not be deployed","Virtual Infrastructure (VI) Workload domain will be deployed")))</f>
        <v>Cause: Not Selected. Virtual Infrastructure (VI) Workload domain will not be deployed</v>
      </c>
      <c r="L38" s="106"/>
      <c r="M38" s="80" t="s">
        <v>32</v>
      </c>
      <c r="N38" s="312" t="s">
        <v>38</v>
      </c>
      <c r="O38" s="312"/>
      <c r="U38" s="131"/>
    </row>
    <row r="39" spans="1:21" ht="20" customHeight="1">
      <c r="B39" s="362"/>
      <c r="C39" s="355"/>
      <c r="D39" s="356"/>
      <c r="E39" s="356"/>
      <c r="F39" s="357"/>
      <c r="G39" s="106"/>
      <c r="H39" s="11" t="s">
        <v>3474</v>
      </c>
      <c r="I39" s="18" t="s">
        <v>16</v>
      </c>
      <c r="J39" s="12" t="str">
        <f>IF(wld_host_overlay_addressing_chosen="Exclude","Excluded",IF(AND(wld_multirack_chosen="Include",wld_host_overlay_addressing_chosen="DHCP"),"Excluded",IF(wld_domain_result = "Included","Included","Excluded")))</f>
        <v>Excluded</v>
      </c>
      <c r="K39" s="12" t="str">
        <f>IF(wld_domain_result="Excluded","Cause: Standard VI Workload Domain Required",IF(AND(wld_multirack_chosen="Include",wld_host_overlay_addressing_chosen="DHCP"),"Cause: Multi Rack Configuration is only supported with Static Host Overlay IP Address Model",IF(wld_host_overlay_addressing_chosen="Static","Host Overlay IP Addressing will be configured using Static IP Addressing via NSX-T IP Pool","Host Overlay IP Addressing will be configured using DHCP")))</f>
        <v>Cause: Standard VI Workload Domain Required</v>
      </c>
      <c r="L39" s="106"/>
      <c r="M39" s="80" t="s">
        <v>32</v>
      </c>
      <c r="N39" s="312" t="s">
        <v>4517</v>
      </c>
      <c r="O39" s="312"/>
      <c r="P39" s="131"/>
    </row>
    <row r="40" spans="1:21" ht="20" customHeight="1">
      <c r="B40" s="362"/>
      <c r="C40" s="355"/>
      <c r="D40" s="356"/>
      <c r="E40" s="356"/>
      <c r="F40" s="357"/>
      <c r="G40" s="106"/>
      <c r="H40" s="11" t="s">
        <v>3169</v>
      </c>
      <c r="I40" s="18" t="s">
        <v>44</v>
      </c>
      <c r="J40" s="12" t="str">
        <f>IF(OR((wld_domain_result="Excluded"),(mgmt_consolidated_result="Included")),"Excluded",IF(AND(wld_multirack_chosen="Include",AND(wld_principal_storage_chosen&lt;&gt;"vSAN-ESA",wld_principal_storage_chosen&lt;&gt;"vSAN-OSA")),"Excluded",IF(vcf_version_chosen="No Version Selected","Excluded","Included")))</f>
        <v>Excluded</v>
      </c>
      <c r="K40" s="12" t="str">
        <f>IF(wld_domain_result="Excluded","Cause: Standard VI Workload Domain Required",
IF(wld_principal_storage_chosen="vSAN-ESA","Principal Storage will be vSAN-ESA based. This can be used as a vSAN Max Server Cluster",
IF(wld_principal_storage_chosen="vSAN-OSA","Principal Storage will be vSAN-OSA based. This can be used as a HCI Mesh vSAN Server Cluster",
IF(AND(wld_multirack_chosen="Include",AND(wld_principal_storage_chosen&lt;&gt;"vSAN-ESA",wld_principal_storage_chosen&lt;&gt;"vSAN-OSA")),"Cause: Multi Rack Configuration is only supported with vSAN as Principal Storage",
IF(wld_principal_storage_chosen="NFS","Principal Storage will be NFS based",
IF(wld_principal_storage_chosen="VMFS on FC","Principal Storage will be VMFS on FC based",
IF(wld_principal_storage_chosen="vVOLS on FC","Principal Storage will be vVOLS on FC based",IF(wld_principal_storage_chosen="vVOLS on NFS","Principal Storage will be vVOLS on NFS",
IF(wld_principal_storage_chosen="vVOLS on iSCSI","Principal Storage will be vVOLS on iSCSI based")))))))))</f>
        <v>Cause: Standard VI Workload Domain Required</v>
      </c>
      <c r="L40" s="106"/>
      <c r="M40" s="80" t="s">
        <v>32</v>
      </c>
      <c r="N40" s="312" t="s">
        <v>39</v>
      </c>
      <c r="O40" s="312"/>
      <c r="P40" s="131"/>
    </row>
    <row r="41" spans="1:21" ht="20" customHeight="1">
      <c r="B41" s="362"/>
      <c r="C41" s="355"/>
      <c r="D41" s="356"/>
      <c r="E41" s="356"/>
      <c r="F41" s="357"/>
      <c r="G41" s="106"/>
      <c r="H41" s="11" t="s">
        <v>3180</v>
      </c>
      <c r="I41" s="18" t="s">
        <v>47</v>
      </c>
      <c r="J41" s="12" t="str">
        <f>IF(vcf_version_chosen="No Version Selected","Excluded",IF(AND(wld_vlcm_model_chosen="Baselines",wld_principal_storage_chosen="vSAN-ESA"),"Excluded",IF(AND(wld_vlcm_model_chosen="Baselines",wld_multirack_chosen="Include"),"Excluded","Included")))</f>
        <v>Included</v>
      </c>
      <c r="K41" s="12" t="str">
        <f>IF(vcf_version_chosen="No Version Selected","Cause: VCF Deployment version is not Selected",IF(vcf_version_chosen="Excluded","Cause: MGMT Workload Domain Required",
IF(AND(wld_vlcm_model_chosen="Images",vcf_version_chosen="v5.1.x"),"Workload Domain will leverage vSphere Lifecycle Manager Images",
IF(AND(wld_vlcm_model_chosen="Images",vcf_version_chosen="v5.2.x"),"Workload Domain will leverage vSphere Lifecycle Manager Images",
IF(AND(wld_vlcm_model_chosen="Baselines",wld_principal_storage_chosen="vSAN-ESA"),"Cause: vSphere Lifecycle Manager Baselines are not supported with vSAN ESA",
IF(AND(wld_vlcm_model_chosen="Baselines",wld_multirack_chosen="Include"),"Cause: Multi Rack Configuration is only supported with vSphere Lifecycle Manager Images",
"Workload Domain will leverage vSphere Lifecycle Manager Baselines"))))))</f>
        <v>Workload Domain will leverage vSphere Lifecycle Manager Images</v>
      </c>
      <c r="L41" s="106"/>
      <c r="M41" s="80" t="s">
        <v>32</v>
      </c>
      <c r="N41" s="312" t="s">
        <v>4659</v>
      </c>
      <c r="O41" s="312"/>
      <c r="P41" s="131"/>
    </row>
    <row r="42" spans="1:21" ht="20" customHeight="1">
      <c r="B42" s="362"/>
      <c r="C42" s="355"/>
      <c r="D42" s="356"/>
      <c r="E42" s="356"/>
      <c r="F42" s="357"/>
      <c r="G42" s="106"/>
      <c r="H42" s="14" t="s">
        <v>14</v>
      </c>
      <c r="I42" s="18" t="s">
        <v>4268</v>
      </c>
      <c r="J42" s="18" t="str">
        <f>IF(vcf_version_chosen="No Version Selected","Excluded",IF(wld_dpg_separation_chosen="Exclude","Excluded","Included"))</f>
        <v>Excluded</v>
      </c>
      <c r="K42" s="18" t="str">
        <f>IF(vcf_version_chosen="No Version Selected","Cause: VCF Deployment version is not Selected",IF(wld_dpg_separation_chosen="Exclude","Cause: Not Selected. Distributed Virtual Portgroups will not be used","Separation of Distributed Virtual Portgroup will be used"))</f>
        <v>Cause: Not Selected. Distributed Virtual Portgroups will not be used</v>
      </c>
      <c r="L42" s="106"/>
      <c r="M42" s="80" t="s">
        <v>32</v>
      </c>
      <c r="N42" s="312" t="s">
        <v>4660</v>
      </c>
      <c r="O42" s="312"/>
      <c r="P42" s="131"/>
    </row>
    <row r="43" spans="1:21" ht="20" customHeight="1">
      <c r="B43" s="362"/>
      <c r="C43" s="355"/>
      <c r="D43" s="356"/>
      <c r="E43" s="356"/>
      <c r="F43" s="357"/>
      <c r="G43" s="106"/>
      <c r="H43" s="11" t="s">
        <v>14</v>
      </c>
      <c r="I43" s="18" t="s">
        <v>49</v>
      </c>
      <c r="J43" s="12" t="str">
        <f>IF(AND((wld_domain_result="Included"),(wld_esxi_external_certs_chosen="Include"),(mgmt_esxi_external_certs_result="Included")),"Included","Excluded")</f>
        <v>Excluded</v>
      </c>
      <c r="K43" s="12" t="str">
        <f>IF(wld_domain_result = "Excluded","Cause: Standard VI Workload Domain Required",IF(wld_esxi_external_certs_chosen="Exclude","Cause: Not Selected. Workload domain will be deployed using hosts with VMCA-signed certificates",IF(mgmt_esxi_external_certs_result="Included","Workload domain will be deployed using ESXi hosts with externally signed certificates","Cause: Management Domain must be deployed using ESXi hosts with External Certificates")))</f>
        <v>Cause: Standard VI Workload Domain Required</v>
      </c>
      <c r="L43" s="106"/>
      <c r="M43" s="81" t="s">
        <v>32</v>
      </c>
      <c r="N43" s="312" t="s">
        <v>41</v>
      </c>
      <c r="O43" s="312"/>
    </row>
    <row r="44" spans="1:21" ht="20" customHeight="1">
      <c r="B44" s="362"/>
      <c r="C44" s="355"/>
      <c r="D44" s="356"/>
      <c r="E44" s="356"/>
      <c r="F44" s="357"/>
      <c r="G44" s="106"/>
      <c r="H44" s="11" t="s">
        <v>14</v>
      </c>
      <c r="I44" s="18" t="s">
        <v>51</v>
      </c>
      <c r="J44" s="12" t="str">
        <f>IF(OR((wld_secondary_storage_chosen="Exclude"),(wld_principal_storage_chosen="NFS"),(wld_principal_storage_chosen="vVOLS on NFS"),(wld_domain_result="Excluded")),"Excluded","Included")</f>
        <v>Excluded</v>
      </c>
      <c r="K44" s="12" t="str">
        <f>IF(wld_secondary_storage_chosen="Exclude","Cause: Not Selected. Workload Domain will not be prepared for connection to Secondary NFS storage",IF(wld_domain_result="Excluded","Cause: Standard VI Workload Domain Required",IF(OR((wld_principal_storage_chosen="NFS"),(wld_principal_storage_chosen="vVOLS on NFS")),"Secondary Storage NFS configuration not required as Principal Storage is NFS based","Workload Domain will be prepared for connection to Secondary NFS Storage")))</f>
        <v>Cause: Not Selected. Workload Domain will not be prepared for connection to Secondary NFS storage</v>
      </c>
      <c r="L44" s="106"/>
      <c r="M44" s="81" t="s">
        <v>32</v>
      </c>
      <c r="N44" s="312" t="s">
        <v>42</v>
      </c>
      <c r="O44" s="312"/>
    </row>
    <row r="45" spans="1:21" ht="20" customHeight="1">
      <c r="B45" s="362"/>
      <c r="C45" s="355"/>
      <c r="D45" s="356"/>
      <c r="E45" s="356"/>
      <c r="F45" s="357"/>
      <c r="G45" s="106"/>
      <c r="H45" s="106"/>
      <c r="I45" s="106"/>
      <c r="J45" s="106"/>
      <c r="K45" s="106"/>
      <c r="L45" s="106"/>
      <c r="M45" s="81" t="s">
        <v>32</v>
      </c>
      <c r="N45" s="312" t="s">
        <v>4492</v>
      </c>
      <c r="O45" s="312"/>
    </row>
    <row r="46" spans="1:21" ht="20" customHeight="1">
      <c r="A46" s="129"/>
      <c r="B46" s="362"/>
      <c r="C46" s="355"/>
      <c r="D46" s="356"/>
      <c r="E46" s="356"/>
      <c r="F46" s="357"/>
      <c r="G46" s="106"/>
      <c r="H46" s="61" t="s">
        <v>4667</v>
      </c>
      <c r="I46" s="62"/>
      <c r="J46" s="62"/>
      <c r="K46" s="63"/>
      <c r="L46" s="106"/>
      <c r="M46" s="81" t="s">
        <v>32</v>
      </c>
      <c r="N46" s="312" t="s">
        <v>48</v>
      </c>
      <c r="O46" s="312"/>
    </row>
    <row r="47" spans="1:21" ht="20" customHeight="1">
      <c r="B47" s="362"/>
      <c r="C47" s="355"/>
      <c r="D47" s="356"/>
      <c r="E47" s="356"/>
      <c r="F47" s="357"/>
      <c r="G47" s="106"/>
      <c r="H47" s="11" t="s">
        <v>14</v>
      </c>
      <c r="I47" s="18" t="s">
        <v>4666</v>
      </c>
      <c r="J47" s="12" t="str">
        <f>IF(wld_domain_result="Excluded","Excluded",IF(wld_host_overlay_addressing_chosen="DHCP","Excluded",IF(wld_vlcm_model_chosen="Baselines","Excluded",IF(OR(wld_multi_rack_count_chosen="Exclude",wld_compute_hosts_per_rack_chosen="Exclude"),"Excluded",IF(OR(wld_principal_storage_chosen="vSAN-ESA",wld_principal_storage_chosen="vSAN-OSA"),IF(AND(wld_dedicated_edge_cluster_chosen_first&lt;&gt;"Exclude",wld_dedicated_edge_cluster_chosen_second&lt;&gt;"Exclude"),IF(wld_multirack_chosen="Include","Included","Excluded"),"Excluded"))))))</f>
        <v>Excluded</v>
      </c>
      <c r="K47" s="18" t="str">
        <f>IF(wld_domain_result="Excluded","Cause: VI Workload Domain is not Included",IF(wld_multirack_chosen="Exclude","Cause: Multi Rack not enabled",IF(wld_host_overlay_addressing_chosen="DHCP","Cause: Multi Rack Configuration is only supported with Static Host Overlay IP Address Model",IF(wld_vlcm_model_chosen="Baselines","Cause:Multi Rack Configuration is only supported with vSphere Lifecycle Manager Baselines",IF(OR(wld_principal_storage_chosen="vSAN-ESA",wld_principal_storage_chosen="vSAN-OSA"),IF(OR(wld_multi_rack_count_chosen="Exclude",wld_compute_hosts_per_rack_chosen="Exclude"),"Cause: Number of Additonal Racks or Number of Compute Hosts per rack not selected",IF(OR(wld_dedicated_edge_cluster_chosen_first="Exclude",wld_dedicated_edge_cluster_chosen_second="Exclude"),"Edge Racks not defined","Multi Rack Configuration will be deployed")),"Cause: Multi Rack Configuration is only supported with vSAN as Principal Storage")))))</f>
        <v>Cause: VI Workload Domain is not Included</v>
      </c>
      <c r="L47" s="106"/>
      <c r="M47" s="81" t="s">
        <v>32</v>
      </c>
      <c r="N47" s="312" t="s">
        <v>52</v>
      </c>
      <c r="O47" s="312"/>
    </row>
    <row r="48" spans="1:21" ht="20" customHeight="1">
      <c r="B48" s="362"/>
      <c r="C48" s="355"/>
      <c r="D48" s="356"/>
      <c r="E48" s="356"/>
      <c r="F48" s="357"/>
      <c r="G48" s="106"/>
      <c r="H48" s="11" t="s">
        <v>14</v>
      </c>
      <c r="I48" s="18" t="s">
        <v>3936</v>
      </c>
      <c r="J48" s="12" t="str">
        <f>IF(wld_multirack_result="Excluded","Excluded",IF(wld_dedicated_edge_cluster_chosen="Include","Included","Excluded"))</f>
        <v>Excluded</v>
      </c>
      <c r="K48" s="18" t="str">
        <f>IF(AND(wld_multirack_chosen="Include",wld_multirack_result="Excluded"),"Cause: Multi Rack prerequistes not defined",IF(wld_multirack_chosen="Exclude","Cause: Multi Rack not enabled",IF(wld_dedicated_edge_cluster_result="Excluded","Cause: Dedicated Edge Rack Not Selected",IF(OR(wld_multi_rack_count_chosen="Exclude",wld_compute_hosts_per_rack_chosen="Exclude"),"Cause: Number of Additonal Racks or Number of Compute Hosts per rack not selected",IF(wld_multirack_result="Excluded","Cause: Multi Rack not enabled",IF(wld_dedicated_edge_cluster_chosen="Include","Dedicated racks for vSphere Cluster hosting NSX Edges will be configured","Cause: Not Selected"))))))</f>
        <v>Cause: Multi Rack not enabled</v>
      </c>
      <c r="L48" s="106"/>
      <c r="M48" s="95" t="s">
        <v>50</v>
      </c>
      <c r="N48" s="312" t="s">
        <v>57</v>
      </c>
      <c r="O48" s="312"/>
    </row>
    <row r="49" spans="1:15" ht="20" customHeight="1">
      <c r="B49" s="362"/>
      <c r="C49" s="355"/>
      <c r="D49" s="356"/>
      <c r="E49" s="356"/>
      <c r="F49" s="357"/>
      <c r="G49" s="106"/>
      <c r="H49" s="297" t="s">
        <v>14</v>
      </c>
      <c r="I49" s="18" t="s">
        <v>3937</v>
      </c>
      <c r="J49" s="12" t="str">
        <f>IF(wld_multirack_result="Excluded","Excluded",IF(wld_multi_rack_count_chosen="Exclude","Excluded",IF(AND(wld_dedicated_edge_cluster_chosen="Exclude",wld_multi_rack_count_chosen&lt;&gt;"Exclude"),"Included",IF(AND(wld_dedicated_edge_cluster_result="Included",wld_multi_rack_count_chosen&gt;=3),"Included","Excluded"))))</f>
        <v>Excluded</v>
      </c>
      <c r="K49" s="18" t="str">
        <f>IF(AND(wld_multirack_chosen="Include",wld_multirack_result="Excluded"),"Cause: Multi Rack prerequistes not defined",IF(wld_multirack_chosen="Exclude","Cause: Multi Rack not enabled",IF(OR(wld_multi_rack_count_chosen="Exclude",wld_compute_hosts_per_rack_chosen="Exclude"),"Cause: Number of Additonal Racks or Number of Compute Hosts per rack not selected",IF(wld_multirack_result="Excluded","Cause: Multi Rack prerequistes not defined",IF(wld_multi_rack_count_chosen="Exclude","Cause: Number of additonal racks not selected",IF(AND(wld_dedicated_edge_cluster_result="Included",wld_multi_rack_count_chosen&gt;=3),CONCATENATE(wld_multi_rack_count_chosen+1," racks. ",wld_multi_rack_count_chosen-1," dedicated compute racks. ","2 dedicated racks for vSphere Cluster hosting NSX Edges"),IF(wld_dedicated_edge_cluster_result="Excluded",CONCATENATE(wld_multi_rack_count_chosen+1," racks. Edge vSphere Cluster will share a rack with Compute vSphere Cluster "),IF(AND(wld_dedicated_edge_cluster_result="Included",wld_multi_rack_count_chosen&lt;=3),"A minimum of 3 additional racks are required when dedicating racks for vSphere Clusters hosting NSX Edges",""))))))))</f>
        <v>Cause: Multi Rack not enabled</v>
      </c>
      <c r="L49" s="106"/>
      <c r="M49" s="81" t="s">
        <v>32</v>
      </c>
      <c r="N49" s="312" t="s">
        <v>3640</v>
      </c>
      <c r="O49" s="312"/>
    </row>
    <row r="50" spans="1:15" ht="20" customHeight="1">
      <c r="B50" s="362"/>
      <c r="C50" s="355"/>
      <c r="D50" s="356"/>
      <c r="E50" s="356"/>
      <c r="F50" s="357"/>
      <c r="G50" s="106"/>
      <c r="H50" s="297" t="s">
        <v>14</v>
      </c>
      <c r="I50" s="18" t="s">
        <v>4097</v>
      </c>
      <c r="J50" s="12" t="str">
        <f>IF(wld_multirack_result="Excluded","Excluded",IF(wld_compute_hosts_per_rack_chosen="Exclude","Excluded",IF(wld_multi_rack_count_chosen="Exclude","Excluded",IF(wld_compute_total_number_hosts&gt;64,"Excluded",IF(wld_compute_total_number_hosts&lt;3,"Excluded","Included")))))</f>
        <v>Excluded</v>
      </c>
      <c r="K50" s="18" t="str">
        <f>IF(AND(wld_multirack_chosen="Include",wld_multirack_result="Excluded"),"Cause: Multi Rack prerequistes not defined",IF(wld_multirack_chosen="Exclude","Cause: Multi Rack not enabled",IF(wld_compute_hosts_per_rack_chosen="Exclude","Cause: Number of compute hosts not selected",IF(wld_multi_rack_count_chosen="Exclude","Casue: Number of Racks not Selected",IF(wld_multirack_result="Excluded","Cause: Multi Rack prerequistes not defined",IF(wld_compute_total_number_hosts&gt;64,CONCATENATE("Cause: Max number of Hosts per Cluster is 64. ",wld_compute_total_number_hosts," Hosts currenty defined for the Compute vSphere Cluster "),IF(wld_compute_total_number_hosts&lt;3,CONCATENATE("Cause: Min number of Hosts per Cluster is 3. ",wld_compute_total_number_hosts," Hosts currenty defined for the Compute vSphere Cluster "),CONCATENATE(wld_compute_total_number_hosts," Hosts defined for configuration in the Compute vSphere Cluster "))))))))</f>
        <v>Cause: Multi Rack not enabled</v>
      </c>
      <c r="L50" s="106"/>
      <c r="M50" s="81" t="s">
        <v>32</v>
      </c>
      <c r="N50" s="312" t="s">
        <v>45</v>
      </c>
      <c r="O50" s="312"/>
    </row>
    <row r="51" spans="1:15" ht="20" customHeight="1">
      <c r="B51" s="362"/>
      <c r="C51" s="355"/>
      <c r="D51" s="356"/>
      <c r="E51" s="356"/>
      <c r="F51" s="357"/>
      <c r="G51" s="106"/>
      <c r="H51" s="11" t="s">
        <v>14</v>
      </c>
      <c r="I51" s="18" t="s">
        <v>3935</v>
      </c>
      <c r="J51" s="12" t="str">
        <f>IF(wld_multirack_result="Excluded","Excluded",IF(wld_multi_rack_count_chosen="Exclude","Excluded",IF((wld_multi_rack_count_chosen+1)&lt;2,"Excluded",IF(wld_dedicated_edge_cluster_chosen_first=wld_dedicated_edge_cluster_chosen_second,"Excluded",IF(wld_dedicated_edge_cluster_chosen_first&gt;wld_multi_rack_count_chosen+1,"Excluded","Included")))))</f>
        <v>Excluded</v>
      </c>
      <c r="K51" s="12" t="str">
        <f>IF(AND(wld_multirack_chosen="Include",wld_multirack_result="Excluded"),"Cause: Multi Rack prerequistes not defined",IF(wld_multirack_chosen="Exclude","Cause: Multi Rack not enabled",IF(wld_multi_rack_count_chosen="Exclude","Cause: Number of Additonal Racks or Number of Compute Hosts per rack not selected",IF((wld_multi_rack_count_chosen+1)&lt;2,"Cause: Additional racks required",IF(wld_dedicated_edge_cluster_chosen_second=wld_dedicated_edge_cluster_chosen_first,"Separate Racks should be selected to host the vSphere Clusters for the NSX-T Edges",IF(wld_dedicated_edge_cluster_chosen_first&gt;wld_multi_rack_count_chosen+1,"Rack selected is not available",CONCATENATE("Rack ",wld_dedicated_edge_cluster_chosen_first," selected for first vSphere Cluster hosting NSX Edges")))))))</f>
        <v>Cause: Multi Rack not enabled</v>
      </c>
      <c r="L51" s="106"/>
      <c r="M51" s="81" t="s">
        <v>32</v>
      </c>
      <c r="N51" s="312" t="s">
        <v>54</v>
      </c>
      <c r="O51" s="312"/>
    </row>
    <row r="52" spans="1:15" ht="20" customHeight="1">
      <c r="A52" s="129"/>
      <c r="B52" s="362"/>
      <c r="C52" s="355"/>
      <c r="D52" s="356"/>
      <c r="E52" s="356"/>
      <c r="F52" s="357"/>
      <c r="G52" s="106"/>
      <c r="H52" s="11" t="s">
        <v>14</v>
      </c>
      <c r="I52" s="18" t="s">
        <v>3934</v>
      </c>
      <c r="J52" s="12" t="str">
        <f>IF(wld_multi_rack_count_chosen="Exclude","Excluded",IF((wld_multi_rack_count_chosen+1)&lt;2,"Excluded",IF(wld_dedicated_edge_cluster_chosen_first=wld_dedicated_edge_cluster_chosen_second,"Excluded",IF(wld_dedicated_edge_cluster_chosen_second&gt;wld_multi_rack_count_chosen+1,"Excluded",IF(wld_multirack_result&lt;&gt;"Included","Excluded","Included")))))</f>
        <v>Excluded</v>
      </c>
      <c r="K52" s="18" t="str">
        <f>IF(AND(wld_multirack_chosen="Include",wld_multirack_result="Excluded"),"Cause: Multi Rack prerequistes not defined",IF(wld_multirack_chosen="Exclude","Cause: Multi Rack not enabled",IF(wld_multi_rack_count_chosen="Exclude","Cause: Number of Additonal Racks or Number of Compute Hosts per rack not selected",IF((wld_multi_rack_count_chosen+1)&lt;2,"Cause: Additional racks required",IF(wld_dedicated_edge_cluster_chosen_second=wld_dedicated_edge_cluster_chosen_first,"Separate Racks should be selected to host the vSphere Clusters for the NSX-T Edges",IF(wld_dedicated_edge_cluster_chosen_second&gt;wld_multi_rack_count_chosen+1,"Rack selected is not available",CONCATENATE("Rack ",wld_dedicated_edge_cluster_chosen_second," selected for second vSphere Cluster hosting NSX Edges")))))))</f>
        <v>Cause: Multi Rack not enabled</v>
      </c>
      <c r="L52" s="106"/>
      <c r="M52" s="81" t="s">
        <v>32</v>
      </c>
      <c r="N52" s="312" t="s">
        <v>59</v>
      </c>
      <c r="O52" s="312"/>
    </row>
    <row r="53" spans="1:15" ht="20" customHeight="1">
      <c r="A53" s="129"/>
      <c r="B53" s="362"/>
      <c r="C53" s="355"/>
      <c r="D53" s="356"/>
      <c r="E53" s="356"/>
      <c r="F53" s="357"/>
      <c r="G53" s="106"/>
      <c r="H53" s="11" t="s">
        <v>14</v>
      </c>
      <c r="I53" s="18" t="s">
        <v>4524</v>
      </c>
      <c r="J53" s="12" t="str">
        <f>IF(wld_multirack_chosen="Exclude","Excluded",IF(OR(wld_multi_rack_count_chosen="Exclude",wld_compute_hosts_per_rack_chosen="Exclude"),"Excluded",IF(wld_multirack_result="Excluded","Excluded",IF(wld_dedicated_edge_cluster_chosen_second=wld_dedicated_edge_cluster_chosen_first,"Excluded",IF(wld_dedicated_edge_cluster_model_chosen="Availability (2 Node)","Included",IF(wld_dedicated_edge_cluster_model_chosen="Availability (4 Node)","Included","Excluded"))))))</f>
        <v>Excluded</v>
      </c>
      <c r="K53" s="18" t="str">
        <f>IF(AND(wld_multirack_chosen="Include",wld_multirack_result="Excluded"),"Cause: Multi Rack prerequistes not defined",IF(wld_multirack_chosen="Exclude","Cause: Multi Rack not enabled",IF(OR(wld_multi_rack_count_chosen="Exclude",wld_compute_hosts_per_rack_chosen="Exclude"),"Cause: Number of Additonal Racks or Number of Compute Hosts per rack not selected",IF(wld_multirack_result="Excluded","Cause: Multi Rack not enabled",IF(wld_dedicated_edge_cluster_chosen_second=wld_dedicated_edge_cluster_chosen_first,"Separate Racks should be selected to host the vSphere Clusters for the NSX-T Edges",IF(wld_dedicated_edge_cluster_model_chosen="Exclude","Cause: Not Selected",IF(wld_dedicated_edge_cluster_model_chosen="Availability (4 Node)","Four Edge Nodes will be deployed to increase network throughput ","Two Edge Nodes will be deployed")))))))</f>
        <v>Cause: Multi Rack not enabled</v>
      </c>
      <c r="L53" s="106"/>
      <c r="M53" s="81" t="s">
        <v>32</v>
      </c>
      <c r="N53" s="312" t="s">
        <v>3531</v>
      </c>
      <c r="O53" s="312"/>
    </row>
    <row r="54" spans="1:15" ht="20" customHeight="1">
      <c r="A54" s="129"/>
      <c r="B54" s="362"/>
      <c r="C54" s="355"/>
      <c r="D54" s="356"/>
      <c r="E54" s="356"/>
      <c r="F54" s="357"/>
      <c r="G54" s="106"/>
      <c r="H54" s="11" t="s">
        <v>14</v>
      </c>
      <c r="I54" s="18" t="s">
        <v>4019</v>
      </c>
      <c r="J54" s="12" t="str">
        <f>IF(wld_host_dns_zone_chosen="Exclude","Excluded",IF(wld_multirack_result="Excluded","Excluded",IF(wld_multi_rack_count_result&lt;&gt;"Included","Excluded","Included")))</f>
        <v>Excluded</v>
      </c>
      <c r="K54" s="12" t="str">
        <f>IF(wld_multirack_result="Excluded","Cause: Multi Rack not enabled",IF(wld_host_dns_zone_chosen="Exclude","Cause: DNS option not selected",IF(wld_multirack_result="Excluded","Cause: Multi Rack not enabled",IF(wld_host_dns_zone_chosen="Single","A Single DNS Zone will be used for all racks",IF(wld_host_dns_zone_chosen="Multiple","DNS can be configured per Rack")))))</f>
        <v>Cause: Multi Rack not enabled</v>
      </c>
      <c r="L54" s="106"/>
      <c r="M54" s="81" t="s">
        <v>32</v>
      </c>
      <c r="N54" s="312" t="s">
        <v>3130</v>
      </c>
      <c r="O54" s="312"/>
    </row>
    <row r="55" spans="1:15" ht="20" customHeight="1">
      <c r="B55" s="362"/>
      <c r="C55" s="355"/>
      <c r="D55" s="356"/>
      <c r="E55" s="356"/>
      <c r="F55" s="357"/>
      <c r="G55" s="106"/>
      <c r="I55" s="106"/>
      <c r="J55" s="106"/>
      <c r="L55" s="106"/>
      <c r="M55" s="106"/>
      <c r="N55" s="106"/>
      <c r="O55" s="106"/>
    </row>
    <row r="56" spans="1:15" ht="20" customHeight="1">
      <c r="B56" s="362"/>
      <c r="C56" s="355"/>
      <c r="D56" s="356"/>
      <c r="E56" s="356"/>
      <c r="F56" s="357"/>
      <c r="G56" s="106"/>
      <c r="H56" s="61" t="s">
        <v>53</v>
      </c>
      <c r="I56" s="62"/>
      <c r="J56" s="62"/>
      <c r="K56" s="63"/>
      <c r="L56" s="106"/>
      <c r="M56" s="68" t="s">
        <v>61</v>
      </c>
      <c r="N56" s="73"/>
      <c r="O56" s="69"/>
    </row>
    <row r="57" spans="1:15" s="106" customFormat="1" ht="20" customHeight="1">
      <c r="B57" s="362"/>
      <c r="C57" s="355"/>
      <c r="D57" s="356"/>
      <c r="E57" s="356"/>
      <c r="F57" s="357"/>
      <c r="H57" s="8" t="s">
        <v>8</v>
      </c>
      <c r="I57" s="8" t="s">
        <v>9</v>
      </c>
      <c r="J57" s="8" t="s">
        <v>10</v>
      </c>
      <c r="K57" s="8" t="s">
        <v>11</v>
      </c>
      <c r="M57" s="323" t="s">
        <v>63</v>
      </c>
      <c r="N57" s="325"/>
      <c r="O57" s="332" t="s">
        <v>64</v>
      </c>
    </row>
    <row r="58" spans="1:15" s="106" customFormat="1" ht="20" customHeight="1">
      <c r="B58" s="362"/>
      <c r="C58" s="355"/>
      <c r="D58" s="356"/>
      <c r="E58" s="356"/>
      <c r="F58" s="357"/>
      <c r="H58" s="11" t="s">
        <v>14</v>
      </c>
      <c r="I58" s="18" t="s">
        <v>24</v>
      </c>
      <c r="J58" s="12" t="str">
        <f>IF(wld_signed_certs_chosen="Exclude","Excluded",IF(mgmt_signed_certs_result="Excluded","Excluded",IF(wld_domain_result = "Included","Included","Excluded")))</f>
        <v>Excluded</v>
      </c>
      <c r="K58" s="12" t="str">
        <f>IF(wld_signed_certs_chosen="Exclude","Cause: Not Selected. Signed certificates will not be deployed.",IF(mgmt_signed_certs_result="Excluded","Cause: Management Domain Apply Signed Certificates not included",IF(wld_domain_result="Excluded","Cause: Standard VI Workload Domain Required",IF(mgmt_signed_certs_chosen="Microsoft CA","Microsoft CA based signed certificates will be deployed","OpenSSL CA based signed certificates will be deployed"))))</f>
        <v>Cause: Not Selected. Signed certificates will not be deployed.</v>
      </c>
      <c r="M58" s="326"/>
      <c r="N58" s="328"/>
      <c r="O58" s="333"/>
    </row>
    <row r="59" spans="1:15" s="106" customFormat="1" ht="20" customHeight="1">
      <c r="B59" s="362"/>
      <c r="C59" s="355"/>
      <c r="D59" s="356"/>
      <c r="E59" s="356"/>
      <c r="F59" s="357"/>
      <c r="H59" s="11" t="s">
        <v>14</v>
      </c>
      <c r="I59" s="18" t="s">
        <v>55</v>
      </c>
      <c r="J59" s="12" t="str">
        <f>IF(wld_bgp_chosen="Exclude","Excluded",IF(wld_domain_result = "Included","Included","Excluded"))</f>
        <v>Excluded</v>
      </c>
      <c r="K59" s="12" t="str">
        <f>IF(wld_bgp_chosen="Exclude","Cause: Not Selected. NSX Routing for VI Workload Domain will not be deployed",IF(wld_domain_result="Excluded","Cause: Standard VI Workload Domain Required",IF(wld_bgp_chosen="Overlay-Backed","NSX Edge cluster will be created. EBGP will be used.","NSX Edge cluster will be created. Static routing will be used.")))</f>
        <v>Cause: Not Selected. NSX Routing for VI Workload Domain will not be deployed</v>
      </c>
      <c r="M59" s="326"/>
      <c r="N59" s="328"/>
      <c r="O59" s="333"/>
    </row>
    <row r="60" spans="1:15" s="106" customFormat="1" ht="20" customHeight="1">
      <c r="B60" s="362"/>
      <c r="C60" s="355"/>
      <c r="D60" s="356"/>
      <c r="E60" s="356"/>
      <c r="F60" s="357"/>
      <c r="H60" s="11" t="s">
        <v>14</v>
      </c>
      <c r="I60" s="18" t="s">
        <v>56</v>
      </c>
      <c r="J60" s="12" t="str">
        <f>IF(wld_nsxt_federation_chosen="Exclude","Excluded",IF(AND((wld_nsxt_federation_chosen&lt;&gt;"Exclude"),(wld_multirack_chosen="Include")),"Excluded",(IF(AND((wld_bgp_chosen="Overlay-Backed"),(wld_bgp_result="Included")),"Included","Excluded"))))</f>
        <v>Excluded</v>
      </c>
      <c r="K60" s="12" t="str">
        <f>IF(wld_nsxt_federation_chosen="Exclude","Cause: Not Selected. NSX Federation for VI Workload Domain will not be deployed.",IF(AND((intelligent_operations_result="Excluded"),(private_cloud_result="Excluded"),(intelligent_logging_result="Excluded"),(wld_nsxt_federation_result="Included"),(wld_nsxt_federation_chosen="Active Global Manager")),"VI Workload Domain will be federated using Active Global Managers",IF(AND((intelligent_operations_result="Excluded"),(private_cloud_result="Excluded"),(intelligent_logging_result="Excluded"),(wld_nsxt_federation_result="Included"),(wld_nsxt_federation_chosen="Standby Global Manager")),"VI Workload Domain will be federated using Standby Global Managers",IF(AND((intelligent_operations_result="Excluded"),(private_cloud_result="Excluded"),(intelligent_logging_result="Excluded"),(wld_nsxt_federation_result="Included"),(wld_nsxt_federation_chosen="Connect Instance")),"VI Workload Domain will be connected to an existing Global Manager",IF(wld_domain_result="Excluded","Cause: Standard VI Workload Domain Required",IF(wld_bgp_chosen&lt;&gt;"Overlay-Backed","Cause: Overlay-Backed NSX Routing for VI Workload Domain Required",IF(AND((wld_nsxt_federation_chosen&lt;&gt;"Exclude"),(wld_multirack_chosen="Include")),"Casue: NSX Federation is not supported with Multirack","Note: VMware Aria Suite does not fully support NSX Federation between VI Workload Domains")))))))</f>
        <v>Cause: Not Selected. NSX Federation for VI Workload Domain will not be deployed.</v>
      </c>
      <c r="M60" s="329"/>
      <c r="N60" s="331"/>
      <c r="O60" s="334"/>
    </row>
    <row r="61" spans="1:15" s="106" customFormat="1" ht="20" customHeight="1">
      <c r="B61" s="362"/>
      <c r="C61" s="355"/>
      <c r="D61" s="356"/>
      <c r="E61" s="356"/>
      <c r="F61" s="357"/>
      <c r="H61" s="11" t="s">
        <v>14</v>
      </c>
      <c r="I61" s="12" t="s">
        <v>30</v>
      </c>
      <c r="J61" s="158" t="str">
        <f>IF(wld_stretched_cluster_chosen="Exclude","Excluded",
IF(AND(vcf_version_chosen="v5.1.x",wld_principal_storage_chosen="vSAN-ESA"),"Excluded",
IF(AND((wld_domain_result="Included"),(wld_multirack_result="Included")),"Excluded",IF(AND((wld_domain_result="Included"),(mgmt_stretched_cluster_result="Included")),"Included","Excluded"))))</f>
        <v>Excluded</v>
      </c>
      <c r="K61" s="12" t="str">
        <f>IF(wld_stretched_cluster_chosen="Exclude","Cause: Not Selected. Stretched Cluster will not be deployed.",
IF(wld_domain_result="Excluded","Cause: Standard VI Workload Domain Required",
IF(mgmt_stretched_cluster_result="Excluded","Cause: Management Stretched Cluster Required",
IF(AND(vcf_version_chosen="v5.1.x",wld_principal_storage_chosen="vSAN-ESA"),"Cause: Stretched Cluster is not supported with vSAN ESA",
IF(AND((wld_domain_result="Included"),(wld_multirack_result&lt;&gt;"Excluded")),"Cause: Stretched Cluster is not supported with Multi Rack",
IF(wld_bgp_chosen="VLAN-Backed","Note: VLAN-backed routing requires L2 stretched VM Networks. Consider Overlay-backed instead.","Stretched Cluster will be deployed"))))))</f>
        <v>Cause: Not Selected. Stretched Cluster will not be deployed.</v>
      </c>
    </row>
    <row r="62" spans="1:15" s="106" customFormat="1" ht="20" customHeight="1">
      <c r="B62" s="362"/>
      <c r="C62" s="355"/>
      <c r="D62" s="356"/>
      <c r="E62" s="356"/>
      <c r="F62" s="357"/>
      <c r="H62" s="229" t="s">
        <v>14</v>
      </c>
      <c r="I62" s="18" t="s">
        <v>4236</v>
      </c>
      <c r="J62" s="12" t="str">
        <f>IF(wld_avi_loadbalancer_chosen="Exclude","Excluded",IF(AND(vcf_version_chosen&lt;&gt;"v5.2.x",wld_avi_loadbalancer_chosen="Include"),"Excluded","Included"))</f>
        <v>Excluded</v>
      </c>
      <c r="K62" s="12" t="str">
        <f>IF(wld_avi_loadbalancer_chosen="Exclude","Cause: Not Selected.",IF(AND(vcf_version_chosen&lt;&gt;"v5.2.x",wld_avi_loadbalancer_chosen="Include"),"Cause: AVI Loadbalancer is not supported with VCF version "&amp;vcf_version,"Included"))</f>
        <v>Cause: Not Selected.</v>
      </c>
      <c r="M62" s="335" t="s">
        <v>74</v>
      </c>
      <c r="N62" s="336"/>
      <c r="O62" s="337"/>
    </row>
    <row r="63" spans="1:15" s="106" customFormat="1" ht="20" customHeight="1">
      <c r="B63" s="362"/>
      <c r="C63" s="355"/>
      <c r="D63" s="356"/>
      <c r="E63" s="356"/>
      <c r="F63" s="357"/>
      <c r="M63" s="323" t="s">
        <v>76</v>
      </c>
      <c r="N63" s="324"/>
      <c r="O63" s="325"/>
    </row>
    <row r="64" spans="1:15" s="106" customFormat="1" ht="20" customHeight="1">
      <c r="B64" s="362"/>
      <c r="C64" s="355"/>
      <c r="D64" s="356"/>
      <c r="E64" s="356"/>
      <c r="F64" s="357"/>
      <c r="H64" s="182" t="s">
        <v>58</v>
      </c>
      <c r="I64" s="59"/>
      <c r="J64" s="59"/>
      <c r="K64" s="60"/>
      <c r="M64" s="326"/>
      <c r="N64" s="327"/>
      <c r="O64" s="328"/>
    </row>
    <row r="65" spans="2:15" s="106" customFormat="1" ht="20" customHeight="1">
      <c r="B65" s="362"/>
      <c r="C65" s="355"/>
      <c r="D65" s="356"/>
      <c r="E65" s="356"/>
      <c r="F65" s="357"/>
      <c r="H65" s="8" t="s">
        <v>8</v>
      </c>
      <c r="I65" s="8" t="s">
        <v>9</v>
      </c>
      <c r="J65" s="8" t="s">
        <v>10</v>
      </c>
      <c r="K65" s="8" t="s">
        <v>11</v>
      </c>
      <c r="M65" s="326"/>
      <c r="N65" s="327"/>
      <c r="O65" s="328"/>
    </row>
    <row r="66" spans="2:15" s="106" customFormat="1" ht="20" customHeight="1">
      <c r="B66" s="362"/>
      <c r="C66" s="355"/>
      <c r="D66" s="356"/>
      <c r="E66" s="356"/>
      <c r="F66" s="357"/>
      <c r="H66" s="11" t="s">
        <v>14</v>
      </c>
      <c r="I66" s="298" t="s">
        <v>60</v>
      </c>
      <c r="J66" s="12" t="str">
        <f>IF(iam_chosen="Exclude","Excluded","Included")</f>
        <v>Excluded</v>
      </c>
      <c r="K66" s="158" t="str">
        <f>IF(iam_chosen="Exclude","Cause: Not Selected. Identity and Access Management will not be deployed","Identity and Access Management will be deployed")</f>
        <v>Cause: Not Selected. Identity and Access Management will not be deployed</v>
      </c>
      <c r="M66" s="326"/>
      <c r="N66" s="327"/>
      <c r="O66" s="328"/>
    </row>
    <row r="67" spans="2:15" s="106" customFormat="1" ht="20" customHeight="1">
      <c r="B67" s="362"/>
      <c r="C67" s="355"/>
      <c r="D67" s="356"/>
      <c r="E67" s="356"/>
      <c r="F67" s="357"/>
      <c r="H67" s="14" t="s">
        <v>14</v>
      </c>
      <c r="I67" s="298" t="s">
        <v>62</v>
      </c>
      <c r="J67" s="18" t="str">
        <f>IF(wld_domain_chosen="Create New SSO Domain","Excluded",IF(OR((AND((wld_domain_result="Included"),(wld_bgp_result="Included"),(wld_stretched_cluster_result="Excluded"),(wld_nsxt_federation_result="Excluded"),(iam_result="Included"),(wld_bgp_chosen="Overlay-Backed"),(developer_ready_chosen="Deploy"))),(AND((mgmt_domain_result="Included"),(mgmt_consolidated_result="Included"),(mgmt_vns_result="Included"),(mgmt_stretched_cluster_result="Excluded"),(mgmt_nsxt_federation_result="Excluded"),(iam_result="Included"),(mgmt_vns_chosen="Overlay-Backed"),(developer_ready_chosen="Deploy")))),"Included","Excluded"))</f>
        <v>Excluded</v>
      </c>
      <c r="K67" s="18" t="str">
        <f>IF(developer_ready_chosen="Exclude","Cause: Not Selected. Developer Ready Infrastructure will not be deployed",IF(wld_domain_chosen="Create New SSO Domain","Cause: This VVS is not validated in this release with Isolated VI Workload Domains",IF(mgmt_consolidated_result="Included",IF(iam_result="Excluded","Cause: Identity and Access Management Validated Solution Required",IF(mgmt_vns_result="Excluded","Cause: NSX Routing for Management Domain Required",IF(mgmt_stretched_cluster_result="Included","Cause: Not Supported with Stretched Cluster",IF(mgmt_nsxt_federation_result="Included","Cause: NSX Federation for Management Domain not Supported",IF(mgmt_vns_chosen&lt;&gt;"Overlay-Backed","Cause: Overlay-Backed NSX Routing for Managment Domain Required","Note: Solution is optimized for Standard Architecture. Consolidated architecture not feasible prior to 4.3"))))),IF(wld_domain_result="Excluded","Cause: Standard VI Workload Domain Required",IF(iam_result="Excluded","Cause: Identity and Access Management Validated Solution Required",IF(wld_bgp_result="Excluded","Cause: NSX Routing for VI Workload Domain Required",IF(wld_stretched_cluster_result="Included","Cause: Not Supported with Stretched Cluster",IF(wld_nsxt_federation_result="Included","Cause: Workload Domain Federation not Supported",IF(wld_bgp_chosen&lt;&gt;"Overlay-Backed","Cause: Overlay-Backed NSX Routing for VI Workload Domain Required","Developer Ready Infrastructure will be deployed")))))))))</f>
        <v>Cause: Not Selected. Developer Ready Infrastructure will not be deployed</v>
      </c>
      <c r="M67" s="329"/>
      <c r="N67" s="330"/>
      <c r="O67" s="331"/>
    </row>
    <row r="68" spans="2:15" s="106" customFormat="1" ht="20" customHeight="1">
      <c r="B68" s="362"/>
      <c r="C68" s="355"/>
      <c r="D68" s="356"/>
      <c r="E68" s="356"/>
      <c r="F68" s="357"/>
      <c r="H68" s="228" t="s">
        <v>14</v>
      </c>
      <c r="I68" s="298" t="s">
        <v>4491</v>
      </c>
      <c r="J68" s="219" t="str">
        <f>IF(wld_domain_chosen="Create New SSO Domain","Excluded",IF(OR((AND((wld_domain_result="Included"),(wld_bgp_result="Included"),(wld_stretched_cluster_result="Excluded"),(wld_nsxt_federation_result="Excluded"),(iam_result="Included"),(private_cloud_result="Included"),(developer_ready_result="Included"),(wld_bgp_chosen="Overlay-Backed"),(air_chosen="Deploy"))),(AND((mgmt_domain_result="Included"),(mgmt_consolidated_result="Included"),(mgmt_vns_result="Included"),(mgmt_stretched_cluster_result="Excluded"),(mgmt_nsxt_federation_result="Excluded"),(iam_result="Included"),(mgmt_vns_chosen="Overlay-Backed"),(developer_ready_chosen="Included"),(private_cloud_chosen="Included"),(air_chosen="Deploy")))),"Included","Excluded"))</f>
        <v>Excluded</v>
      </c>
      <c r="K68" s="219" t="str">
        <f>IF(air_chosen="Exclude","Cause: Not Selected. Private AI Ready Infrastructure will not be deployed",IF(wld_domain_chosen="Create New SSO Domain","Cause: This VVS is not validated  in this release with Isolated VI Workload Domains",IF(mgmt_consolidated_result="Included",IF(iam_result="Excluded","Cause: Identity and Access Management Validated Solution Required",IF(mgmt_vns_result="Excluded","Cause: NSX Routing for Management Domain Required",IF(mgmt_stretched_cluster_result="Included","Cause: Not Supported with Stretched Cluster",IF(mgmt_nsxt_federation_result="Included","Cause: NSX Federation for Management Domain not Supported",IF(mgmt_vns_chosen&lt;&gt;"Overlay-Backed","Cause: Overlay-Backed NSX Routing for Managment Domain Required","Note: Solution is optimized for Standard Architecture. Consolidated architecture not feasible prior to 4.3"))))),IF(wld_domain_result="Excluded","Cause: Standard VI Workload Domain Required",IF(iam_result="Excluded","Cause: Identity and Access Management Validated Solution Required",IF(wld_bgp_result="Excluded","Cause: NSX Routing for VI Workload Domain Required",IF(wld_stretched_cluster_result="Included","Cause: Not Supported with Stretched Cluster",IF(wld_nsxt_federation_result="Included","Cause: Workload Domain Federation not Supported",IF(wld_bgp_chosen&lt;&gt;"Overlay-Backed","Cause: Overlay-Backed NSX Routing for VI Workload Domain Required",IF(developer_ready_result="Excluded","Cause: Developer Ready Infrastructure Validated Solution Required",IF(private_cloud_result="Excluded","Cause: Private Cloud Automation Validated Solution Required","Private AI Ready Infrastructure will be deployed")))))))))))</f>
        <v>Cause: Not Selected. Private AI Ready Infrastructure will not be deployed</v>
      </c>
    </row>
    <row r="69" spans="2:15" s="106" customFormat="1" ht="20" customHeight="1">
      <c r="B69" s="362"/>
      <c r="C69" s="355"/>
      <c r="D69" s="356"/>
      <c r="E69" s="356"/>
      <c r="F69" s="357"/>
      <c r="H69" s="11" t="s">
        <v>14</v>
      </c>
      <c r="I69" s="298" t="s">
        <v>66</v>
      </c>
      <c r="J69" s="12" t="str">
        <f>IF(intelligent_logging_chosen="Exclude","Excluded",IF(AND((mgmt_consolidated_result="Excluded"),(wld_domain_result="Excluded")),"Excluded",IF(vrslcm_result="Excluded","Excluded",IF(iam_result="Excluded","Excluded",IF(wld_domain_chosen="Create New SSO Domain","Excluded","Included")))))</f>
        <v>Excluded</v>
      </c>
      <c r="K69" s="12" t="str">
        <f>IF(intelligent_logging_chosen="Exclude","Cause: Not Selected. Intelligent Logging and Analytics will not be deployed",IF(vrslcm_result="Excluded","Cause: VMware Aria Suite Lifecycle Required",IF(wld_domain_chosen="Create New SSO Domain","Cause: This VVS is not validated in this release with Isolated VI Workload Domains",IF(AND((mgmt_consolidated_result="Included"),(mgmt_nsxt_federation_result="Included")),"Note: VMware Aria  Suite does not fully supported NSX Federation between Workload Domains",IF(iam_result="Excluded","Cause: Identity and Access Management Validated Solution Required",IF(mgmt_consolidated_result="Included","Note: Solution is optimized for Standard Architecture",IF(wld_domain_result="Excluded","Cause: Either Standard VI Workload Domain or Consolidated Management Domain Required","Intelligent Logging and Analytics will be deployed")))))))</f>
        <v>Cause: Not Selected. Intelligent Logging and Analytics will not be deployed</v>
      </c>
      <c r="M69" s="68" t="s">
        <v>67</v>
      </c>
      <c r="N69" s="73"/>
      <c r="O69" s="69"/>
    </row>
    <row r="70" spans="2:15" s="106" customFormat="1" ht="20" customHeight="1">
      <c r="B70" s="362"/>
      <c r="C70" s="355"/>
      <c r="D70" s="356"/>
      <c r="E70" s="356"/>
      <c r="F70" s="357"/>
      <c r="H70" s="11" t="s">
        <v>14</v>
      </c>
      <c r="I70" s="298" t="s">
        <v>69</v>
      </c>
      <c r="J70" s="12" t="str">
        <f>IF(intelligent_operations_chosen="Exclude","Excluded",IF(AND((mgmt_consolidated_result="Excluded"),(wld_domain_result="Excluded")),"Excluded",IF(AND((intelligent_operations_chosen="Initial Deployment"),(vcf_aware_wsa_result="Excluded")),"Excluded",IF(wld_domain_chosen="Create New SSO Domain","Excluded","Included"))))</f>
        <v>Excluded</v>
      </c>
      <c r="K70" s="12" t="str">
        <f>IF(intelligent_operations_chosen="Exclude","Cause: Not Selected. Intelligent Operations Management will not be deployed",IF(AND((mgmt_consolidated_result="Included"),(mgmt_nsxt_federation_result="Included")),"Note: VMware Aria Suite does not fully supported NSX Federation between Workload Domains",IF(AND((intelligent_operations_chosen="Initial Deployment"),(vrslcm_result="Excluded")),"Cause: VMware Aria Suite Lifecycle Required",IF(AND((intelligent_operations_chosen="Initial Deployment"),(vcf_aware_wsa_result="Excluded")),"Cause: VCF Aware Workspace ONE Access Required",IF(wld_domain_chosen="Create New SSO Domain","Cause: This VVS is not validated in this release with Isolated VI Workload Domains",IF(mgmt_consolidated_result="Included","Note: Solution is optimized for Standard Architecture",IF(wld_domain_result="Excluded","Cause: Either Standard VI Workload Domain or Consolidated Management Domain Required",IF(intelligent_operations_chosen="Initial Deployment","Intelligent Operations Management will be deployed","This instance will be connected to an existing Intelligent Operations Managment deployment"))))))))</f>
        <v>Cause: Not Selected. Intelligent Operations Management will not be deployed</v>
      </c>
      <c r="M70" s="364" t="s">
        <v>70</v>
      </c>
      <c r="N70" s="365"/>
      <c r="O70" s="366"/>
    </row>
    <row r="71" spans="2:15" s="106" customFormat="1" ht="20" customHeight="1">
      <c r="B71" s="362"/>
      <c r="C71" s="355"/>
      <c r="D71" s="356"/>
      <c r="E71" s="356"/>
      <c r="F71" s="357"/>
      <c r="H71" s="14" t="s">
        <v>14</v>
      </c>
      <c r="I71" s="299" t="s">
        <v>3639</v>
      </c>
      <c r="J71" s="18" t="str">
        <f>IF(inv_chosen="Exclude","Excluded",IF(iam_result="Excluded","Excluded","Included"))</f>
        <v>Excluded</v>
      </c>
      <c r="K71" s="18" t="str">
        <f>IF(inv_chosen="Exclude","Cause: Not Selected. Intelligent Network Visibility will not be deployed",IF(iam_result="Excluded","Cause: Identity and Access Management Required","Intelligent Network Visibility will be deployed"))</f>
        <v>Cause: Not Selected. Intelligent Network Visibility will not be deployed</v>
      </c>
      <c r="M71" s="322" t="s">
        <v>72</v>
      </c>
      <c r="N71" s="322"/>
      <c r="O71" s="322"/>
    </row>
    <row r="72" spans="2:15" s="106" customFormat="1" ht="20" customHeight="1">
      <c r="B72" s="362"/>
      <c r="C72" s="355"/>
      <c r="D72" s="356"/>
      <c r="E72" s="356"/>
      <c r="F72" s="357"/>
      <c r="H72" s="11" t="s">
        <v>14</v>
      </c>
      <c r="I72" s="298" t="s">
        <v>65</v>
      </c>
      <c r="J72" s="158" t="str">
        <f>IF(private_cloud_chosen="Exclude","Excluded",IF(AND((mgmt_consolidated_result="Excluded"),(wld_domain_result="Excluded")),"Excluded",IF(AND((private_cloud_chosen="Initial Deployment"),OR((vcf_aware_wsa_result="Excluded"),(vrslcm_result="Excluded"),(iam_result="Excluded"))),"Excluded",IF(mgmt_vns_result="Excluded","Excluded",IF(wld_domain_chosen="Create New SSO Domain","Excluded","Included")))))</f>
        <v>Excluded</v>
      </c>
      <c r="K72" s="12" t="str">
        <f>IF(private_cloud_chosen="Exclude","Cause: Not Selected. Private Cloud Automation will not be deployed",IF(AND((mgmt_consolidated_result="Included"),(mgmt_nsxt_federation_result="Included")),"Note: VMware Aria Suite does not fully supported NSX Federation between Workload Domains",IF(AND((private_cloud_chosen="Initial Deployment"),(vrslcm_result="Excluded")),"Cause: VMware Aria Suite Lifecycle Required",IF(AND((private_cloud_chosen="Initial Deployment"),(vcf_aware_wsa_result="Excluded")),"Cause: VCF Aware Workspace ONE Access Required",IF(wld_domain_chosen="Create New SSO Domain","Cause: This VVS is not validated in this release with Isolated VI Workload Domains",IF(iam_result="Excluded","Cause: Identity and Access Management Validated Solution Required",IF(mgmt_consolidated_result="Included","Note: Solution is optimized for Standard Architecture",IF(wld_domain_result="Excluded","Cause: Either Standard VI Workload Domain or Consolidated Management Domain Required",IF(private_cloud_chosen="Initial Deployment","Private Cloud Automation will be deployed","This instance will be connected to an existing Private Cloud Automation deployment")))))))))</f>
        <v>Cause: Not Selected. Private Cloud Automation will not be deployed</v>
      </c>
      <c r="M72" s="322" t="s">
        <v>73</v>
      </c>
      <c r="N72" s="322"/>
      <c r="O72" s="322"/>
    </row>
    <row r="73" spans="2:15" s="106" customFormat="1" ht="20" customHeight="1">
      <c r="B73" s="362"/>
      <c r="C73" s="355"/>
      <c r="D73" s="356"/>
      <c r="E73" s="356"/>
      <c r="F73" s="357"/>
      <c r="H73" s="11" t="s">
        <v>14</v>
      </c>
      <c r="I73" s="298" t="s">
        <v>71</v>
      </c>
      <c r="J73" s="12" t="str">
        <f>IF(spr_chosen="Exclude","Excluded",IF(AND(wld_multirack_result="Included",spr_chosen&lt;&gt;"Management Only"),"Excluded",
IF(mgmt_domain_chosen="First Domain",IF(spr_chosen="Management Only",IF(first_domain_mgmt_only_viable="True","Included","Excluded"),
IF(wld_domain_chosen="Create New SSO Domain","Excluded",IF(spr_chosen="VI Workload Only",IF(vi_only_viable="True","Included","Excluded"),IF(first_domain_mgmt_vi_viable="True","Included","Excluded")))),
IF(spr_chosen="Management Only",IF(non_first_domain_mgmt_only_viable="True","Included","Excluded"),
IF(wld_domain_chosen="Create New SSO Domain","Excluded",IF(spr_chosen="VI Workload Only",IF(vi_only_viable="True","Included","Excluded"),IF(non_first_domain_mgmt_vi_viable="True","Included","Excluded")))))))</f>
        <v>Excluded</v>
      </c>
      <c r="K73" s="158" t="str">
        <f>IF(spr_chosen="Exclude","Cause: Not Selected. Site Protection &amp; Disaster Recovery will not be deployed",IF(AND(wld_multirack_result&lt;&gt;"Excluded",spr_chosen&lt;&gt;"Management Only"),"Cause: Multirack is not supported with Site Protection &amp; Disaster Recovery",
IF(mgmt_domain_chosen="First Domain",IF(spr_chosen="Management Only",IF(first_domain_mgmt_only_viable="True","Protected Site for Management Domain will be deployed",IF(mgmt_nsxt_federation_result="Excluded","Cause: NSX Federation for Management Domain required","Cause: No Initial Deployment of Private Cloud Automation or Intelligent Operations Management to protect")),IF(spr_chosen="VI Workload Only",IF(vi_only_viable="True","Protected Site for VI Workload Domain will be deployed","Cause: Standard VI Workload Domain required"),IF(first_domain_mgmt_vi_viable="True","Protected Site for Management &amp; VI Workload Domains will be deployed",IF(mgmt_nsxt_federation_result="Excluded","Cause: NSX Federation for Management Domain required",IF(AND((iom_id_result="False"),(pca_id_result="False")),"Cause: No Initial Deployment of Private Cloud Automation or Intelligent Operations Management to protect","Cause: Standard VI Workload Domain required"))))),IF(spr_chosen="Management Only",IF(non_first_domain_mgmt_only_viable="True","Recovery Site for Management Domain will be deployed",IF(mgmt_nsxt_federation_result="Excluded","Cause: NSX Federation for Management Domain required","Cause: Recovery Site and Initial Deployment of Private Cloud Automation or Intelligent Operations Selected")),IF(spr_chosen="VI Workload Only",IF(vi_only_viable="True","Recovery Site for VI Workload Domain will be deployed","Cause: Standard VI Workload Domain required"),IF(non_first_domain_mgmt_vi_viable="True","Recovery Site for Management &amp; VI Workload Domains will be deployed",IF(mgmt_nsxt_federation_result="Excluded","Cause: NSX Federation for Management Domain required","Cause: Recovery Site and Initial Deployment of Private Cloud Automation or Intelligent Operations Selected")))))))</f>
        <v>Cause: Not Selected. Site Protection &amp; Disaster Recovery will not be deployed</v>
      </c>
      <c r="M73" s="322" t="s">
        <v>75</v>
      </c>
      <c r="N73" s="322"/>
      <c r="O73" s="322"/>
    </row>
    <row r="74" spans="2:15" s="106" customFormat="1" ht="20" customHeight="1">
      <c r="B74" s="362"/>
      <c r="C74" s="355"/>
      <c r="D74" s="356"/>
      <c r="E74" s="356"/>
      <c r="F74" s="357"/>
      <c r="H74" s="11" t="s">
        <v>14</v>
      </c>
      <c r="I74" s="298" t="s">
        <v>79</v>
      </c>
      <c r="J74" s="18" t="str">
        <f>IF(hrm_chosen="Exclude","Excluded",IF(intelligent_operations_result="Excluded","Excluded",IF(wld_domain_chosen="Create New SSO Domain","Excluded","Included")))</f>
        <v>Excluded</v>
      </c>
      <c r="K74" s="12" t="str">
        <f>IF(hrm_chosen="Exclude","Cause: Not Selected. Health Reporting and Monitoring will not be deployed",IF(intelligent_operations_result="Excluded","Cause: Intelligent Operations is not selected","Health Reporting and Monitoring will be deployed"))</f>
        <v>Cause: Not Selected. Health Reporting and Monitoring will not be deployed</v>
      </c>
      <c r="M74" s="322" t="s">
        <v>4917</v>
      </c>
      <c r="N74" s="322"/>
      <c r="O74" s="322"/>
    </row>
    <row r="75" spans="2:15" s="106" customFormat="1" ht="20" customHeight="1">
      <c r="B75" s="362"/>
      <c r="C75" s="355"/>
      <c r="D75" s="356"/>
      <c r="E75" s="356"/>
      <c r="F75" s="357"/>
      <c r="H75" s="14" t="s">
        <v>14</v>
      </c>
      <c r="I75" s="298" t="s">
        <v>3530</v>
      </c>
      <c r="J75" s="18" t="str">
        <f>IF(cbr_chosen="Exclude","Excluded","Included")</f>
        <v>Excluded</v>
      </c>
      <c r="K75" s="18" t="str">
        <f>IF(cbr_chosen="Exclude","Cause: Not Selected. Cloud-Based Ransomware Recovery will not be deployed","Cloud-Based Ransomware Recovery will be deployed")</f>
        <v>Cause: Not Selected. Cloud-Based Ransomware Recovery will not be deployed</v>
      </c>
      <c r="M75" s="322" t="s">
        <v>77</v>
      </c>
      <c r="N75" s="322"/>
      <c r="O75" s="322"/>
    </row>
    <row r="76" spans="2:15" s="106" customFormat="1" ht="20" customHeight="1">
      <c r="B76" s="363"/>
      <c r="C76" s="358"/>
      <c r="D76" s="359"/>
      <c r="E76" s="359"/>
      <c r="F76" s="360"/>
      <c r="H76" s="14" t="s">
        <v>14</v>
      </c>
      <c r="I76" s="298" t="s">
        <v>3154</v>
      </c>
      <c r="J76" s="18" t="str">
        <f>IF(ccm_chosen="Exclude","Excluded",IF(iam_result="Excluded","Excluded","Included"))</f>
        <v>Excluded</v>
      </c>
      <c r="K76" s="18" t="str">
        <f>IF(ccm_chosen="Exclude","Cause: Not Selected. Cross-Cloud Mobility will not be deployed",IF(iam_result="Excluded","Cause: Identity and Access Management Required","Cross-Cloud Mobility will be deployed"))</f>
        <v>Cause: Not Selected. Cross-Cloud Mobility will not be deployed</v>
      </c>
      <c r="M76" s="322" t="s">
        <v>78</v>
      </c>
      <c r="N76" s="322"/>
      <c r="O76" s="322"/>
    </row>
    <row r="77" spans="2:15" s="106" customFormat="1"/>
    <row r="78" spans="2:15" s="106" customFormat="1"/>
    <row r="79" spans="2:15" s="106" customFormat="1"/>
    <row r="80" spans="2:15" s="106" customFormat="1"/>
    <row r="81" s="106" customFormat="1"/>
    <row r="82" s="106" customFormat="1"/>
    <row r="83" s="106" customFormat="1"/>
    <row r="84" s="106" customFormat="1"/>
    <row r="85" s="106" customFormat="1"/>
    <row r="86" s="106" customFormat="1"/>
    <row r="87" s="106" customFormat="1"/>
    <row r="88" s="106" customFormat="1"/>
    <row r="89" s="106" customFormat="1"/>
    <row r="90" s="106" customFormat="1"/>
    <row r="91" s="106" customFormat="1"/>
    <row r="92" s="106" customFormat="1"/>
    <row r="93" s="106" customFormat="1"/>
    <row r="94" s="106" customFormat="1"/>
    <row r="95" s="106" customFormat="1"/>
    <row r="96" s="106" customFormat="1"/>
    <row r="97" s="106" customFormat="1"/>
    <row r="98" s="106" customFormat="1"/>
    <row r="99" s="106" customFormat="1"/>
    <row r="100" s="106" customFormat="1"/>
    <row r="101" s="106" customFormat="1"/>
    <row r="102" s="106" customFormat="1"/>
    <row r="103" s="106" customFormat="1"/>
    <row r="104" s="106" customFormat="1"/>
    <row r="105" s="106" customFormat="1"/>
    <row r="106" s="106" customFormat="1"/>
    <row r="107" s="106" customFormat="1"/>
    <row r="108" s="106" customFormat="1"/>
    <row r="109" s="106" customFormat="1"/>
    <row r="110" s="106" customFormat="1"/>
    <row r="111" s="106" customFormat="1"/>
    <row r="112" s="106" customFormat="1"/>
    <row r="113" s="106" customFormat="1"/>
    <row r="114" s="106" customFormat="1"/>
    <row r="115" s="106" customFormat="1"/>
    <row r="116" s="106" customFormat="1"/>
    <row r="117" s="106" customFormat="1"/>
    <row r="118" s="106" customFormat="1"/>
    <row r="119" s="106" customFormat="1"/>
    <row r="120" s="106" customFormat="1"/>
    <row r="121" s="106" customFormat="1"/>
    <row r="122" s="106" customFormat="1"/>
    <row r="123" s="106" customFormat="1"/>
    <row r="124" s="106" customFormat="1"/>
    <row r="125" s="106" customFormat="1"/>
    <row r="126" s="106" customFormat="1"/>
    <row r="127" s="106" customFormat="1"/>
    <row r="128" s="106" customFormat="1"/>
    <row r="129" s="106" customFormat="1"/>
    <row r="130" s="106" customFormat="1"/>
    <row r="131" s="106" customFormat="1"/>
    <row r="132" s="106" customFormat="1"/>
    <row r="133" s="106" customFormat="1"/>
    <row r="134" s="106" customFormat="1"/>
    <row r="135" s="106" customFormat="1"/>
    <row r="136" s="106" customFormat="1"/>
    <row r="137" s="106" customFormat="1"/>
    <row r="138" s="106" customFormat="1"/>
    <row r="139" s="106" customFormat="1"/>
    <row r="140" s="106" customFormat="1"/>
    <row r="141" s="106" customFormat="1"/>
    <row r="142" s="106" customFormat="1"/>
    <row r="143" s="106" customFormat="1"/>
    <row r="144" s="106" customFormat="1"/>
    <row r="145" s="106" customFormat="1"/>
    <row r="146" s="106" customFormat="1"/>
    <row r="147" s="106" customFormat="1"/>
    <row r="148" s="106" customFormat="1"/>
    <row r="149" s="106" customFormat="1"/>
    <row r="150" s="106" customFormat="1"/>
    <row r="151" s="106" customFormat="1"/>
    <row r="152" s="106" customFormat="1"/>
    <row r="153" s="106" customFormat="1"/>
    <row r="154" s="106" customFormat="1"/>
    <row r="155" s="106" customFormat="1"/>
    <row r="156" s="106" customFormat="1"/>
    <row r="157" s="106" customFormat="1"/>
    <row r="158" s="106" customFormat="1"/>
    <row r="159" s="106" customFormat="1"/>
    <row r="160" s="106" customFormat="1"/>
    <row r="161" s="106" customFormat="1"/>
    <row r="162" s="106" customFormat="1"/>
    <row r="163" s="106" customFormat="1"/>
    <row r="164" s="106" customFormat="1"/>
    <row r="165" s="106" customFormat="1"/>
    <row r="166" s="106" customFormat="1"/>
    <row r="167" s="106" customFormat="1"/>
    <row r="168" s="106" customFormat="1"/>
    <row r="169" s="106" customFormat="1"/>
    <row r="170" s="106" customFormat="1"/>
    <row r="171" s="106" customFormat="1"/>
    <row r="172" s="106" customFormat="1"/>
    <row r="173" s="106" customFormat="1"/>
    <row r="174" s="106" customFormat="1"/>
    <row r="175" s="106" customFormat="1"/>
    <row r="176" s="106" customFormat="1"/>
    <row r="177" s="106" customFormat="1"/>
    <row r="178" s="106" customFormat="1"/>
    <row r="179" s="106" customFormat="1"/>
    <row r="180" s="106" customFormat="1"/>
    <row r="181" s="106" customFormat="1"/>
    <row r="182" s="106" customFormat="1"/>
    <row r="183" s="106" customFormat="1"/>
    <row r="184" s="106" customFormat="1"/>
    <row r="185" s="106" customFormat="1"/>
    <row r="186" s="106" customFormat="1"/>
    <row r="187" s="106" customFormat="1"/>
    <row r="188" s="106" customFormat="1"/>
    <row r="189" s="106" customFormat="1"/>
    <row r="190" s="106" customFormat="1"/>
    <row r="191" s="106" customFormat="1"/>
    <row r="192" s="106" customFormat="1"/>
    <row r="193" s="106" customFormat="1"/>
    <row r="194" s="106" customFormat="1"/>
    <row r="195" s="106" customFormat="1"/>
    <row r="196" s="106" customFormat="1"/>
    <row r="197" s="106" customFormat="1"/>
    <row r="198" s="106" customFormat="1"/>
    <row r="199" s="106" customFormat="1"/>
    <row r="200" s="106" customFormat="1"/>
    <row r="201" s="106" customFormat="1"/>
    <row r="202" s="106" customFormat="1"/>
    <row r="203" s="106" customFormat="1"/>
    <row r="204" s="106" customFormat="1"/>
    <row r="205" s="106" customFormat="1"/>
    <row r="206" s="106" customFormat="1"/>
    <row r="207" s="106" customFormat="1"/>
    <row r="208" s="106" customFormat="1"/>
    <row r="209" s="106" customFormat="1"/>
    <row r="210" s="106" customFormat="1"/>
    <row r="211" s="106" customFormat="1"/>
    <row r="212" s="106" customFormat="1"/>
    <row r="213" s="106" customFormat="1"/>
    <row r="214" s="106" customFormat="1"/>
    <row r="215" s="106" customFormat="1"/>
    <row r="216" s="106" customFormat="1"/>
    <row r="217" s="106" customFormat="1"/>
    <row r="218" s="106" customFormat="1"/>
    <row r="219" s="106" customFormat="1"/>
    <row r="220" s="106" customFormat="1"/>
    <row r="221" s="106" customFormat="1"/>
    <row r="222" s="106" customFormat="1"/>
    <row r="223" s="106" customFormat="1"/>
    <row r="224" s="106" customFormat="1"/>
    <row r="225" s="106" customFormat="1"/>
    <row r="226" s="106" customFormat="1"/>
    <row r="227" s="106" customFormat="1"/>
    <row r="228" s="106" customFormat="1"/>
    <row r="229" s="106" customFormat="1"/>
    <row r="230" s="106" customFormat="1"/>
    <row r="231" s="106" customFormat="1"/>
    <row r="232" s="106" customFormat="1"/>
    <row r="233" s="106" customFormat="1"/>
    <row r="234" s="106" customFormat="1"/>
    <row r="235" s="106" customFormat="1"/>
    <row r="236" s="106" customFormat="1"/>
    <row r="237" s="106" customFormat="1"/>
    <row r="238" s="106" customFormat="1"/>
    <row r="239" s="106" customFormat="1"/>
    <row r="240" s="106" customFormat="1"/>
    <row r="241" s="106" customFormat="1"/>
    <row r="242" s="106" customFormat="1"/>
    <row r="243" s="106" customFormat="1"/>
    <row r="244" s="106" customFormat="1"/>
    <row r="245" s="106" customFormat="1"/>
    <row r="246" s="106" customFormat="1"/>
    <row r="247" s="106" customFormat="1"/>
    <row r="248" s="106" customFormat="1"/>
    <row r="249" s="106" customFormat="1"/>
    <row r="250" s="106" customFormat="1"/>
    <row r="251" s="106" customFormat="1"/>
    <row r="252" s="106" customFormat="1"/>
    <row r="253" s="106" customFormat="1"/>
    <row r="254" s="106" customFormat="1"/>
    <row r="255" s="106" customFormat="1"/>
    <row r="256" s="106" customFormat="1"/>
    <row r="257" s="106" customFormat="1"/>
    <row r="258" s="106" customFormat="1"/>
    <row r="259" s="106" customFormat="1"/>
    <row r="260" s="106" customFormat="1"/>
    <row r="261" s="106" customFormat="1"/>
    <row r="262" s="106" customFormat="1"/>
    <row r="263" s="106" customFormat="1"/>
    <row r="264" s="106" customFormat="1"/>
    <row r="265" s="106" customFormat="1"/>
    <row r="266" s="106" customFormat="1"/>
    <row r="267" s="106" customFormat="1"/>
    <row r="268" s="106" customFormat="1"/>
    <row r="269" s="106" customFormat="1"/>
    <row r="270" s="106" customFormat="1"/>
    <row r="271" s="106" customFormat="1"/>
    <row r="272" s="106" customFormat="1"/>
    <row r="273" s="106" customFormat="1"/>
    <row r="274" s="106" customFormat="1"/>
    <row r="275" s="106" customFormat="1"/>
    <row r="276" s="106" customFormat="1"/>
    <row r="277" s="106" customFormat="1"/>
    <row r="278" s="106" customFormat="1"/>
    <row r="279" s="106" customFormat="1"/>
    <row r="280" s="106" customFormat="1"/>
    <row r="281" s="106" customFormat="1"/>
    <row r="282" s="106" customFormat="1"/>
    <row r="283" s="106" customFormat="1"/>
    <row r="284" s="106" customFormat="1"/>
    <row r="285" s="106" customFormat="1"/>
    <row r="286" s="106" customFormat="1"/>
    <row r="287" s="106" customFormat="1"/>
    <row r="288" s="106" customFormat="1"/>
    <row r="289" s="106" customFormat="1"/>
    <row r="290" s="106" customFormat="1"/>
    <row r="291" s="106" customFormat="1"/>
    <row r="292" s="106" customFormat="1"/>
    <row r="293" s="106" customFormat="1"/>
    <row r="294" s="106" customFormat="1"/>
    <row r="295" s="106" customFormat="1"/>
    <row r="296" s="106" customFormat="1"/>
    <row r="297" s="106" customFormat="1"/>
    <row r="298" s="106" customFormat="1"/>
    <row r="299" s="106" customFormat="1"/>
    <row r="300" s="106" customFormat="1"/>
    <row r="301" s="106" customFormat="1"/>
    <row r="302" s="106" customFormat="1"/>
    <row r="303" s="106" customFormat="1"/>
    <row r="304" s="106" customFormat="1"/>
    <row r="305" s="106" customFormat="1"/>
    <row r="306" s="106" customFormat="1"/>
    <row r="307" s="106" customFormat="1"/>
    <row r="308" s="106" customFormat="1"/>
    <row r="309" s="106" customFormat="1"/>
    <row r="310" s="106" customFormat="1"/>
    <row r="311" s="106" customFormat="1"/>
    <row r="312" s="106" customFormat="1"/>
    <row r="313" s="106" customFormat="1"/>
    <row r="314" s="106" customFormat="1"/>
    <row r="315" s="106" customFormat="1"/>
    <row r="316" s="106" customFormat="1"/>
    <row r="317" s="106" customFormat="1"/>
    <row r="318" s="106" customFormat="1"/>
    <row r="319" s="106" customFormat="1"/>
    <row r="320" s="106" customFormat="1"/>
    <row r="321" s="106" customFormat="1"/>
    <row r="322" s="106" customFormat="1"/>
    <row r="323" s="106" customFormat="1"/>
    <row r="324" s="106" customFormat="1"/>
    <row r="325" s="106" customFormat="1"/>
    <row r="326" s="106" customFormat="1"/>
    <row r="327" s="106" customFormat="1"/>
    <row r="328" s="106" customFormat="1"/>
    <row r="329" s="106" customFormat="1"/>
    <row r="330" s="106" customFormat="1"/>
    <row r="331" s="106" customFormat="1"/>
    <row r="332" s="106" customFormat="1"/>
    <row r="333" s="106" customFormat="1"/>
    <row r="334" s="106" customFormat="1"/>
    <row r="335" s="106" customFormat="1"/>
    <row r="336" s="106" customFormat="1"/>
    <row r="337" s="106" customFormat="1"/>
    <row r="338" s="106" customFormat="1"/>
    <row r="339" s="106" customFormat="1"/>
    <row r="340" s="106" customFormat="1"/>
    <row r="341" s="106" customFormat="1"/>
    <row r="342" s="106" customFormat="1"/>
    <row r="343" s="106" customFormat="1"/>
    <row r="344" s="106" customFormat="1"/>
    <row r="345" s="106" customFormat="1"/>
    <row r="346" s="106" customFormat="1"/>
    <row r="347" s="106" customFormat="1"/>
    <row r="348" s="106" customFormat="1"/>
    <row r="349" s="106" customFormat="1"/>
    <row r="350" s="106" customFormat="1"/>
    <row r="351" s="106" customFormat="1"/>
    <row r="352" s="106" customFormat="1"/>
    <row r="353" s="106" customFormat="1"/>
    <row r="354" s="106" customFormat="1"/>
    <row r="355" s="106" customFormat="1"/>
    <row r="356" s="106" customFormat="1"/>
    <row r="357" s="106" customFormat="1"/>
    <row r="358" s="106" customFormat="1"/>
    <row r="359" s="106" customFormat="1"/>
    <row r="360" s="106" customFormat="1"/>
    <row r="361" s="106" customFormat="1"/>
    <row r="362" s="106" customFormat="1"/>
    <row r="363" s="106" customFormat="1"/>
    <row r="364" s="106" customFormat="1"/>
    <row r="365" s="106" customFormat="1"/>
    <row r="366" s="106" customFormat="1"/>
    <row r="367" s="106" customFormat="1"/>
    <row r="368" s="106" customFormat="1"/>
    <row r="369" s="106" customFormat="1"/>
    <row r="370" s="106" customFormat="1"/>
    <row r="371" s="106" customFormat="1"/>
    <row r="372" s="106" customFormat="1"/>
    <row r="373" s="106" customFormat="1"/>
    <row r="374" s="106" customFormat="1"/>
    <row r="375" s="106" customFormat="1"/>
    <row r="376" s="106" customFormat="1"/>
    <row r="377" s="106" customFormat="1"/>
    <row r="378" s="106" customFormat="1"/>
    <row r="379" s="106" customFormat="1"/>
    <row r="380" s="106" customFormat="1"/>
    <row r="381" s="106" customFormat="1"/>
    <row r="382" s="106" customFormat="1"/>
    <row r="383" s="106" customFormat="1"/>
    <row r="384" s="106" customFormat="1"/>
    <row r="385" s="106" customFormat="1"/>
    <row r="386" s="106" customFormat="1"/>
    <row r="387" s="106" customFormat="1"/>
    <row r="388" s="106" customFormat="1"/>
    <row r="389" s="106" customFormat="1"/>
    <row r="390" s="106" customFormat="1"/>
    <row r="391" s="106" customFormat="1"/>
    <row r="392" s="106" customFormat="1"/>
    <row r="393" s="106" customFormat="1"/>
    <row r="394" s="106" customFormat="1"/>
    <row r="395" s="106" customFormat="1"/>
    <row r="396" s="106" customFormat="1"/>
    <row r="397" s="106" customFormat="1"/>
    <row r="398" s="106" customFormat="1"/>
    <row r="399" s="106" customFormat="1"/>
    <row r="400" s="106" customFormat="1"/>
    <row r="401" s="106" customFormat="1"/>
    <row r="402" s="106" customFormat="1"/>
    <row r="403" s="106" customFormat="1"/>
    <row r="404" s="106" customFormat="1"/>
    <row r="405" s="106" customFormat="1"/>
    <row r="406" s="106" customFormat="1"/>
    <row r="407" s="106" customFormat="1"/>
    <row r="408" s="106" customFormat="1"/>
    <row r="409" s="106" customFormat="1"/>
    <row r="410" s="106" customFormat="1"/>
    <row r="411" s="106" customFormat="1"/>
    <row r="412" s="106" customFormat="1"/>
    <row r="413" s="106" customFormat="1"/>
    <row r="414" s="106" customFormat="1"/>
    <row r="415" s="106" customFormat="1"/>
    <row r="416" s="106" customFormat="1"/>
    <row r="417" s="106" customFormat="1"/>
    <row r="418" s="106" customFormat="1"/>
    <row r="419" s="106" customFormat="1"/>
    <row r="420" s="106" customFormat="1"/>
    <row r="421" s="106" customFormat="1"/>
    <row r="422" s="106" customFormat="1"/>
    <row r="423" s="106" customFormat="1"/>
    <row r="424" s="106" customFormat="1"/>
    <row r="425" s="106" customFormat="1"/>
    <row r="426" s="106" customFormat="1"/>
    <row r="427" s="106" customFormat="1"/>
    <row r="428" s="106" customFormat="1"/>
    <row r="429" s="106" customFormat="1"/>
    <row r="430" s="106" customFormat="1"/>
    <row r="431" s="106" customFormat="1"/>
    <row r="432" s="106" customFormat="1"/>
    <row r="433" s="106" customFormat="1"/>
    <row r="434" s="106" customFormat="1"/>
    <row r="435" s="106" customFormat="1"/>
    <row r="436" s="106" customFormat="1"/>
    <row r="437" s="106" customFormat="1"/>
    <row r="438" s="106" customFormat="1"/>
    <row r="439" s="106" customFormat="1"/>
    <row r="440" s="106" customFormat="1"/>
    <row r="441" s="106" customFormat="1"/>
    <row r="442" s="106" customFormat="1"/>
    <row r="443" s="106" customFormat="1"/>
    <row r="444" s="106" customFormat="1"/>
    <row r="445" s="106" customFormat="1"/>
    <row r="446" s="106" customFormat="1"/>
    <row r="447" s="106" customFormat="1"/>
    <row r="448" s="106" customFormat="1"/>
    <row r="449" s="106" customFormat="1"/>
    <row r="450" s="106" customFormat="1"/>
    <row r="451" s="106" customFormat="1"/>
    <row r="452" s="106" customFormat="1"/>
    <row r="453" s="106" customFormat="1"/>
    <row r="454" s="106" customFormat="1"/>
    <row r="455" s="106" customFormat="1"/>
    <row r="456" s="106" customFormat="1"/>
    <row r="457" s="106" customFormat="1"/>
    <row r="458" s="106" customFormat="1"/>
    <row r="459" s="106" customFormat="1"/>
    <row r="460" s="106" customFormat="1"/>
    <row r="461" s="106" customFormat="1"/>
    <row r="462" s="106" customFormat="1"/>
    <row r="463" s="106" customFormat="1"/>
    <row r="464" s="106" customFormat="1"/>
    <row r="465" s="106" customFormat="1"/>
    <row r="466" s="106" customFormat="1"/>
    <row r="467" s="106" customFormat="1"/>
    <row r="468" s="106" customFormat="1"/>
    <row r="469" s="106" customFormat="1"/>
    <row r="470" s="106" customFormat="1"/>
    <row r="471" s="106" customFormat="1"/>
    <row r="472" s="106" customFormat="1"/>
    <row r="473" s="106" customFormat="1"/>
    <row r="474" s="106" customFormat="1"/>
    <row r="475" s="106" customFormat="1"/>
    <row r="476" s="106" customFormat="1"/>
    <row r="477" s="106" customFormat="1"/>
    <row r="478" s="106" customFormat="1"/>
    <row r="479" s="106" customFormat="1"/>
    <row r="480" s="106" customFormat="1"/>
    <row r="481" s="106" customFormat="1"/>
    <row r="482" s="106" customFormat="1"/>
    <row r="483" s="106" customFormat="1"/>
    <row r="484" s="106" customFormat="1"/>
    <row r="485" s="106" customFormat="1"/>
    <row r="486" s="106" customFormat="1"/>
    <row r="487" s="106" customFormat="1"/>
    <row r="488" s="106" customFormat="1"/>
    <row r="489" s="106" customFormat="1"/>
    <row r="490" s="106" customFormat="1"/>
    <row r="491" s="106" customFormat="1"/>
    <row r="492" s="106" customFormat="1"/>
    <row r="493" s="106" customFormat="1"/>
    <row r="494" s="106" customFormat="1"/>
    <row r="495" s="106" customFormat="1"/>
    <row r="496" s="106" customFormat="1"/>
    <row r="497" s="106" customFormat="1"/>
    <row r="498" s="106" customFormat="1"/>
    <row r="499" s="106" customFormat="1"/>
    <row r="500" s="106" customFormat="1"/>
    <row r="501" s="106" customFormat="1"/>
    <row r="502" s="106" customFormat="1"/>
    <row r="503" s="106" customFormat="1"/>
    <row r="504" s="106" customFormat="1"/>
    <row r="505" s="106" customFormat="1"/>
    <row r="506" s="106" customFormat="1"/>
    <row r="507" s="106" customFormat="1"/>
    <row r="508" s="106" customFormat="1"/>
    <row r="509" s="106" customFormat="1"/>
    <row r="510" s="106" customFormat="1"/>
    <row r="511" s="106" customFormat="1"/>
    <row r="512" s="106" customFormat="1"/>
    <row r="513" s="106" customFormat="1"/>
    <row r="514" s="106" customFormat="1"/>
    <row r="515" s="106" customFormat="1"/>
    <row r="516" s="106" customFormat="1"/>
    <row r="517" s="106" customFormat="1"/>
    <row r="518" s="106" customFormat="1"/>
    <row r="519" s="106" customFormat="1"/>
    <row r="520" s="106" customFormat="1"/>
    <row r="521" s="106" customFormat="1"/>
    <row r="522" s="106" customFormat="1"/>
    <row r="523" s="106" customFormat="1"/>
    <row r="524" s="106" customFormat="1"/>
    <row r="525" s="106" customFormat="1"/>
    <row r="526" s="106" customFormat="1"/>
    <row r="527" s="106" customFormat="1"/>
    <row r="528" s="106" customFormat="1"/>
    <row r="529" s="106" customFormat="1"/>
    <row r="530" s="106" customFormat="1"/>
    <row r="531" s="106" customFormat="1"/>
    <row r="532" s="106" customFormat="1"/>
    <row r="533" s="106" customFormat="1"/>
    <row r="534" s="106" customFormat="1"/>
    <row r="535" s="106" customFormat="1"/>
    <row r="536" s="106" customFormat="1"/>
    <row r="537" s="106" customFormat="1"/>
    <row r="538" s="106" customFormat="1"/>
    <row r="539" s="106" customFormat="1"/>
    <row r="540" s="106" customFormat="1"/>
    <row r="541" s="106" customFormat="1"/>
    <row r="542" s="106" customFormat="1"/>
    <row r="543" s="106" customFormat="1"/>
    <row r="544" s="106" customFormat="1"/>
    <row r="545" s="106" customFormat="1"/>
    <row r="546" s="106" customFormat="1"/>
    <row r="547" s="106" customFormat="1"/>
    <row r="548" s="106" customFormat="1"/>
    <row r="549" s="106" customFormat="1"/>
    <row r="550" s="106" customFormat="1"/>
    <row r="551" s="106" customFormat="1"/>
    <row r="552" s="106" customFormat="1"/>
    <row r="553" s="106" customFormat="1"/>
    <row r="554" s="106" customFormat="1"/>
    <row r="555" s="106" customFormat="1"/>
    <row r="556" s="106" customFormat="1"/>
    <row r="557" s="106" customFormat="1"/>
    <row r="558" s="106" customFormat="1"/>
    <row r="559" s="106" customFormat="1"/>
    <row r="560" s="106" customFormat="1"/>
    <row r="561" s="106" customFormat="1"/>
    <row r="562" s="106" customFormat="1"/>
    <row r="563" s="106" customFormat="1"/>
    <row r="564" s="106" customFormat="1"/>
    <row r="565" s="106" customFormat="1"/>
    <row r="566" s="106" customFormat="1"/>
    <row r="567" s="106" customFormat="1"/>
    <row r="568" s="106" customFormat="1"/>
    <row r="569" s="106" customFormat="1"/>
    <row r="570" s="106" customFormat="1"/>
    <row r="571" s="106" customFormat="1"/>
    <row r="572" s="106" customFormat="1"/>
    <row r="573" s="106" customFormat="1"/>
    <row r="574" s="106" customFormat="1"/>
    <row r="575" s="106" customFormat="1"/>
    <row r="576" s="106" customFormat="1"/>
    <row r="577" s="106" customFormat="1"/>
    <row r="578" s="106" customFormat="1"/>
    <row r="579" s="106" customFormat="1"/>
    <row r="580" s="106" customFormat="1"/>
    <row r="581" s="106" customFormat="1"/>
    <row r="582" s="106" customFormat="1"/>
    <row r="583" s="106" customFormat="1"/>
    <row r="584" s="106" customFormat="1"/>
    <row r="585" s="106" customFormat="1"/>
    <row r="586" s="106" customFormat="1"/>
    <row r="587" s="106" customFormat="1"/>
    <row r="588" s="106" customFormat="1"/>
    <row r="589" s="106" customFormat="1"/>
    <row r="590" s="106" customFormat="1"/>
    <row r="591" s="106" customFormat="1"/>
    <row r="592" s="106" customFormat="1"/>
    <row r="593" s="106" customFormat="1"/>
    <row r="594" s="106" customFormat="1"/>
    <row r="595" s="106" customFormat="1"/>
    <row r="596" s="106" customFormat="1"/>
    <row r="597" s="106" customFormat="1"/>
    <row r="598" s="106" customFormat="1"/>
    <row r="599" s="106" customFormat="1"/>
    <row r="600" s="106" customFormat="1"/>
    <row r="601" s="106" customFormat="1"/>
    <row r="602" s="106" customFormat="1"/>
    <row r="603" s="106" customFormat="1"/>
    <row r="604" s="106" customFormat="1"/>
    <row r="605" s="106" customFormat="1"/>
    <row r="606" s="106" customFormat="1"/>
    <row r="607" s="106" customFormat="1"/>
    <row r="608" s="106" customFormat="1"/>
    <row r="609" s="106" customFormat="1"/>
    <row r="610" s="106" customFormat="1"/>
    <row r="611" s="106" customFormat="1"/>
    <row r="612" s="106" customFormat="1"/>
    <row r="613" s="106" customFormat="1"/>
    <row r="614" s="106" customFormat="1"/>
    <row r="615" s="106" customFormat="1"/>
    <row r="616" s="106" customFormat="1"/>
    <row r="617" s="106" customFormat="1"/>
    <row r="618" s="106" customFormat="1"/>
    <row r="619" s="106" customFormat="1"/>
    <row r="620" s="106" customFormat="1"/>
    <row r="621" s="106" customFormat="1"/>
    <row r="622" s="106" customFormat="1"/>
    <row r="623" s="106" customFormat="1"/>
    <row r="624" s="106" customFormat="1"/>
    <row r="625" s="106" customFormat="1"/>
    <row r="626" s="106" customFormat="1"/>
    <row r="627" s="106" customFormat="1"/>
    <row r="628" s="106" customFormat="1"/>
    <row r="629" s="106" customFormat="1"/>
    <row r="630" s="106" customFormat="1"/>
    <row r="631" s="106" customFormat="1"/>
    <row r="632" s="106" customFormat="1"/>
    <row r="633" s="106" customFormat="1"/>
    <row r="634" s="106" customFormat="1"/>
    <row r="635" s="106" customFormat="1"/>
    <row r="636" s="106" customFormat="1"/>
    <row r="637" s="106" customFormat="1"/>
    <row r="638" s="106" customFormat="1"/>
    <row r="639" s="106" customFormat="1"/>
    <row r="640" s="106" customFormat="1"/>
    <row r="641" s="106" customFormat="1"/>
    <row r="642" s="106" customFormat="1"/>
    <row r="643" s="106" customFormat="1"/>
    <row r="644" s="106" customFormat="1"/>
    <row r="645" s="106" customFormat="1"/>
    <row r="646" s="106" customFormat="1"/>
    <row r="647" s="106" customFormat="1"/>
    <row r="648" s="106" customFormat="1"/>
    <row r="649" s="106" customFormat="1"/>
    <row r="650" s="106" customFormat="1"/>
    <row r="651" s="106" customFormat="1"/>
    <row r="652" s="106" customFormat="1"/>
    <row r="653" s="106" customFormat="1"/>
    <row r="654" s="106" customFormat="1"/>
    <row r="655" s="106" customFormat="1"/>
    <row r="656" s="106" customFormat="1"/>
    <row r="657" s="106" customFormat="1"/>
    <row r="658" s="106" customFormat="1"/>
    <row r="659" s="106" customFormat="1"/>
    <row r="660" s="106" customFormat="1"/>
    <row r="661" s="106" customFormat="1"/>
    <row r="662" s="106" customFormat="1"/>
    <row r="663" s="106" customFormat="1"/>
    <row r="664" s="106" customFormat="1"/>
    <row r="665" s="106" customFormat="1"/>
    <row r="666" s="106" customFormat="1"/>
    <row r="667" s="106" customFormat="1"/>
    <row r="668" s="106" customFormat="1"/>
    <row r="669" s="106" customFormat="1"/>
    <row r="670" s="106" customFormat="1"/>
    <row r="671" s="106" customFormat="1"/>
    <row r="672" s="106" customFormat="1"/>
    <row r="673" s="106" customFormat="1"/>
    <row r="674" s="106" customFormat="1"/>
    <row r="675" s="106" customFormat="1"/>
    <row r="676" s="106" customFormat="1"/>
    <row r="677" s="106" customFormat="1"/>
    <row r="678" s="106" customFormat="1"/>
    <row r="679" s="106" customFormat="1"/>
    <row r="680" s="106" customFormat="1"/>
    <row r="681" s="106" customFormat="1"/>
    <row r="682" s="106" customFormat="1"/>
    <row r="683" s="106" customFormat="1"/>
    <row r="684" s="106" customFormat="1"/>
    <row r="685" s="106" customFormat="1"/>
    <row r="686" s="106" customFormat="1"/>
    <row r="687" s="106" customFormat="1"/>
    <row r="688" s="106" customFormat="1"/>
    <row r="689" s="106" customFormat="1"/>
    <row r="690" s="106" customFormat="1"/>
    <row r="691" s="106" customFormat="1"/>
    <row r="692" s="106" customFormat="1"/>
    <row r="693" s="106" customFormat="1"/>
    <row r="694" s="106" customFormat="1"/>
    <row r="695" s="106" customFormat="1"/>
    <row r="696" s="106" customFormat="1"/>
    <row r="697" s="106" customFormat="1"/>
    <row r="698" s="106" customFormat="1"/>
    <row r="699" s="106" customFormat="1"/>
    <row r="700" s="106" customFormat="1"/>
    <row r="701" s="106" customFormat="1"/>
    <row r="702" s="106" customFormat="1"/>
    <row r="703" s="106" customFormat="1"/>
    <row r="704" s="106" customFormat="1"/>
    <row r="705" s="106" customFormat="1"/>
    <row r="706" s="106" customFormat="1"/>
    <row r="707" s="106" customFormat="1"/>
    <row r="708" s="106" customFormat="1"/>
    <row r="709" s="106" customFormat="1"/>
    <row r="710" s="106" customFormat="1"/>
    <row r="711" s="106" customFormat="1"/>
    <row r="712" s="106" customFormat="1"/>
    <row r="713" s="106" customFormat="1"/>
    <row r="714" s="106" customFormat="1"/>
    <row r="715" s="106" customFormat="1"/>
    <row r="716" s="106" customFormat="1"/>
    <row r="717" s="106" customFormat="1"/>
    <row r="718" s="106" customFormat="1"/>
    <row r="719" s="106" customFormat="1"/>
    <row r="720" s="106" customFormat="1"/>
    <row r="721" s="106" customFormat="1"/>
    <row r="722" s="106" customFormat="1"/>
    <row r="723" s="106" customFormat="1"/>
    <row r="724" s="106" customFormat="1"/>
    <row r="725" s="106" customFormat="1"/>
    <row r="726" s="106" customFormat="1"/>
    <row r="727" s="106" customFormat="1"/>
    <row r="728" s="106" customFormat="1"/>
    <row r="729" s="106" customFormat="1"/>
    <row r="730" s="106" customFormat="1"/>
    <row r="731" s="106" customFormat="1"/>
    <row r="732" s="106" customFormat="1"/>
    <row r="733" s="106" customFormat="1"/>
    <row r="734" s="106" customFormat="1"/>
    <row r="735" s="106" customFormat="1"/>
    <row r="736" s="106" customFormat="1"/>
    <row r="737" s="106" customFormat="1"/>
    <row r="738" s="106" customFormat="1"/>
    <row r="739" s="106" customFormat="1"/>
    <row r="740" s="106" customFormat="1"/>
    <row r="741" s="106" customFormat="1"/>
    <row r="742" s="106" customFormat="1"/>
    <row r="743" s="106" customFormat="1"/>
    <row r="744" s="106" customFormat="1"/>
    <row r="745" s="106" customFormat="1"/>
    <row r="746" s="106" customFormat="1"/>
    <row r="747" s="106" customFormat="1"/>
    <row r="748" s="106" customFormat="1"/>
    <row r="749" s="106" customFormat="1"/>
    <row r="750" s="106" customFormat="1"/>
    <row r="751" s="106" customFormat="1"/>
    <row r="752" s="106" customFormat="1"/>
    <row r="753" s="106" customFormat="1"/>
    <row r="754" s="106" customFormat="1"/>
    <row r="755" s="106" customFormat="1"/>
    <row r="756" s="106" customFormat="1"/>
    <row r="757" s="106" customFormat="1"/>
    <row r="758" s="106" customFormat="1"/>
    <row r="759" s="106" customFormat="1"/>
    <row r="760" s="106" customFormat="1"/>
    <row r="761" s="106" customFormat="1"/>
    <row r="762" s="106" customFormat="1"/>
    <row r="763" s="106" customFormat="1"/>
    <row r="764" s="106" customFormat="1"/>
    <row r="765" s="106" customFormat="1"/>
    <row r="766" s="106" customFormat="1"/>
    <row r="767" s="106" customFormat="1"/>
    <row r="768" s="106" customFormat="1"/>
    <row r="769" s="106" customFormat="1"/>
    <row r="770" s="106" customFormat="1"/>
    <row r="771" s="106" customFormat="1"/>
    <row r="772" s="106" customFormat="1"/>
    <row r="773" s="106" customFormat="1"/>
    <row r="774" s="106" customFormat="1"/>
    <row r="775" s="106" customFormat="1"/>
    <row r="776" s="106" customFormat="1"/>
    <row r="777" s="106" customFormat="1"/>
    <row r="778" s="106" customFormat="1"/>
    <row r="779" s="106" customFormat="1"/>
    <row r="780" s="106" customFormat="1"/>
    <row r="781" s="106" customFormat="1"/>
    <row r="782" s="106" customFormat="1"/>
    <row r="783" s="106" customFormat="1"/>
    <row r="784" s="106" customFormat="1"/>
    <row r="785" s="106" customFormat="1"/>
    <row r="786" s="106" customFormat="1"/>
    <row r="787" s="106" customFormat="1"/>
    <row r="788" s="106" customFormat="1"/>
    <row r="789" s="106" customFormat="1"/>
    <row r="790" s="106" customFormat="1"/>
    <row r="791" s="106" customFormat="1"/>
    <row r="792" s="106" customFormat="1"/>
    <row r="793" s="106" customFormat="1"/>
    <row r="794" s="106" customFormat="1"/>
    <row r="795" s="106" customFormat="1"/>
    <row r="796" s="106" customFormat="1"/>
    <row r="797" s="106" customFormat="1"/>
    <row r="798" s="106" customFormat="1"/>
    <row r="799" s="106" customFormat="1"/>
    <row r="800" s="106" customFormat="1"/>
    <row r="801" s="106" customFormat="1"/>
    <row r="802" s="106" customFormat="1"/>
    <row r="803" s="106" customFormat="1"/>
    <row r="804" s="106" customFormat="1"/>
    <row r="805" s="106" customFormat="1"/>
    <row r="806" s="106" customFormat="1"/>
    <row r="807" s="106" customFormat="1"/>
    <row r="808" s="106" customFormat="1"/>
    <row r="809" s="106" customFormat="1"/>
    <row r="810" s="106" customFormat="1"/>
    <row r="811" s="106" customFormat="1"/>
    <row r="812" s="106" customFormat="1"/>
    <row r="813" s="106" customFormat="1"/>
    <row r="814" s="106" customFormat="1"/>
    <row r="815" s="106" customFormat="1"/>
    <row r="816" s="106" customFormat="1"/>
    <row r="817" s="106" customFormat="1"/>
    <row r="818" s="106" customFormat="1"/>
    <row r="819" s="106" customFormat="1"/>
    <row r="820" s="106" customFormat="1"/>
    <row r="821" s="106" customFormat="1"/>
    <row r="822" s="106" customFormat="1"/>
    <row r="823" s="106" customFormat="1"/>
    <row r="824" s="106" customFormat="1"/>
    <row r="825" s="106" customFormat="1"/>
    <row r="826" s="106" customFormat="1"/>
    <row r="827" s="106" customFormat="1"/>
    <row r="828" s="106" customFormat="1"/>
    <row r="829" s="106" customFormat="1"/>
    <row r="830" s="106" customFormat="1"/>
    <row r="831" s="106" customFormat="1"/>
    <row r="832" s="106" customFormat="1"/>
    <row r="833" s="106" customFormat="1"/>
    <row r="834" s="106" customFormat="1"/>
    <row r="835" s="106" customFormat="1"/>
    <row r="836" s="106" customFormat="1"/>
    <row r="837" s="106" customFormat="1"/>
    <row r="838" s="106" customFormat="1"/>
    <row r="839" s="106" customFormat="1"/>
    <row r="840" s="106" customFormat="1"/>
    <row r="841" s="106" customFormat="1"/>
    <row r="842" s="106" customFormat="1"/>
    <row r="843" s="106" customFormat="1"/>
    <row r="844" s="106" customFormat="1"/>
    <row r="845" s="106" customFormat="1"/>
    <row r="846" s="106" customFormat="1"/>
    <row r="847" s="106" customFormat="1"/>
    <row r="848" s="106" customFormat="1"/>
    <row r="849" s="106" customFormat="1"/>
    <row r="850" s="106" customFormat="1"/>
    <row r="851" s="106" customFormat="1"/>
    <row r="852" s="106" customFormat="1"/>
    <row r="853" s="106" customFormat="1"/>
    <row r="854" s="106" customFormat="1"/>
    <row r="855" s="106" customFormat="1"/>
    <row r="856" s="106" customFormat="1"/>
    <row r="857" s="106" customFormat="1"/>
    <row r="858" s="106" customFormat="1"/>
    <row r="859" s="106" customFormat="1"/>
    <row r="860" s="106" customFormat="1"/>
    <row r="861" s="106" customFormat="1"/>
    <row r="862" s="106" customFormat="1"/>
    <row r="863" s="106" customFormat="1"/>
    <row r="864" s="106" customFormat="1"/>
    <row r="865" s="106" customFormat="1"/>
    <row r="866" s="106" customFormat="1"/>
    <row r="867" s="106" customFormat="1"/>
    <row r="868" s="106" customFormat="1"/>
    <row r="869" s="106" customFormat="1"/>
    <row r="870" s="106" customFormat="1"/>
    <row r="871" s="106" customFormat="1"/>
    <row r="872" s="106" customFormat="1"/>
    <row r="873" s="106" customFormat="1"/>
    <row r="874" s="106" customFormat="1"/>
    <row r="875" s="106" customFormat="1"/>
    <row r="876" s="106" customFormat="1"/>
    <row r="877" s="106" customFormat="1"/>
    <row r="878" s="106" customFormat="1"/>
    <row r="879" s="106" customFormat="1"/>
    <row r="880" s="106" customFormat="1"/>
    <row r="881" s="106" customFormat="1"/>
    <row r="882" s="106" customFormat="1"/>
    <row r="883" s="106" customFormat="1"/>
    <row r="884" s="106" customFormat="1"/>
    <row r="885" s="106" customFormat="1"/>
    <row r="886" s="106" customFormat="1"/>
    <row r="887" s="106" customFormat="1"/>
    <row r="888" s="106" customFormat="1"/>
    <row r="889" s="106" customFormat="1"/>
    <row r="890" s="106" customFormat="1"/>
    <row r="891" s="106" customFormat="1"/>
    <row r="892" s="106" customFormat="1"/>
    <row r="893" s="106" customFormat="1"/>
    <row r="894" s="106" customFormat="1"/>
    <row r="895" s="106" customFormat="1"/>
    <row r="896" s="106" customFormat="1"/>
    <row r="897" s="106" customFormat="1"/>
    <row r="898" s="106" customFormat="1"/>
    <row r="899" s="106" customFormat="1"/>
    <row r="900" s="106" customFormat="1"/>
    <row r="901" s="106" customFormat="1"/>
    <row r="902" s="106" customFormat="1"/>
    <row r="903" s="106" customFormat="1"/>
    <row r="904" s="106" customFormat="1"/>
    <row r="905" s="106" customFormat="1"/>
    <row r="906" s="106" customFormat="1"/>
    <row r="907" s="106" customFormat="1"/>
    <row r="908" s="106" customFormat="1"/>
    <row r="909" s="106" customFormat="1"/>
    <row r="910" s="106" customFormat="1"/>
    <row r="911" s="106" customFormat="1"/>
    <row r="912" s="106" customFormat="1"/>
    <row r="913" s="106" customFormat="1"/>
    <row r="914" s="106" customFormat="1"/>
    <row r="915" s="106" customFormat="1"/>
    <row r="916" s="106" customFormat="1"/>
    <row r="917" s="106" customFormat="1"/>
    <row r="918" s="106" customFormat="1"/>
    <row r="919" s="106" customFormat="1"/>
    <row r="920" s="106" customFormat="1"/>
    <row r="921" s="106" customFormat="1"/>
    <row r="922" s="106" customFormat="1"/>
    <row r="923" s="106" customFormat="1"/>
    <row r="924" s="106" customFormat="1"/>
    <row r="925" s="106" customFormat="1"/>
    <row r="926" s="106" customFormat="1"/>
    <row r="927" s="106" customFormat="1"/>
    <row r="928" s="106" customFormat="1"/>
    <row r="929" s="106" customFormat="1"/>
    <row r="930" s="106" customFormat="1"/>
    <row r="931" s="106" customFormat="1"/>
    <row r="932" s="106" customFormat="1"/>
    <row r="933" s="106" customFormat="1"/>
    <row r="934" s="106" customFormat="1"/>
    <row r="935" s="106" customFormat="1"/>
    <row r="936" s="106" customFormat="1"/>
    <row r="937" s="106" customFormat="1"/>
    <row r="938" s="106" customFormat="1"/>
    <row r="939" s="106" customFormat="1"/>
    <row r="940" s="106" customFormat="1"/>
    <row r="941" s="106" customFormat="1"/>
    <row r="942" s="106" customFormat="1"/>
    <row r="943" s="106" customFormat="1"/>
    <row r="944" s="106" customFormat="1"/>
    <row r="945" s="106" customFormat="1"/>
    <row r="946" s="106" customFormat="1"/>
    <row r="947" s="106" customFormat="1"/>
    <row r="948" s="106" customFormat="1"/>
    <row r="949" s="106" customFormat="1"/>
    <row r="950" s="106" customFormat="1"/>
    <row r="951" s="106" customFormat="1"/>
    <row r="952" s="106" customFormat="1"/>
    <row r="953" s="106" customFormat="1"/>
    <row r="954" s="106" customFormat="1"/>
    <row r="955" s="106" customFormat="1"/>
    <row r="956" s="106" customFormat="1"/>
    <row r="957" s="106" customFormat="1"/>
    <row r="958" s="106" customFormat="1"/>
    <row r="959" s="106" customFormat="1"/>
    <row r="960" s="106" customFormat="1"/>
    <row r="961" s="106" customFormat="1"/>
    <row r="962" s="106" customFormat="1"/>
    <row r="963" s="106" customFormat="1"/>
    <row r="964" s="106" customFormat="1"/>
    <row r="965" s="106" customFormat="1"/>
    <row r="966" s="106" customFormat="1"/>
    <row r="967" s="106" customFormat="1"/>
    <row r="968" s="106" customFormat="1"/>
    <row r="969" s="106" customFormat="1"/>
    <row r="970" s="106" customFormat="1"/>
    <row r="971" s="106" customFormat="1"/>
    <row r="972" s="106" customFormat="1"/>
    <row r="973" s="106" customFormat="1"/>
    <row r="974" s="106" customFormat="1"/>
    <row r="975" s="106" customFormat="1"/>
    <row r="976" s="106" customFormat="1"/>
    <row r="977" s="106" customFormat="1"/>
    <row r="978" s="106" customFormat="1"/>
    <row r="979" s="106" customFormat="1"/>
    <row r="980" s="106" customFormat="1"/>
    <row r="981" s="106" customFormat="1"/>
    <row r="982" s="106" customFormat="1"/>
    <row r="983" s="106" customFormat="1"/>
    <row r="984" s="106" customFormat="1"/>
    <row r="985" s="106" customFormat="1"/>
    <row r="986" s="106" customFormat="1"/>
    <row r="987" s="106" customFormat="1"/>
    <row r="988" s="106" customFormat="1"/>
    <row r="989" s="106" customFormat="1"/>
    <row r="990" s="106" customFormat="1"/>
    <row r="991" s="106" customFormat="1"/>
    <row r="992" s="106" customFormat="1"/>
    <row r="993" s="106" customFormat="1"/>
    <row r="994" s="106" customFormat="1"/>
    <row r="995" s="106" customFormat="1"/>
    <row r="996" s="106" customFormat="1"/>
    <row r="997" s="106" customFormat="1"/>
    <row r="998" s="106" customFormat="1"/>
    <row r="999" s="106" customFormat="1"/>
    <row r="1000" s="106" customFormat="1"/>
    <row r="1001" s="106" customFormat="1"/>
    <row r="1002" s="106" customFormat="1"/>
    <row r="1003" s="106" customFormat="1"/>
    <row r="1004" s="106" customFormat="1"/>
    <row r="1005" s="106" customFormat="1"/>
    <row r="1006" s="106" customFormat="1"/>
    <row r="1007" s="106" customFormat="1"/>
    <row r="1008" s="106" customFormat="1"/>
    <row r="1009" s="106" customFormat="1"/>
    <row r="1010" s="106" customFormat="1"/>
    <row r="1011" s="106" customFormat="1"/>
    <row r="1012" s="106" customFormat="1"/>
    <row r="1013" s="106" customFormat="1"/>
    <row r="1014" s="106" customFormat="1"/>
    <row r="1015" s="106" customFormat="1"/>
    <row r="1016" s="106" customFormat="1"/>
    <row r="1017" s="106" customFormat="1"/>
    <row r="1018" s="106" customFormat="1"/>
    <row r="1019" s="106" customFormat="1"/>
    <row r="1020" s="106" customFormat="1"/>
    <row r="1021" s="106" customFormat="1"/>
    <row r="1022" s="106" customFormat="1"/>
    <row r="1023" s="106" customFormat="1"/>
    <row r="1024" s="106" customFormat="1"/>
    <row r="1025" s="106" customFormat="1"/>
    <row r="1026" s="106" customFormat="1"/>
    <row r="1027" s="106" customFormat="1"/>
    <row r="1028" s="106" customFormat="1"/>
    <row r="1029" s="106" customFormat="1"/>
    <row r="1030" s="106" customFormat="1"/>
    <row r="1031" s="106" customFormat="1"/>
    <row r="1032" s="106" customFormat="1"/>
    <row r="1033" s="106" customFormat="1"/>
    <row r="1034" s="106" customFormat="1"/>
    <row r="1035" s="106" customFormat="1"/>
    <row r="1036" s="106" customFormat="1"/>
    <row r="1037" s="106" customFormat="1"/>
    <row r="1038" s="106" customFormat="1"/>
    <row r="1039" s="106" customFormat="1"/>
    <row r="1040" s="106" customFormat="1"/>
    <row r="1041" s="106" customFormat="1"/>
    <row r="1042" s="106" customFormat="1"/>
    <row r="1043" s="106" customFormat="1"/>
    <row r="1044" s="106" customFormat="1"/>
    <row r="1045" s="106" customFormat="1"/>
    <row r="1046" s="106" customFormat="1"/>
    <row r="1047" s="106" customFormat="1"/>
    <row r="1048" s="106" customFormat="1"/>
    <row r="1049" s="106" customFormat="1"/>
    <row r="1050" s="106" customFormat="1"/>
    <row r="1051" s="106" customFormat="1"/>
    <row r="1052" s="106" customFormat="1"/>
    <row r="1053" s="106" customFormat="1"/>
    <row r="1054" s="106" customFormat="1"/>
    <row r="1055" s="106" customFormat="1"/>
    <row r="1056" s="106" customFormat="1"/>
    <row r="1057" s="106" customFormat="1"/>
    <row r="1058" s="106" customFormat="1"/>
    <row r="1059" s="106" customFormat="1"/>
    <row r="1060" s="106" customFormat="1"/>
    <row r="1061" s="106" customFormat="1"/>
    <row r="1062" s="106" customFormat="1"/>
    <row r="1063" s="106" customFormat="1"/>
    <row r="1064" s="106" customFormat="1"/>
    <row r="1065" s="106" customFormat="1"/>
    <row r="1066" s="106" customFormat="1"/>
    <row r="1067" s="106" customFormat="1"/>
    <row r="1068" s="106" customFormat="1"/>
    <row r="1069" s="106" customFormat="1"/>
    <row r="1070" s="106" customFormat="1"/>
    <row r="1071" s="106" customFormat="1"/>
    <row r="1072" s="106" customFormat="1"/>
    <row r="1073" s="106" customFormat="1"/>
    <row r="1074" s="106" customFormat="1"/>
    <row r="1075" s="106" customFormat="1"/>
    <row r="1076" s="106" customFormat="1"/>
    <row r="1077" s="106" customFormat="1"/>
    <row r="1078" s="106" customFormat="1"/>
    <row r="1079" s="106" customFormat="1"/>
    <row r="1080" s="106" customFormat="1"/>
    <row r="1081" s="106" customFormat="1"/>
    <row r="1082" s="106" customFormat="1"/>
    <row r="1083" s="106" customFormat="1"/>
    <row r="1084" s="106" customFormat="1"/>
    <row r="1085" s="106" customFormat="1"/>
    <row r="1086" s="106" customFormat="1"/>
    <row r="1087" s="106" customFormat="1"/>
    <row r="1088" s="106" customFormat="1"/>
    <row r="1089" s="106" customFormat="1"/>
    <row r="1090" s="106" customFormat="1"/>
    <row r="1091" s="106" customFormat="1"/>
    <row r="1092" s="106" customFormat="1"/>
    <row r="1093" s="106" customFormat="1"/>
    <row r="1094" s="106" customFormat="1"/>
    <row r="1095" s="106" customFormat="1"/>
    <row r="1096" s="106" customFormat="1"/>
    <row r="1097" s="106" customFormat="1"/>
    <row r="1098" s="106" customFormat="1"/>
    <row r="1099" s="106" customFormat="1"/>
    <row r="1100" s="106" customFormat="1"/>
    <row r="1101" s="106" customFormat="1"/>
    <row r="1102" s="106" customFormat="1"/>
    <row r="1103" s="106" customFormat="1"/>
    <row r="1104" s="106" customFormat="1"/>
    <row r="1105" s="106" customFormat="1"/>
    <row r="1106" s="106" customFormat="1"/>
    <row r="1107" s="106" customFormat="1"/>
    <row r="1108" s="106" customFormat="1"/>
    <row r="1109" s="106" customFormat="1"/>
    <row r="1110" s="106" customFormat="1"/>
    <row r="1111" s="106" customFormat="1"/>
    <row r="1112" s="106" customFormat="1"/>
    <row r="1113" s="106" customFormat="1"/>
    <row r="1114" s="106" customFormat="1"/>
    <row r="1115" s="106" customFormat="1"/>
    <row r="1116" s="106" customFormat="1"/>
    <row r="1117" s="106" customFormat="1"/>
    <row r="1118" s="106" customFormat="1"/>
    <row r="1119" s="106" customFormat="1"/>
    <row r="1120" s="106" customFormat="1"/>
    <row r="1121" s="106" customFormat="1"/>
    <row r="1122" s="106" customFormat="1"/>
    <row r="1123" s="106" customFormat="1"/>
    <row r="1124" s="106" customFormat="1"/>
    <row r="1125" s="106" customFormat="1"/>
    <row r="1126" s="106" customFormat="1"/>
    <row r="1127" s="106" customFormat="1"/>
    <row r="1128" s="106" customFormat="1"/>
    <row r="1129" s="106" customFormat="1"/>
    <row r="1130" s="106" customFormat="1"/>
    <row r="1131" s="106" customFormat="1"/>
    <row r="1132" s="106" customFormat="1"/>
    <row r="1133" s="106" customFormat="1"/>
    <row r="1134" s="106" customFormat="1"/>
    <row r="1135" s="106" customFormat="1"/>
    <row r="1136" s="106" customFormat="1"/>
    <row r="1137" s="106" customFormat="1"/>
    <row r="1138" s="106" customFormat="1"/>
    <row r="1139" s="106" customFormat="1"/>
    <row r="1140" s="106" customFormat="1"/>
    <row r="1141" s="106" customFormat="1"/>
    <row r="1142" s="106" customFormat="1"/>
    <row r="1143" s="106" customFormat="1"/>
    <row r="1144" s="106" customFormat="1"/>
    <row r="1145" s="106" customFormat="1"/>
    <row r="1146" s="106" customFormat="1"/>
    <row r="1147" s="106" customFormat="1"/>
    <row r="1148" s="106" customFormat="1"/>
    <row r="1149" s="106" customFormat="1"/>
    <row r="1150" s="106" customFormat="1"/>
    <row r="1151" s="106" customFormat="1"/>
    <row r="1152" s="106" customFormat="1"/>
    <row r="1153" s="106" customFormat="1"/>
    <row r="1154" s="106" customFormat="1"/>
    <row r="1155" s="106" customFormat="1"/>
    <row r="1156" s="106" customFormat="1"/>
    <row r="1157" s="106" customFormat="1"/>
    <row r="1158" s="106" customFormat="1"/>
    <row r="1159" s="106" customFormat="1"/>
    <row r="1160" s="106" customFormat="1"/>
    <row r="1161" s="106" customFormat="1"/>
    <row r="1162" s="106" customFormat="1"/>
    <row r="1163" s="106" customFormat="1"/>
    <row r="1164" s="106" customFormat="1"/>
    <row r="1165" s="106" customFormat="1"/>
    <row r="1166" s="106" customFormat="1"/>
    <row r="1167" s="106" customFormat="1"/>
    <row r="1168" s="106" customFormat="1"/>
    <row r="1169" spans="13:15" s="106" customFormat="1"/>
    <row r="1170" spans="13:15" s="106" customFormat="1"/>
    <row r="1171" spans="13:15" s="106" customFormat="1">
      <c r="M1171" s="3"/>
      <c r="N1171" s="3"/>
      <c r="O1171" s="3"/>
    </row>
    <row r="1172" spans="13:15" s="106" customFormat="1">
      <c r="M1172" s="3"/>
      <c r="N1172" s="3"/>
      <c r="O1172" s="3"/>
    </row>
    <row r="1173" spans="13:15" s="106" customFormat="1">
      <c r="M1173" s="3"/>
      <c r="N1173" s="3"/>
      <c r="O1173" s="3"/>
    </row>
    <row r="1174" spans="13:15" s="106" customFormat="1">
      <c r="M1174" s="3"/>
      <c r="N1174" s="3"/>
      <c r="O1174" s="3"/>
    </row>
    <row r="1175" spans="13:15" s="106" customFormat="1">
      <c r="M1175" s="3"/>
      <c r="N1175" s="3"/>
      <c r="O1175" s="3"/>
    </row>
    <row r="1176" spans="13:15" s="106" customFormat="1">
      <c r="M1176" s="3"/>
      <c r="N1176" s="3"/>
      <c r="O1176" s="3"/>
    </row>
    <row r="1177" spans="13:15" s="106" customFormat="1">
      <c r="M1177" s="3"/>
      <c r="N1177" s="3"/>
      <c r="O1177" s="3"/>
    </row>
    <row r="1178" spans="13:15" s="106" customFormat="1">
      <c r="M1178" s="3"/>
      <c r="N1178" s="3"/>
      <c r="O1178" s="3"/>
    </row>
    <row r="1179" spans="13:15" s="106" customFormat="1">
      <c r="M1179" s="3"/>
      <c r="N1179" s="3"/>
      <c r="O1179" s="3"/>
    </row>
    <row r="1180" spans="13:15" s="106" customFormat="1">
      <c r="M1180" s="3"/>
      <c r="N1180" s="3"/>
      <c r="O1180" s="3"/>
    </row>
    <row r="1181" spans="13:15" s="106" customFormat="1">
      <c r="M1181" s="3"/>
      <c r="N1181" s="3"/>
      <c r="O1181" s="3"/>
    </row>
    <row r="1182" spans="13:15" s="106" customFormat="1">
      <c r="M1182" s="3"/>
      <c r="N1182" s="3"/>
      <c r="O1182" s="3"/>
    </row>
    <row r="1183" spans="13:15" s="106" customFormat="1">
      <c r="M1183" s="3"/>
      <c r="N1183" s="3"/>
      <c r="O1183" s="3"/>
    </row>
    <row r="1184" spans="13:15" s="106" customFormat="1">
      <c r="M1184" s="3"/>
      <c r="N1184" s="3"/>
      <c r="O1184" s="3"/>
    </row>
    <row r="1185" spans="3:15" s="106" customFormat="1">
      <c r="M1185" s="3"/>
      <c r="N1185" s="3"/>
      <c r="O1185" s="3"/>
    </row>
    <row r="1186" spans="3:15" s="106" customFormat="1">
      <c r="M1186" s="3"/>
      <c r="N1186" s="3"/>
      <c r="O1186" s="3"/>
    </row>
    <row r="1187" spans="3:15" s="106" customFormat="1">
      <c r="M1187" s="3"/>
      <c r="N1187" s="3"/>
      <c r="O1187" s="3"/>
    </row>
    <row r="1188" spans="3:15" s="106" customFormat="1">
      <c r="M1188" s="3"/>
      <c r="N1188" s="3"/>
      <c r="O1188" s="3"/>
    </row>
    <row r="1189" spans="3:15" s="106" customFormat="1">
      <c r="M1189" s="3"/>
      <c r="N1189" s="3"/>
      <c r="O1189" s="3"/>
    </row>
    <row r="1190" spans="3:15" s="106" customFormat="1">
      <c r="M1190" s="3"/>
      <c r="N1190" s="3"/>
      <c r="O1190" s="3"/>
    </row>
    <row r="1191" spans="3:15" s="106" customFormat="1">
      <c r="M1191" s="3"/>
      <c r="N1191" s="3"/>
      <c r="O1191" s="3"/>
    </row>
    <row r="1192" spans="3:15" s="106" customFormat="1">
      <c r="M1192" s="3"/>
      <c r="N1192" s="3"/>
      <c r="O1192" s="3"/>
    </row>
    <row r="1193" spans="3:15" s="106" customFormat="1">
      <c r="C1193" s="3"/>
      <c r="D1193" s="3"/>
      <c r="E1193" s="3"/>
      <c r="F1193" s="3"/>
      <c r="M1193" s="3"/>
      <c r="N1193" s="3"/>
      <c r="O1193" s="3"/>
    </row>
    <row r="1194" spans="3:15" s="106" customFormat="1">
      <c r="C1194" s="3"/>
      <c r="D1194" s="3"/>
      <c r="E1194" s="3"/>
      <c r="F1194" s="3"/>
      <c r="M1194" s="3"/>
      <c r="N1194" s="3"/>
      <c r="O1194" s="3"/>
    </row>
    <row r="1195" spans="3:15" s="106" customFormat="1">
      <c r="C1195" s="3"/>
      <c r="D1195" s="3"/>
      <c r="E1195" s="3"/>
      <c r="F1195" s="3"/>
      <c r="M1195" s="3"/>
      <c r="N1195" s="3"/>
      <c r="O1195" s="3"/>
    </row>
    <row r="1196" spans="3:15" s="106" customFormat="1">
      <c r="C1196" s="3"/>
      <c r="D1196" s="3"/>
      <c r="E1196" s="3"/>
      <c r="F1196" s="3"/>
      <c r="G1196" s="3"/>
      <c r="M1196" s="3"/>
      <c r="N1196" s="3"/>
      <c r="O1196" s="3"/>
    </row>
    <row r="1197" spans="3:15" s="106" customFormat="1">
      <c r="C1197" s="3"/>
      <c r="D1197" s="3"/>
      <c r="E1197" s="3"/>
      <c r="F1197" s="3"/>
      <c r="G1197" s="3"/>
      <c r="M1197" s="3"/>
      <c r="N1197" s="3"/>
      <c r="O1197" s="3"/>
    </row>
    <row r="1198" spans="3:15" s="106" customFormat="1">
      <c r="C1198" s="3"/>
      <c r="D1198" s="3"/>
      <c r="E1198" s="3"/>
      <c r="F1198" s="3"/>
      <c r="G1198" s="3"/>
      <c r="M1198" s="3"/>
      <c r="N1198" s="3"/>
      <c r="O1198" s="3"/>
    </row>
    <row r="1199" spans="3:15" s="106" customFormat="1">
      <c r="C1199" s="3"/>
      <c r="D1199" s="3"/>
      <c r="E1199" s="3"/>
      <c r="F1199" s="3"/>
      <c r="G1199" s="3"/>
      <c r="M1199" s="3"/>
      <c r="N1199" s="3"/>
      <c r="O1199" s="3"/>
    </row>
    <row r="1200" spans="3:15" s="106" customFormat="1">
      <c r="C1200" s="3"/>
      <c r="D1200" s="3"/>
      <c r="E1200" s="3"/>
      <c r="F1200" s="3"/>
      <c r="G1200" s="3"/>
      <c r="M1200" s="3"/>
      <c r="N1200" s="3"/>
      <c r="O1200" s="3"/>
    </row>
    <row r="1201" spans="2:15" s="106" customFormat="1">
      <c r="C1201" s="3"/>
      <c r="D1201" s="3"/>
      <c r="E1201" s="3"/>
      <c r="F1201" s="3"/>
      <c r="G1201" s="3"/>
      <c r="M1201" s="3"/>
      <c r="N1201" s="3"/>
      <c r="O1201" s="3"/>
    </row>
    <row r="1202" spans="2:15" s="106" customFormat="1">
      <c r="B1202" s="3"/>
      <c r="C1202" s="3"/>
      <c r="D1202" s="3"/>
      <c r="E1202" s="3"/>
      <c r="F1202" s="3"/>
      <c r="G1202" s="3"/>
      <c r="M1202" s="3"/>
      <c r="N1202" s="3"/>
      <c r="O1202" s="3"/>
    </row>
    <row r="1203" spans="2:15" s="106" customFormat="1">
      <c r="B1203" s="3"/>
      <c r="C1203" s="3"/>
      <c r="D1203" s="3"/>
      <c r="E1203" s="3"/>
      <c r="F1203" s="3"/>
      <c r="G1203" s="3"/>
      <c r="M1203" s="3"/>
      <c r="N1203" s="3"/>
      <c r="O1203" s="3"/>
    </row>
    <row r="1204" spans="2:15" s="106" customFormat="1">
      <c r="B1204" s="3"/>
      <c r="C1204" s="3"/>
      <c r="D1204" s="3"/>
      <c r="E1204" s="3"/>
      <c r="F1204" s="3"/>
      <c r="G1204" s="3"/>
      <c r="M1204" s="3"/>
      <c r="N1204" s="3"/>
      <c r="O1204" s="3"/>
    </row>
    <row r="1205" spans="2:15">
      <c r="H1205" s="106"/>
      <c r="I1205" s="106"/>
      <c r="J1205" s="106"/>
      <c r="K1205" s="106"/>
    </row>
    <row r="1206" spans="2:15">
      <c r="H1206" s="106"/>
      <c r="I1206" s="106"/>
      <c r="J1206" s="106"/>
      <c r="K1206" s="106"/>
    </row>
    <row r="1207" spans="2:15">
      <c r="H1207" s="106"/>
      <c r="I1207" s="106"/>
      <c r="J1207" s="106"/>
      <c r="K1207" s="106"/>
    </row>
    <row r="1208" spans="2:15">
      <c r="H1208" s="106"/>
      <c r="I1208" s="106"/>
      <c r="J1208" s="106"/>
      <c r="K1208" s="106"/>
    </row>
    <row r="1209" spans="2:15">
      <c r="H1209" s="106"/>
      <c r="I1209" s="106"/>
      <c r="J1209" s="106"/>
      <c r="K1209" s="106"/>
    </row>
    <row r="1210" spans="2:15">
      <c r="I1210" s="106"/>
      <c r="J1210" s="106"/>
      <c r="K1210" s="106"/>
    </row>
    <row r="1211" spans="2:15">
      <c r="I1211" s="106"/>
      <c r="J1211" s="106"/>
      <c r="K1211" s="106"/>
    </row>
    <row r="1212" spans="2:15">
      <c r="I1212" s="106"/>
      <c r="J1212" s="106"/>
      <c r="K1212" s="106"/>
    </row>
    <row r="1213" spans="2:15">
      <c r="I1213" s="106"/>
      <c r="J1213" s="106"/>
      <c r="K1213" s="106"/>
    </row>
    <row r="1214" spans="2:15">
      <c r="I1214" s="106"/>
      <c r="J1214" s="106"/>
      <c r="K1214" s="106"/>
    </row>
    <row r="1215" spans="2:15">
      <c r="I1215" s="106"/>
      <c r="J1215" s="106"/>
      <c r="K1215" s="106"/>
    </row>
    <row r="1216" spans="2:15">
      <c r="I1216" s="106"/>
      <c r="J1216" s="106"/>
      <c r="K1216" s="106"/>
    </row>
    <row r="1217" spans="9:11">
      <c r="I1217" s="106"/>
      <c r="J1217" s="106"/>
      <c r="K1217" s="106"/>
    </row>
    <row r="1218" spans="9:11">
      <c r="I1218" s="106"/>
      <c r="J1218" s="106"/>
      <c r="K1218" s="106"/>
    </row>
  </sheetData>
  <sheetProtection algorithmName="SHA-512" hashValue="gxcclNHFfOpQUT5fB1iVOzqjjw6QV5daErgGMBZmjUSvMuOg56xfvsbAO8OBkMuGmH51ZiOGd3T56NyzC245xg==" saltValue="sdMprTDX5PCD1T9LxTqBfw==" spinCount="100000" sheet="1" selectLockedCells="1"/>
  <mergeCells count="54">
    <mergeCell ref="C15:F76"/>
    <mergeCell ref="B15:B76"/>
    <mergeCell ref="M74:O74"/>
    <mergeCell ref="M70:O70"/>
    <mergeCell ref="M11:O16"/>
    <mergeCell ref="B11:F12"/>
    <mergeCell ref="B14:F14"/>
    <mergeCell ref="N49:O49"/>
    <mergeCell ref="N31:O31"/>
    <mergeCell ref="N38:O38"/>
    <mergeCell ref="N41:O41"/>
    <mergeCell ref="N40:O40"/>
    <mergeCell ref="N34:O34"/>
    <mergeCell ref="N35:O35"/>
    <mergeCell ref="M25:O25"/>
    <mergeCell ref="N26:O26"/>
    <mergeCell ref="N54:O54"/>
    <mergeCell ref="N28:O28"/>
    <mergeCell ref="N30:O30"/>
    <mergeCell ref="M62:O62"/>
    <mergeCell ref="B2:I2"/>
    <mergeCell ref="B3:O3"/>
    <mergeCell ref="B9:F9"/>
    <mergeCell ref="B10:F10"/>
    <mergeCell ref="H9:K9"/>
    <mergeCell ref="B6:O6"/>
    <mergeCell ref="B7:O7"/>
    <mergeCell ref="N45:O45"/>
    <mergeCell ref="N32:O32"/>
    <mergeCell ref="N33:O33"/>
    <mergeCell ref="N29:O29"/>
    <mergeCell ref="N46:O46"/>
    <mergeCell ref="N48:O48"/>
    <mergeCell ref="N51:O51"/>
    <mergeCell ref="N50:O50"/>
    <mergeCell ref="N53:O53"/>
    <mergeCell ref="N52:O52"/>
    <mergeCell ref="M75:O75"/>
    <mergeCell ref="M76:O76"/>
    <mergeCell ref="M63:O67"/>
    <mergeCell ref="M57:N60"/>
    <mergeCell ref="O57:O60"/>
    <mergeCell ref="M73:O73"/>
    <mergeCell ref="M71:O71"/>
    <mergeCell ref="M72:O72"/>
    <mergeCell ref="N47:O47"/>
    <mergeCell ref="M19:O23"/>
    <mergeCell ref="N42:O42"/>
    <mergeCell ref="N36:O36"/>
    <mergeCell ref="N37:O37"/>
    <mergeCell ref="N39:O39"/>
    <mergeCell ref="N43:O43"/>
    <mergeCell ref="N44:O44"/>
    <mergeCell ref="N27:O27"/>
  </mergeCells>
  <phoneticPr fontId="4" type="noConversion"/>
  <conditionalFormatting sqref="B11:F12">
    <cfRule type="expression" dxfId="5097" priority="214">
      <formula>"vcf_version=""Select Deployment Version"""</formula>
    </cfRule>
  </conditionalFormatting>
  <conditionalFormatting sqref="H11">
    <cfRule type="expression" dxfId="5096" priority="704">
      <formula>(vcf_version_result="Excluded")</formula>
    </cfRule>
  </conditionalFormatting>
  <conditionalFormatting sqref="H11:H12">
    <cfRule type="expression" dxfId="5095" priority="200">
      <formula>(vcf_version_result&lt;&gt;"Excluded")</formula>
    </cfRule>
  </conditionalFormatting>
  <conditionalFormatting sqref="H12">
    <cfRule type="expression" dxfId="5094" priority="201">
      <formula>(vcf_version_result="Excluded")</formula>
    </cfRule>
  </conditionalFormatting>
  <conditionalFormatting sqref="H13">
    <cfRule type="expression" dxfId="5093" priority="186">
      <formula>(vcf_version_chosen&lt;&gt;"Exclude")</formula>
    </cfRule>
    <cfRule type="expression" dxfId="5092" priority="185">
      <formula>(mgmt_principal_storage_result="Excluded")</formula>
    </cfRule>
  </conditionalFormatting>
  <conditionalFormatting sqref="H13:H16 J13:K16">
    <cfRule type="expression" dxfId="5091" priority="25">
      <formula>(vcf_version_result="Excluded")</formula>
    </cfRule>
  </conditionalFormatting>
  <conditionalFormatting sqref="H14">
    <cfRule type="expression" dxfId="5090" priority="182">
      <formula>(mgmt_vlcm_model_result="Excluded")</formula>
    </cfRule>
    <cfRule type="expression" dxfId="5089" priority="179">
      <formula>(mgmt_vlcm_model_result="Included")</formula>
    </cfRule>
  </conditionalFormatting>
  <conditionalFormatting sqref="H15 J15:K15">
    <cfRule type="expression" dxfId="5088" priority="1">
      <formula>vcf_solution_license_chosen="Include"</formula>
    </cfRule>
    <cfRule type="expression" dxfId="5087" priority="2">
      <formula>vcf_solution_license_chosen="Exclude"</formula>
    </cfRule>
  </conditionalFormatting>
  <conditionalFormatting sqref="H16 J16:K16">
    <cfRule type="expression" dxfId="5086" priority="168">
      <formula>(mgmt_dpg_separation_chosen="Exclude")</formula>
    </cfRule>
  </conditionalFormatting>
  <conditionalFormatting sqref="H16">
    <cfRule type="expression" dxfId="5085" priority="173">
      <formula>(mgmt_dpg_separation_result="Included")</formula>
    </cfRule>
    <cfRule type="expression" dxfId="5084" priority="174">
      <formula>(mgmt_dpg_separation_result="Excluded")</formula>
    </cfRule>
  </conditionalFormatting>
  <conditionalFormatting sqref="H17">
    <cfRule type="expression" dxfId="5083" priority="208">
      <formula>(vcf_version_result&lt;&gt;"Excluded")</formula>
    </cfRule>
    <cfRule type="expression" dxfId="5082" priority="692">
      <formula>(vcf_version_result="Excluded")</formula>
    </cfRule>
  </conditionalFormatting>
  <conditionalFormatting sqref="H18">
    <cfRule type="expression" dxfId="5081" priority="637">
      <formula>(mgmt_consolidated_chosen="Include")</formula>
    </cfRule>
    <cfRule type="expression" dxfId="5080" priority="636">
      <formula>(mgmt_consolidated_chosen="Exclude")</formula>
    </cfRule>
  </conditionalFormatting>
  <conditionalFormatting sqref="H19">
    <cfRule type="expression" dxfId="5079" priority="575">
      <formula>(mgmt_esxi_external_certs_chosen="Include")</formula>
    </cfRule>
    <cfRule type="expression" dxfId="5078" priority="574">
      <formula>(mgmt_esxi_external_certs_chosen="Exclude")</formula>
    </cfRule>
  </conditionalFormatting>
  <conditionalFormatting sqref="H23">
    <cfRule type="expression" dxfId="5077" priority="594">
      <formula>(mgmt_signed_certs_chosen&lt;&gt;"Exclude")</formula>
    </cfRule>
    <cfRule type="expression" dxfId="5076" priority="593">
      <formula>(mgmt_signed_certs_chosen="Exclude")</formula>
    </cfRule>
  </conditionalFormatting>
  <conditionalFormatting sqref="H24">
    <cfRule type="expression" dxfId="5075" priority="706">
      <formula>(mgmt_vns_chosen="Exclude")</formula>
    </cfRule>
    <cfRule type="expression" dxfId="5074" priority="719">
      <formula>(mgmt_vns_chosen&lt;&gt;"Include")</formula>
    </cfRule>
  </conditionalFormatting>
  <conditionalFormatting sqref="H25">
    <cfRule type="expression" dxfId="5073" priority="676">
      <formula>AND((mgmt_nsxt_federation_chosen&lt;&gt;"Exclude"),(mgmt_nsxt_federation_result="Excluded"))</formula>
    </cfRule>
    <cfRule type="expression" dxfId="5072" priority="675">
      <formula>(mgmt_nsxt_federation_chosen="Exclude")</formula>
    </cfRule>
    <cfRule type="expression" dxfId="5071" priority="677">
      <formula>AND((mgmt_nsxt_federation_chosen&lt;&gt;"Exclude"),(mgmt_nsxt_federation_result="Included"))</formula>
    </cfRule>
  </conditionalFormatting>
  <conditionalFormatting sqref="H26">
    <cfRule type="expression" dxfId="5070" priority="735">
      <formula>(mgmt_stretched_cluster_chosen="Exclude")</formula>
    </cfRule>
    <cfRule type="expression" dxfId="5069" priority="736">
      <formula>AND((mgmt_stretched_cluster_chosen="Include"),(mgmt_stretched_cluster_result="Excluded"))</formula>
    </cfRule>
    <cfRule type="expression" dxfId="5068" priority="737">
      <formula>AND((mgmt_stretched_cluster_chosen="Include"),(mgmt_stretched_cluster_result="Included"))</formula>
    </cfRule>
  </conditionalFormatting>
  <conditionalFormatting sqref="H27:H28 J27:K28">
    <cfRule type="expression" dxfId="5067" priority="10">
      <formula>AND((mgmt_avi_loadbalancer_chosen ="Exclude"),(mgmt_avi_loadbalancer_result="Excluded"))</formula>
    </cfRule>
    <cfRule type="expression" dxfId="5066" priority="22">
      <formula>AND((mgmt_avi_loadbalancer_chosen="Include"),(mgmt_avi_loadbalancer_result="Included"))</formula>
    </cfRule>
    <cfRule type="expression" dxfId="5065" priority="23">
      <formula>AND((mgmt_avi_loadbalancer_chosen="Include"),(mgmt_avi_loadbalancer_result="Excluded"))</formula>
    </cfRule>
  </conditionalFormatting>
  <conditionalFormatting sqref="H28 J28:K28">
    <cfRule type="expression" dxfId="5064" priority="5">
      <formula>mgmt_internet_proxy_result="Excluded"</formula>
    </cfRule>
  </conditionalFormatting>
  <conditionalFormatting sqref="H28">
    <cfRule type="expression" dxfId="5063" priority="7">
      <formula>mgmt_internet_proxy_chosen="Include"</formula>
    </cfRule>
  </conditionalFormatting>
  <conditionalFormatting sqref="H29 J29:K29">
    <cfRule type="expression" dxfId="5062" priority="4">
      <formula>mgmt_offline_depot_result="Excluded"</formula>
    </cfRule>
  </conditionalFormatting>
  <conditionalFormatting sqref="H29">
    <cfRule type="expression" dxfId="5061" priority="9">
      <formula>mgmt_offline_depot_chosen="Include"</formula>
    </cfRule>
  </conditionalFormatting>
  <conditionalFormatting sqref="H33">
    <cfRule type="expression" dxfId="5060" priority="502">
      <formula>AND((vrslcm_chosen="Include"),(vrslcm_result="Excluded"))</formula>
    </cfRule>
    <cfRule type="expression" dxfId="5059" priority="503">
      <formula>AND((vrslcm_chosen="Include"),(vrslcm_result="Included"))</formula>
    </cfRule>
    <cfRule type="expression" dxfId="5058" priority="501">
      <formula>(vrslcm_chosen="Exclude")</formula>
    </cfRule>
  </conditionalFormatting>
  <conditionalFormatting sqref="H34">
    <cfRule type="expression" dxfId="5057" priority="359">
      <formula>AND((vcf_aware_wsa_chosen&lt;&gt;"Exclude"),(vcf_aware_wsa_result="Included"))</formula>
    </cfRule>
    <cfRule type="expression" dxfId="5056" priority="358">
      <formula>AND((vcf_aware_wsa_chosen&lt;&gt;"Exclude"),(vcf_aware_wsa_result="Excluded"))</formula>
    </cfRule>
    <cfRule type="expression" dxfId="5055" priority="357">
      <formula>(vcf_aware_wsa_chosen="Exclude")</formula>
    </cfRule>
  </conditionalFormatting>
  <conditionalFormatting sqref="H38">
    <cfRule type="expression" dxfId="5054" priority="773">
      <formula>AND((wld_domain_chosen&lt;&gt;"Exclude"),(wld_domain_result="Included"))</formula>
    </cfRule>
    <cfRule type="expression" dxfId="5053" priority="772">
      <formula>AND((wld_domain_chosen&lt;&gt;"Exclude"),(wld_domain_result="Excluded"))</formula>
    </cfRule>
  </conditionalFormatting>
  <conditionalFormatting sqref="H38:H42">
    <cfRule type="expression" dxfId="5052" priority="3">
      <formula>(wld_domain_chosen="Exclude")</formula>
    </cfRule>
  </conditionalFormatting>
  <conditionalFormatting sqref="H39">
    <cfRule type="expression" dxfId="5051" priority="662">
      <formula>AND((wld_host_overlay_addressing_chosen&lt;&gt;"Exclude"),(wld_host_overlay_addressing_result="Included"))</formula>
    </cfRule>
    <cfRule type="expression" dxfId="5050" priority="661">
      <formula>AND((wld_host_overlay_addressing_chosen&lt;&gt;"Exclude"),(wld_host_overlay_addressing_result="Excluded"))</formula>
    </cfRule>
  </conditionalFormatting>
  <conditionalFormatting sqref="H40">
    <cfRule type="expression" dxfId="5049" priority="451">
      <formula>AND((wld_domain_chosen&lt;&gt;"Exclude"),(wld_domain_result="Excluded"))</formula>
    </cfRule>
    <cfRule type="expression" dxfId="5048" priority="452">
      <formula>AND((wld_domain_chosen&lt;&gt;"Exclude"),(wld_domain_result="Included"))</formula>
    </cfRule>
  </conditionalFormatting>
  <conditionalFormatting sqref="H41">
    <cfRule type="expression" dxfId="5047" priority="167">
      <formula>(wld_vlcm_model_result="Included")</formula>
    </cfRule>
    <cfRule type="expression" dxfId="5046" priority="166">
      <formula>(wld_vlcm_model_result="Excluded")</formula>
    </cfRule>
  </conditionalFormatting>
  <conditionalFormatting sqref="H41:H42 J41:K42">
    <cfRule type="expression" dxfId="5045" priority="24">
      <formula>(vcf_version_result="Excluded")</formula>
    </cfRule>
  </conditionalFormatting>
  <conditionalFormatting sqref="H42">
    <cfRule type="expression" dxfId="5044" priority="163">
      <formula>(wld_dpg_separation_result="Excluded")</formula>
    </cfRule>
    <cfRule type="expression" dxfId="5043" priority="162">
      <formula>(wld_dpg_separation_result="Included")</formula>
    </cfRule>
    <cfRule type="expression" dxfId="5042" priority="155">
      <formula>(wld_dpg_separation_chosen="Exclude")</formula>
    </cfRule>
  </conditionalFormatting>
  <conditionalFormatting sqref="H43">
    <cfRule type="expression" dxfId="5041" priority="416">
      <formula>AND((wld_esxi_external_certs_chosen&lt;&gt;"Exclude"),(wld_esxi_external_certs_result="Included"))</formula>
    </cfRule>
    <cfRule type="expression" dxfId="5040" priority="413">
      <formula>AND((wld_esxi_external_certs_chosen&lt;&gt;"Exclude"),(wld_esxi_external_certs_result="Excluded"))</formula>
    </cfRule>
    <cfRule type="expression" dxfId="5039" priority="414">
      <formula>(wld_esxi_external_certs_chosen="Exclude")</formula>
    </cfRule>
    <cfRule type="expression" dxfId="5038" priority="415">
      <formula>(wld_domain_chosen="Exclude")</formula>
    </cfRule>
  </conditionalFormatting>
  <conditionalFormatting sqref="H44">
    <cfRule type="expression" dxfId="5037" priority="403">
      <formula>(wld_domain_chosen="Exclude")</formula>
    </cfRule>
    <cfRule type="expression" dxfId="5036" priority="402">
      <formula>(wld_secondary_storage_chosen="Exclude")</formula>
    </cfRule>
    <cfRule type="expression" dxfId="5035" priority="398">
      <formula>AND((wld_secondary_storage_chosen&lt;&gt;"Exclude"),(wld_secondary_storage_result="Excluded"))</formula>
    </cfRule>
    <cfRule type="expression" dxfId="5034" priority="404">
      <formula>AND((wld_secondary_storage_chosen&lt;&gt;"Exclude"),(wld_secondary_storage_result="Included"))</formula>
    </cfRule>
  </conditionalFormatting>
  <conditionalFormatting sqref="H47 J47:K47">
    <cfRule type="expression" dxfId="5033" priority="35">
      <formula>wld_multirack_result="Excluded"</formula>
    </cfRule>
    <cfRule type="expression" dxfId="5032" priority="27">
      <formula>AND((wld_multirack_chosen="Include"),(wld_multirack_result="Excluded"))</formula>
    </cfRule>
  </conditionalFormatting>
  <conditionalFormatting sqref="H47:H50 J47:J50">
    <cfRule type="expression" dxfId="5031" priority="203">
      <formula>(vcf_version_chosen&lt;&gt;"Exclude")</formula>
    </cfRule>
    <cfRule type="expression" dxfId="5030" priority="33">
      <formula>(vcf_version_result="Excluded")</formula>
    </cfRule>
  </conditionalFormatting>
  <conditionalFormatting sqref="H48 J48:K48">
    <cfRule type="expression" dxfId="5029" priority="134">
      <formula>wld_multirack_result="Excluded"</formula>
    </cfRule>
    <cfRule type="expression" dxfId="5028" priority="37">
      <formula>AND(wld_multi_rack_count_chosen&gt;=2,wld_dedicated_edge_cluster_chosen="Exclude")</formula>
    </cfRule>
  </conditionalFormatting>
  <conditionalFormatting sqref="H49 J49:K49">
    <cfRule type="expression" dxfId="5027" priority="50">
      <formula>wld_multi_rack_count_chosen="Exclude"</formula>
    </cfRule>
  </conditionalFormatting>
  <conditionalFormatting sqref="H50 J50:K50">
    <cfRule type="expression" dxfId="5026" priority="133">
      <formula>wld_compute_total_number_hosts&gt;64</formula>
    </cfRule>
    <cfRule type="expression" dxfId="5025" priority="47" stopIfTrue="1">
      <formula>AND((wld_multi_rack_count_chosen="Exclude"),(wld_compute_hosts_per_rack_chosen&lt;&gt;"Exclude"))</formula>
    </cfRule>
    <cfRule type="expression" dxfId="5024" priority="34">
      <formula>(wld_compute_hosts_per_rack_chosen="Exclude")</formula>
    </cfRule>
    <cfRule type="expression" dxfId="5023" priority="57">
      <formula>wld_compute_total_number_hosts&lt;3</formula>
    </cfRule>
  </conditionalFormatting>
  <conditionalFormatting sqref="H51 J51:K51">
    <cfRule type="expression" dxfId="5022" priority="49">
      <formula>AND((wld_dedicated_edge_cluster_chosen_first&lt;&gt;"Exclude"),(wld_dedicated_edge_cluster_chosen_first_result="Excluded"))</formula>
    </cfRule>
    <cfRule type="expression" dxfId="5021" priority="45" stopIfTrue="1">
      <formula>AND((wld_dedicated_edge_cluster_result&lt;&gt;"Excluded"),(wld_dedicated_edge_cluster_chosen_first_result="Excluded"))</formula>
    </cfRule>
    <cfRule type="expression" dxfId="5020" priority="32">
      <formula>wld_dedicated_edge_cluster_chosen_first="Exclude"</formula>
    </cfRule>
  </conditionalFormatting>
  <conditionalFormatting sqref="H51">
    <cfRule type="expression" dxfId="5019" priority="130">
      <formula>wld_dedicated_edge_cluster_chosen_first&gt;wld_multi_rack_count_chosen+1</formula>
    </cfRule>
  </conditionalFormatting>
  <conditionalFormatting sqref="H51:H53">
    <cfRule type="expression" dxfId="5018" priority="132">
      <formula>(vcf_version_chosen&lt;&gt;"Exclude")</formula>
    </cfRule>
  </conditionalFormatting>
  <conditionalFormatting sqref="H52 J52:K52">
    <cfRule type="expression" dxfId="5017" priority="11">
      <formula>wld_dedicated_edge_cluster_chosen_second="Exclude"</formula>
    </cfRule>
  </conditionalFormatting>
  <conditionalFormatting sqref="H52:H53 J52:K53">
    <cfRule type="expression" dxfId="5016" priority="48">
      <formula>OR((wld_dedicated_edge_cluster_chosen_first="Exclude"),(wld_dedicated_edge_cluster_chosen_second_result="Excluded"))</formula>
    </cfRule>
    <cfRule type="expression" dxfId="5015" priority="44">
      <formula>AND((wld_dedicated_edge_cluster_result&lt;&gt;"Excluded"),(wld_dedicated_edge_cluster_chosen_second_result="Excluded"))</formula>
    </cfRule>
  </conditionalFormatting>
  <conditionalFormatting sqref="H53 J53:K53">
    <cfRule type="expression" dxfId="5014" priority="31">
      <formula>wld_dedicated_edge_cluster_model_chosen="Exclude"</formula>
    </cfRule>
  </conditionalFormatting>
  <conditionalFormatting sqref="H54 J54:K54">
    <cfRule type="expression" dxfId="5013" priority="39">
      <formula>wld_host_dns_zone_result="Included"</formula>
    </cfRule>
    <cfRule type="expression" dxfId="5012" priority="38">
      <formula>wld_host_dns_zone_result="Excluded"</formula>
    </cfRule>
    <cfRule type="expression" dxfId="5011" priority="36">
      <formula>wld_host_dns_zone_chosen="Exclude"</formula>
    </cfRule>
  </conditionalFormatting>
  <conditionalFormatting sqref="H58">
    <cfRule type="expression" dxfId="5010" priority="498">
      <formula>(wld_signed_certs_chosen="Exclude")</formula>
    </cfRule>
    <cfRule type="expression" dxfId="5009" priority="499">
      <formula>AND((wld_signed_certs_chosen="Include"),(wld_signed_certs_result="Excluded"))</formula>
    </cfRule>
    <cfRule type="expression" dxfId="5008" priority="500">
      <formula>AND((wld_signed_certs_chosen="Include"),(wld_signed_certs_result="Included"))</formula>
    </cfRule>
  </conditionalFormatting>
  <conditionalFormatting sqref="H59">
    <cfRule type="expression" dxfId="5007" priority="782">
      <formula>AND((wld_bgp_chosen&lt;&gt;"Exclude"),(wld_bgp_result="Included"))</formula>
    </cfRule>
    <cfRule type="expression" dxfId="5006" priority="781">
      <formula>AND((wld_bgp_chosen&lt;&gt;"Exclude"),(wld_bgp_result="Excluded"))</formula>
    </cfRule>
    <cfRule type="expression" dxfId="5005" priority="780">
      <formula>(wld_bgp_chosen="Exclude")</formula>
    </cfRule>
  </conditionalFormatting>
  <conditionalFormatting sqref="H60">
    <cfRule type="expression" dxfId="5004" priority="652">
      <formula>AND((wld_nsxt_federation_chosen&lt;&gt;"Exclude"),(wld_nsxt_federation_result="Excluded"))</formula>
    </cfRule>
    <cfRule type="expression" dxfId="5003" priority="653">
      <formula>AND((wld_nsxt_federation_chosen&lt;&gt;"Exclude"),(wld_nsxt_federation_result="Included"))</formula>
    </cfRule>
    <cfRule type="expression" dxfId="5002" priority="651">
      <formula>(wld_nsxt_federation_chosen="Exclude")</formula>
    </cfRule>
  </conditionalFormatting>
  <conditionalFormatting sqref="H61">
    <cfRule type="expression" dxfId="5001" priority="794">
      <formula>AND((wld_stretched_cluster_chosen="Include"),(wld_stretched_cluster_result="Included"))</formula>
    </cfRule>
    <cfRule type="expression" dxfId="5000" priority="792">
      <formula>(wld_stretched_cluster_chosen="Exclude")</formula>
    </cfRule>
    <cfRule type="expression" dxfId="4999" priority="793">
      <formula>AND((wld_stretched_cluster_chosen="Include"),(wld_stretched_cluster_result="Excluded"))</formula>
    </cfRule>
  </conditionalFormatting>
  <conditionalFormatting sqref="H62 J62:K62">
    <cfRule type="expression" dxfId="4998" priority="20">
      <formula>AND((wld_avi_loadbalancer_chosen="Include"),(wld_avi_loadbalancer_result="Excluded"))</formula>
    </cfRule>
    <cfRule type="expression" dxfId="4997" priority="19">
      <formula>AND((wld_avi_loadbalancer_chosen="Include"),(wld_avi_loadbalancer_result="Included"))</formula>
    </cfRule>
    <cfRule type="expression" dxfId="4996" priority="18">
      <formula>AND((wld_avi_loadbalancer_chosen ="Exclude"),(wld_avi_loadbalancer_result="Excluded"))</formula>
    </cfRule>
  </conditionalFormatting>
  <conditionalFormatting sqref="H66">
    <cfRule type="expression" dxfId="4995" priority="524">
      <formula>(iam_chosen="Exclude")</formula>
    </cfRule>
    <cfRule type="expression" dxfId="4994" priority="526">
      <formula>AND((iam_chosen&lt;&gt;"Exclude"),(iam_result="Included"))</formula>
    </cfRule>
    <cfRule type="expression" dxfId="4993" priority="525">
      <formula>AND((iam_chosen&lt;&gt;"Exclude"),(iam_result="Excluded"))</formula>
    </cfRule>
  </conditionalFormatting>
  <conditionalFormatting sqref="H67:H68">
    <cfRule type="expression" dxfId="4992" priority="695">
      <formula>AND((developer_ready_chosen&lt;&gt;"Exclude"),(developer_ready_result="Included"))</formula>
    </cfRule>
    <cfRule type="expression" dxfId="4991" priority="694">
      <formula>AND((developer_ready_chosen&lt;&gt;"Exclude"),(developer_ready_result="Excluded"))</formula>
    </cfRule>
    <cfRule type="expression" dxfId="4990" priority="693">
      <formula>(developer_ready_chosen="Exclude")</formula>
    </cfRule>
  </conditionalFormatting>
  <conditionalFormatting sqref="H68">
    <cfRule type="expression" dxfId="4989" priority="17">
      <formula>AND((air_chosen&lt;&gt;"Exclude"),(air_result="Excluded"))</formula>
    </cfRule>
    <cfRule type="expression" dxfId="4988" priority="16">
      <formula>AND((air_chosen&lt;&gt;"Exclude"),(air_result="Included"))</formula>
    </cfRule>
    <cfRule type="expression" dxfId="4987" priority="15">
      <formula>(air_chosen="Exclude")</formula>
    </cfRule>
  </conditionalFormatting>
  <conditionalFormatting sqref="H69">
    <cfRule type="expression" dxfId="4986" priority="348">
      <formula>(intelligent_logging_chosen="Exclude")</formula>
    </cfRule>
    <cfRule type="expression" dxfId="4985" priority="349">
      <formula>AND((intelligent_logging_chosen&lt;&gt;"Exclude"),(intelligent_logging_result="Excluded"))</formula>
    </cfRule>
    <cfRule type="expression" dxfId="4984" priority="350">
      <formula>AND((intelligent_logging_chosen&lt;&gt;"Exclude"),(intelligent_logging_result="Included"))</formula>
    </cfRule>
  </conditionalFormatting>
  <conditionalFormatting sqref="H70">
    <cfRule type="expression" dxfId="4983" priority="347">
      <formula>AND((intelligent_operations_chosen&lt;&gt;"Exclude"),(intelligent_operations_result="Included"))</formula>
    </cfRule>
    <cfRule type="expression" dxfId="4982" priority="346">
      <formula>AND((intelligent_operations_chosen&lt;&gt;"Exclude"),(intelligent_operations_result="Excluded"))</formula>
    </cfRule>
    <cfRule type="expression" dxfId="4981" priority="345">
      <formula>(intelligent_operations_chosen="Exclude")</formula>
    </cfRule>
  </conditionalFormatting>
  <conditionalFormatting sqref="H71">
    <cfRule type="expression" dxfId="4980" priority="220" stopIfTrue="1">
      <formula>AND((inv_chosen&lt;&gt;"Exclude"),(inv_result="Included"))</formula>
    </cfRule>
    <cfRule type="expression" dxfId="4979" priority="219">
      <formula>AND((inv_chosen&lt;&gt;"Exclude"),(inv_result="Excluded"))</formula>
    </cfRule>
    <cfRule type="expression" dxfId="4978" priority="218" stopIfTrue="1">
      <formula>(inv_chosen="Exclude")</formula>
    </cfRule>
  </conditionalFormatting>
  <conditionalFormatting sqref="H72">
    <cfRule type="expression" dxfId="4977" priority="344">
      <formula>AND((private_cloud_chosen&lt;&gt;"Exclude"),(private_cloud_result="Included"))</formula>
    </cfRule>
    <cfRule type="expression" dxfId="4976" priority="343">
      <formula>AND((private_cloud_chosen&lt;&gt;"Exclude"),(private_cloud_result="Excluded"))</formula>
    </cfRule>
    <cfRule type="expression" dxfId="4975" priority="342">
      <formula>(private_cloud_chosen="Exclude")</formula>
    </cfRule>
  </conditionalFormatting>
  <conditionalFormatting sqref="H73">
    <cfRule type="expression" dxfId="4974" priority="305">
      <formula>(spr_chosen="Exclude")</formula>
    </cfRule>
    <cfRule type="expression" dxfId="4973" priority="306">
      <formula>AND((spr_chosen&lt;&gt;"Exclude"),(spr_result="Excluded"))</formula>
    </cfRule>
    <cfRule type="expression" dxfId="4972" priority="307">
      <formula>AND((spr_chosen&lt;&gt;"Exclude"),(spr_result="Included"))</formula>
    </cfRule>
  </conditionalFormatting>
  <conditionalFormatting sqref="H74">
    <cfRule type="expression" dxfId="4971" priority="250">
      <formula>AND((hrm_chosen&lt;&gt;"Exclude"),(hrm_result="Excluded"))</formula>
    </cfRule>
    <cfRule type="expression" dxfId="4970" priority="251">
      <formula>AND((hrm_chosen&lt;&gt;"Exclude"),(hrm_result="Included"))</formula>
    </cfRule>
    <cfRule type="expression" dxfId="4969" priority="249">
      <formula>(hrm_chosen="Exclude")</formula>
    </cfRule>
  </conditionalFormatting>
  <conditionalFormatting sqref="H75">
    <cfRule type="expression" dxfId="4968" priority="224">
      <formula>AND((cbr_chosen&lt;&gt;"Exclude"),(cbr_result="Included"))</formula>
    </cfRule>
    <cfRule type="expression" dxfId="4967" priority="192">
      <formula>(cbr_chosen="Exclude")</formula>
    </cfRule>
    <cfRule type="expression" dxfId="4966" priority="193">
      <formula>AND((cbr_chosen&lt;&gt;"Exclude"),(cbr_result="Excluded"))</formula>
    </cfRule>
  </conditionalFormatting>
  <conditionalFormatting sqref="H76">
    <cfRule type="expression" dxfId="4965" priority="226">
      <formula>(ccm_chosen="Exclude")</formula>
    </cfRule>
    <cfRule type="expression" dxfId="4964" priority="225">
      <formula>AND((ccm_chosen&lt;&gt;"Exclude"),(ccm_result="Excluded"))</formula>
    </cfRule>
    <cfRule type="expression" dxfId="4963" priority="194">
      <formula>AND((ccm_chosen&lt;&gt;"Exclude"),(ccm_result="Included"))</formula>
    </cfRule>
  </conditionalFormatting>
  <conditionalFormatting sqref="J11">
    <cfRule type="expression" dxfId="4962" priority="213">
      <formula>(vcf_version_chosen&lt;&gt;"Exclude")</formula>
    </cfRule>
    <cfRule type="expression" dxfId="4961" priority="212">
      <formula>(vcf_version_result="Excluded")</formula>
    </cfRule>
  </conditionalFormatting>
  <conditionalFormatting sqref="J12">
    <cfRule type="expression" dxfId="4960" priority="210">
      <formula>(mgmt_domain_result="Excluded")</formula>
    </cfRule>
    <cfRule type="expression" dxfId="4959" priority="211">
      <formula>(mgmt_domain_result&lt;&gt;"Excluded")</formula>
    </cfRule>
  </conditionalFormatting>
  <conditionalFormatting sqref="J16">
    <cfRule type="expression" dxfId="4958" priority="169">
      <formula>(mgmt_dpg_separation_result="Included")</formula>
    </cfRule>
  </conditionalFormatting>
  <conditionalFormatting sqref="J17">
    <cfRule type="expression" dxfId="4957" priority="206">
      <formula>(vcf_version_result="Excluded")</formula>
    </cfRule>
    <cfRule type="expression" dxfId="4956" priority="207">
      <formula>(vcf_version_chosen&lt;&gt;"Exclude")</formula>
    </cfRule>
  </conditionalFormatting>
  <conditionalFormatting sqref="J33">
    <cfRule type="expression" dxfId="4955" priority="506">
      <formula>AND((vrslcm_chosen="Include"),(vrslcm_result="Included"))</formula>
    </cfRule>
    <cfRule type="expression" dxfId="4954" priority="505">
      <formula>AND((vrslcm_chosen="Include"),(vrslcm_result="Excluded"))</formula>
    </cfRule>
    <cfRule type="expression" dxfId="4953" priority="504">
      <formula>(vrslcm_chosen="Exclude")</formula>
    </cfRule>
  </conditionalFormatting>
  <conditionalFormatting sqref="J42">
    <cfRule type="expression" dxfId="4952" priority="158" stopIfTrue="1">
      <formula>(wld_dpg_separation_chosen="Exclude")</formula>
    </cfRule>
    <cfRule type="expression" dxfId="4951" priority="159">
      <formula>(wld_dpg_separation_result="Included")</formula>
    </cfRule>
  </conditionalFormatting>
  <conditionalFormatting sqref="J71">
    <cfRule type="expression" dxfId="4950" priority="233" stopIfTrue="1">
      <formula>AND((inv_chosen&lt;&gt;"Exclude"),(inv_result="Excluded"))</formula>
    </cfRule>
  </conditionalFormatting>
  <conditionalFormatting sqref="J75">
    <cfRule type="expression" dxfId="4949" priority="144">
      <formula>AND((cbr_chosen&lt;&gt;"Exclude"),(cbr_result="Excluded"))</formula>
    </cfRule>
    <cfRule type="expression" dxfId="4948" priority="143">
      <formula>AND((cbr_chosen&lt;&gt;"Exclude"),(cbr_result="Included"))</formula>
    </cfRule>
  </conditionalFormatting>
  <conditionalFormatting sqref="J76">
    <cfRule type="expression" dxfId="4947" priority="223">
      <formula>(ccm_chosen="Exclude")</formula>
    </cfRule>
    <cfRule type="expression" dxfId="4946" priority="221" stopIfTrue="1">
      <formula>AND((ccm_chosen&lt;&gt;"Exclude"),(ccm_result="Excluded"))</formula>
    </cfRule>
  </conditionalFormatting>
  <conditionalFormatting sqref="J13:K13">
    <cfRule type="expression" dxfId="4945" priority="187">
      <formula>(mgmt_principal_storage_result="Excluded")</formula>
    </cfRule>
    <cfRule type="expression" dxfId="4944" priority="188">
      <formula>(vcf_version_chosen&lt;&gt;"Exclude")</formula>
    </cfRule>
  </conditionalFormatting>
  <conditionalFormatting sqref="J14:K14">
    <cfRule type="expression" dxfId="4943" priority="183" stopIfTrue="1">
      <formula>(mgmt_vlcm_model_result="Excluded")</formula>
    </cfRule>
    <cfRule type="expression" dxfId="4942" priority="180">
      <formula>(mgmt_vlcm_model_result="Included")</formula>
    </cfRule>
  </conditionalFormatting>
  <conditionalFormatting sqref="J16:K16">
    <cfRule type="expression" dxfId="4941" priority="171">
      <formula>(mgmt_dpg_separation_result="Excluded")</formula>
    </cfRule>
  </conditionalFormatting>
  <conditionalFormatting sqref="J18:K18">
    <cfRule type="expression" dxfId="4940" priority="630">
      <formula>(mgmt_consolidated_chosen="Exclude")</formula>
    </cfRule>
    <cfRule type="expression" dxfId="4939" priority="631">
      <formula>(mgmt_consolidated_chosen="Include")</formula>
    </cfRule>
  </conditionalFormatting>
  <conditionalFormatting sqref="J19:K19">
    <cfRule type="expression" dxfId="4938" priority="556">
      <formula>(mgmt_esxi_external_certs_chosen="Include")</formula>
    </cfRule>
    <cfRule type="expression" dxfId="4937" priority="555">
      <formula>(mgmt_esxi_external_certs_chosen="Exclude")</formula>
    </cfRule>
  </conditionalFormatting>
  <conditionalFormatting sqref="J23:K23">
    <cfRule type="expression" dxfId="4936" priority="454">
      <formula>(mgmt_signed_certs_chosen&lt;&gt;"Exclude")</formula>
    </cfRule>
    <cfRule type="expression" dxfId="4935" priority="453">
      <formula>(mgmt_signed_certs_chosen="Exclude")</formula>
    </cfRule>
  </conditionalFormatting>
  <conditionalFormatting sqref="J24:K24">
    <cfRule type="expression" dxfId="4934" priority="464">
      <formula>(mgmt_vns_chosen&lt;&gt;"Include")</formula>
    </cfRule>
    <cfRule type="expression" dxfId="4933" priority="463">
      <formula>(mgmt_vns_chosen="Exclude")</formula>
    </cfRule>
  </conditionalFormatting>
  <conditionalFormatting sqref="J25:K25">
    <cfRule type="expression" dxfId="4932" priority="443">
      <formula>AND((mgmt_nsxt_federation_chosen&lt;&gt;"Exclude"),(mgmt_nsxt_federation_result="Included"))</formula>
    </cfRule>
    <cfRule type="expression" dxfId="4931" priority="442">
      <formula>AND((mgmt_nsxt_federation_chosen&lt;&gt;"Exclude"),(mgmt_nsxt_federation_result="Excluded"))</formula>
    </cfRule>
    <cfRule type="expression" dxfId="4930" priority="441">
      <formula>(mgmt_nsxt_federation_chosen="Exclude")</formula>
    </cfRule>
  </conditionalFormatting>
  <conditionalFormatting sqref="J26:K26">
    <cfRule type="expression" dxfId="4929" priority="730">
      <formula>AND((mgmt_stretched_cluster_chosen="Include"),(mgmt_stretched_cluster_result="Excluded"))</formula>
    </cfRule>
    <cfRule type="expression" dxfId="4928" priority="729">
      <formula>(mgmt_stretched_cluster_chosen="Exclude")</formula>
    </cfRule>
    <cfRule type="expression" dxfId="4927" priority="731">
      <formula>AND((mgmt_stretched_cluster_chosen="Include"),(mgmt_stretched_cluster_result="Included"))</formula>
    </cfRule>
  </conditionalFormatting>
  <conditionalFormatting sqref="J28:K28">
    <cfRule type="expression" dxfId="4926" priority="6">
      <formula>mgmt_internet_proxy_result="Included"</formula>
    </cfRule>
  </conditionalFormatting>
  <conditionalFormatting sqref="J29:K29">
    <cfRule type="expression" dxfId="4925" priority="8">
      <formula>mgmt_offline_depot_result="Included"</formula>
    </cfRule>
  </conditionalFormatting>
  <conditionalFormatting sqref="J34:K34">
    <cfRule type="expression" dxfId="4924" priority="352">
      <formula>AND((vcf_aware_wsa_chosen&lt;&gt;"Exclude"),(vcf_aware_wsa_result="Excluded"))</formula>
    </cfRule>
    <cfRule type="expression" dxfId="4923" priority="351">
      <formula>(vcf_aware_wsa_chosen="Exclude")</formula>
    </cfRule>
    <cfRule type="expression" dxfId="4922" priority="353">
      <formula>AND((vcf_aware_wsa_chosen&lt;&gt;"Exclude"),(vcf_aware_wsa_result="Included"))</formula>
    </cfRule>
  </conditionalFormatting>
  <conditionalFormatting sqref="J38:K40">
    <cfRule type="expression" dxfId="4921" priority="446">
      <formula>AND((wld_domain_chosen&lt;&gt;"Exclude"),(wld_domain_result="Included"))</formula>
    </cfRule>
    <cfRule type="expression" dxfId="4920" priority="445">
      <formula>AND((wld_domain_chosen&lt;&gt;"Exclude"),(wld_domain_result="Excluded"))</formula>
    </cfRule>
  </conditionalFormatting>
  <conditionalFormatting sqref="J38:K42">
    <cfRule type="expression" dxfId="4919" priority="156">
      <formula>(wld_domain_chosen="Exclude")</formula>
    </cfRule>
  </conditionalFormatting>
  <conditionalFormatting sqref="J39:K39">
    <cfRule type="expression" dxfId="4918" priority="434">
      <formula>AND((wld_host_overlay_addressing_chosen&lt;&gt;"Exclude"),(wld_host_overlay_addressing_result="Excluded"))</formula>
    </cfRule>
    <cfRule type="expression" dxfId="4917" priority="435">
      <formula>AND((wld_host_overlay_addressing_chosen&lt;&gt;"Exclude"),(wld_host_overlay_addressing_result="Included"))</formula>
    </cfRule>
  </conditionalFormatting>
  <conditionalFormatting sqref="J40:K40 H40">
    <cfRule type="expression" dxfId="4916" priority="444">
      <formula>wld_principal_storage_result="Excluded"</formula>
    </cfRule>
  </conditionalFormatting>
  <conditionalFormatting sqref="J41:K41">
    <cfRule type="expression" dxfId="4915" priority="382">
      <formula>(wld_vlcm_model_result="Excluded")</formula>
    </cfRule>
    <cfRule type="expression" dxfId="4914" priority="383">
      <formula>(wld_vlcm_model_result="Included")</formula>
    </cfRule>
  </conditionalFormatting>
  <conditionalFormatting sqref="J42:K42">
    <cfRule type="expression" dxfId="4913" priority="160">
      <formula>(wld_dpg_separation_result="Excluded")</formula>
    </cfRule>
  </conditionalFormatting>
  <conditionalFormatting sqref="J43:K43">
    <cfRule type="expression" dxfId="4912" priority="408">
      <formula>AND((wld_esxi_external_certs_chosen&lt;&gt;"Exclude"),(wld_esxi_external_certs_result="Included"))</formula>
    </cfRule>
    <cfRule type="expression" dxfId="4911" priority="405">
      <formula>AND((wld_esxi_external_certs_chosen&lt;&gt;"Exclude"),(wld_esxi_external_certs_result="Excluded"))</formula>
    </cfRule>
    <cfRule type="expression" dxfId="4910" priority="406">
      <formula>(wld_esxi_external_certs_chosen="Exclude")</formula>
    </cfRule>
  </conditionalFormatting>
  <conditionalFormatting sqref="J44:K44">
    <cfRule type="expression" dxfId="4909" priority="392">
      <formula>(wld_domain_chosen="Exclude")</formula>
    </cfRule>
    <cfRule type="expression" dxfId="4908" priority="391">
      <formula>(wld_secondary_storage_chosen="Exclude")</formula>
    </cfRule>
    <cfRule type="expression" dxfId="4907" priority="390">
      <formula>AND((wld_secondary_storage_chosen&lt;&gt;"Exclude"),(wld_secondary_storage_result="Excluded"))</formula>
    </cfRule>
    <cfRule type="expression" dxfId="4906" priority="393">
      <formula>AND((wld_secondary_storage_chosen&lt;&gt;"Exclude"),(wld_secondary_storage_result="Included"))</formula>
    </cfRule>
  </conditionalFormatting>
  <conditionalFormatting sqref="J48:K48 H48">
    <cfRule type="expression" dxfId="4905" priority="53">
      <formula>wld_dedicated_edge_cluster_chosen="Exclude"</formula>
    </cfRule>
  </conditionalFormatting>
  <conditionalFormatting sqref="J49:K49 H49">
    <cfRule type="expression" dxfId="4904" priority="46">
      <formula>AND((wld_multi_rack_count_chosen&lt;&gt;"Exclude"),(wld_multi_rack_count_result="Excluded"))</formula>
    </cfRule>
  </conditionalFormatting>
  <conditionalFormatting sqref="J50:K50 H50">
    <cfRule type="expression" dxfId="4903" priority="43">
      <formula>wld_multirack_result="Excluded"</formula>
    </cfRule>
  </conditionalFormatting>
  <conditionalFormatting sqref="J51:K53">
    <cfRule type="expression" dxfId="4902" priority="131">
      <formula>(vcf_version_chosen&lt;&gt;"Exclude")</formula>
    </cfRule>
  </conditionalFormatting>
  <conditionalFormatting sqref="J58:K58">
    <cfRule type="expression" dxfId="4901" priority="495">
      <formula>(wld_signed_certs_chosen="Exclude")</formula>
    </cfRule>
    <cfRule type="expression" dxfId="4900" priority="496">
      <formula>AND((wld_signed_certs_chosen="Include"),(wld_signed_certs_result="Excluded"))</formula>
    </cfRule>
    <cfRule type="expression" dxfId="4899" priority="497">
      <formula>AND((wld_signed_certs_chosen="Include"),(wld_signed_certs_result="Included"))</formula>
    </cfRule>
  </conditionalFormatting>
  <conditionalFormatting sqref="J59:K59">
    <cfRule type="expression" dxfId="4898" priority="426">
      <formula>AND((wld_bgp_chosen&lt;&gt;"Exclude"),(wld_bgp_result="Included"))</formula>
    </cfRule>
    <cfRule type="expression" dxfId="4897" priority="425">
      <formula>AND((wld_bgp_chosen&lt;&gt;"Exclude"),(wld_bgp_result="Excluded"))</formula>
    </cfRule>
    <cfRule type="expression" dxfId="4896" priority="424">
      <formula>(wld_bgp_chosen="Exclude")</formula>
    </cfRule>
  </conditionalFormatting>
  <conditionalFormatting sqref="J60:K60">
    <cfRule type="expression" dxfId="4895" priority="432">
      <formula>AND((wld_nsxt_federation_chosen&lt;&gt;"Exclude"),(wld_nsxt_federation_result="Included"))</formula>
    </cfRule>
    <cfRule type="expression" dxfId="4894" priority="431">
      <formula>AND((wld_nsxt_federation_chosen&lt;&gt;"Exclude"),(wld_nsxt_federation_result="Excluded"))</formula>
    </cfRule>
    <cfRule type="expression" dxfId="4893" priority="430">
      <formula>(wld_nsxt_federation_chosen="Exclude")</formula>
    </cfRule>
  </conditionalFormatting>
  <conditionalFormatting sqref="J61:K61">
    <cfRule type="expression" dxfId="4892" priority="785">
      <formula>AND((wld_stretched_cluster_chosen="Include"),(wld_stretched_cluster_result="Included"))</formula>
    </cfRule>
    <cfRule type="expression" dxfId="4891" priority="784">
      <formula>AND((wld_stretched_cluster_chosen="Include"),(wld_stretched_cluster_result="Excluded"))</formula>
    </cfRule>
    <cfRule type="expression" dxfId="4890" priority="783">
      <formula>(wld_stretched_cluster_chosen="Exclude")</formula>
    </cfRule>
  </conditionalFormatting>
  <conditionalFormatting sqref="J66:K66">
    <cfRule type="expression" dxfId="4889" priority="326">
      <formula>AND((iam_chosen&lt;&gt;"Exclude"),(iam_result="Included"))</formula>
    </cfRule>
    <cfRule type="expression" dxfId="4888" priority="324">
      <formula>(iam_chosen="Exclude")</formula>
    </cfRule>
    <cfRule type="expression" dxfId="4887" priority="325">
      <formula>AND((iam_chosen&lt;&gt;"Exclude"),(iam_result="Excluded"))</formula>
    </cfRule>
  </conditionalFormatting>
  <conditionalFormatting sqref="J67:K67">
    <cfRule type="expression" dxfId="4886" priority="318">
      <formula>(developer_ready_chosen="Exclude")</formula>
    </cfRule>
    <cfRule type="expression" dxfId="4885" priority="319">
      <formula>AND((developer_ready_chosen&lt;&gt;"Exclude"),(developer_ready_result="Excluded"))</formula>
    </cfRule>
    <cfRule type="expression" dxfId="4884" priority="320">
      <formula>AND((developer_ready_chosen&lt;&gt;"Exclude"),(developer_ready_result="Included"))</formula>
    </cfRule>
  </conditionalFormatting>
  <conditionalFormatting sqref="J68:K68">
    <cfRule type="expression" dxfId="4883" priority="12">
      <formula>(air_chosen="Exclude")</formula>
    </cfRule>
    <cfRule type="expression" dxfId="4882" priority="13">
      <formula>AND((air_chosen&lt;&gt;"Exclude"),(air_result="Excluded"))</formula>
    </cfRule>
    <cfRule type="expression" dxfId="4881" priority="14">
      <formula>AND((air_chosen&lt;&gt;"Exclude"),(air_result="Included"))</formula>
    </cfRule>
  </conditionalFormatting>
  <conditionalFormatting sqref="J69:K69">
    <cfRule type="expression" dxfId="4880" priority="312">
      <formula>(intelligent_logging_chosen="Exclude")</formula>
    </cfRule>
    <cfRule type="expression" dxfId="4879" priority="313">
      <formula>AND((intelligent_logging_chosen&lt;&gt;"Exclude"),(intelligent_logging_result="Excluded"))</formula>
    </cfRule>
    <cfRule type="expression" dxfId="4878" priority="314">
      <formula>AND((intelligent_logging_chosen&lt;&gt;"Exclude"),(intelligent_logging_result="Included"))</formula>
    </cfRule>
  </conditionalFormatting>
  <conditionalFormatting sqref="J70:K70">
    <cfRule type="expression" dxfId="4877" priority="336">
      <formula>(intelligent_operations_chosen="Exclude")</formula>
    </cfRule>
    <cfRule type="expression" dxfId="4876" priority="337">
      <formula>AND((intelligent_operations_chosen&lt;&gt;"Exclude"),(intelligent_operations_result="Excluded"))</formula>
    </cfRule>
    <cfRule type="expression" dxfId="4875" priority="338">
      <formula>AND((intelligent_operations_chosen&lt;&gt;"Exclude"),(intelligent_operations_result="Included"))</formula>
    </cfRule>
  </conditionalFormatting>
  <conditionalFormatting sqref="J71:K71">
    <cfRule type="expression" dxfId="4874" priority="215" stopIfTrue="1">
      <formula>(inv_chosen="Exclude")</formula>
    </cfRule>
    <cfRule type="expression" dxfId="4873" priority="217">
      <formula>AND((inv_chosen&lt;&gt;"Exclude"),(inv_result="Included"))</formula>
    </cfRule>
  </conditionalFormatting>
  <conditionalFormatting sqref="J72:K72">
    <cfRule type="expression" dxfId="4872" priority="332">
      <formula>AND((private_cloud_chosen&lt;&gt;"Exclude"),(private_cloud_result="Included"))</formula>
    </cfRule>
    <cfRule type="expression" dxfId="4871" priority="331">
      <formula>AND((private_cloud_chosen&lt;&gt;"Exclude"),(private_cloud_result="Excluded"))</formula>
    </cfRule>
    <cfRule type="expression" dxfId="4870" priority="330">
      <formula>(private_cloud_chosen="Exclude")</formula>
    </cfRule>
  </conditionalFormatting>
  <conditionalFormatting sqref="J73:K73">
    <cfRule type="expression" dxfId="4869" priority="298">
      <formula>AND((spr_chosen&lt;&gt;"Exclude"),(spr_result="Included"))</formula>
    </cfRule>
    <cfRule type="expression" dxfId="4868" priority="297">
      <formula>AND((spr_chosen&lt;&gt;"Exclude"),(spr_result="Excluded"))</formula>
    </cfRule>
    <cfRule type="expression" dxfId="4867" priority="296">
      <formula>(spr_chosen="Exclude")</formula>
    </cfRule>
  </conditionalFormatting>
  <conditionalFormatting sqref="J74:K74">
    <cfRule type="expression" dxfId="4866" priority="238" stopIfTrue="1">
      <formula>AND((hrm_chosen&lt;&gt;"Exclude"),(hrm_result="Excluded"))</formula>
    </cfRule>
    <cfRule type="expression" dxfId="4865" priority="237">
      <formula>(hrm_chosen="Exclude")</formula>
    </cfRule>
    <cfRule type="expression" dxfId="4864" priority="239">
      <formula>AND((hrm_chosen&lt;&gt;"Exclude"),(hrm_result="Included"))</formula>
    </cfRule>
  </conditionalFormatting>
  <conditionalFormatting sqref="J75:K75">
    <cfRule type="expression" dxfId="4863" priority="145">
      <formula>(cbr_chosen="Exclude")</formula>
    </cfRule>
  </conditionalFormatting>
  <conditionalFormatting sqref="J76:K76">
    <cfRule type="expression" dxfId="4862" priority="191">
      <formula>AND((ccm_chosen&lt;&gt;"Exclude"),(ccm_result="Included"))</formula>
    </cfRule>
  </conditionalFormatting>
  <conditionalFormatting sqref="K16">
    <cfRule type="expression" dxfId="4861" priority="172">
      <formula>(mgmt_dpg_separation_result="Included")</formula>
    </cfRule>
  </conditionalFormatting>
  <conditionalFormatting sqref="K17">
    <cfRule type="expression" dxfId="4860" priority="202">
      <formula>vcf_version_result="Included"</formula>
    </cfRule>
    <cfRule type="expression" dxfId="4859" priority="204">
      <formula>vcf_version_result="Excluded"</formula>
    </cfRule>
  </conditionalFormatting>
  <conditionalFormatting sqref="K33">
    <cfRule type="expression" dxfId="4858" priority="604">
      <formula>AND((vrslcm_chosen="Include"),(vrslcm_result="Included"))</formula>
    </cfRule>
    <cfRule type="expression" dxfId="4857" priority="602">
      <formula>(vrslcm_chosen ="Exclude")</formula>
    </cfRule>
    <cfRule type="expression" dxfId="4856" priority="603">
      <formula>AND((vrslcm_chosen="Include"),(vrslcm_result="Excluded"))</formula>
    </cfRule>
  </conditionalFormatting>
  <conditionalFormatting sqref="K42">
    <cfRule type="expression" dxfId="4855" priority="161">
      <formula>(wld_dpg_separation_result="Included")</formula>
    </cfRule>
    <cfRule type="expression" dxfId="4854" priority="157">
      <formula>(wld_dpg_separation_chosen="Exclude")</formula>
    </cfRule>
  </conditionalFormatting>
  <conditionalFormatting sqref="K47:K50 K11:K12">
    <cfRule type="expression" dxfId="4853" priority="40">
      <formula>vcf_version_result="Excluded"</formula>
    </cfRule>
    <cfRule type="expression" dxfId="4852" priority="205">
      <formula>vcf_version_result="Included"</formula>
    </cfRule>
  </conditionalFormatting>
  <conditionalFormatting sqref="K48">
    <cfRule type="expression" dxfId="4851" priority="52" stopIfTrue="1">
      <formula>AND(wld_multi_rack_count_chosen&gt;=2,wld_dedicated_edge_cluster_chosen="Exclude")</formula>
    </cfRule>
  </conditionalFormatting>
  <conditionalFormatting sqref="K60:K61 K26">
    <cfRule type="containsText" dxfId="4850" priority="494" operator="containsText" text="Note:">
      <formula>NOT(ISERROR(SEARCH("Note:",K26)))</formula>
    </cfRule>
  </conditionalFormatting>
  <conditionalFormatting sqref="K63:K69 K34 K72">
    <cfRule type="containsText" dxfId="4849" priority="267" operator="containsText" text="Note:">
      <formula>NOT(ISERROR(SEARCH("Note:",K34)))</formula>
    </cfRule>
  </conditionalFormatting>
  <conditionalFormatting sqref="K70">
    <cfRule type="containsText" dxfId="4848" priority="310" operator="containsText" text="Note:">
      <formula>NOT(ISERROR(SEARCH("Note:",K70)))</formula>
    </cfRule>
  </conditionalFormatting>
  <conditionalFormatting sqref="K71">
    <cfRule type="expression" dxfId="4847" priority="216" stopIfTrue="1">
      <formula>AND((inv_chosen&lt;&gt;"Exclude"),(inv_result="Excluded"))</formula>
    </cfRule>
  </conditionalFormatting>
  <conditionalFormatting sqref="K75">
    <cfRule type="expression" dxfId="4846" priority="196">
      <formula>AND((cbr_chosen&lt;&gt;"Exclude"),(cbr_result="Included"))</formula>
    </cfRule>
    <cfRule type="expression" dxfId="4845" priority="190">
      <formula>AND((cbr_chosen&lt;&gt;"Exclude"),(cbr_result="Excluded"))</formula>
    </cfRule>
  </conditionalFormatting>
  <conditionalFormatting sqref="K76">
    <cfRule type="expression" dxfId="4844" priority="229" stopIfTrue="1">
      <formula>(ccm_chosen="Exclude")</formula>
    </cfRule>
    <cfRule type="expression" dxfId="4843" priority="228">
      <formula>AND((ccm_chosen&lt;&gt;"Exclude"),(ccm_result="Excluded"))</formula>
    </cfRule>
  </conditionalFormatting>
  <dataValidations count="23">
    <dataValidation type="list" allowBlank="1" showInputMessage="1" showErrorMessage="1" sqref="H33 H18:H19 H58 H42:H44 H47:H48 H15:H16 H61:H62 H26:H29" xr:uid="{C69FA742-5038-9D45-BD6D-BB0D8DB6294F}">
      <formula1>"Include,Exclude"</formula1>
    </dataValidation>
    <dataValidation type="list" allowBlank="1" showInputMessage="1" showErrorMessage="1" sqref="H24 H59" xr:uid="{2D9695D8-0E1C-EF44-AAB1-95F146F1964E}">
      <formula1>"Exclude,Overlay-Backed,VLAN-Backed"</formula1>
    </dataValidation>
    <dataValidation type="list" allowBlank="1" showInputMessage="1" showErrorMessage="1" sqref="H23" xr:uid="{9C44D66D-A6AE-BB4C-A959-2695BEEC9467}">
      <formula1>"Exclude,Microsoft CA,OpenSSL CA"</formula1>
    </dataValidation>
    <dataValidation type="list" allowBlank="1" showInputMessage="1" showErrorMessage="1" sqref="H12" xr:uid="{F6FDB6B3-AFB6-B844-83DA-5809D1FC17FC}">
      <formula1>"First Domain,Additional Domain"</formula1>
    </dataValidation>
    <dataValidation type="list" allowBlank="1" showInputMessage="1" showErrorMessage="1" sqref="H40" xr:uid="{D6D56BCB-BAC8-144A-BD1D-A17A62BB989D}">
      <formula1>table_vcf_version5x_wld_storage_type</formula1>
    </dataValidation>
    <dataValidation type="list" allowBlank="1" showInputMessage="1" showErrorMessage="1" sqref="H25 H60" xr:uid="{4C87AA03-6454-D94F-9467-431FFA208D54}">
      <formula1>"Exclude, Active Global Manager, Standby Global Manager, Connect Instance"</formula1>
    </dataValidation>
    <dataValidation type="list" allowBlank="1" showInputMessage="1" showErrorMessage="1" sqref="H17 H39" xr:uid="{EF3D963A-7663-544F-9EB3-8674082828F8}">
      <formula1>"DHCP,Static"</formula1>
    </dataValidation>
    <dataValidation type="list" allowBlank="1" showInputMessage="1" showErrorMessage="1" sqref="H41" xr:uid="{521C8BAB-421F-1940-AC46-A9E32B156222}">
      <formula1>IF(wld_principal_storage_chosen="vSAN-ESA",table_vcf_version5x_mgmt_vlcm_image,table_vcf_version5x_mgmt_vlcm_type)</formula1>
    </dataValidation>
    <dataValidation type="list" allowBlank="1" showInputMessage="1" showErrorMessage="1" sqref="H72 H70" xr:uid="{43F144B6-1171-D74A-865D-7FC9A375044F}">
      <formula1>"Exclude,Initial Deployment,Connect Instance"</formula1>
    </dataValidation>
    <dataValidation type="list" allowBlank="1" showInputMessage="1" showErrorMessage="1" sqref="H66:H69" xr:uid="{36A0FF16-5163-6947-AAEB-1E3C16D3C48D}">
      <formula1>"Exclude,Deploy"</formula1>
    </dataValidation>
    <dataValidation type="list" allowBlank="1" showInputMessage="1" showErrorMessage="1" sqref="H73" xr:uid="{D8B2835C-D07B-FE49-8187-40B241FEF03F}">
      <formula1>"Exclude,Management Only, VI Workload Only, Management &amp; Initial VI Workload"</formula1>
    </dataValidation>
    <dataValidation type="list" allowBlank="1" showInputMessage="1" showErrorMessage="1" sqref="H34" xr:uid="{5B58193F-DAC7-9541-B5EA-06C6D547632A}">
      <formula1>"Exclude, Standard, Clustered"</formula1>
    </dataValidation>
    <dataValidation type="list" allowBlank="1" showInputMessage="1" showErrorMessage="1" sqref="H38" xr:uid="{AC27E97C-78BF-EC4F-911D-8479E8146EA5}">
      <formula1>"Create New SSO Domain,Join Management SSO Domain ,Exclude"</formula1>
    </dataValidation>
    <dataValidation allowBlank="1" showErrorMessage="1" promptTitle="Select Version" prompt="Select Version" sqref="B11:F12" xr:uid="{0CB2B253-FC13-E74C-A78A-0DE109187FA1}"/>
    <dataValidation type="list" allowBlank="1" showInputMessage="1" showErrorMessage="1" sqref="H11" xr:uid="{845D40E7-F93C-9A45-8F34-252054BD321A}">
      <formula1>"No Version Selected, v5.2.x,v5.1.x"</formula1>
    </dataValidation>
    <dataValidation type="list" allowBlank="1" showInputMessage="1" showErrorMessage="1" sqref="H13" xr:uid="{BF5A54CA-D3C0-4F48-985B-329659F40E5D}">
      <formula1>"vSAN-ESA,vSAN-OSA"</formula1>
    </dataValidation>
    <dataValidation type="list" allowBlank="1" showInputMessage="1" showErrorMessage="1" sqref="H14" xr:uid="{C7A6B989-4942-4B49-BC64-3C73B0164913}">
      <formula1>IF(mgmt_principal_storage_chosen="vSAN-ESA",table_vcf_version5x_mgmt_vlcm_image,table_vcf_version5x_mgmt_vlcm_type)</formula1>
    </dataValidation>
    <dataValidation type="list" allowBlank="1" showInputMessage="1" showErrorMessage="1" sqref="H51:H52" xr:uid="{BB06EE86-0AB9-2448-A230-A9160276CE5C}">
      <formula1>avail_rack_list</formula1>
    </dataValidation>
    <dataValidation type="list" allowBlank="1" showInputMessage="1" showErrorMessage="1" sqref="H49" xr:uid="{C5C624E1-83A7-974B-A650-2D93B34AFB89}">
      <formula1>IF(wld_dedicated_edge_cluster_chosen="Exclude",wld_rack_count_without_dedicated_edges,wld_rack_count_with_dedicated_edges)</formula1>
    </dataValidation>
    <dataValidation type="list" allowBlank="1" showInputMessage="1" showErrorMessage="1" sqref="H54" xr:uid="{8EE0DB39-B6DB-7A41-960D-0D134A9690F9}">
      <formula1>"Exclude,Single,Multiple"</formula1>
    </dataValidation>
    <dataValidation type="list" allowBlank="1" showInputMessage="1" showErrorMessage="1" sqref="H50" xr:uid="{58537510-C98B-154F-AF78-F31218AD69E8}">
      <formula1>"Exclude,1,2,3,4,5,6,7,8,9,10,11,12,13,14,15,16"</formula1>
    </dataValidation>
    <dataValidation type="list" allowBlank="1" showInputMessage="1" showErrorMessage="1" sqref="H53" xr:uid="{6472A4AB-4506-0241-8A32-9DD49FADC4BA}">
      <formula1>"Exclude,Availability (2 Node),Availability (4 Node)"</formula1>
    </dataValidation>
    <dataValidation type="list" allowBlank="1" showInputMessage="1" showErrorMessage="1" sqref="H71 H74:H76" xr:uid="{2F5D06D0-C123-A941-A207-AD95BC964F3D}">
      <formula1>"Exclude,Deployment"</formula1>
    </dataValidation>
  </dataValidations>
  <hyperlinks>
    <hyperlink ref="O57" r:id="rId1" xr:uid="{00000000-0004-0000-0000-000006000000}"/>
    <hyperlink ref="I66" r:id="rId2" xr:uid="{00000000-0004-0000-0000-000008000000}"/>
    <hyperlink ref="I67" r:id="rId3" xr:uid="{00000000-0004-0000-0000-00000A000000}"/>
    <hyperlink ref="I72" r:id="rId4" xr:uid="{00000000-0004-0000-0000-00000C000000}"/>
    <hyperlink ref="I69" r:id="rId5" xr:uid="{00000000-0004-0000-0000-00000E000000}"/>
    <hyperlink ref="I70" r:id="rId6" xr:uid="{00000000-0004-0000-0000-000010000000}"/>
    <hyperlink ref="I73" r:id="rId7" xr:uid="{00000000-0004-0000-0000-000012000000}"/>
    <hyperlink ref="I74" r:id="rId8" xr:uid="{5FA7E436-6467-5A4F-B60C-9A27BAE84E62}"/>
    <hyperlink ref="I71" r:id="rId9" xr:uid="{869F5315-D8B5-0D46-A042-F1EF0FCC4C23}"/>
    <hyperlink ref="N27:N31" location="'Active Directory Inputs'!A1" display="Active Directory Inputs" xr:uid="{D3D39FCE-4226-124C-855B-1D2B3AF8A3F6}"/>
    <hyperlink ref="N29" location="'Name &amp; IP Address Inputs'!A1" display="Name &amp; IP Address Inputs" xr:uid="{919D0C6B-149E-0A48-8C7F-8627E3A5F3E3}"/>
    <hyperlink ref="N31" location="'SDDC Inputs'!A1" display="SDDC Inputs" xr:uid="{409BB1ED-95BF-BD44-A863-2190283FE971}"/>
    <hyperlink ref="N33" location="'Active Directory Inputs'!A1" display="Active Directory Inputs" xr:uid="{8079D1D9-A709-9645-8F6A-A6B3F920F325}"/>
    <hyperlink ref="I76" r:id="rId10" display="Cross Cloud Migration for VMware Cloud Foundation" xr:uid="{6DA7A06A-E79A-1746-9563-F6F8116D4DC4}"/>
    <hyperlink ref="I68" r:id="rId11" xr:uid="{49C05C47-B32E-BC4A-902F-C81C012DC2B8}"/>
    <hyperlink ref="M71" r:id="rId12" display="Deployment Overview of VMware Cloud Foundation" xr:uid="{951F1FD8-7683-414A-A7A7-B4A089A368CD}"/>
    <hyperlink ref="M75" r:id="rId13" display="VMware Cloud Foundation Design for a VI Workload Domain" xr:uid="{CE28697D-86CB-3C4F-AC71-021DEFFBC8CA}"/>
    <hyperlink ref="M76" r:id="rId14" xr:uid="{FFA70138-1296-6B49-975A-2BABA34CA8AB}"/>
    <hyperlink ref="M74" r:id="rId15" display="VMware Cloud Foundation Design for vRSLCM &amp; Clustered WSA" xr:uid="{EF312E72-773A-C64F-893D-993766138C6A}"/>
    <hyperlink ref="M73" r:id="rId16" display="VMware Cloud Foundation Design for a VI Workload Domain" xr:uid="{3F89E7AD-5E9D-1645-B746-10F082796993}"/>
    <hyperlink ref="M72" r:id="rId17" display="VMware Cloud Foundation Design for the Management Domain" xr:uid="{558258F0-CFAC-2540-9F6C-630AAD3D5FC8}"/>
    <hyperlink ref="N26" location="'Active Directory Inputs'!A1" display="Active Directory Inputs" xr:uid="{B0F22D43-AFB4-6949-A178-8E1D82D6F5FB}"/>
    <hyperlink ref="N34:O34" location="'Management Domain Sizing Inputs'!A1" display="Management Domain Sizing" xr:uid="{DA640692-838E-744E-A547-BFA73F7131AF}"/>
    <hyperlink ref="N29:O29" location="'Name &amp; IP Address Inputs - VM'!A1" display="Name &amp; IP Address Inputs - VM" xr:uid="{369F3910-CC93-C14A-B1BD-1C9E73C85F2C}"/>
    <hyperlink ref="N26:O26" location="'Management Domain Sizing Inputs'!A1" display="Management Domain Sizing Inputs" xr:uid="{3D06FE75-0C3E-084A-B08C-A6EDE9FD0540}"/>
    <hyperlink ref="N27:O27" location="'Network Inputs - Rack'!A1" display="Network Inputs Racks" xr:uid="{76F8D75B-7174-E948-B9B2-142864F61D34}"/>
    <hyperlink ref="N28:O28" location="'Network Inputs - VVS'!A1" display="Network Inputs - VVS" xr:uid="{3E8BAA64-E702-8F4C-B6B6-8C4AD229A851}"/>
    <hyperlink ref="N30:O30" location="'Name &amp; IP Address Inputs - Rack'!A1" display="Name &amp; IP Address Inputs - Rack" xr:uid="{004BAB2E-DDA3-1347-8231-747940378A21}"/>
    <hyperlink ref="N31:O31" location="'SDDC Inputs - Common'!A1" display="SDDC Inputs - Common" xr:uid="{FE48C73A-8433-5040-A9F0-26471A90116B}"/>
    <hyperlink ref="N32:O32" location="'SDDC Inputs - Rack'!A1" display="SDDC Inputs - Rack" xr:uid="{B961C2BC-4344-584F-8280-32AC3D56E115}"/>
    <hyperlink ref="N33:O33" location="'Active Directory Inputs'!A1" display="Active Directory Inputs" xr:uid="{753BC7E3-EC48-8841-8F3B-C75695D70F89}"/>
    <hyperlink ref="N35:O35" location="'Management Domain CertGen File'!A1" display="Management Domain CertGen File" xr:uid="{04852B5A-8253-D24D-A8A9-A98E93348AFA}"/>
    <hyperlink ref="N36:O36" location="'Management Domain'!A1" display="Management Domain" xr:uid="{CFD62B17-8580-D342-ABD4-09DD734AEBB1}"/>
    <hyperlink ref="N37:O37" location="'Aria Lifecycle &amp; VCF Aware WSA'!A1" display="Aria Lifecycle &amp; VCF Aware WSA" xr:uid="{DCB94B46-E985-DD41-AB45-2D00FABD726F}"/>
    <hyperlink ref="N38:O38" location="'VI Workload Domain CertGen File'!A1" display="VI Workload Domain CertGen File" xr:uid="{A766B81A-ADD4-3045-B381-1323DE8C4A8A}"/>
    <hyperlink ref="N39:O39" location="'VI Workload Domain Rack Config'!A1" display="VI Workload Domain Rack Config" xr:uid="{271C2D9C-621A-7A4D-8947-1D6F30920E50}"/>
    <hyperlink ref="N40:O40" location="'VI Workload Domain'!A1" display="VI Workload Domain" xr:uid="{00143C0B-EE2E-0247-8868-71931FBC36D7}"/>
    <hyperlink ref="N41:O41" location="'VI WLD MultiRack API Sample'!A1" display="VI WLD MultiRack API Sample" xr:uid="{95DEACFE-71E0-E148-ABF2-0289BF3D3380}"/>
    <hyperlink ref="N42:O42" location="'VI WLD MultiRack EdgeAPI Sample'!A1" display="VI WLD MultiRack EdgeAPI Sample" xr:uid="{4CBD3126-7372-924E-B3B1-6D5635CAAAB0}"/>
    <hyperlink ref="N43:O43" location="'Identity &amp; Access Management'!A1" display="Identity &amp; Access Management" xr:uid="{AE048987-FCBB-3740-BC3C-6B6777A6C1C4}"/>
    <hyperlink ref="N44:O44" location="'Developer Ready Infrastructure'!A1" display="Developer Ready Infrastructure" xr:uid="{E300A947-506C-0F47-85D3-E8529A315BA6}"/>
    <hyperlink ref="N45:O45" location="'Private AI Ready Infrastructure'!A1" display="Private AI Ready Infrastructure" xr:uid="{B0B5E7BD-7D8C-F144-8925-10CD7CB870C5}"/>
    <hyperlink ref="N46:O46" location="'Intelligent Logging &amp; Analytics'!A1" display="Intelligent Logging &amp; Analytics" xr:uid="{7CB80D20-2851-AE4F-867B-5623683E4133}"/>
    <hyperlink ref="N47:O47" location="'Intelligent Operations Mgmt'!A1" display="Intelligent Operations Management" xr:uid="{B8D856DB-8B48-594C-B168-2F522E42AF9D}"/>
    <hyperlink ref="N48:O48" location="'Aria Operations Alert List'!A1" display="Aria Operations Alert List" xr:uid="{9A0A54DB-07C7-7344-9B30-FCC234B0A35F}"/>
    <hyperlink ref="N49:O49" location="'Intelligent Network Visibility'!A1" display="Intelligent Network Visibility" xr:uid="{F2444669-D1F0-E741-B2D7-2F908ED8F3C9}"/>
    <hyperlink ref="N50:O50" location="'Private Cloud Automation'!A1" display="Private Cloud Automation" xr:uid="{60E9969B-61BE-4D4C-B701-28E17DA48909}"/>
    <hyperlink ref="N51:O51" location="'Site Protection &amp; DR'!A1" display="Site Protection &amp; Disaster Recovery" xr:uid="{F99172C0-4059-E947-873D-DD1367AA4AC0}"/>
    <hyperlink ref="N52:O52" location="'Health Reporting and Monitoring'!A1" display="Health Reporting and Monitoring" xr:uid="{964273B0-AF17-D74C-B90D-D61432C6D3E4}"/>
    <hyperlink ref="N53:O53" location="'Cloud-Based Ransomware Recovery'!A1" display="Cloud-Based Ransomware Recovery" xr:uid="{2A0CC073-9110-E143-842E-69C56DC80F65}"/>
    <hyperlink ref="N54:O54" location="'Cross Cloud Mobility'!A1" display="Cross Cloud Mobility" xr:uid="{AA273130-DF1F-9C48-8AD6-3DD317209DF5}"/>
    <hyperlink ref="M71:O71" r:id="rId18" display="VMware Cloud Foundation Deployment Guide" xr:uid="{D5F0F951-4475-DB46-8597-566BF69C29E6}"/>
    <hyperlink ref="M72:O72" r:id="rId19" display="VMware Cloud Foundation Platform Design" xr:uid="{E7A449F1-0E5A-A14A-BD5D-9A9AA2C410B5}"/>
    <hyperlink ref="M73:O73" r:id="rId20" display="VMware Cloud Foundation Administration Guide" xr:uid="{446F2389-5739-BD48-9F5C-DF68BE6724F2}"/>
    <hyperlink ref="M75:O75" r:id="rId21" display="VMware Cloud Foundation Operations Guide" xr:uid="{71D93DA9-50AB-C444-B5CE-1315E80224BC}"/>
    <hyperlink ref="M76:O76" r:id="rId22" display="VMware Validated Solutions FAQ" xr:uid="{5B68B3E3-B57A-D947-8823-652C03AD5C3D}"/>
    <hyperlink ref="M74:O74" r:id="rId23" display="VMware Cloud Foundation Lifecycle Management" xr:uid="{9C092BF9-087C-1245-926A-7D9C178DF155}"/>
    <hyperlink ref="M70:O70" r:id="rId24" display="Getting Started with VMware Cloud Foundation" xr:uid="{E655D308-AAF9-D044-A9F5-2791337B4B1B}"/>
  </hyperlinks>
  <pageMargins left="0.7" right="0.7" top="0.75" bottom="0.75" header="0.3" footer="0.3"/>
  <pageSetup paperSize="9" orientation="portrait" horizontalDpi="0" verticalDpi="0"/>
  <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E1C94-A8D8-B348-880A-93BED273D130}">
  <sheetPr codeName="Sheet29">
    <tabColor theme="5" tint="0.39997558519241921"/>
  </sheetPr>
  <dimension ref="A1:N637"/>
  <sheetViews>
    <sheetView showGridLines="0" zoomScaleNormal="100" workbookViewId="0">
      <pane ySplit="4" topLeftCell="A5" activePane="bottomLeft" state="frozen"/>
      <selection pane="bottomLeft"/>
    </sheetView>
  </sheetViews>
  <sheetFormatPr baseColWidth="10" defaultRowHeight="16"/>
  <cols>
    <col min="1" max="1" width="2.6640625" bestFit="1" customWidth="1"/>
    <col min="2" max="2" width="49.83203125" customWidth="1"/>
    <col min="3" max="3" width="51.33203125" customWidth="1"/>
    <col min="4" max="4" width="30" customWidth="1"/>
    <col min="5" max="6" width="27.83203125" customWidth="1"/>
    <col min="7" max="8" width="20.83203125" customWidth="1"/>
    <col min="9" max="9" width="47" customWidth="1"/>
  </cols>
  <sheetData>
    <row r="1" spans="1:14" s="3" customFormat="1">
      <c r="A1" s="6" t="s">
        <v>335</v>
      </c>
    </row>
    <row r="2" spans="1:14" s="3" customFormat="1" ht="54" customHeight="1">
      <c r="B2" s="392" t="s">
        <v>4849</v>
      </c>
      <c r="C2" s="392"/>
      <c r="D2" s="392"/>
      <c r="E2" s="392"/>
      <c r="F2" s="392"/>
      <c r="G2" s="392"/>
      <c r="H2" s="392"/>
      <c r="I2" s="392"/>
      <c r="J2" s="34"/>
      <c r="K2" s="35"/>
      <c r="L2" s="35"/>
      <c r="M2" s="35"/>
      <c r="N2" s="35"/>
    </row>
    <row r="3" spans="1:14" s="3" customFormat="1" ht="20" customHeight="1">
      <c r="A3" s="24"/>
      <c r="B3" s="434" t="s">
        <v>581</v>
      </c>
      <c r="C3" s="434"/>
      <c r="D3" s="434"/>
      <c r="E3" s="434"/>
      <c r="F3" s="434"/>
      <c r="G3" s="434"/>
      <c r="H3" s="434"/>
      <c r="I3" s="434"/>
      <c r="J3" s="36"/>
      <c r="K3" s="36"/>
      <c r="L3" s="36"/>
      <c r="M3" s="37"/>
      <c r="N3" s="37"/>
    </row>
    <row r="4" spans="1:14" s="3" customFormat="1">
      <c r="I4" s="5"/>
    </row>
    <row r="5" spans="1:14" s="3" customFormat="1">
      <c r="I5" s="5"/>
    </row>
    <row r="6" spans="1:14" ht="34" customHeight="1">
      <c r="B6" s="436" t="s">
        <v>4007</v>
      </c>
      <c r="C6" s="436"/>
      <c r="D6" s="457"/>
      <c r="E6" s="457"/>
      <c r="F6" s="457"/>
      <c r="G6" s="457"/>
      <c r="H6" s="457"/>
      <c r="I6" s="457"/>
    </row>
    <row r="7" spans="1:14" ht="20" customHeight="1">
      <c r="B7" s="437" t="s">
        <v>4009</v>
      </c>
      <c r="C7" s="437"/>
      <c r="D7" s="459"/>
      <c r="E7" s="459"/>
      <c r="F7" s="459"/>
      <c r="G7" s="459"/>
      <c r="H7" s="459"/>
      <c r="I7" s="459"/>
    </row>
    <row r="8" spans="1:14" ht="20" customHeight="1">
      <c r="B8" s="190" t="s">
        <v>583</v>
      </c>
      <c r="C8" s="190" t="s">
        <v>629</v>
      </c>
      <c r="D8" s="113" t="s">
        <v>630</v>
      </c>
      <c r="E8" s="190" t="s">
        <v>631</v>
      </c>
      <c r="F8" s="113" t="s">
        <v>632</v>
      </c>
      <c r="G8" s="458" t="s">
        <v>222</v>
      </c>
      <c r="H8" s="458"/>
      <c r="I8" s="458"/>
    </row>
    <row r="9" spans="1:14" s="3" customFormat="1" ht="20" customHeight="1">
      <c r="B9" s="26" t="s">
        <v>639</v>
      </c>
      <c r="C9" s="25" t="str">
        <f>CONCATENATE(this_instance,"01-m01-r01-esx01")</f>
        <v>sfo01-m01-r01-esx01</v>
      </c>
      <c r="D9" s="14"/>
      <c r="E9" s="25" t="str">
        <f>CONCATENATE(prefix_mgmt_az1_cidr,"11.101")</f>
        <v>10.11.11.101</v>
      </c>
      <c r="F9" s="14"/>
      <c r="G9" s="454" t="s">
        <v>640</v>
      </c>
      <c r="H9" s="455"/>
      <c r="I9" s="456"/>
    </row>
    <row r="10" spans="1:14" s="3" customFormat="1" ht="20" customHeight="1">
      <c r="B10" s="16"/>
      <c r="C10" s="25" t="str">
        <f>CONCATENATE(this_instance,"01-m01-r01-esx02")</f>
        <v>sfo01-m01-r01-esx02</v>
      </c>
      <c r="D10" s="14"/>
      <c r="E10" s="25" t="str">
        <f>CONCATENATE(prefix_mgmt_az1_cidr,"11.102")</f>
        <v>10.11.11.102</v>
      </c>
      <c r="F10" s="14"/>
      <c r="G10" s="454" t="s">
        <v>642</v>
      </c>
      <c r="H10" s="455"/>
      <c r="I10" s="456"/>
    </row>
    <row r="11" spans="1:14" s="3" customFormat="1" ht="20" customHeight="1">
      <c r="B11" s="16"/>
      <c r="C11" s="25" t="str">
        <f>CONCATENATE(this_instance,"01-m01-r01-esx03")</f>
        <v>sfo01-m01-r01-esx03</v>
      </c>
      <c r="D11" s="14"/>
      <c r="E11" s="25" t="str">
        <f>CONCATENATE(prefix_mgmt_az1_cidr,"11.103")</f>
        <v>10.11.11.103</v>
      </c>
      <c r="F11" s="14"/>
      <c r="G11" s="454" t="s">
        <v>644</v>
      </c>
      <c r="H11" s="455"/>
      <c r="I11" s="456"/>
    </row>
    <row r="12" spans="1:14" s="3" customFormat="1" ht="20" customHeight="1">
      <c r="B12" s="16"/>
      <c r="C12" s="25" t="str">
        <f>CONCATENATE(this_instance,"01-m01-r01-esx04")</f>
        <v>sfo01-m01-r01-esx04</v>
      </c>
      <c r="D12" s="14"/>
      <c r="E12" s="25" t="str">
        <f>CONCATENATE(prefix_mgmt_az1_cidr,"11.104")</f>
        <v>10.11.11.104</v>
      </c>
      <c r="F12" s="14"/>
      <c r="G12" s="454" t="s">
        <v>646</v>
      </c>
      <c r="H12" s="455"/>
      <c r="I12" s="456"/>
    </row>
    <row r="13" spans="1:14" s="3" customFormat="1" ht="20" customHeight="1">
      <c r="B13" s="16"/>
      <c r="C13" s="25" t="str">
        <f>CONCATENATE(this_instance,"01-m01-r01-esx05")</f>
        <v>sfo01-m01-r01-esx05</v>
      </c>
      <c r="D13" s="14"/>
      <c r="E13" s="25" t="str">
        <f>CONCATENATE(prefix_mgmt_az1_cidr,"11.105")</f>
        <v>10.11.11.105</v>
      </c>
      <c r="F13" s="14"/>
      <c r="G13" s="454" t="s">
        <v>3770</v>
      </c>
      <c r="H13" s="455"/>
      <c r="I13" s="456"/>
    </row>
    <row r="14" spans="1:14" s="3" customFormat="1" ht="20" customHeight="1">
      <c r="B14" s="16"/>
      <c r="C14" s="25" t="str">
        <f>CONCATENATE(this_instance,"01-m01-r01-esx06")</f>
        <v>sfo01-m01-r01-esx06</v>
      </c>
      <c r="D14" s="14"/>
      <c r="E14" s="25" t="str">
        <f>CONCATENATE(prefix_mgmt_az1_cidr,"11.106")</f>
        <v>10.11.11.106</v>
      </c>
      <c r="F14" s="14"/>
      <c r="G14" s="454" t="s">
        <v>3772</v>
      </c>
      <c r="H14" s="455"/>
      <c r="I14" s="456"/>
    </row>
    <row r="15" spans="1:14" s="3" customFormat="1" ht="20" customHeight="1">
      <c r="B15" s="16"/>
      <c r="C15" s="25" t="str">
        <f>CONCATENATE(this_instance,"01-m01-r01-esx07")</f>
        <v>sfo01-m01-r01-esx07</v>
      </c>
      <c r="D15" s="14"/>
      <c r="E15" s="25" t="str">
        <f>CONCATENATE(prefix_mgmt_az1_cidr,"11.107")</f>
        <v>10.11.11.107</v>
      </c>
      <c r="F15" s="14"/>
      <c r="G15" s="454" t="s">
        <v>3774</v>
      </c>
      <c r="H15" s="455"/>
      <c r="I15" s="456"/>
    </row>
    <row r="16" spans="1:14" s="3" customFormat="1" ht="20" customHeight="1">
      <c r="B16" s="16"/>
      <c r="C16" s="25" t="str">
        <f>CONCATENATE(this_instance,"01-m01-r01-esx08")</f>
        <v>sfo01-m01-r01-esx08</v>
      </c>
      <c r="D16" s="14"/>
      <c r="E16" s="25" t="str">
        <f>CONCATENATE(prefix_mgmt_az1_cidr,"11.108")</f>
        <v>10.11.11.108</v>
      </c>
      <c r="F16" s="14"/>
      <c r="G16" s="454" t="s">
        <v>3776</v>
      </c>
      <c r="H16" s="455"/>
      <c r="I16" s="456"/>
    </row>
    <row r="17" spans="2:9" s="3" customFormat="1" ht="20" customHeight="1">
      <c r="B17" s="16"/>
      <c r="C17" s="25" t="str">
        <f>CONCATENATE(this_instance,"01-m01-r01-esx09")</f>
        <v>sfo01-m01-r01-esx09</v>
      </c>
      <c r="D17" s="14"/>
      <c r="E17" s="25" t="str">
        <f>CONCATENATE(prefix_mgmt_az1_cidr,"11.109")</f>
        <v>10.11.11.109</v>
      </c>
      <c r="F17" s="14"/>
      <c r="G17" s="454" t="s">
        <v>3778</v>
      </c>
      <c r="H17" s="455"/>
      <c r="I17" s="456"/>
    </row>
    <row r="18" spans="2:9" s="3" customFormat="1" ht="20" customHeight="1">
      <c r="B18" s="16"/>
      <c r="C18" s="25" t="str">
        <f>CONCATENATE(this_instance,"01-m01-r01-esx10")</f>
        <v>sfo01-m01-r01-esx10</v>
      </c>
      <c r="D18" s="14"/>
      <c r="E18" s="25" t="str">
        <f>CONCATENATE(prefix_mgmt_az1_cidr,"11.110")</f>
        <v>10.11.11.110</v>
      </c>
      <c r="F18" s="14"/>
      <c r="G18" s="454" t="s">
        <v>3780</v>
      </c>
      <c r="H18" s="455"/>
      <c r="I18" s="456"/>
    </row>
    <row r="19" spans="2:9" s="3" customFormat="1" ht="20" customHeight="1">
      <c r="B19" s="16"/>
      <c r="C19" s="25" t="str">
        <f>CONCATENATE(this_instance,"01-m01-r01-esx11")</f>
        <v>sfo01-m01-r01-esx11</v>
      </c>
      <c r="D19" s="14"/>
      <c r="E19" s="25" t="str">
        <f>CONCATENATE(prefix_mgmt_az1_cidr,"11.111")</f>
        <v>10.11.11.111</v>
      </c>
      <c r="F19" s="14"/>
      <c r="G19" s="454" t="s">
        <v>3782</v>
      </c>
      <c r="H19" s="455"/>
      <c r="I19" s="456"/>
    </row>
    <row r="20" spans="2:9" s="3" customFormat="1" ht="20" customHeight="1">
      <c r="B20" s="16"/>
      <c r="C20" s="25" t="str">
        <f>CONCATENATE(this_instance,"01-m01-r01-esx12")</f>
        <v>sfo01-m01-r01-esx12</v>
      </c>
      <c r="D20" s="14"/>
      <c r="E20" s="25" t="str">
        <f>CONCATENATE(prefix_mgmt_az1_cidr,"11.112")</f>
        <v>10.11.11.112</v>
      </c>
      <c r="F20" s="14"/>
      <c r="G20" s="454" t="s">
        <v>3784</v>
      </c>
      <c r="H20" s="455"/>
      <c r="I20" s="456"/>
    </row>
    <row r="21" spans="2:9" s="3" customFormat="1" ht="20" customHeight="1">
      <c r="B21" s="16"/>
      <c r="C21" s="25" t="str">
        <f>CONCATENATE(this_instance,"01-m01-r01-esx13")</f>
        <v>sfo01-m01-r01-esx13</v>
      </c>
      <c r="D21" s="14"/>
      <c r="E21" s="25" t="str">
        <f>CONCATENATE(prefix_mgmt_az1_cidr,"11.113")</f>
        <v>10.11.11.113</v>
      </c>
      <c r="F21" s="14"/>
      <c r="G21" s="454" t="s">
        <v>3786</v>
      </c>
      <c r="H21" s="455"/>
      <c r="I21" s="456"/>
    </row>
    <row r="22" spans="2:9" s="3" customFormat="1" ht="20" customHeight="1">
      <c r="B22" s="16"/>
      <c r="C22" s="25" t="str">
        <f>CONCATENATE(this_instance,"01-m01-r01-esx14")</f>
        <v>sfo01-m01-r01-esx14</v>
      </c>
      <c r="D22" s="14"/>
      <c r="E22" s="25" t="str">
        <f>CONCATENATE(prefix_mgmt_az1_cidr,"11.114")</f>
        <v>10.11.11.114</v>
      </c>
      <c r="F22" s="14"/>
      <c r="G22" s="454" t="s">
        <v>3788</v>
      </c>
      <c r="H22" s="455"/>
      <c r="I22" s="456"/>
    </row>
    <row r="23" spans="2:9" s="3" customFormat="1" ht="20" customHeight="1">
      <c r="B23" s="16"/>
      <c r="C23" s="25" t="str">
        <f>CONCATENATE(this_instance,"01-m01-r01-esx15")</f>
        <v>sfo01-m01-r01-esx15</v>
      </c>
      <c r="D23" s="14"/>
      <c r="E23" s="25" t="str">
        <f>CONCATENATE(prefix_mgmt_az1_cidr,"11.115")</f>
        <v>10.11.11.115</v>
      </c>
      <c r="F23" s="14"/>
      <c r="G23" s="454" t="s">
        <v>3790</v>
      </c>
      <c r="H23" s="455"/>
      <c r="I23" s="456"/>
    </row>
    <row r="24" spans="2:9" s="3" customFormat="1" ht="20" customHeight="1">
      <c r="B24" s="16"/>
      <c r="C24" s="25" t="str">
        <f>CONCATENATE(this_instance,"01-m01-r01-esx16")</f>
        <v>sfo01-m01-r01-esx16</v>
      </c>
      <c r="D24" s="14"/>
      <c r="E24" s="25" t="str">
        <f>CONCATENATE(prefix_mgmt_az1_cidr,"11.116")</f>
        <v>10.11.11.116</v>
      </c>
      <c r="F24" s="14"/>
      <c r="G24" s="454" t="s">
        <v>3792</v>
      </c>
      <c r="H24" s="455"/>
      <c r="I24" s="456"/>
    </row>
    <row r="25" spans="2:9" ht="20" customHeight="1">
      <c r="B25" s="437" t="s">
        <v>4010</v>
      </c>
      <c r="C25" s="437"/>
      <c r="D25" s="459"/>
      <c r="E25" s="459"/>
      <c r="F25" s="459"/>
      <c r="G25" s="459"/>
      <c r="H25" s="459"/>
      <c r="I25" s="459"/>
    </row>
    <row r="26" spans="2:9" s="3" customFormat="1" ht="20" customHeight="1">
      <c r="B26" s="26"/>
      <c r="C26" s="25" t="str">
        <f>CONCATENATE(this_instance,"01-m01-r01-esx01")</f>
        <v>sfo01-m01-r01-esx01</v>
      </c>
      <c r="D26" s="18" t="str">
        <f>IF(ISBLANK(input_mgmt_az1_host1_hostname),"",input_mgmt_az1_host1_hostname)</f>
        <v/>
      </c>
      <c r="E26" s="25" t="str">
        <f>CONCATENATE(prefix_mgmt_az1_cidr,"16.101")</f>
        <v>10.11.16.101</v>
      </c>
      <c r="F26" s="14"/>
      <c r="G26" s="454" t="s">
        <v>641</v>
      </c>
      <c r="H26" s="455"/>
      <c r="I26" s="456"/>
    </row>
    <row r="27" spans="2:9" s="3" customFormat="1" ht="20" customHeight="1">
      <c r="B27" s="16"/>
      <c r="C27" s="25" t="str">
        <f>CONCATENATE(this_instance,"01-m01-r01-esx02")</f>
        <v>sfo01-m01-r01-esx02</v>
      </c>
      <c r="D27" s="18" t="str">
        <f>IF(ISBLANK(input_mgmt_az1_host2_hostname),"",input_mgmt_az1_host2_hostname)</f>
        <v/>
      </c>
      <c r="E27" s="25" t="str">
        <f>CONCATENATE(prefix_mgmt_az1_cidr,"16.102")</f>
        <v>10.11.16.102</v>
      </c>
      <c r="F27" s="14"/>
      <c r="G27" s="454" t="s">
        <v>643</v>
      </c>
      <c r="H27" s="455"/>
      <c r="I27" s="456"/>
    </row>
    <row r="28" spans="2:9" s="3" customFormat="1" ht="20" customHeight="1">
      <c r="B28" s="16"/>
      <c r="C28" s="25" t="str">
        <f>CONCATENATE(this_instance,"01-m01-r01-esx03")</f>
        <v>sfo01-m01-r01-esx03</v>
      </c>
      <c r="D28" s="18" t="str">
        <f>IF(ISBLANK(input_mgmt_az1_host3_hostname),"",input_mgmt_az1_host3_hostname)</f>
        <v/>
      </c>
      <c r="E28" s="25" t="str">
        <f>CONCATENATE(prefix_mgmt_az1_cidr,"16.103")</f>
        <v>10.11.16.103</v>
      </c>
      <c r="F28" s="14"/>
      <c r="G28" s="454" t="s">
        <v>645</v>
      </c>
      <c r="H28" s="455"/>
      <c r="I28" s="456"/>
    </row>
    <row r="29" spans="2:9" s="3" customFormat="1" ht="20" customHeight="1">
      <c r="B29" s="16"/>
      <c r="C29" s="25" t="str">
        <f>CONCATENATE(this_instance,"01-m01-r01-esx04")</f>
        <v>sfo01-m01-r01-esx04</v>
      </c>
      <c r="D29" s="18" t="str">
        <f>IF(ISBLANK(input_mgmt_az1_host4_hostname),"",input_mgmt_az1_host4_hostname)</f>
        <v/>
      </c>
      <c r="E29" s="25" t="str">
        <f>CONCATENATE(prefix_mgmt_az1_cidr,"16.104")</f>
        <v>10.11.16.104</v>
      </c>
      <c r="F29" s="14"/>
      <c r="G29" s="454" t="s">
        <v>647</v>
      </c>
      <c r="H29" s="455"/>
      <c r="I29" s="456"/>
    </row>
    <row r="30" spans="2:9" s="3" customFormat="1" ht="20" customHeight="1">
      <c r="B30" s="16"/>
      <c r="C30" s="25" t="str">
        <f>CONCATENATE(this_instance,"01-m01-r01-esx05")</f>
        <v>sfo01-m01-r01-esx05</v>
      </c>
      <c r="D30" s="18" t="str">
        <f>IF(ISBLANK(input_mgmt_az1_host5_hostname),"",input_mgmt_az1_host5_hostname)</f>
        <v/>
      </c>
      <c r="E30" s="25" t="str">
        <f>CONCATENATE(prefix_mgmt_az1_cidr,"16.105")</f>
        <v>10.11.16.105</v>
      </c>
      <c r="F30" s="14"/>
      <c r="G30" s="454" t="s">
        <v>3771</v>
      </c>
      <c r="H30" s="455"/>
      <c r="I30" s="456"/>
    </row>
    <row r="31" spans="2:9" s="3" customFormat="1" ht="20" customHeight="1">
      <c r="B31" s="16"/>
      <c r="C31" s="25" t="str">
        <f>CONCATENATE(this_instance,"01-m01-r01-esx06")</f>
        <v>sfo01-m01-r01-esx06</v>
      </c>
      <c r="D31" s="18" t="str">
        <f>IF(ISBLANK(input_mgmt_az1_host6_hostname),"",input_mgmt_az1_host6_hostname)</f>
        <v/>
      </c>
      <c r="E31" s="25" t="str">
        <f>CONCATENATE(prefix_mgmt_az1_cidr,"16.106")</f>
        <v>10.11.16.106</v>
      </c>
      <c r="F31" s="14"/>
      <c r="G31" s="454" t="s">
        <v>3773</v>
      </c>
      <c r="H31" s="455"/>
      <c r="I31" s="456"/>
    </row>
    <row r="32" spans="2:9" s="3" customFormat="1" ht="20" customHeight="1">
      <c r="B32" s="16"/>
      <c r="C32" s="25" t="str">
        <f>CONCATENATE(this_instance,"01-m01-r01-esx07")</f>
        <v>sfo01-m01-r01-esx07</v>
      </c>
      <c r="D32" s="18" t="str">
        <f>IF(ISBLANK(input_mgmt_az1_host7_hostname),"",input_mgmt_az1_host7_hostname)</f>
        <v/>
      </c>
      <c r="E32" s="25" t="str">
        <f>CONCATENATE(prefix_mgmt_az1_cidr,"16.107")</f>
        <v>10.11.16.107</v>
      </c>
      <c r="F32" s="14"/>
      <c r="G32" s="454" t="s">
        <v>3775</v>
      </c>
      <c r="H32" s="455"/>
      <c r="I32" s="456"/>
    </row>
    <row r="33" spans="2:11" s="3" customFormat="1" ht="20" customHeight="1">
      <c r="B33" s="16"/>
      <c r="C33" s="25" t="str">
        <f>CONCATENATE(this_instance,"01-m01-r01-esx08")</f>
        <v>sfo01-m01-r01-esx08</v>
      </c>
      <c r="D33" s="18" t="str">
        <f>IF(ISBLANK(input_mgmt_az1_host8_hostname),"",input_mgmt_az1_host8_hostname)</f>
        <v/>
      </c>
      <c r="E33" s="25" t="str">
        <f>CONCATENATE(prefix_mgmt_az1_cidr,"16.108")</f>
        <v>10.11.16.108</v>
      </c>
      <c r="F33" s="14"/>
      <c r="G33" s="454" t="s">
        <v>3777</v>
      </c>
      <c r="H33" s="455"/>
      <c r="I33" s="456"/>
    </row>
    <row r="34" spans="2:11" s="3" customFormat="1" ht="20" customHeight="1">
      <c r="B34" s="16"/>
      <c r="C34" s="25" t="str">
        <f>CONCATENATE(this_instance,"01-m01-r01-esx09")</f>
        <v>sfo01-m01-r01-esx09</v>
      </c>
      <c r="D34" s="18" t="str">
        <f>IF(ISBLANK(input_mgmt_az1_host9_hostname),"",input_mgmt_az1_host9_hostname)</f>
        <v/>
      </c>
      <c r="E34" s="25" t="str">
        <f>CONCATENATE(prefix_mgmt_az1_cidr,"16.109")</f>
        <v>10.11.16.109</v>
      </c>
      <c r="F34" s="14"/>
      <c r="G34" s="454" t="s">
        <v>3779</v>
      </c>
      <c r="H34" s="455"/>
      <c r="I34" s="456"/>
    </row>
    <row r="35" spans="2:11" s="3" customFormat="1" ht="20" customHeight="1">
      <c r="B35" s="16"/>
      <c r="C35" s="25" t="str">
        <f>CONCATENATE(this_instance,"01-m01-r01-esx10")</f>
        <v>sfo01-m01-r01-esx10</v>
      </c>
      <c r="D35" s="18" t="str">
        <f>IF(ISBLANK(input_mgmt_az1_host10_hostname),"",input_mgmt_az1_host10_hostname)</f>
        <v/>
      </c>
      <c r="E35" s="25" t="str">
        <f>CONCATENATE(prefix_mgmt_az1_cidr,"16.110")</f>
        <v>10.11.16.110</v>
      </c>
      <c r="F35" s="14"/>
      <c r="G35" s="454" t="s">
        <v>3781</v>
      </c>
      <c r="H35" s="455"/>
      <c r="I35" s="456"/>
    </row>
    <row r="36" spans="2:11" s="3" customFormat="1" ht="20" customHeight="1">
      <c r="B36" s="16"/>
      <c r="C36" s="25" t="str">
        <f>CONCATENATE(this_instance,"01-m01-r01-esx11")</f>
        <v>sfo01-m01-r01-esx11</v>
      </c>
      <c r="D36" s="18" t="str">
        <f>IF(ISBLANK(input_mgmt_az1_host11_hostname),"",input_mgmt_az1_host11_hostname)</f>
        <v/>
      </c>
      <c r="E36" s="25" t="str">
        <f>CONCATENATE(prefix_mgmt_az1_cidr,"16.111")</f>
        <v>10.11.16.111</v>
      </c>
      <c r="F36" s="14"/>
      <c r="G36" s="454" t="s">
        <v>3783</v>
      </c>
      <c r="H36" s="455"/>
      <c r="I36" s="456"/>
    </row>
    <row r="37" spans="2:11" s="3" customFormat="1" ht="20" customHeight="1">
      <c r="B37" s="16"/>
      <c r="C37" s="25" t="str">
        <f>CONCATENATE(this_instance,"01-m01-r01-esx12")</f>
        <v>sfo01-m01-r01-esx12</v>
      </c>
      <c r="D37" s="18" t="str">
        <f>IF(ISBLANK(input_mgmt_az1_host12_hostname),"",input_mgmt_az1_host12_hostname)</f>
        <v/>
      </c>
      <c r="E37" s="25" t="str">
        <f>CONCATENATE(prefix_mgmt_az1_cidr,"16.112")</f>
        <v>10.11.16.112</v>
      </c>
      <c r="F37" s="14"/>
      <c r="G37" s="454" t="s">
        <v>3785</v>
      </c>
      <c r="H37" s="455"/>
      <c r="I37" s="456"/>
    </row>
    <row r="38" spans="2:11" s="3" customFormat="1" ht="20" customHeight="1">
      <c r="B38" s="16"/>
      <c r="C38" s="25" t="str">
        <f>CONCATENATE(this_instance,"01-m01-r01-esx13")</f>
        <v>sfo01-m01-r01-esx13</v>
      </c>
      <c r="D38" s="18" t="str">
        <f>IF(ISBLANK(input_mgmt_az1_host13_hostname),"",input_mgmt_az1_host13_hostname)</f>
        <v/>
      </c>
      <c r="E38" s="25" t="str">
        <f>CONCATENATE(prefix_mgmt_az1_cidr,"16.113")</f>
        <v>10.11.16.113</v>
      </c>
      <c r="F38" s="14"/>
      <c r="G38" s="454" t="s">
        <v>3787</v>
      </c>
      <c r="H38" s="455"/>
      <c r="I38" s="456"/>
    </row>
    <row r="39" spans="2:11" s="3" customFormat="1" ht="20" customHeight="1">
      <c r="B39" s="16"/>
      <c r="C39" s="25" t="str">
        <f>CONCATENATE(this_instance,"01-m01-r01-esx14")</f>
        <v>sfo01-m01-r01-esx14</v>
      </c>
      <c r="D39" s="18" t="str">
        <f>IF(ISBLANK(input_mgmt_az1_host14_hostname),"",input_mgmt_az1_host14_hostname)</f>
        <v/>
      </c>
      <c r="E39" s="25" t="str">
        <f>CONCATENATE(prefix_mgmt_az1_cidr,"16.114")</f>
        <v>10.11.16.114</v>
      </c>
      <c r="F39" s="14"/>
      <c r="G39" s="454" t="s">
        <v>3789</v>
      </c>
      <c r="H39" s="455"/>
      <c r="I39" s="456"/>
    </row>
    <row r="40" spans="2:11" s="3" customFormat="1" ht="20" customHeight="1">
      <c r="B40" s="16"/>
      <c r="C40" s="25" t="str">
        <f>CONCATENATE(this_instance,"01-m01-r01-esx15")</f>
        <v>sfo01-m01-r01-esx15</v>
      </c>
      <c r="D40" s="18" t="str">
        <f>IF(ISBLANK(input_mgmt_az1_host15_hostname),"",input_mgmt_az1_host15_hostname)</f>
        <v/>
      </c>
      <c r="E40" s="25" t="str">
        <f>CONCATENATE(prefix_mgmt_az1_cidr,"16.115")</f>
        <v>10.11.16.115</v>
      </c>
      <c r="F40" s="14"/>
      <c r="G40" s="454" t="s">
        <v>3791</v>
      </c>
      <c r="H40" s="455"/>
      <c r="I40" s="456"/>
    </row>
    <row r="41" spans="2:11" s="3" customFormat="1" ht="20" customHeight="1">
      <c r="B41" s="16"/>
      <c r="C41" s="25" t="str">
        <f>CONCATENATE(this_instance,"01-m01-r01-esx16")</f>
        <v>sfo01-m01-r01-esx16</v>
      </c>
      <c r="D41" s="18" t="str">
        <f>IF(ISBLANK(input_mgmt_az1_host16_hostname),"",input_mgmt_az1_host16_hostname)</f>
        <v/>
      </c>
      <c r="E41" s="25" t="str">
        <f>CONCATENATE(prefix_mgmt_az1_cidr,"16.116")</f>
        <v>10.11.16.116</v>
      </c>
      <c r="F41" s="14"/>
      <c r="G41" s="454" t="s">
        <v>3793</v>
      </c>
      <c r="H41" s="455"/>
      <c r="I41" s="456"/>
    </row>
    <row r="42" spans="2:11" ht="20" customHeight="1">
      <c r="B42" s="437" t="s">
        <v>4011</v>
      </c>
      <c r="C42" s="437"/>
      <c r="D42" s="459"/>
      <c r="E42" s="459"/>
      <c r="F42" s="459"/>
      <c r="G42" s="459"/>
      <c r="H42" s="459"/>
      <c r="I42" s="459"/>
    </row>
    <row r="43" spans="2:11" s="3" customFormat="1" ht="20" customHeight="1">
      <c r="B43" s="16"/>
      <c r="C43" s="25" t="str">
        <f>CONCATENATE(this_instance,"-m01-r01-en01")</f>
        <v>sfo-m01-r01-en01</v>
      </c>
      <c r="D43" s="14"/>
      <c r="E43" s="25" t="str">
        <f>IF(mgmt_dpg_separation_result="Included",CONCATENATE(prefix_mgmt_az1_cidr,"10.75"),CONCATENATE(prefix_mgmt_az1_cidr,"11.75"))</f>
        <v>10.11.10.75</v>
      </c>
      <c r="F43" s="14"/>
      <c r="G43" s="445" t="s">
        <v>657</v>
      </c>
      <c r="H43" s="445"/>
      <c r="I43" s="445"/>
      <c r="J43" s="5"/>
      <c r="K43" s="5"/>
    </row>
    <row r="44" spans="2:11" s="3" customFormat="1" ht="20" customHeight="1">
      <c r="B44" s="16"/>
      <c r="C44" s="25" t="s">
        <v>569</v>
      </c>
      <c r="D44" s="23" t="s">
        <v>569</v>
      </c>
      <c r="E44" s="25" t="str">
        <f>CONCATENATE(prefix_mgmt_az1_cidr,"17.2")</f>
        <v>10.11.17.2</v>
      </c>
      <c r="F44" s="14"/>
      <c r="G44" s="445" t="s">
        <v>658</v>
      </c>
      <c r="H44" s="445"/>
      <c r="I44" s="445"/>
      <c r="J44" s="5"/>
      <c r="K44" s="5"/>
    </row>
    <row r="45" spans="2:11" s="3" customFormat="1" ht="20" customHeight="1">
      <c r="B45" s="16"/>
      <c r="C45" s="25" t="s">
        <v>569</v>
      </c>
      <c r="D45" s="23" t="s">
        <v>569</v>
      </c>
      <c r="E45" s="25" t="str">
        <f>CONCATENATE(prefix_mgmt_az1_cidr,"18.2")</f>
        <v>10.11.18.2</v>
      </c>
      <c r="F45" s="14"/>
      <c r="G45" s="445" t="s">
        <v>659</v>
      </c>
      <c r="H45" s="445"/>
      <c r="I45" s="445"/>
      <c r="J45" s="5"/>
      <c r="K45" s="5"/>
    </row>
    <row r="46" spans="2:11" s="3" customFormat="1" ht="20" customHeight="1">
      <c r="B46" s="16"/>
      <c r="C46" s="25" t="s">
        <v>569</v>
      </c>
      <c r="D46" s="23" t="s">
        <v>569</v>
      </c>
      <c r="E46" s="25" t="str">
        <f>CONCATENATE(prefix_mgmt_az1_cidr,"19.2")</f>
        <v>10.11.19.2</v>
      </c>
      <c r="F46" s="14"/>
      <c r="G46" s="445" t="s">
        <v>660</v>
      </c>
      <c r="H46" s="445"/>
      <c r="I46" s="445"/>
      <c r="J46" s="5"/>
      <c r="K46" s="5"/>
    </row>
    <row r="47" spans="2:11" s="3" customFormat="1" ht="20" customHeight="1">
      <c r="B47" s="16"/>
      <c r="C47" s="25" t="s">
        <v>569</v>
      </c>
      <c r="D47" s="23" t="s">
        <v>569</v>
      </c>
      <c r="E47" s="25" t="str">
        <f>CONCATENATE(prefix_mgmt_az1_cidr,"19.3")</f>
        <v>10.11.19.3</v>
      </c>
      <c r="F47" s="14"/>
      <c r="G47" s="445" t="s">
        <v>661</v>
      </c>
      <c r="H47" s="445"/>
      <c r="I47" s="445"/>
    </row>
    <row r="48" spans="2:11" s="4" customFormat="1" ht="20" customHeight="1">
      <c r="B48" s="16"/>
      <c r="C48" s="25" t="str">
        <f>CONCATENATE(this_instance,"-m01-r01-en02")</f>
        <v>sfo-m01-r01-en02</v>
      </c>
      <c r="D48" s="14"/>
      <c r="E48" s="25" t="str">
        <f>IF(mgmt_dpg_separation_result="Included",CONCATENATE(prefix_mgmt_az1_cidr,"10.76"),CONCATENATE(prefix_mgmt_az1_cidr,"11.76"))</f>
        <v>10.11.10.76</v>
      </c>
      <c r="F48" s="14"/>
      <c r="G48" s="445" t="s">
        <v>662</v>
      </c>
      <c r="H48" s="445"/>
      <c r="I48" s="445"/>
    </row>
    <row r="49" spans="2:9" s="3" customFormat="1" ht="20" customHeight="1">
      <c r="B49" s="16"/>
      <c r="C49" s="25" t="s">
        <v>569</v>
      </c>
      <c r="D49" s="23" t="s">
        <v>569</v>
      </c>
      <c r="E49" s="25" t="str">
        <f>CONCATENATE(prefix_mgmt_az1_cidr,"17.3")</f>
        <v>10.11.17.3</v>
      </c>
      <c r="F49" s="14"/>
      <c r="G49" s="445" t="s">
        <v>663</v>
      </c>
      <c r="H49" s="445"/>
      <c r="I49" s="445"/>
    </row>
    <row r="50" spans="2:9" s="3" customFormat="1" ht="20" customHeight="1">
      <c r="B50" s="16"/>
      <c r="C50" s="25" t="s">
        <v>569</v>
      </c>
      <c r="D50" s="23" t="s">
        <v>569</v>
      </c>
      <c r="E50" s="25" t="str">
        <f>CONCATENATE(prefix_mgmt_az1_cidr,"18.3")</f>
        <v>10.11.18.3</v>
      </c>
      <c r="F50" s="14"/>
      <c r="G50" s="445" t="s">
        <v>664</v>
      </c>
      <c r="H50" s="445"/>
      <c r="I50" s="445"/>
    </row>
    <row r="51" spans="2:9" s="3" customFormat="1" ht="20" customHeight="1">
      <c r="B51" s="16"/>
      <c r="C51" s="25" t="s">
        <v>569</v>
      </c>
      <c r="D51" s="23" t="s">
        <v>569</v>
      </c>
      <c r="E51" s="25" t="str">
        <f>CONCATENATE(prefix_mgmt_az1_cidr,"19.4")</f>
        <v>10.11.19.4</v>
      </c>
      <c r="F51" s="14"/>
      <c r="G51" s="445" t="s">
        <v>665</v>
      </c>
      <c r="H51" s="445"/>
      <c r="I51" s="445"/>
    </row>
    <row r="52" spans="2:9" s="3" customFormat="1" ht="20" customHeight="1">
      <c r="B52" s="16"/>
      <c r="C52" s="25" t="s">
        <v>569</v>
      </c>
      <c r="D52" s="23" t="s">
        <v>569</v>
      </c>
      <c r="E52" s="25" t="str">
        <f>CONCATENATE(prefix_mgmt_az1_cidr,"19.5")</f>
        <v>10.11.19.5</v>
      </c>
      <c r="F52" s="14"/>
      <c r="G52" s="445" t="s">
        <v>666</v>
      </c>
      <c r="H52" s="445"/>
      <c r="I52" s="445"/>
    </row>
    <row r="53" spans="2:9" s="3" customFormat="1" ht="20" customHeight="1">
      <c r="B53" s="425" t="s">
        <v>667</v>
      </c>
      <c r="C53" s="425"/>
      <c r="D53" s="425"/>
      <c r="E53" s="425"/>
      <c r="F53" s="425"/>
      <c r="G53" s="425"/>
      <c r="H53" s="425"/>
      <c r="I53" s="425"/>
    </row>
    <row r="54" spans="2:9" s="3" customFormat="1" ht="20" customHeight="1">
      <c r="B54" s="8" t="s">
        <v>668</v>
      </c>
      <c r="C54" s="345"/>
      <c r="D54" s="345"/>
      <c r="E54" s="8" t="s">
        <v>669</v>
      </c>
      <c r="F54" s="20" t="s">
        <v>632</v>
      </c>
      <c r="G54" s="345" t="s">
        <v>222</v>
      </c>
      <c r="H54" s="345"/>
      <c r="I54" s="345"/>
    </row>
    <row r="55" spans="2:9" s="3" customFormat="1" ht="20" customHeight="1">
      <c r="B55" s="26" t="s">
        <v>670</v>
      </c>
      <c r="C55" s="441"/>
      <c r="D55" s="441"/>
      <c r="E55" s="22" t="str">
        <f>CONCATENATE(prefix_mgmt_az1_cidr,"12.101")</f>
        <v>10.11.12.101</v>
      </c>
      <c r="F55" s="14"/>
      <c r="G55" s="445" t="s">
        <v>671</v>
      </c>
      <c r="H55" s="445"/>
      <c r="I55" s="445"/>
    </row>
    <row r="56" spans="2:9" s="3" customFormat="1" ht="20" customHeight="1">
      <c r="B56" s="26" t="s">
        <v>672</v>
      </c>
      <c r="C56" s="441"/>
      <c r="D56" s="441"/>
      <c r="E56" s="22" t="str">
        <f>CONCATENATE(prefix_mgmt_az1_cidr,"12.116")</f>
        <v>10.11.12.116</v>
      </c>
      <c r="F56" s="14"/>
      <c r="G56" s="445" t="s">
        <v>673</v>
      </c>
      <c r="H56" s="445"/>
      <c r="I56" s="445"/>
    </row>
    <row r="57" spans="2:9" s="3" customFormat="1" ht="20" customHeight="1">
      <c r="B57" s="21" t="s">
        <v>674</v>
      </c>
      <c r="C57" s="441"/>
      <c r="D57" s="441"/>
      <c r="E57" s="22" t="str">
        <f>CONCATENATE(prefix_mgmt_az1_cidr,"13.101")</f>
        <v>10.11.13.101</v>
      </c>
      <c r="F57" s="14"/>
      <c r="G57" s="445" t="s">
        <v>675</v>
      </c>
      <c r="H57" s="445"/>
      <c r="I57" s="445"/>
    </row>
    <row r="58" spans="2:9" s="3" customFormat="1" ht="20" customHeight="1">
      <c r="B58" s="21" t="s">
        <v>676</v>
      </c>
      <c r="C58" s="441"/>
      <c r="D58" s="441"/>
      <c r="E58" s="22" t="str">
        <f>CONCATENATE(prefix_mgmt_az1_cidr,"13.116")</f>
        <v>10.11.13.116</v>
      </c>
      <c r="F58" s="14"/>
      <c r="G58" s="445" t="s">
        <v>3615</v>
      </c>
      <c r="H58" s="445"/>
      <c r="I58" s="445"/>
    </row>
    <row r="59" spans="2:9" s="3" customFormat="1" ht="20" customHeight="1">
      <c r="B59" s="21" t="s">
        <v>677</v>
      </c>
      <c r="C59" s="441"/>
      <c r="D59" s="441"/>
      <c r="E59" s="22" t="str">
        <f>CONCATENATE(prefix_mgmt_az1_cidr,"14.101")</f>
        <v>10.11.14.101</v>
      </c>
      <c r="F59" s="14"/>
      <c r="G59" s="445" t="s">
        <v>678</v>
      </c>
      <c r="H59" s="445"/>
      <c r="I59" s="445"/>
    </row>
    <row r="60" spans="2:9" s="3" customFormat="1" ht="20" customHeight="1">
      <c r="B60" s="21" t="s">
        <v>679</v>
      </c>
      <c r="C60" s="441"/>
      <c r="D60" s="441"/>
      <c r="E60" s="22" t="str">
        <f>CONCATENATE(prefix_mgmt_az1_cidr,"14.132")</f>
        <v>10.11.14.132</v>
      </c>
      <c r="F60" s="14"/>
      <c r="G60" s="445" t="s">
        <v>680</v>
      </c>
      <c r="H60" s="445"/>
      <c r="I60" s="445"/>
    </row>
    <row r="61" spans="2:9" s="3" customFormat="1" ht="20" customHeight="1">
      <c r="B61" s="21" t="s">
        <v>681</v>
      </c>
      <c r="C61" s="441"/>
      <c r="D61" s="441"/>
      <c r="E61" s="22" t="str">
        <f>CONCATENATE(prefix_mgmt_az1_cidr,"20.101")</f>
        <v>10.11.20.101</v>
      </c>
      <c r="F61" s="14"/>
      <c r="G61" s="445" t="s">
        <v>682</v>
      </c>
      <c r="H61" s="445"/>
      <c r="I61" s="445"/>
    </row>
    <row r="62" spans="2:9" s="3" customFormat="1" ht="20" customHeight="1">
      <c r="B62" s="21" t="s">
        <v>683</v>
      </c>
      <c r="C62" s="441"/>
      <c r="D62" s="441"/>
      <c r="E62" s="22" t="str">
        <f>IF(mgmt_stretched_cluster_result="Excluded",CONCATENATE(prefix_mgmt_az1_cidr,"20.116"),CONCATENATE(prefix_mgmt_az1_cidr,"20.132"))</f>
        <v>10.11.20.116</v>
      </c>
      <c r="F62" s="14"/>
      <c r="G62" s="445" t="s">
        <v>684</v>
      </c>
      <c r="H62" s="445"/>
      <c r="I62" s="445"/>
    </row>
    <row r="63" spans="2:9" s="3" customFormat="1" ht="16" customHeight="1">
      <c r="I63" s="5"/>
    </row>
    <row r="64" spans="2:9" s="3" customFormat="1" ht="34" customHeight="1">
      <c r="B64" s="427" t="s">
        <v>4008</v>
      </c>
      <c r="C64" s="428"/>
      <c r="D64" s="428"/>
      <c r="E64" s="428"/>
      <c r="F64" s="428"/>
      <c r="G64" s="428"/>
      <c r="H64" s="428"/>
      <c r="I64" s="426"/>
    </row>
    <row r="65" spans="2:9" ht="20" customHeight="1">
      <c r="B65" s="427" t="s">
        <v>4009</v>
      </c>
      <c r="C65" s="428"/>
      <c r="D65" s="428"/>
      <c r="E65" s="428"/>
      <c r="F65" s="428"/>
      <c r="G65" s="428"/>
      <c r="H65" s="428"/>
      <c r="I65" s="426"/>
    </row>
    <row r="66" spans="2:9" s="3" customFormat="1" ht="20" customHeight="1">
      <c r="B66" s="8" t="s">
        <v>583</v>
      </c>
      <c r="C66" s="8" t="s">
        <v>629</v>
      </c>
      <c r="D66" s="20" t="s">
        <v>630</v>
      </c>
      <c r="E66" s="8" t="s">
        <v>631</v>
      </c>
      <c r="F66" s="20" t="s">
        <v>632</v>
      </c>
      <c r="G66" s="446" t="s">
        <v>222</v>
      </c>
      <c r="H66" s="463"/>
      <c r="I66" s="464"/>
    </row>
    <row r="67" spans="2:9" s="3" customFormat="1" ht="20" customHeight="1">
      <c r="B67" s="26" t="s">
        <v>639</v>
      </c>
      <c r="C67" s="25" t="str">
        <f>CONCATENATE(this_instance,"02-m01-r01-esx01")</f>
        <v>sfo02-m01-r01-esx01</v>
      </c>
      <c r="D67" s="14"/>
      <c r="E67" s="25" t="str">
        <f>CONCATENATE(prefix_mgmt_az2_cidr,"11.101")</f>
        <v>10.12.11.101</v>
      </c>
      <c r="F67" s="14"/>
      <c r="G67" s="454" t="s">
        <v>640</v>
      </c>
      <c r="H67" s="455"/>
      <c r="I67" s="456"/>
    </row>
    <row r="68" spans="2:9" s="3" customFormat="1" ht="20" customHeight="1">
      <c r="B68" s="16"/>
      <c r="C68" s="25" t="str">
        <f>CONCATENATE(this_instance,"02-m01-r01-esx02")</f>
        <v>sfo02-m01-r01-esx02</v>
      </c>
      <c r="D68" s="14"/>
      <c r="E68" s="25" t="str">
        <f>CONCATENATE(prefix_mgmt_az2_cidr,"11.102")</f>
        <v>10.12.11.102</v>
      </c>
      <c r="F68" s="14"/>
      <c r="G68" s="454" t="s">
        <v>642</v>
      </c>
      <c r="H68" s="455"/>
      <c r="I68" s="456"/>
    </row>
    <row r="69" spans="2:9" s="3" customFormat="1" ht="20" customHeight="1">
      <c r="B69" s="16"/>
      <c r="C69" s="25" t="str">
        <f>CONCATENATE(this_instance,"02-m01-r01-esx03")</f>
        <v>sfo02-m01-r01-esx03</v>
      </c>
      <c r="D69" s="14"/>
      <c r="E69" s="25" t="str">
        <f>CONCATENATE(prefix_mgmt_az2_cidr,"11.103")</f>
        <v>10.12.11.103</v>
      </c>
      <c r="F69" s="14"/>
      <c r="G69" s="454" t="s">
        <v>644</v>
      </c>
      <c r="H69" s="455"/>
      <c r="I69" s="456"/>
    </row>
    <row r="70" spans="2:9" s="3" customFormat="1" ht="20" customHeight="1">
      <c r="B70" s="16"/>
      <c r="C70" s="25" t="str">
        <f>CONCATENATE(this_instance,"02-m01-r01-esx04")</f>
        <v>sfo02-m01-r01-esx04</v>
      </c>
      <c r="D70" s="14"/>
      <c r="E70" s="25" t="str">
        <f>CONCATENATE(prefix_mgmt_az2_cidr,"11.104")</f>
        <v>10.12.11.104</v>
      </c>
      <c r="F70" s="14"/>
      <c r="G70" s="454" t="s">
        <v>646</v>
      </c>
      <c r="H70" s="455"/>
      <c r="I70" s="456"/>
    </row>
    <row r="71" spans="2:9" s="3" customFormat="1" ht="20" customHeight="1">
      <c r="B71" s="16"/>
      <c r="C71" s="25" t="str">
        <f>CONCATENATE(this_instance,"02-m01-r01-esx05")</f>
        <v>sfo02-m01-r01-esx05</v>
      </c>
      <c r="D71" s="14"/>
      <c r="E71" s="25" t="str">
        <f>CONCATENATE(prefix_mgmt_az2_cidr,"11.105")</f>
        <v>10.12.11.105</v>
      </c>
      <c r="F71" s="14"/>
      <c r="G71" s="454" t="s">
        <v>3770</v>
      </c>
      <c r="H71" s="455"/>
      <c r="I71" s="456"/>
    </row>
    <row r="72" spans="2:9" s="3" customFormat="1" ht="20" customHeight="1">
      <c r="B72" s="16"/>
      <c r="C72" s="25" t="str">
        <f>CONCATENATE(this_instance,"02-m01-r01-esx06")</f>
        <v>sfo02-m01-r01-esx06</v>
      </c>
      <c r="D72" s="14"/>
      <c r="E72" s="25" t="str">
        <f>CONCATENATE(prefix_mgmt_az2_cidr,"11.106")</f>
        <v>10.12.11.106</v>
      </c>
      <c r="F72" s="14"/>
      <c r="G72" s="454" t="s">
        <v>3772</v>
      </c>
      <c r="H72" s="455"/>
      <c r="I72" s="456"/>
    </row>
    <row r="73" spans="2:9" s="3" customFormat="1" ht="20" customHeight="1">
      <c r="B73" s="16"/>
      <c r="C73" s="25" t="str">
        <f>CONCATENATE(this_instance,"02-m01-r01-esx07")</f>
        <v>sfo02-m01-r01-esx07</v>
      </c>
      <c r="D73" s="14"/>
      <c r="E73" s="25" t="str">
        <f>CONCATENATE(prefix_mgmt_az2_cidr,"11.107")</f>
        <v>10.12.11.107</v>
      </c>
      <c r="F73" s="14"/>
      <c r="G73" s="454" t="s">
        <v>3774</v>
      </c>
      <c r="H73" s="455"/>
      <c r="I73" s="456"/>
    </row>
    <row r="74" spans="2:9" s="3" customFormat="1" ht="20" customHeight="1">
      <c r="B74" s="16"/>
      <c r="C74" s="25" t="str">
        <f>CONCATENATE(this_instance,"02-m01-r01-esx08")</f>
        <v>sfo02-m01-r01-esx08</v>
      </c>
      <c r="D74" s="14"/>
      <c r="E74" s="25" t="str">
        <f>CONCATENATE(prefix_mgmt_az2_cidr,"11.108")</f>
        <v>10.12.11.108</v>
      </c>
      <c r="F74" s="14"/>
      <c r="G74" s="454" t="s">
        <v>3776</v>
      </c>
      <c r="H74" s="455"/>
      <c r="I74" s="456"/>
    </row>
    <row r="75" spans="2:9" s="3" customFormat="1" ht="20" customHeight="1">
      <c r="B75" s="16"/>
      <c r="C75" s="25" t="str">
        <f>CONCATENATE(this_instance,"02-m01-r01-esx09")</f>
        <v>sfo02-m01-r01-esx09</v>
      </c>
      <c r="D75" s="14"/>
      <c r="E75" s="25" t="str">
        <f>CONCATENATE(prefix_mgmt_az2_cidr,"11.109")</f>
        <v>10.12.11.109</v>
      </c>
      <c r="F75" s="14"/>
      <c r="G75" s="454" t="s">
        <v>3778</v>
      </c>
      <c r="H75" s="455"/>
      <c r="I75" s="456"/>
    </row>
    <row r="76" spans="2:9" s="3" customFormat="1" ht="20" customHeight="1">
      <c r="B76" s="16"/>
      <c r="C76" s="25" t="str">
        <f>CONCATENATE(this_instance,"02-m01-r01-esx10")</f>
        <v>sfo02-m01-r01-esx10</v>
      </c>
      <c r="D76" s="14"/>
      <c r="E76" s="25" t="str">
        <f>CONCATENATE(prefix_mgmt_az2_cidr,"11.110")</f>
        <v>10.12.11.110</v>
      </c>
      <c r="F76" s="14"/>
      <c r="G76" s="454" t="s">
        <v>3780</v>
      </c>
      <c r="H76" s="455"/>
      <c r="I76" s="456"/>
    </row>
    <row r="77" spans="2:9" s="3" customFormat="1" ht="20" customHeight="1">
      <c r="B77" s="16"/>
      <c r="C77" s="25" t="str">
        <f>CONCATENATE(this_instance,"02-m01-r01-esx11")</f>
        <v>sfo02-m01-r01-esx11</v>
      </c>
      <c r="D77" s="14"/>
      <c r="E77" s="25" t="str">
        <f>CONCATENATE(prefix_mgmt_az2_cidr,"11.111")</f>
        <v>10.12.11.111</v>
      </c>
      <c r="F77" s="14"/>
      <c r="G77" s="454" t="s">
        <v>3782</v>
      </c>
      <c r="H77" s="455"/>
      <c r="I77" s="456"/>
    </row>
    <row r="78" spans="2:9" s="3" customFormat="1" ht="20" customHeight="1">
      <c r="B78" s="16"/>
      <c r="C78" s="25" t="str">
        <f>CONCATENATE(this_instance,"02-m01-r01-esx12")</f>
        <v>sfo02-m01-r01-esx12</v>
      </c>
      <c r="D78" s="14"/>
      <c r="E78" s="25" t="str">
        <f>CONCATENATE(prefix_mgmt_az2_cidr,"11.112")</f>
        <v>10.12.11.112</v>
      </c>
      <c r="F78" s="14"/>
      <c r="G78" s="454" t="s">
        <v>3784</v>
      </c>
      <c r="H78" s="455"/>
      <c r="I78" s="456"/>
    </row>
    <row r="79" spans="2:9" s="3" customFormat="1" ht="20" customHeight="1">
      <c r="B79" s="16"/>
      <c r="C79" s="25" t="str">
        <f>CONCATENATE(this_instance,"02-m01-r01-esx13")</f>
        <v>sfo02-m01-r01-esx13</v>
      </c>
      <c r="D79" s="14"/>
      <c r="E79" s="25" t="str">
        <f>CONCATENATE(prefix_mgmt_az2_cidr,"11.113")</f>
        <v>10.12.11.113</v>
      </c>
      <c r="F79" s="14"/>
      <c r="G79" s="454" t="s">
        <v>3786</v>
      </c>
      <c r="H79" s="455"/>
      <c r="I79" s="456"/>
    </row>
    <row r="80" spans="2:9" s="3" customFormat="1" ht="20" customHeight="1">
      <c r="B80" s="16"/>
      <c r="C80" s="25" t="str">
        <f>CONCATENATE(this_instance,"02-m01-r01-esx14")</f>
        <v>sfo02-m01-r01-esx14</v>
      </c>
      <c r="D80" s="14"/>
      <c r="E80" s="25" t="str">
        <f>CONCATENATE(prefix_mgmt_az2_cidr,"11.114")</f>
        <v>10.12.11.114</v>
      </c>
      <c r="F80" s="14"/>
      <c r="G80" s="454" t="s">
        <v>3788</v>
      </c>
      <c r="H80" s="455"/>
      <c r="I80" s="456"/>
    </row>
    <row r="81" spans="2:9" s="3" customFormat="1" ht="20" customHeight="1">
      <c r="B81" s="16"/>
      <c r="C81" s="25" t="str">
        <f>CONCATENATE(this_instance,"02-m01-r01-esx15")</f>
        <v>sfo02-m01-r01-esx15</v>
      </c>
      <c r="D81" s="14"/>
      <c r="E81" s="25" t="str">
        <f>CONCATENATE(prefix_mgmt_az2_cidr,"11.115")</f>
        <v>10.12.11.115</v>
      </c>
      <c r="F81" s="14"/>
      <c r="G81" s="454" t="s">
        <v>3790</v>
      </c>
      <c r="H81" s="455"/>
      <c r="I81" s="456"/>
    </row>
    <row r="82" spans="2:9" s="3" customFormat="1" ht="20" customHeight="1">
      <c r="B82" s="16"/>
      <c r="C82" s="25" t="str">
        <f>CONCATENATE(this_instance,"02-m01-r01-esx16")</f>
        <v>sfo02-m01-r01-esx16</v>
      </c>
      <c r="D82" s="14"/>
      <c r="E82" s="25" t="str">
        <f>CONCATENATE(prefix_mgmt_az2_cidr,"11.116")</f>
        <v>10.12.11.116</v>
      </c>
      <c r="F82" s="14"/>
      <c r="G82" s="454" t="s">
        <v>3792</v>
      </c>
      <c r="H82" s="455"/>
      <c r="I82" s="456"/>
    </row>
    <row r="83" spans="2:9" ht="20" customHeight="1">
      <c r="B83" s="437" t="s">
        <v>4010</v>
      </c>
      <c r="C83" s="437"/>
      <c r="D83" s="459"/>
      <c r="E83" s="459"/>
      <c r="F83" s="459"/>
      <c r="G83" s="459"/>
      <c r="H83" s="459"/>
      <c r="I83" s="459"/>
    </row>
    <row r="84" spans="2:9" s="3" customFormat="1" ht="20" customHeight="1">
      <c r="B84" s="26"/>
      <c r="C84" s="25" t="str">
        <f>CONCATENATE(this_instance,"02-m01-r01-esx01")</f>
        <v>sfo02-m01-r01-esx01</v>
      </c>
      <c r="D84" s="14" t="str">
        <f>IF(ISBLANK(input_mgmt_az2_host1_hostname),"",input_mgmt_az2_host1_hostname)</f>
        <v/>
      </c>
      <c r="E84" s="25" t="str">
        <f>CONCATENATE(prefix_mgmt_az1_cidr,"16.201")</f>
        <v>10.11.16.201</v>
      </c>
      <c r="F84" s="14"/>
      <c r="G84" s="454" t="s">
        <v>641</v>
      </c>
      <c r="H84" s="455"/>
      <c r="I84" s="456"/>
    </row>
    <row r="85" spans="2:9" s="3" customFormat="1" ht="20" customHeight="1">
      <c r="B85" s="16"/>
      <c r="C85" s="25" t="str">
        <f>CONCATENATE(this_instance,"02-m01-r01-esx02")</f>
        <v>sfo02-m01-r01-esx02</v>
      </c>
      <c r="D85" s="14" t="str">
        <f>IF(ISBLANK(input_mgmt_az2_host2_hostname),"",input_mgmt_az2_host2_hostname)</f>
        <v/>
      </c>
      <c r="E85" s="25" t="str">
        <f>CONCATENATE(prefix_mgmt_az1_cidr,"16.202")</f>
        <v>10.11.16.202</v>
      </c>
      <c r="F85" s="14"/>
      <c r="G85" s="454" t="s">
        <v>643</v>
      </c>
      <c r="H85" s="455"/>
      <c r="I85" s="456"/>
    </row>
    <row r="86" spans="2:9" s="3" customFormat="1" ht="20" customHeight="1">
      <c r="B86" s="16"/>
      <c r="C86" s="25" t="str">
        <f>CONCATENATE(this_instance,"02-m01-r01-esx03")</f>
        <v>sfo02-m01-r01-esx03</v>
      </c>
      <c r="D86" s="14" t="str">
        <f>IF(ISBLANK(input_mgmt_az2_host3_hostname),"",input_mgmt_az2_host3_hostname)</f>
        <v/>
      </c>
      <c r="E86" s="25" t="str">
        <f>CONCATENATE(prefix_mgmt_az1_cidr,"16.203")</f>
        <v>10.11.16.203</v>
      </c>
      <c r="F86" s="14"/>
      <c r="G86" s="454" t="s">
        <v>645</v>
      </c>
      <c r="H86" s="455"/>
      <c r="I86" s="456"/>
    </row>
    <row r="87" spans="2:9" s="3" customFormat="1" ht="20" customHeight="1">
      <c r="B87" s="16"/>
      <c r="C87" s="25" t="str">
        <f>CONCATENATE(this_instance,"02-m01-r01-esx04")</f>
        <v>sfo02-m01-r01-esx04</v>
      </c>
      <c r="D87" s="14" t="str">
        <f>IF(ISBLANK(input_mgmt_az2_host4_hostname),"",input_mgmt_az2_host4_hostname)</f>
        <v/>
      </c>
      <c r="E87" s="25" t="str">
        <f>CONCATENATE(prefix_mgmt_az1_cidr,"16.204")</f>
        <v>10.11.16.204</v>
      </c>
      <c r="F87" s="14"/>
      <c r="G87" s="454" t="s">
        <v>647</v>
      </c>
      <c r="H87" s="455"/>
      <c r="I87" s="456"/>
    </row>
    <row r="88" spans="2:9" s="3" customFormat="1" ht="20" customHeight="1">
      <c r="B88" s="16"/>
      <c r="C88" s="25" t="str">
        <f>CONCATENATE(this_instance,"02-m01-r01-esx05")</f>
        <v>sfo02-m01-r01-esx05</v>
      </c>
      <c r="D88" s="14" t="str">
        <f>IF(ISBLANK(input_mgmt_az2_host5_hostname),"",input_mgmt_az2_host5_hostname)</f>
        <v/>
      </c>
      <c r="E88" s="25" t="str">
        <f>CONCATENATE(prefix_mgmt_az1_cidr,"16.205")</f>
        <v>10.11.16.205</v>
      </c>
      <c r="F88" s="14"/>
      <c r="G88" s="454" t="s">
        <v>3771</v>
      </c>
      <c r="H88" s="455"/>
      <c r="I88" s="456"/>
    </row>
    <row r="89" spans="2:9" s="3" customFormat="1" ht="20" customHeight="1">
      <c r="B89" s="16"/>
      <c r="C89" s="25" t="str">
        <f>CONCATENATE(this_instance,"02-m01-r01-esx06")</f>
        <v>sfo02-m01-r01-esx06</v>
      </c>
      <c r="D89" s="14" t="str">
        <f>IF(ISBLANK(input_mgmt_az2_host6_hostname),"",input_mgmt_az2_host6_hostname)</f>
        <v/>
      </c>
      <c r="E89" s="25" t="str">
        <f>CONCATENATE(prefix_mgmt_az1_cidr,"16.206")</f>
        <v>10.11.16.206</v>
      </c>
      <c r="F89" s="14"/>
      <c r="G89" s="454" t="s">
        <v>3773</v>
      </c>
      <c r="H89" s="455"/>
      <c r="I89" s="456"/>
    </row>
    <row r="90" spans="2:9" s="3" customFormat="1" ht="20" customHeight="1">
      <c r="B90" s="16"/>
      <c r="C90" s="25" t="str">
        <f>CONCATENATE(this_instance,"02-m01-r01-esx07")</f>
        <v>sfo02-m01-r01-esx07</v>
      </c>
      <c r="D90" s="14" t="str">
        <f>IF(ISBLANK(input_mgmt_az2_host7_hostname),"",input_mgmt_az2_host7_hostname)</f>
        <v/>
      </c>
      <c r="E90" s="25" t="str">
        <f>CONCATENATE(prefix_mgmt_az1_cidr,"16.207")</f>
        <v>10.11.16.207</v>
      </c>
      <c r="F90" s="14"/>
      <c r="G90" s="454" t="s">
        <v>3775</v>
      </c>
      <c r="H90" s="455"/>
      <c r="I90" s="456"/>
    </row>
    <row r="91" spans="2:9" s="3" customFormat="1" ht="20" customHeight="1">
      <c r="B91" s="16"/>
      <c r="C91" s="25" t="str">
        <f>CONCATENATE(this_instance,"02-m01-r01-esx08")</f>
        <v>sfo02-m01-r01-esx08</v>
      </c>
      <c r="D91" s="14" t="str">
        <f>IF(ISBLANK(input_mgmt_az2_host8_hostname),"",input_mgmt_az2_host8_hostname)</f>
        <v/>
      </c>
      <c r="E91" s="25" t="str">
        <f>CONCATENATE(prefix_mgmt_az1_cidr,"16.208")</f>
        <v>10.11.16.208</v>
      </c>
      <c r="F91" s="14"/>
      <c r="G91" s="454" t="s">
        <v>3777</v>
      </c>
      <c r="H91" s="455"/>
      <c r="I91" s="456"/>
    </row>
    <row r="92" spans="2:9" s="3" customFormat="1" ht="20" customHeight="1">
      <c r="B92" s="16"/>
      <c r="C92" s="25" t="str">
        <f>CONCATENATE(this_instance,"02-m01-r01-esx09")</f>
        <v>sfo02-m01-r01-esx09</v>
      </c>
      <c r="D92" s="14" t="str">
        <f>IF(ISBLANK(input_mgmt_az2_host9_hostname),"",input_mgmt_az2_host9_hostname)</f>
        <v/>
      </c>
      <c r="E92" s="25" t="str">
        <f>CONCATENATE(prefix_mgmt_az1_cidr,"16.209")</f>
        <v>10.11.16.209</v>
      </c>
      <c r="F92" s="14"/>
      <c r="G92" s="454" t="s">
        <v>3779</v>
      </c>
      <c r="H92" s="455"/>
      <c r="I92" s="456"/>
    </row>
    <row r="93" spans="2:9" s="3" customFormat="1" ht="20" customHeight="1">
      <c r="B93" s="16"/>
      <c r="C93" s="25" t="str">
        <f>CONCATENATE(this_instance,"02-m01-r01-esx10")</f>
        <v>sfo02-m01-r01-esx10</v>
      </c>
      <c r="D93" s="14" t="str">
        <f>IF(ISBLANK(input_mgmt_az2_host10_hostname),"",input_mgmt_az2_host10_hostname)</f>
        <v/>
      </c>
      <c r="E93" s="25" t="str">
        <f>CONCATENATE(prefix_mgmt_az1_cidr,"16.210")</f>
        <v>10.11.16.210</v>
      </c>
      <c r="F93" s="14"/>
      <c r="G93" s="454" t="s">
        <v>3781</v>
      </c>
      <c r="H93" s="455"/>
      <c r="I93" s="456"/>
    </row>
    <row r="94" spans="2:9" s="3" customFormat="1" ht="20" customHeight="1">
      <c r="B94" s="16"/>
      <c r="C94" s="25" t="str">
        <f>CONCATENATE(this_instance,"02-m01-r01-esx11")</f>
        <v>sfo02-m01-r01-esx11</v>
      </c>
      <c r="D94" s="14" t="str">
        <f>IF(ISBLANK(input_mgmt_az2_host11_hostname),"",input_mgmt_az2_host11_hostname)</f>
        <v/>
      </c>
      <c r="E94" s="25" t="str">
        <f>CONCATENATE(prefix_mgmt_az1_cidr,"16.211")</f>
        <v>10.11.16.211</v>
      </c>
      <c r="F94" s="14"/>
      <c r="G94" s="454" t="s">
        <v>3783</v>
      </c>
      <c r="H94" s="455"/>
      <c r="I94" s="456"/>
    </row>
    <row r="95" spans="2:9" s="3" customFormat="1" ht="20" customHeight="1">
      <c r="B95" s="16"/>
      <c r="C95" s="25" t="str">
        <f>CONCATENATE(this_instance,"02-m01-r01-esx12")</f>
        <v>sfo02-m01-r01-esx12</v>
      </c>
      <c r="D95" s="14" t="str">
        <f>IF(ISBLANK(input_mgmt_az2_host12_hostname),"",input_mgmt_az2_host12_hostname)</f>
        <v/>
      </c>
      <c r="E95" s="25" t="str">
        <f>CONCATENATE(prefix_mgmt_az1_cidr,"16.212")</f>
        <v>10.11.16.212</v>
      </c>
      <c r="F95" s="14"/>
      <c r="G95" s="454" t="s">
        <v>3785</v>
      </c>
      <c r="H95" s="455"/>
      <c r="I95" s="456"/>
    </row>
    <row r="96" spans="2:9" s="3" customFormat="1" ht="20" customHeight="1">
      <c r="B96" s="16"/>
      <c r="C96" s="25" t="str">
        <f>CONCATENATE(this_instance,"02-m01-r01-esx13")</f>
        <v>sfo02-m01-r01-esx13</v>
      </c>
      <c r="D96" s="14" t="str">
        <f>IF(ISBLANK(input_mgmt_az2_host13_hostname),"",input_mgmt_az2_host13_hostname)</f>
        <v/>
      </c>
      <c r="E96" s="25" t="str">
        <f>CONCATENATE(prefix_mgmt_az1_cidr,"16.213")</f>
        <v>10.11.16.213</v>
      </c>
      <c r="F96" s="14"/>
      <c r="G96" s="454" t="s">
        <v>3787</v>
      </c>
      <c r="H96" s="455"/>
      <c r="I96" s="456"/>
    </row>
    <row r="97" spans="2:9" s="3" customFormat="1" ht="20" customHeight="1">
      <c r="B97" s="16"/>
      <c r="C97" s="25" t="str">
        <f>CONCATENATE(this_instance,"02-m01-r01-esx14")</f>
        <v>sfo02-m01-r01-esx14</v>
      </c>
      <c r="D97" s="14" t="str">
        <f>IF(ISBLANK(input_mgmt_az2_host14_hostname),"",input_mgmt_az2_host14_hostname)</f>
        <v/>
      </c>
      <c r="E97" s="25" t="str">
        <f>CONCATENATE(prefix_mgmt_az1_cidr,"16.214")</f>
        <v>10.11.16.214</v>
      </c>
      <c r="F97" s="14"/>
      <c r="G97" s="454" t="s">
        <v>3789</v>
      </c>
      <c r="H97" s="455"/>
      <c r="I97" s="456"/>
    </row>
    <row r="98" spans="2:9" s="3" customFormat="1" ht="20" customHeight="1">
      <c r="B98" s="16"/>
      <c r="C98" s="25" t="str">
        <f>CONCATENATE(this_instance,"02-m01-r01-esx15")</f>
        <v>sfo02-m01-r01-esx15</v>
      </c>
      <c r="D98" s="14" t="str">
        <f>IF(ISBLANK(input_mgmt_az2_host15_hostname),"",input_mgmt_az2_host15_hostname)</f>
        <v/>
      </c>
      <c r="E98" s="25" t="str">
        <f>CONCATENATE(prefix_mgmt_az1_cidr,"16.215")</f>
        <v>10.11.16.215</v>
      </c>
      <c r="F98" s="14"/>
      <c r="G98" s="454" t="s">
        <v>3791</v>
      </c>
      <c r="H98" s="455"/>
      <c r="I98" s="456"/>
    </row>
    <row r="99" spans="2:9" s="3" customFormat="1" ht="20" customHeight="1">
      <c r="B99" s="16"/>
      <c r="C99" s="25" t="str">
        <f>CONCATENATE(this_instance,"02-m01-r01-esx16")</f>
        <v>sfo02-m01-r01-esx16</v>
      </c>
      <c r="D99" s="14" t="str">
        <f>IF(ISBLANK(input_mgmt_az2_host16_hostname),"",input_mgmt_az2_host16_hostname)</f>
        <v/>
      </c>
      <c r="E99" s="25" t="str">
        <f>CONCATENATE(prefix_mgmt_az1_cidr,"16.216")</f>
        <v>10.11.16.216</v>
      </c>
      <c r="F99" s="14"/>
      <c r="G99" s="454" t="s">
        <v>3793</v>
      </c>
      <c r="H99" s="455"/>
      <c r="I99" s="456"/>
    </row>
    <row r="100" spans="2:9" s="3" customFormat="1" ht="20" customHeight="1">
      <c r="B100" s="425" t="s">
        <v>667</v>
      </c>
      <c r="C100" s="425"/>
      <c r="D100" s="425"/>
      <c r="E100" s="425"/>
      <c r="F100" s="425"/>
      <c r="G100" s="425"/>
      <c r="H100" s="425"/>
      <c r="I100" s="425"/>
    </row>
    <row r="101" spans="2:9" s="3" customFormat="1" ht="20" customHeight="1">
      <c r="B101" s="8" t="s">
        <v>668</v>
      </c>
      <c r="C101" s="345"/>
      <c r="D101" s="345"/>
      <c r="E101" s="8" t="s">
        <v>669</v>
      </c>
      <c r="F101" s="20" t="s">
        <v>632</v>
      </c>
      <c r="G101" s="345" t="s">
        <v>222</v>
      </c>
      <c r="H101" s="345"/>
      <c r="I101" s="345"/>
    </row>
    <row r="102" spans="2:9" s="3" customFormat="1" ht="20" customHeight="1">
      <c r="B102" s="26" t="s">
        <v>670</v>
      </c>
      <c r="C102" s="441"/>
      <c r="D102" s="441"/>
      <c r="E102" s="22" t="str">
        <f>CONCATENATE(prefix_mgmt_az2_cidr,"12.101")</f>
        <v>10.12.12.101</v>
      </c>
      <c r="F102" s="14"/>
      <c r="G102" s="445" t="s">
        <v>671</v>
      </c>
      <c r="H102" s="445"/>
      <c r="I102" s="445"/>
    </row>
    <row r="103" spans="2:9" s="3" customFormat="1" ht="20" customHeight="1">
      <c r="B103" s="26" t="s">
        <v>672</v>
      </c>
      <c r="C103" s="441"/>
      <c r="D103" s="441"/>
      <c r="E103" s="22" t="str">
        <f>CONCATENATE(prefix_mgmt_az2_cidr,"12.116")</f>
        <v>10.12.12.116</v>
      </c>
      <c r="F103" s="14"/>
      <c r="G103" s="445" t="s">
        <v>673</v>
      </c>
      <c r="H103" s="445"/>
      <c r="I103" s="445"/>
    </row>
    <row r="104" spans="2:9" s="3" customFormat="1" ht="20" customHeight="1">
      <c r="B104" s="21" t="s">
        <v>674</v>
      </c>
      <c r="C104" s="441"/>
      <c r="D104" s="441"/>
      <c r="E104" s="22" t="str">
        <f>CONCATENATE(prefix_mgmt_az2_cidr,"13.101")</f>
        <v>10.12.13.101</v>
      </c>
      <c r="F104" s="14"/>
      <c r="G104" s="445" t="s">
        <v>675</v>
      </c>
      <c r="H104" s="445"/>
      <c r="I104" s="445"/>
    </row>
    <row r="105" spans="2:9" s="3" customFormat="1" ht="20" customHeight="1">
      <c r="B105" s="21" t="s">
        <v>676</v>
      </c>
      <c r="C105" s="441"/>
      <c r="D105" s="441"/>
      <c r="E105" s="22" t="str">
        <f>CONCATENATE(prefix_mgmt_az2_cidr,"13.116")</f>
        <v>10.12.13.116</v>
      </c>
      <c r="F105" s="14"/>
      <c r="G105" s="445" t="s">
        <v>3615</v>
      </c>
      <c r="H105" s="445"/>
      <c r="I105" s="445"/>
    </row>
    <row r="106" spans="2:9" s="3" customFormat="1" ht="20" customHeight="1">
      <c r="B106" s="21" t="s">
        <v>677</v>
      </c>
      <c r="C106" s="441"/>
      <c r="D106" s="441"/>
      <c r="E106" s="22" t="str">
        <f>CONCATENATE(prefix_mgmt_az2_cidr,"14.101")</f>
        <v>10.12.14.101</v>
      </c>
      <c r="F106" s="14"/>
      <c r="G106" s="445" t="s">
        <v>678</v>
      </c>
      <c r="H106" s="445"/>
      <c r="I106" s="445"/>
    </row>
    <row r="107" spans="2:9" s="3" customFormat="1" ht="20" customHeight="1">
      <c r="B107" s="21" t="s">
        <v>679</v>
      </c>
      <c r="C107" s="441"/>
      <c r="D107" s="441"/>
      <c r="E107" s="22" t="str">
        <f>CONCATENATE(prefix_mgmt_az2_cidr,"14.132")</f>
        <v>10.12.14.132</v>
      </c>
      <c r="F107" s="14"/>
      <c r="G107" s="445" t="s">
        <v>680</v>
      </c>
      <c r="H107" s="445"/>
      <c r="I107" s="445"/>
    </row>
    <row r="108" spans="2:9" s="3" customFormat="1" ht="16" customHeight="1">
      <c r="B108" s="5"/>
      <c r="C108" s="5"/>
      <c r="D108" s="5"/>
      <c r="E108" s="5"/>
      <c r="F108" s="5"/>
      <c r="G108" s="5"/>
      <c r="H108" s="5"/>
      <c r="I108" s="5"/>
    </row>
    <row r="109" spans="2:9" ht="34" customHeight="1">
      <c r="B109" s="438" t="s">
        <v>4005</v>
      </c>
      <c r="C109" s="439"/>
      <c r="D109" s="439"/>
      <c r="E109" s="439"/>
      <c r="F109" s="439"/>
      <c r="G109" s="439"/>
      <c r="H109" s="439"/>
      <c r="I109" s="440"/>
    </row>
    <row r="110" spans="2:9" ht="20" customHeight="1">
      <c r="B110" s="190" t="s">
        <v>530</v>
      </c>
      <c r="C110" s="190" t="s">
        <v>489</v>
      </c>
      <c r="D110" s="190" t="s">
        <v>3928</v>
      </c>
      <c r="E110" s="190" t="s">
        <v>3927</v>
      </c>
      <c r="F110" s="210"/>
      <c r="G110" s="210"/>
      <c r="H110" s="210"/>
      <c r="I110" s="211"/>
    </row>
    <row r="111" spans="2:9" ht="20" customHeight="1">
      <c r="B111" s="21" t="s">
        <v>3926</v>
      </c>
      <c r="C111" s="25" t="s">
        <v>634</v>
      </c>
      <c r="D111" s="25" t="str">
        <f>IF(wld_host_dns_zone_chosen="Single",sample_child_dns_zone,CONCATENATE("rack1.",this_instance,".rainpole.io"))</f>
        <v>rack1.sfo.rainpole.io</v>
      </c>
      <c r="E111" s="14"/>
      <c r="F111" s="212"/>
      <c r="G111" s="212"/>
      <c r="H111" s="212"/>
      <c r="I111" s="213"/>
    </row>
    <row r="112" spans="2:9" ht="20" customHeight="1">
      <c r="B112" s="437" t="s">
        <v>4009</v>
      </c>
      <c r="C112" s="437"/>
      <c r="D112" s="459"/>
      <c r="E112" s="459"/>
      <c r="F112" s="459"/>
      <c r="G112" s="459"/>
      <c r="H112" s="459"/>
      <c r="I112" s="459"/>
    </row>
    <row r="113" spans="2:9" ht="20" customHeight="1">
      <c r="B113" s="190" t="s">
        <v>583</v>
      </c>
      <c r="C113" s="190" t="s">
        <v>629</v>
      </c>
      <c r="D113" s="113" t="s">
        <v>630</v>
      </c>
      <c r="E113" s="190" t="s">
        <v>631</v>
      </c>
      <c r="F113" s="113" t="s">
        <v>632</v>
      </c>
      <c r="G113" s="458" t="s">
        <v>222</v>
      </c>
      <c r="H113" s="458"/>
      <c r="I113" s="458"/>
    </row>
    <row r="114" spans="2:9" s="3" customFormat="1" ht="20" customHeight="1">
      <c r="B114" s="26" t="s">
        <v>639</v>
      </c>
      <c r="C114" s="25" t="str">
        <f>CONCATENATE(this_instance,"01-w0",wld_domain_number_chosen,"-r01-esx01")</f>
        <v>sfo01-w01-r01-esx01</v>
      </c>
      <c r="D114" s="14"/>
      <c r="E114" s="25" t="str">
        <f>CONCATENATE(prefix_wld_az1_cidr,"11.101")</f>
        <v>10.13.11.101</v>
      </c>
      <c r="F114" s="14"/>
      <c r="G114" s="454" t="s">
        <v>640</v>
      </c>
      <c r="H114" s="455"/>
      <c r="I114" s="456"/>
    </row>
    <row r="115" spans="2:9" s="3" customFormat="1" ht="20" customHeight="1">
      <c r="B115" s="16"/>
      <c r="C115" s="25" t="str">
        <f>CONCATENATE(this_instance,"01-w0",wld_domain_number_chosen,"-r01-esx02")</f>
        <v>sfo01-w01-r01-esx02</v>
      </c>
      <c r="D115" s="14"/>
      <c r="E115" s="25" t="str">
        <f>CONCATENATE(prefix_wld_az1_cidr,"11.102")</f>
        <v>10.13.11.102</v>
      </c>
      <c r="F115" s="14"/>
      <c r="G115" s="454" t="s">
        <v>642</v>
      </c>
      <c r="H115" s="455"/>
      <c r="I115" s="456"/>
    </row>
    <row r="116" spans="2:9" s="3" customFormat="1" ht="20" customHeight="1">
      <c r="B116" s="16"/>
      <c r="C116" s="25" t="str">
        <f>CONCATENATE(this_instance,"01-w0",wld_domain_number_chosen,"-r01-esx03")</f>
        <v>sfo01-w01-r01-esx03</v>
      </c>
      <c r="D116" s="14"/>
      <c r="E116" s="25" t="str">
        <f>CONCATENATE(prefix_wld_az1_cidr,"11.103")</f>
        <v>10.13.11.103</v>
      </c>
      <c r="F116" s="14"/>
      <c r="G116" s="454" t="s">
        <v>644</v>
      </c>
      <c r="H116" s="455"/>
      <c r="I116" s="456"/>
    </row>
    <row r="117" spans="2:9" s="3" customFormat="1" ht="20" customHeight="1">
      <c r="B117" s="16"/>
      <c r="C117" s="25" t="str">
        <f>CONCATENATE(this_instance,"01-w0",wld_domain_number_chosen,"-r01-esx04")</f>
        <v>sfo01-w01-r01-esx04</v>
      </c>
      <c r="D117" s="14"/>
      <c r="E117" s="25" t="str">
        <f>CONCATENATE(prefix_wld_az1_cidr,"11.104")</f>
        <v>10.13.11.104</v>
      </c>
      <c r="F117" s="14"/>
      <c r="G117" s="454" t="s">
        <v>646</v>
      </c>
      <c r="H117" s="455"/>
      <c r="I117" s="456"/>
    </row>
    <row r="118" spans="2:9" s="3" customFormat="1" ht="20" customHeight="1">
      <c r="B118" s="16"/>
      <c r="C118" s="25" t="str">
        <f>CONCATENATE(this_instance,"01-w0",wld_domain_number_chosen,"-r01-esx05")</f>
        <v>sfo01-w01-r01-esx05</v>
      </c>
      <c r="D118" s="14"/>
      <c r="E118" s="25" t="str">
        <f>CONCATENATE(prefix_wld_az1_cidr,"11.105")</f>
        <v>10.13.11.105</v>
      </c>
      <c r="F118" s="14"/>
      <c r="G118" s="454" t="s">
        <v>3770</v>
      </c>
      <c r="H118" s="455"/>
      <c r="I118" s="456"/>
    </row>
    <row r="119" spans="2:9" s="3" customFormat="1" ht="20" customHeight="1">
      <c r="B119" s="16"/>
      <c r="C119" s="25" t="str">
        <f>CONCATENATE(this_instance,"01-w0",wld_domain_number_chosen,"-r01-esx06")</f>
        <v>sfo01-w01-r01-esx06</v>
      </c>
      <c r="D119" s="14"/>
      <c r="E119" s="25" t="str">
        <f>CONCATENATE(prefix_wld_az1_cidr,"11.106")</f>
        <v>10.13.11.106</v>
      </c>
      <c r="F119" s="14"/>
      <c r="G119" s="454" t="s">
        <v>3772</v>
      </c>
      <c r="H119" s="455"/>
      <c r="I119" s="456"/>
    </row>
    <row r="120" spans="2:9" s="3" customFormat="1" ht="20" customHeight="1">
      <c r="B120" s="16"/>
      <c r="C120" s="25" t="str">
        <f>CONCATENATE(this_instance,"01-w0",wld_domain_number_chosen,"-r01-esx07")</f>
        <v>sfo01-w01-r01-esx07</v>
      </c>
      <c r="D120" s="14"/>
      <c r="E120" s="25" t="str">
        <f>CONCATENATE(prefix_wld_az1_cidr,"11.107")</f>
        <v>10.13.11.107</v>
      </c>
      <c r="F120" s="14"/>
      <c r="G120" s="454" t="s">
        <v>3774</v>
      </c>
      <c r="H120" s="455"/>
      <c r="I120" s="456"/>
    </row>
    <row r="121" spans="2:9" s="3" customFormat="1" ht="20" customHeight="1">
      <c r="B121" s="16"/>
      <c r="C121" s="25" t="str">
        <f>CONCATENATE(this_instance,"01-w0",wld_domain_number_chosen,"-r01-esx08")</f>
        <v>sfo01-w01-r01-esx08</v>
      </c>
      <c r="D121" s="14"/>
      <c r="E121" s="25" t="str">
        <f>CONCATENATE(prefix_wld_az1_cidr,"11.108")</f>
        <v>10.13.11.108</v>
      </c>
      <c r="F121" s="14"/>
      <c r="G121" s="454" t="s">
        <v>3776</v>
      </c>
      <c r="H121" s="455"/>
      <c r="I121" s="456"/>
    </row>
    <row r="122" spans="2:9" s="3" customFormat="1" ht="20" customHeight="1">
      <c r="B122" s="16"/>
      <c r="C122" s="25" t="str">
        <f>CONCATENATE(this_instance,"01-w0",wld_domain_number_chosen,"-r01-esx09")</f>
        <v>sfo01-w01-r01-esx09</v>
      </c>
      <c r="D122" s="14"/>
      <c r="E122" s="25" t="str">
        <f>CONCATENATE(prefix_wld_az1_cidr,"11.109")</f>
        <v>10.13.11.109</v>
      </c>
      <c r="F122" s="14"/>
      <c r="G122" s="454" t="s">
        <v>3778</v>
      </c>
      <c r="H122" s="455"/>
      <c r="I122" s="456"/>
    </row>
    <row r="123" spans="2:9" s="3" customFormat="1" ht="20" customHeight="1">
      <c r="B123" s="16"/>
      <c r="C123" s="25" t="str">
        <f>CONCATENATE(this_instance,"01-w0",wld_domain_number_chosen,"-r01-esx10")</f>
        <v>sfo01-w01-r01-esx10</v>
      </c>
      <c r="D123" s="14"/>
      <c r="E123" s="25" t="str">
        <f>CONCATENATE(prefix_wld_az1_cidr,"11.110")</f>
        <v>10.13.11.110</v>
      </c>
      <c r="F123" s="14"/>
      <c r="G123" s="454" t="s">
        <v>3780</v>
      </c>
      <c r="H123" s="455"/>
      <c r="I123" s="456"/>
    </row>
    <row r="124" spans="2:9" s="3" customFormat="1" ht="20" customHeight="1">
      <c r="B124" s="16"/>
      <c r="C124" s="25" t="str">
        <f>CONCATENATE(this_instance,"01-w0",wld_domain_number_chosen,"-r01-esx11")</f>
        <v>sfo01-w01-r01-esx11</v>
      </c>
      <c r="D124" s="14"/>
      <c r="E124" s="25" t="str">
        <f>CONCATENATE(prefix_wld_az1_cidr,"11.111")</f>
        <v>10.13.11.111</v>
      </c>
      <c r="F124" s="14"/>
      <c r="G124" s="454" t="s">
        <v>3782</v>
      </c>
      <c r="H124" s="455"/>
      <c r="I124" s="456"/>
    </row>
    <row r="125" spans="2:9" s="3" customFormat="1" ht="20" customHeight="1">
      <c r="B125" s="16"/>
      <c r="C125" s="25" t="str">
        <f>CONCATENATE(this_instance,"01-w0",wld_domain_number_chosen,"-r01-esx12")</f>
        <v>sfo01-w01-r01-esx12</v>
      </c>
      <c r="D125" s="14"/>
      <c r="E125" s="25" t="str">
        <f>CONCATENATE(prefix_wld_az1_cidr,"11.112")</f>
        <v>10.13.11.112</v>
      </c>
      <c r="F125" s="14"/>
      <c r="G125" s="454" t="s">
        <v>3784</v>
      </c>
      <c r="H125" s="455"/>
      <c r="I125" s="456"/>
    </row>
    <row r="126" spans="2:9" s="3" customFormat="1" ht="20" customHeight="1">
      <c r="B126" s="16"/>
      <c r="C126" s="25" t="str">
        <f>CONCATENATE(this_instance,"01-w0",wld_domain_number_chosen,"-r01-esx13")</f>
        <v>sfo01-w01-r01-esx13</v>
      </c>
      <c r="D126" s="14"/>
      <c r="E126" s="25" t="str">
        <f>CONCATENATE(prefix_wld_az1_cidr,"11.113")</f>
        <v>10.13.11.113</v>
      </c>
      <c r="F126" s="14"/>
      <c r="G126" s="454" t="s">
        <v>3786</v>
      </c>
      <c r="H126" s="455"/>
      <c r="I126" s="456"/>
    </row>
    <row r="127" spans="2:9" s="3" customFormat="1" ht="20" customHeight="1">
      <c r="B127" s="16"/>
      <c r="C127" s="25" t="str">
        <f>CONCATENATE(this_instance,"01-w0",wld_domain_number_chosen,"-r01-esx14")</f>
        <v>sfo01-w01-r01-esx14</v>
      </c>
      <c r="D127" s="14"/>
      <c r="E127" s="25" t="str">
        <f>CONCATENATE(prefix_wld_az1_cidr,"11.114")</f>
        <v>10.13.11.114</v>
      </c>
      <c r="F127" s="14"/>
      <c r="G127" s="454" t="s">
        <v>3788</v>
      </c>
      <c r="H127" s="455"/>
      <c r="I127" s="456"/>
    </row>
    <row r="128" spans="2:9" s="3" customFormat="1" ht="20" customHeight="1">
      <c r="B128" s="16"/>
      <c r="C128" s="25" t="str">
        <f>CONCATENATE(this_instance,"01-w0",wld_domain_number_chosen,"-r01-esx15")</f>
        <v>sfo01-w01-r01-esx15</v>
      </c>
      <c r="D128" s="14"/>
      <c r="E128" s="25" t="str">
        <f>CONCATENATE(prefix_wld_az1_cidr,"11.115")</f>
        <v>10.13.11.115</v>
      </c>
      <c r="F128" s="14"/>
      <c r="G128" s="454" t="s">
        <v>3790</v>
      </c>
      <c r="H128" s="455"/>
      <c r="I128" s="456"/>
    </row>
    <row r="129" spans="2:9" s="3" customFormat="1" ht="20" customHeight="1">
      <c r="B129" s="16"/>
      <c r="C129" s="25" t="str">
        <f>CONCATENATE(this_instance,"01-w0",wld_domain_number_chosen,"-r01-esx16")</f>
        <v>sfo01-w01-r01-esx16</v>
      </c>
      <c r="D129" s="14"/>
      <c r="E129" s="25" t="str">
        <f>CONCATENATE(prefix_wld_az1_cidr,"11.116")</f>
        <v>10.13.11.116</v>
      </c>
      <c r="F129" s="14"/>
      <c r="G129" s="454" t="s">
        <v>3792</v>
      </c>
      <c r="H129" s="455"/>
      <c r="I129" s="456"/>
    </row>
    <row r="130" spans="2:9" ht="20" customHeight="1">
      <c r="B130" s="437" t="s">
        <v>4010</v>
      </c>
      <c r="C130" s="437"/>
      <c r="D130" s="459"/>
      <c r="E130" s="459"/>
      <c r="F130" s="459"/>
      <c r="G130" s="459"/>
      <c r="H130" s="459"/>
      <c r="I130" s="459"/>
    </row>
    <row r="131" spans="2:9" s="3" customFormat="1" ht="20" customHeight="1">
      <c r="B131" s="26"/>
      <c r="C131" s="25" t="str">
        <f>CONCATENATE(this_instance,"01-w0",wld_domain_number_chosen,"-r01-esx01")</f>
        <v>sfo01-w01-r01-esx01</v>
      </c>
      <c r="D131" s="23" t="str">
        <f>IF(ISBLANK(input_wld_az1_host1_hostname),"",input_wld_az1_host1_hostname)</f>
        <v/>
      </c>
      <c r="E131" s="25" t="str">
        <f>CONCATENATE(prefix_wld_az1_cidr,"16.101")</f>
        <v>10.13.16.101</v>
      </c>
      <c r="F131" s="14"/>
      <c r="G131" s="454" t="s">
        <v>641</v>
      </c>
      <c r="H131" s="455"/>
      <c r="I131" s="456"/>
    </row>
    <row r="132" spans="2:9" s="3" customFormat="1" ht="20" customHeight="1">
      <c r="B132" s="16"/>
      <c r="C132" s="25" t="str">
        <f>CONCATENATE(this_instance,"01-w0",wld_domain_number_chosen,"-r01-esx02")</f>
        <v>sfo01-w01-r01-esx02</v>
      </c>
      <c r="D132" s="23" t="str">
        <f>IF(ISBLANK(input_wld_az1_host2_hostname),"",input_wld_az1_host2_hostname)</f>
        <v/>
      </c>
      <c r="E132" s="25" t="str">
        <f>CONCATENATE(prefix_wld_az1_cidr,"16.102")</f>
        <v>10.13.16.102</v>
      </c>
      <c r="F132" s="14"/>
      <c r="G132" s="454" t="s">
        <v>643</v>
      </c>
      <c r="H132" s="455"/>
      <c r="I132" s="456"/>
    </row>
    <row r="133" spans="2:9" s="3" customFormat="1" ht="20" customHeight="1">
      <c r="B133" s="16"/>
      <c r="C133" s="25" t="str">
        <f>CONCATENATE(this_instance,"01-w0",wld_domain_number_chosen,"-r01-esx03")</f>
        <v>sfo01-w01-r01-esx03</v>
      </c>
      <c r="D133" s="23" t="str">
        <f>IF(ISBLANK(input_wld_az1_host3_hostname),"",input_wld_az1_host3_hostname)</f>
        <v/>
      </c>
      <c r="E133" s="25" t="str">
        <f>CONCATENATE(prefix_wld_az1_cidr,"16.103")</f>
        <v>10.13.16.103</v>
      </c>
      <c r="F133" s="14"/>
      <c r="G133" s="454" t="s">
        <v>645</v>
      </c>
      <c r="H133" s="455"/>
      <c r="I133" s="456"/>
    </row>
    <row r="134" spans="2:9" s="3" customFormat="1" ht="20" customHeight="1">
      <c r="B134" s="16"/>
      <c r="C134" s="25" t="str">
        <f>CONCATENATE(this_instance,"01-w0",wld_domain_number_chosen,"-r01-esx04")</f>
        <v>sfo01-w01-r01-esx04</v>
      </c>
      <c r="D134" s="23" t="str">
        <f>IF(ISBLANK(input_wld_az1_host4_hostname),"",input_wld_az1_host4_hostname)</f>
        <v/>
      </c>
      <c r="E134" s="25" t="str">
        <f>CONCATENATE(prefix_wld_az1_cidr,"16.104")</f>
        <v>10.13.16.104</v>
      </c>
      <c r="F134" s="14"/>
      <c r="G134" s="454" t="s">
        <v>647</v>
      </c>
      <c r="H134" s="455"/>
      <c r="I134" s="456"/>
    </row>
    <row r="135" spans="2:9" s="3" customFormat="1" ht="20" customHeight="1">
      <c r="B135" s="16"/>
      <c r="C135" s="25" t="str">
        <f>CONCATENATE(this_instance,"01-w0",wld_domain_number_chosen,"-r01-esx05")</f>
        <v>sfo01-w01-r01-esx05</v>
      </c>
      <c r="D135" s="23" t="str">
        <f>IF(ISBLANK(input_wld_az1_host5_hostname),"",input_wld_az1_host5_hostname)</f>
        <v/>
      </c>
      <c r="E135" s="25" t="str">
        <f>CONCATENATE(prefix_wld_az1_cidr,"16.105")</f>
        <v>10.13.16.105</v>
      </c>
      <c r="F135" s="14"/>
      <c r="G135" s="454" t="s">
        <v>3771</v>
      </c>
      <c r="H135" s="455"/>
      <c r="I135" s="456"/>
    </row>
    <row r="136" spans="2:9" s="3" customFormat="1" ht="20" customHeight="1">
      <c r="B136" s="16"/>
      <c r="C136" s="25" t="str">
        <f>CONCATENATE(this_instance,"01-w0",wld_domain_number_chosen,"-r01-esx06")</f>
        <v>sfo01-w01-r01-esx06</v>
      </c>
      <c r="D136" s="23" t="str">
        <f>IF(ISBLANK(input_wld_az1_host6_hostname),"",input_wld_az1_host6_hostname)</f>
        <v/>
      </c>
      <c r="E136" s="25" t="str">
        <f>CONCATENATE(prefix_wld_az1_cidr,"16.106")</f>
        <v>10.13.16.106</v>
      </c>
      <c r="F136" s="14"/>
      <c r="G136" s="454" t="s">
        <v>3773</v>
      </c>
      <c r="H136" s="455"/>
      <c r="I136" s="456"/>
    </row>
    <row r="137" spans="2:9" s="3" customFormat="1" ht="20" customHeight="1">
      <c r="B137" s="16"/>
      <c r="C137" s="25" t="str">
        <f>CONCATENATE(this_instance,"01-w0",wld_domain_number_chosen,"-r01-esx07")</f>
        <v>sfo01-w01-r01-esx07</v>
      </c>
      <c r="D137" s="23" t="str">
        <f>IF(ISBLANK(input_wld_az1_host7_hostname),"",input_wld_az1_host7_hostname)</f>
        <v/>
      </c>
      <c r="E137" s="25" t="str">
        <f>CONCATENATE(prefix_wld_az1_cidr,"16.107")</f>
        <v>10.13.16.107</v>
      </c>
      <c r="F137" s="14"/>
      <c r="G137" s="454" t="s">
        <v>3775</v>
      </c>
      <c r="H137" s="455"/>
      <c r="I137" s="456"/>
    </row>
    <row r="138" spans="2:9" s="3" customFormat="1" ht="20" customHeight="1">
      <c r="B138" s="16"/>
      <c r="C138" s="25" t="str">
        <f>CONCATENATE(this_instance,"01-w0",wld_domain_number_chosen,"-r01-esx08")</f>
        <v>sfo01-w01-r01-esx08</v>
      </c>
      <c r="D138" s="23" t="str">
        <f>IF(ISBLANK(input_wld_az1_host8_hostname),"",input_wld_az1_host8_hostname)</f>
        <v/>
      </c>
      <c r="E138" s="25" t="str">
        <f>CONCATENATE(prefix_wld_az1_cidr,"16.108")</f>
        <v>10.13.16.108</v>
      </c>
      <c r="F138" s="14"/>
      <c r="G138" s="454" t="s">
        <v>3777</v>
      </c>
      <c r="H138" s="455"/>
      <c r="I138" s="456"/>
    </row>
    <row r="139" spans="2:9" s="3" customFormat="1" ht="20" customHeight="1">
      <c r="B139" s="16"/>
      <c r="C139" s="25" t="str">
        <f>CONCATENATE(this_instance,"01-w0",wld_domain_number_chosen,"-r01-esx09")</f>
        <v>sfo01-w01-r01-esx09</v>
      </c>
      <c r="D139" s="23" t="str">
        <f>IF(ISBLANK(input_wld_az1_host9_hostname),"",input_wld_az1_host9_hostname)</f>
        <v/>
      </c>
      <c r="E139" s="25" t="str">
        <f>CONCATENATE(prefix_wld_az1_cidr,"16.109")</f>
        <v>10.13.16.109</v>
      </c>
      <c r="F139" s="14"/>
      <c r="G139" s="454" t="s">
        <v>3779</v>
      </c>
      <c r="H139" s="455"/>
      <c r="I139" s="456"/>
    </row>
    <row r="140" spans="2:9" s="3" customFormat="1" ht="20" customHeight="1">
      <c r="B140" s="16"/>
      <c r="C140" s="25" t="str">
        <f>CONCATENATE(this_instance,"01-w0",wld_domain_number_chosen,"-r01-esx10")</f>
        <v>sfo01-w01-r01-esx10</v>
      </c>
      <c r="D140" s="23" t="str">
        <f>IF(ISBLANK(input_wld_az1_host10_hostname),"",input_wld_az1_host10_hostname)</f>
        <v/>
      </c>
      <c r="E140" s="25" t="str">
        <f>CONCATENATE(prefix_wld_az1_cidr,"16.110")</f>
        <v>10.13.16.110</v>
      </c>
      <c r="F140" s="14"/>
      <c r="G140" s="454" t="s">
        <v>3781</v>
      </c>
      <c r="H140" s="455"/>
      <c r="I140" s="456"/>
    </row>
    <row r="141" spans="2:9" s="3" customFormat="1" ht="20" customHeight="1">
      <c r="B141" s="16"/>
      <c r="C141" s="25" t="str">
        <f>CONCATENATE(this_instance,"01-w0",wld_domain_number_chosen,"-r01-esx11")</f>
        <v>sfo01-w01-r01-esx11</v>
      </c>
      <c r="D141" s="23" t="str">
        <f>IF(ISBLANK(input_wld_az1_host11_hostname),"",input_wld_az1_host11_hostname)</f>
        <v/>
      </c>
      <c r="E141" s="25" t="str">
        <f>CONCATENATE(prefix_wld_az1_cidr,"16.111")</f>
        <v>10.13.16.111</v>
      </c>
      <c r="F141" s="14"/>
      <c r="G141" s="454" t="s">
        <v>3783</v>
      </c>
      <c r="H141" s="455"/>
      <c r="I141" s="456"/>
    </row>
    <row r="142" spans="2:9" s="3" customFormat="1" ht="20" customHeight="1">
      <c r="B142" s="16"/>
      <c r="C142" s="25" t="str">
        <f>CONCATENATE(this_instance,"01-w0",wld_domain_number_chosen,"-r01-esx12")</f>
        <v>sfo01-w01-r01-esx12</v>
      </c>
      <c r="D142" s="23" t="str">
        <f>IF(ISBLANK(input_wld_az1_host12_hostname),"",input_wld_az1_host12_hostname)</f>
        <v/>
      </c>
      <c r="E142" s="25" t="str">
        <f>CONCATENATE(prefix_wld_az1_cidr,"16.112")</f>
        <v>10.13.16.112</v>
      </c>
      <c r="F142" s="14"/>
      <c r="G142" s="454" t="s">
        <v>3785</v>
      </c>
      <c r="H142" s="455"/>
      <c r="I142" s="456"/>
    </row>
    <row r="143" spans="2:9" s="3" customFormat="1" ht="20" customHeight="1">
      <c r="B143" s="16"/>
      <c r="C143" s="25" t="str">
        <f>CONCATENATE(this_instance,"01-w0",wld_domain_number_chosen,"-r01-esx13")</f>
        <v>sfo01-w01-r01-esx13</v>
      </c>
      <c r="D143" s="23" t="str">
        <f>IF(ISBLANK(input_wld_az1_host13_hostname),"",input_wld_az1_host13_hostname)</f>
        <v/>
      </c>
      <c r="E143" s="25" t="str">
        <f>CONCATENATE(prefix_wld_az1_cidr,"16.113")</f>
        <v>10.13.16.113</v>
      </c>
      <c r="F143" s="14"/>
      <c r="G143" s="454" t="s">
        <v>3787</v>
      </c>
      <c r="H143" s="455"/>
      <c r="I143" s="456"/>
    </row>
    <row r="144" spans="2:9" s="3" customFormat="1" ht="20" customHeight="1">
      <c r="B144" s="16"/>
      <c r="C144" s="25" t="str">
        <f>CONCATENATE(this_instance,"01-w0",wld_domain_number_chosen,"-r01-esx14")</f>
        <v>sfo01-w01-r01-esx14</v>
      </c>
      <c r="D144" s="23" t="str">
        <f>IF(ISBLANK(input_wld_az1_host14_hostname),"",input_wld_az1_host14_hostname)</f>
        <v/>
      </c>
      <c r="E144" s="25" t="str">
        <f>CONCATENATE(prefix_wld_az1_cidr,"16.114")</f>
        <v>10.13.16.114</v>
      </c>
      <c r="F144" s="14"/>
      <c r="G144" s="454" t="s">
        <v>3789</v>
      </c>
      <c r="H144" s="455"/>
      <c r="I144" s="456"/>
    </row>
    <row r="145" spans="2:11" s="3" customFormat="1" ht="20" customHeight="1">
      <c r="B145" s="16"/>
      <c r="C145" s="25" t="str">
        <f>CONCATENATE(this_instance,"01-w0",wld_domain_number_chosen,"-r01-esx15")</f>
        <v>sfo01-w01-r01-esx15</v>
      </c>
      <c r="D145" s="23" t="str">
        <f>IF(ISBLANK(input_wld_az1_host15_hostname),"",input_wld_az1_host15_hostname)</f>
        <v/>
      </c>
      <c r="E145" s="25" t="str">
        <f>CONCATENATE(prefix_wld_az1_cidr,"16.115")</f>
        <v>10.13.16.115</v>
      </c>
      <c r="F145" s="14"/>
      <c r="G145" s="454" t="s">
        <v>3791</v>
      </c>
      <c r="H145" s="455"/>
      <c r="I145" s="456"/>
    </row>
    <row r="146" spans="2:11" s="3" customFormat="1" ht="20" customHeight="1">
      <c r="B146" s="16"/>
      <c r="C146" s="25" t="str">
        <f>CONCATENATE(this_instance,"01-w0",wld_domain_number_chosen,"-r01-esx16")</f>
        <v>sfo01-w01-r01-esx16</v>
      </c>
      <c r="D146" s="23" t="str">
        <f>IF(ISBLANK(input_wld_az1_host16_hostname),"",input_wld_az1_host16_hostname)</f>
        <v/>
      </c>
      <c r="E146" s="25" t="str">
        <f>CONCATENATE(prefix_wld_az1_cidr,"16.116")</f>
        <v>10.13.16.116</v>
      </c>
      <c r="F146" s="14"/>
      <c r="G146" s="454" t="s">
        <v>3793</v>
      </c>
      <c r="H146" s="455"/>
      <c r="I146" s="456"/>
    </row>
    <row r="147" spans="2:11" ht="20" customHeight="1">
      <c r="B147" s="437" t="s">
        <v>4011</v>
      </c>
      <c r="C147" s="437"/>
      <c r="D147" s="459"/>
      <c r="E147" s="459"/>
      <c r="F147" s="459"/>
      <c r="G147" s="459"/>
      <c r="H147" s="459"/>
      <c r="I147" s="459"/>
    </row>
    <row r="148" spans="2:11" s="3" customFormat="1" ht="20" customHeight="1">
      <c r="B148" s="16"/>
      <c r="C148" s="25" t="str">
        <f>CONCATENATE(this_instance,"-w0",wld_domain_number_chosen,"-r01-en01")</f>
        <v>sfo-w01-r01-en01</v>
      </c>
      <c r="D148" s="14"/>
      <c r="E148" s="25" t="str">
        <f>IF(wld_dpg_separation_result="Included",CONCATENATE(prefix_wld_az1_cidr,"10.135"),CONCATENATE(prefix_wld_az1_cidr,"11.135"))</f>
        <v>10.13.11.135</v>
      </c>
      <c r="F148" s="14"/>
      <c r="G148" s="445" t="s">
        <v>657</v>
      </c>
      <c r="H148" s="445"/>
      <c r="I148" s="445"/>
      <c r="J148" s="5"/>
      <c r="K148" s="5"/>
    </row>
    <row r="149" spans="2:11" s="3" customFormat="1" ht="20" customHeight="1">
      <c r="B149" s="16"/>
      <c r="C149" s="25" t="s">
        <v>569</v>
      </c>
      <c r="D149" s="23" t="s">
        <v>569</v>
      </c>
      <c r="E149" s="25" t="str">
        <f>CONCATENATE(prefix_wld_az1_cidr,"17.2")</f>
        <v>10.13.17.2</v>
      </c>
      <c r="F149" s="14"/>
      <c r="G149" s="445" t="s">
        <v>658</v>
      </c>
      <c r="H149" s="445"/>
      <c r="I149" s="445"/>
      <c r="J149" s="5"/>
      <c r="K149" s="5"/>
    </row>
    <row r="150" spans="2:11" s="3" customFormat="1" ht="20" customHeight="1">
      <c r="B150" s="16"/>
      <c r="C150" s="25" t="s">
        <v>569</v>
      </c>
      <c r="D150" s="23" t="s">
        <v>569</v>
      </c>
      <c r="E150" s="25" t="str">
        <f>CONCATENATE(prefix_wld_az1_cidr,"18.2")</f>
        <v>10.13.18.2</v>
      </c>
      <c r="F150" s="14"/>
      <c r="G150" s="445" t="s">
        <v>659</v>
      </c>
      <c r="H150" s="445"/>
      <c r="I150" s="445"/>
      <c r="J150" s="5"/>
      <c r="K150" s="5"/>
    </row>
    <row r="151" spans="2:11" s="3" customFormat="1" ht="20" customHeight="1">
      <c r="B151" s="16"/>
      <c r="C151" s="25" t="s">
        <v>569</v>
      </c>
      <c r="D151" s="23" t="s">
        <v>569</v>
      </c>
      <c r="E151" s="25" t="str">
        <f>CONCATENATE(prefix_wld_az1_cidr,"19.2")</f>
        <v>10.13.19.2</v>
      </c>
      <c r="F151" s="14"/>
      <c r="G151" s="445" t="s">
        <v>660</v>
      </c>
      <c r="H151" s="445"/>
      <c r="I151" s="445"/>
      <c r="J151" s="5"/>
      <c r="K151" s="5"/>
    </row>
    <row r="152" spans="2:11" s="3" customFormat="1" ht="20" customHeight="1">
      <c r="B152" s="16"/>
      <c r="C152" s="25" t="s">
        <v>569</v>
      </c>
      <c r="D152" s="23" t="s">
        <v>569</v>
      </c>
      <c r="E152" s="25" t="str">
        <f>CONCATENATE(prefix_wld_az1_cidr,"19.3")</f>
        <v>10.13.19.3</v>
      </c>
      <c r="F152" s="14"/>
      <c r="G152" s="445" t="s">
        <v>661</v>
      </c>
      <c r="H152" s="445"/>
      <c r="I152" s="445"/>
      <c r="J152" s="5"/>
      <c r="K152" s="5"/>
    </row>
    <row r="153" spans="2:11" s="3" customFormat="1" ht="20" customHeight="1">
      <c r="B153" s="16"/>
      <c r="C153" s="25" t="str">
        <f>CONCATENATE(this_instance,"-w0",wld_domain_number_chosen,"-r01-en02")</f>
        <v>sfo-w01-r01-en02</v>
      </c>
      <c r="D153" s="14"/>
      <c r="E153" s="25" t="str">
        <f>IF(wld_dpg_separation_result="Included",CONCATENATE(prefix_wld_az1_cidr,"10.136"),CONCATENATE(prefix_wld_az1_cidr,"11.136"))</f>
        <v>10.13.11.136</v>
      </c>
      <c r="F153" s="14"/>
      <c r="G153" s="445" t="s">
        <v>662</v>
      </c>
      <c r="H153" s="445"/>
      <c r="I153" s="445"/>
      <c r="J153" s="5"/>
      <c r="K153" s="5"/>
    </row>
    <row r="154" spans="2:11" s="3" customFormat="1" ht="20" customHeight="1">
      <c r="B154" s="16"/>
      <c r="C154" s="25" t="s">
        <v>569</v>
      </c>
      <c r="D154" s="23" t="s">
        <v>569</v>
      </c>
      <c r="E154" s="25" t="str">
        <f>CONCATENATE(prefix_wld_az1_cidr,"17.3")</f>
        <v>10.13.17.3</v>
      </c>
      <c r="F154" s="14"/>
      <c r="G154" s="445" t="s">
        <v>663</v>
      </c>
      <c r="H154" s="445"/>
      <c r="I154" s="445"/>
    </row>
    <row r="155" spans="2:11" s="4" customFormat="1" ht="20" customHeight="1">
      <c r="B155" s="16"/>
      <c r="C155" s="25" t="s">
        <v>569</v>
      </c>
      <c r="D155" s="23" t="s">
        <v>569</v>
      </c>
      <c r="E155" s="25" t="str">
        <f>CONCATENATE(prefix_wld_az1_cidr,"18.3")</f>
        <v>10.13.18.3</v>
      </c>
      <c r="F155" s="14"/>
      <c r="G155" s="445" t="s">
        <v>664</v>
      </c>
      <c r="H155" s="445"/>
      <c r="I155" s="445"/>
    </row>
    <row r="156" spans="2:11" s="3" customFormat="1" ht="20" customHeight="1">
      <c r="B156" s="16"/>
      <c r="C156" s="25" t="s">
        <v>569</v>
      </c>
      <c r="D156" s="23" t="s">
        <v>569</v>
      </c>
      <c r="E156" s="25" t="str">
        <f>CONCATENATE(prefix_wld_az1_cidr,"19.4")</f>
        <v>10.13.19.4</v>
      </c>
      <c r="F156" s="14"/>
      <c r="G156" s="445" t="s">
        <v>665</v>
      </c>
      <c r="H156" s="445"/>
      <c r="I156" s="445"/>
    </row>
    <row r="157" spans="2:11" s="3" customFormat="1" ht="20" customHeight="1">
      <c r="B157" s="16"/>
      <c r="C157" s="25" t="s">
        <v>569</v>
      </c>
      <c r="D157" s="23" t="s">
        <v>569</v>
      </c>
      <c r="E157" s="25" t="str">
        <f>CONCATENATE(prefix_wld_az1_cidr,"19.5")</f>
        <v>10.13.19.5</v>
      </c>
      <c r="F157" s="14"/>
      <c r="G157" s="445" t="s">
        <v>666</v>
      </c>
      <c r="H157" s="445"/>
      <c r="I157" s="445"/>
    </row>
    <row r="158" spans="2:11" s="3" customFormat="1" ht="20" customHeight="1">
      <c r="B158" s="425" t="s">
        <v>667</v>
      </c>
      <c r="C158" s="425"/>
      <c r="D158" s="425"/>
      <c r="E158" s="425"/>
      <c r="F158" s="425"/>
      <c r="G158" s="425"/>
      <c r="H158" s="425"/>
      <c r="I158" s="425"/>
    </row>
    <row r="159" spans="2:11" s="3" customFormat="1" ht="20" customHeight="1">
      <c r="B159" s="8" t="s">
        <v>668</v>
      </c>
      <c r="C159" s="345"/>
      <c r="D159" s="345"/>
      <c r="E159" s="8" t="s">
        <v>669</v>
      </c>
      <c r="F159" s="20" t="s">
        <v>632</v>
      </c>
      <c r="G159" s="345" t="s">
        <v>222</v>
      </c>
      <c r="H159" s="345"/>
      <c r="I159" s="345"/>
    </row>
    <row r="160" spans="2:11" s="3" customFormat="1" ht="20" customHeight="1">
      <c r="B160" s="26" t="s">
        <v>670</v>
      </c>
      <c r="C160" s="441"/>
      <c r="D160" s="441"/>
      <c r="E160" s="22" t="str">
        <f>CONCATENATE(prefix_wld_az1_cidr,"12.101")</f>
        <v>10.13.12.101</v>
      </c>
      <c r="F160" s="14"/>
      <c r="G160" s="445" t="s">
        <v>671</v>
      </c>
      <c r="H160" s="445"/>
      <c r="I160" s="445"/>
    </row>
    <row r="161" spans="2:9" s="3" customFormat="1" ht="20" customHeight="1">
      <c r="B161" s="26" t="s">
        <v>672</v>
      </c>
      <c r="C161" s="441"/>
      <c r="D161" s="441"/>
      <c r="E161" s="22" t="str">
        <f>CONCATENATE(prefix_wld_az1_cidr,"12.116")</f>
        <v>10.13.12.116</v>
      </c>
      <c r="F161" s="14"/>
      <c r="G161" s="445" t="s">
        <v>673</v>
      </c>
      <c r="H161" s="445"/>
      <c r="I161" s="445"/>
    </row>
    <row r="162" spans="2:9" s="3" customFormat="1" ht="20" customHeight="1">
      <c r="B162" s="21" t="str">
        <f>_xlfn.CONCAT(wld_principal_storage_chosen," Pool: Start IP")</f>
        <v>vSAN-ESA Pool: Start IP</v>
      </c>
      <c r="C162" s="441"/>
      <c r="D162" s="441"/>
      <c r="E162" s="22" t="str">
        <f>CONCATENATE(prefix_wld_az1_cidr,"13.101")</f>
        <v>10.13.13.101</v>
      </c>
      <c r="F162" s="14"/>
      <c r="G162" s="445" t="str">
        <f>_xlfn.CONCAT("Start IP of the ",wld_principal_storage_chosen, " Network Pool Range")</f>
        <v>Start IP of the vSAN-ESA Network Pool Range</v>
      </c>
      <c r="H162" s="445"/>
      <c r="I162" s="445"/>
    </row>
    <row r="163" spans="2:9" s="3" customFormat="1" ht="20" customHeight="1">
      <c r="B163" s="21" t="str">
        <f>_xlfn.CONCAT(wld_principal_storage_chosen," Pool: End IP")</f>
        <v>vSAN-ESA Pool: End IP</v>
      </c>
      <c r="C163" s="441"/>
      <c r="D163" s="441"/>
      <c r="E163" s="22" t="str">
        <f>CONCATENATE(prefix_wld_az1_cidr,"13.116")</f>
        <v>10.13.13.116</v>
      </c>
      <c r="F163" s="14"/>
      <c r="G163" s="445" t="str">
        <f>_xlfn.CONCAT("End IP of the ",wld_principal_storage_chosen, " Network Pool Range")</f>
        <v>End IP of the vSAN-ESA Network Pool Range</v>
      </c>
      <c r="H163" s="445"/>
      <c r="I163" s="445"/>
    </row>
    <row r="164" spans="2:9" s="3" customFormat="1" ht="20" customHeight="1">
      <c r="B164" s="21" t="s">
        <v>677</v>
      </c>
      <c r="C164" s="441"/>
      <c r="D164" s="441"/>
      <c r="E164" s="22" t="str">
        <f>CONCATENATE(prefix_wld_az1_cidr,"14.101")</f>
        <v>10.13.14.101</v>
      </c>
      <c r="F164" s="14"/>
      <c r="G164" s="445" t="s">
        <v>678</v>
      </c>
      <c r="H164" s="445"/>
      <c r="I164" s="445"/>
    </row>
    <row r="165" spans="2:9" s="3" customFormat="1" ht="20" customHeight="1">
      <c r="B165" s="21" t="s">
        <v>679</v>
      </c>
      <c r="C165" s="441"/>
      <c r="D165" s="441"/>
      <c r="E165" s="22" t="str">
        <f>CONCATENATE(prefix_wld_az1_cidr,"14.132")</f>
        <v>10.13.14.132</v>
      </c>
      <c r="F165" s="14"/>
      <c r="G165" s="445" t="s">
        <v>680</v>
      </c>
      <c r="H165" s="445"/>
      <c r="I165" s="445"/>
    </row>
    <row r="166" spans="2:9" s="3" customFormat="1" ht="20" customHeight="1">
      <c r="B166" s="21" t="s">
        <v>691</v>
      </c>
      <c r="C166" s="442"/>
      <c r="D166" s="451"/>
      <c r="E166" s="22" t="str">
        <f>CONCATENATE(prefix_wld_az1_cidr,"15.101")</f>
        <v>10.13.15.101</v>
      </c>
      <c r="F166" s="14"/>
      <c r="G166" s="454" t="s">
        <v>692</v>
      </c>
      <c r="H166" s="455"/>
      <c r="I166" s="456"/>
    </row>
    <row r="167" spans="2:9" s="3" customFormat="1" ht="20" customHeight="1">
      <c r="B167" s="21" t="s">
        <v>693</v>
      </c>
      <c r="C167" s="442"/>
      <c r="D167" s="451"/>
      <c r="E167" s="22" t="str">
        <f>CONCATENATE(prefix_wld_az1_cidr,"15.116")</f>
        <v>10.13.15.116</v>
      </c>
      <c r="F167" s="14"/>
      <c r="G167" s="454" t="s">
        <v>694</v>
      </c>
      <c r="H167" s="455"/>
      <c r="I167" s="456"/>
    </row>
    <row r="168" spans="2:9" s="3" customFormat="1" ht="20" customHeight="1">
      <c r="B168" s="21" t="s">
        <v>4227</v>
      </c>
      <c r="C168" s="442"/>
      <c r="D168" s="451"/>
      <c r="E168" s="22" t="str">
        <f>CONCATENATE(prefix_wld_az1_cidr,"19.2")</f>
        <v>10.13.19.2</v>
      </c>
      <c r="F168" s="14"/>
      <c r="G168" s="454" t="s">
        <v>4229</v>
      </c>
      <c r="H168" s="455"/>
      <c r="I168" s="456"/>
    </row>
    <row r="169" spans="2:9" s="3" customFormat="1" ht="20" customHeight="1">
      <c r="B169" s="21" t="s">
        <v>4228</v>
      </c>
      <c r="C169" s="442"/>
      <c r="D169" s="451"/>
      <c r="E169" s="22" t="str">
        <f>CONCATENATE(prefix_wld_az1_cidr,"19.5")</f>
        <v>10.13.19.5</v>
      </c>
      <c r="F169" s="14"/>
      <c r="G169" s="454" t="s">
        <v>4230</v>
      </c>
      <c r="H169" s="455"/>
      <c r="I169" s="456"/>
    </row>
    <row r="170" spans="2:9" s="3" customFormat="1" ht="20" customHeight="1">
      <c r="B170" s="21" t="s">
        <v>681</v>
      </c>
      <c r="C170" s="441"/>
      <c r="D170" s="441"/>
      <c r="E170" s="22" t="str">
        <f>CONCATENATE(prefix_wld_az1_cidr,"20.101")</f>
        <v>10.13.20.101</v>
      </c>
      <c r="F170" s="14"/>
      <c r="G170" s="441" t="s">
        <v>682</v>
      </c>
      <c r="H170" s="441"/>
      <c r="I170" s="441"/>
    </row>
    <row r="171" spans="2:9" s="3" customFormat="1" ht="20" customHeight="1">
      <c r="B171" s="21" t="s">
        <v>683</v>
      </c>
      <c r="C171" s="441"/>
      <c r="D171" s="441"/>
      <c r="E171" s="22" t="str">
        <f>IF(wld_stretched_cluster_result="Excluded",CONCATENATE(prefix_wld_az1_cidr,"20.116"),CONCATENATE(prefix_wld_az1_cidr,"20.132"))</f>
        <v>10.13.20.116</v>
      </c>
      <c r="F171" s="14"/>
      <c r="G171" s="441" t="s">
        <v>684</v>
      </c>
      <c r="H171" s="441"/>
      <c r="I171" s="441"/>
    </row>
    <row r="172" spans="2:9" s="3" customFormat="1" ht="16" customHeight="1">
      <c r="B172" s="5"/>
      <c r="C172" s="5"/>
      <c r="D172" s="5"/>
      <c r="E172" s="5"/>
      <c r="F172" s="5"/>
      <c r="G172" s="5"/>
      <c r="H172" s="5"/>
      <c r="I172" s="5"/>
    </row>
    <row r="173" spans="2:9" s="3" customFormat="1" ht="34" customHeight="1">
      <c r="B173" s="344" t="s">
        <v>4006</v>
      </c>
      <c r="C173" s="344"/>
      <c r="D173" s="344"/>
      <c r="E173" s="344"/>
      <c r="F173" s="344"/>
      <c r="G173" s="344"/>
      <c r="H173" s="344"/>
      <c r="I173" s="344"/>
    </row>
    <row r="174" spans="2:9" ht="20" customHeight="1">
      <c r="B174" s="437" t="s">
        <v>4009</v>
      </c>
      <c r="C174" s="437"/>
      <c r="D174" s="459"/>
      <c r="E174" s="459"/>
      <c r="F174" s="459"/>
      <c r="G174" s="459"/>
      <c r="H174" s="459"/>
      <c r="I174" s="459"/>
    </row>
    <row r="175" spans="2:9" s="3" customFormat="1" ht="20" customHeight="1">
      <c r="B175" s="8" t="s">
        <v>583</v>
      </c>
      <c r="C175" s="8" t="s">
        <v>629</v>
      </c>
      <c r="D175" s="20" t="s">
        <v>630</v>
      </c>
      <c r="E175" s="8" t="s">
        <v>631</v>
      </c>
      <c r="F175" s="20" t="s">
        <v>632</v>
      </c>
      <c r="G175" s="345" t="s">
        <v>222</v>
      </c>
      <c r="H175" s="345"/>
      <c r="I175" s="345"/>
    </row>
    <row r="176" spans="2:9" s="3" customFormat="1" ht="20" customHeight="1">
      <c r="B176" s="26" t="s">
        <v>639</v>
      </c>
      <c r="C176" s="25" t="str">
        <f>CONCATENATE(this_instance,"02-w0",wld_domain_number_chosen,"-r01-esx01")</f>
        <v>sfo02-w01-r01-esx01</v>
      </c>
      <c r="D176" s="14"/>
      <c r="E176" s="25" t="str">
        <f>CONCATENATE(prefix_wld_az2_cidr,"11.101")</f>
        <v>10.14.11.101</v>
      </c>
      <c r="F176" s="14"/>
      <c r="G176" s="454" t="s">
        <v>640</v>
      </c>
      <c r="H176" s="455"/>
      <c r="I176" s="456"/>
    </row>
    <row r="177" spans="2:9" s="3" customFormat="1" ht="20" customHeight="1">
      <c r="B177" s="16"/>
      <c r="C177" s="25" t="str">
        <f>CONCATENATE(this_instance,"02-w0",wld_domain_number_chosen,"-r01-esx02")</f>
        <v>sfo02-w01-r01-esx02</v>
      </c>
      <c r="D177" s="14"/>
      <c r="E177" s="25" t="str">
        <f>CONCATENATE(prefix_wld_az2_cidr,"11.102")</f>
        <v>10.14.11.102</v>
      </c>
      <c r="F177" s="14"/>
      <c r="G177" s="454" t="s">
        <v>642</v>
      </c>
      <c r="H177" s="455"/>
      <c r="I177" s="456"/>
    </row>
    <row r="178" spans="2:9" s="3" customFormat="1" ht="20" customHeight="1">
      <c r="B178" s="16"/>
      <c r="C178" s="25" t="str">
        <f>CONCATENATE(this_instance,"02-w0",wld_domain_number_chosen,"-r01-esx03")</f>
        <v>sfo02-w01-r01-esx03</v>
      </c>
      <c r="D178" s="14"/>
      <c r="E178" s="25" t="str">
        <f>CONCATENATE(prefix_wld_az2_cidr,"11.103")</f>
        <v>10.14.11.103</v>
      </c>
      <c r="F178" s="14"/>
      <c r="G178" s="454" t="s">
        <v>644</v>
      </c>
      <c r="H178" s="455"/>
      <c r="I178" s="456"/>
    </row>
    <row r="179" spans="2:9" s="3" customFormat="1" ht="20" customHeight="1">
      <c r="B179" s="16"/>
      <c r="C179" s="25" t="str">
        <f>CONCATENATE(this_instance,"02-w0",wld_domain_number_chosen,"-r01-esx04")</f>
        <v>sfo02-w01-r01-esx04</v>
      </c>
      <c r="D179" s="14"/>
      <c r="E179" s="25" t="str">
        <f>CONCATENATE(prefix_wld_az2_cidr,"11.104")</f>
        <v>10.14.11.104</v>
      </c>
      <c r="F179" s="14"/>
      <c r="G179" s="454" t="s">
        <v>646</v>
      </c>
      <c r="H179" s="455"/>
      <c r="I179" s="456"/>
    </row>
    <row r="180" spans="2:9" s="3" customFormat="1" ht="20" customHeight="1">
      <c r="B180" s="16"/>
      <c r="C180" s="25" t="str">
        <f>CONCATENATE(this_instance,"02-w0",wld_domain_number_chosen,"-r01-esx05")</f>
        <v>sfo02-w01-r01-esx05</v>
      </c>
      <c r="D180" s="14"/>
      <c r="E180" s="25" t="str">
        <f>CONCATENATE(prefix_wld_az2_cidr,"11.105")</f>
        <v>10.14.11.105</v>
      </c>
      <c r="F180" s="14"/>
      <c r="G180" s="454" t="s">
        <v>3770</v>
      </c>
      <c r="H180" s="455"/>
      <c r="I180" s="456"/>
    </row>
    <row r="181" spans="2:9" s="3" customFormat="1" ht="20" customHeight="1">
      <c r="B181" s="16"/>
      <c r="C181" s="25" t="str">
        <f>CONCATENATE(this_instance,"02-w0",wld_domain_number_chosen,"-r01-esx06")</f>
        <v>sfo02-w01-r01-esx06</v>
      </c>
      <c r="D181" s="14"/>
      <c r="E181" s="25" t="str">
        <f>CONCATENATE(prefix_wld_az2_cidr,"11.106")</f>
        <v>10.14.11.106</v>
      </c>
      <c r="F181" s="14"/>
      <c r="G181" s="454" t="s">
        <v>3772</v>
      </c>
      <c r="H181" s="455"/>
      <c r="I181" s="456"/>
    </row>
    <row r="182" spans="2:9" s="3" customFormat="1" ht="20" customHeight="1">
      <c r="B182" s="16"/>
      <c r="C182" s="25" t="str">
        <f>CONCATENATE(this_instance,"02-w0",wld_domain_number_chosen,"-r01-esx07")</f>
        <v>sfo02-w01-r01-esx07</v>
      </c>
      <c r="D182" s="14"/>
      <c r="E182" s="25" t="str">
        <f>CONCATENATE(prefix_wld_az2_cidr,"11.107")</f>
        <v>10.14.11.107</v>
      </c>
      <c r="F182" s="14"/>
      <c r="G182" s="454" t="s">
        <v>3774</v>
      </c>
      <c r="H182" s="455"/>
      <c r="I182" s="456"/>
    </row>
    <row r="183" spans="2:9" s="3" customFormat="1" ht="20" customHeight="1">
      <c r="B183" s="16"/>
      <c r="C183" s="25" t="str">
        <f>CONCATENATE(this_instance,"02-w0",wld_domain_number_chosen,"-r01-esx08")</f>
        <v>sfo02-w01-r01-esx08</v>
      </c>
      <c r="D183" s="14"/>
      <c r="E183" s="25" t="str">
        <f>CONCATENATE(prefix_wld_az2_cidr,"11.108")</f>
        <v>10.14.11.108</v>
      </c>
      <c r="F183" s="14"/>
      <c r="G183" s="454" t="s">
        <v>3776</v>
      </c>
      <c r="H183" s="455"/>
      <c r="I183" s="456"/>
    </row>
    <row r="184" spans="2:9" s="3" customFormat="1" ht="20" customHeight="1">
      <c r="B184" s="16"/>
      <c r="C184" s="25" t="str">
        <f>CONCATENATE(this_instance,"02-w0",wld_domain_number_chosen,"-r01-esx09")</f>
        <v>sfo02-w01-r01-esx09</v>
      </c>
      <c r="D184" s="14"/>
      <c r="E184" s="25" t="str">
        <f>CONCATENATE(prefix_wld_az2_cidr,"11.109")</f>
        <v>10.14.11.109</v>
      </c>
      <c r="F184" s="14"/>
      <c r="G184" s="454" t="s">
        <v>3778</v>
      </c>
      <c r="H184" s="455"/>
      <c r="I184" s="456"/>
    </row>
    <row r="185" spans="2:9" s="3" customFormat="1" ht="20" customHeight="1">
      <c r="B185" s="16"/>
      <c r="C185" s="25" t="str">
        <f>CONCATENATE(this_instance,"02-w0",wld_domain_number_chosen,"-r01-esx10")</f>
        <v>sfo02-w01-r01-esx10</v>
      </c>
      <c r="D185" s="14"/>
      <c r="E185" s="25" t="str">
        <f>CONCATENATE(prefix_wld_az2_cidr,"11.110")</f>
        <v>10.14.11.110</v>
      </c>
      <c r="F185" s="14"/>
      <c r="G185" s="454" t="s">
        <v>3780</v>
      </c>
      <c r="H185" s="455"/>
      <c r="I185" s="456"/>
    </row>
    <row r="186" spans="2:9" s="3" customFormat="1" ht="20" customHeight="1">
      <c r="B186" s="16"/>
      <c r="C186" s="25" t="str">
        <f>CONCATENATE(this_instance,"02-w0",wld_domain_number_chosen,"-r01-esx11")</f>
        <v>sfo02-w01-r01-esx11</v>
      </c>
      <c r="D186" s="14"/>
      <c r="E186" s="25" t="str">
        <f>CONCATENATE(prefix_wld_az2_cidr,"11.111")</f>
        <v>10.14.11.111</v>
      </c>
      <c r="F186" s="14"/>
      <c r="G186" s="454" t="s">
        <v>3782</v>
      </c>
      <c r="H186" s="455"/>
      <c r="I186" s="456"/>
    </row>
    <row r="187" spans="2:9" s="3" customFormat="1" ht="20" customHeight="1">
      <c r="B187" s="16"/>
      <c r="C187" s="25" t="str">
        <f>CONCATENATE(this_instance,"02-w0",wld_domain_number_chosen,"-r01-esx12")</f>
        <v>sfo02-w01-r01-esx12</v>
      </c>
      <c r="D187" s="14"/>
      <c r="E187" s="25" t="str">
        <f>CONCATENATE(prefix_wld_az2_cidr,"11.112")</f>
        <v>10.14.11.112</v>
      </c>
      <c r="F187" s="14"/>
      <c r="G187" s="454" t="s">
        <v>3784</v>
      </c>
      <c r="H187" s="455"/>
      <c r="I187" s="456"/>
    </row>
    <row r="188" spans="2:9" s="3" customFormat="1" ht="20" customHeight="1">
      <c r="B188" s="16"/>
      <c r="C188" s="25" t="str">
        <f>CONCATENATE(this_instance,"02-w0",wld_domain_number_chosen,"-r01-esx13")</f>
        <v>sfo02-w01-r01-esx13</v>
      </c>
      <c r="D188" s="14"/>
      <c r="E188" s="25" t="str">
        <f>CONCATENATE(prefix_wld_az2_cidr,"11.113")</f>
        <v>10.14.11.113</v>
      </c>
      <c r="F188" s="14"/>
      <c r="G188" s="454" t="s">
        <v>3786</v>
      </c>
      <c r="H188" s="455"/>
      <c r="I188" s="456"/>
    </row>
    <row r="189" spans="2:9" s="3" customFormat="1" ht="20" customHeight="1">
      <c r="B189" s="16"/>
      <c r="C189" s="25" t="str">
        <f>CONCATENATE(this_instance,"02-w0",wld_domain_number_chosen,"-r01-esx14")</f>
        <v>sfo02-w01-r01-esx14</v>
      </c>
      <c r="D189" s="14"/>
      <c r="E189" s="25" t="str">
        <f>CONCATENATE(prefix_wld_az2_cidr,"11.114")</f>
        <v>10.14.11.114</v>
      </c>
      <c r="F189" s="14"/>
      <c r="G189" s="454" t="s">
        <v>3788</v>
      </c>
      <c r="H189" s="455"/>
      <c r="I189" s="456"/>
    </row>
    <row r="190" spans="2:9" s="3" customFormat="1" ht="20" customHeight="1">
      <c r="B190" s="16"/>
      <c r="C190" s="25" t="str">
        <f>CONCATENATE(this_instance,"02-w0",wld_domain_number_chosen,"-r01-esx15")</f>
        <v>sfo02-w01-r01-esx15</v>
      </c>
      <c r="D190" s="14"/>
      <c r="E190" s="25" t="str">
        <f>CONCATENATE(prefix_wld_az2_cidr,"11.115")</f>
        <v>10.14.11.115</v>
      </c>
      <c r="F190" s="14"/>
      <c r="G190" s="454" t="s">
        <v>3790</v>
      </c>
      <c r="H190" s="455"/>
      <c r="I190" s="456"/>
    </row>
    <row r="191" spans="2:9" s="3" customFormat="1" ht="20" customHeight="1">
      <c r="B191" s="16"/>
      <c r="C191" s="25" t="str">
        <f>CONCATENATE(this_instance,"02-w0",wld_domain_number_chosen,"-r01-esx16")</f>
        <v>sfo02-w01-r01-esx16</v>
      </c>
      <c r="D191" s="14"/>
      <c r="E191" s="25" t="str">
        <f>CONCATENATE(prefix_wld_az2_cidr,"11.116")</f>
        <v>10.14.11.116</v>
      </c>
      <c r="F191" s="14"/>
      <c r="G191" s="454" t="s">
        <v>3792</v>
      </c>
      <c r="H191" s="455"/>
      <c r="I191" s="456"/>
    </row>
    <row r="192" spans="2:9" ht="20" customHeight="1">
      <c r="B192" s="437" t="s">
        <v>4010</v>
      </c>
      <c r="C192" s="437"/>
      <c r="D192" s="459"/>
      <c r="E192" s="459"/>
      <c r="F192" s="459"/>
      <c r="G192" s="459"/>
      <c r="H192" s="459"/>
      <c r="I192" s="459"/>
    </row>
    <row r="193" spans="2:9" s="3" customFormat="1" ht="20" customHeight="1">
      <c r="B193" s="26"/>
      <c r="C193" s="25" t="str">
        <f>CONCATENATE(this_instance,"02-w0",wld_domain_number_chosen,"-r01-esx01")</f>
        <v>sfo02-w01-r01-esx01</v>
      </c>
      <c r="D193" s="23" t="str">
        <f>IF(ISBLANK(input_wld_az2_host1_hostname),"",input_wld_az2_host1_hostname)</f>
        <v/>
      </c>
      <c r="E193" s="25" t="str">
        <f>CONCATENATE(prefix_wld_az2_cidr,"16.101")</f>
        <v>10.14.16.101</v>
      </c>
      <c r="F193" s="14"/>
      <c r="G193" s="454" t="s">
        <v>641</v>
      </c>
      <c r="H193" s="455"/>
      <c r="I193" s="456"/>
    </row>
    <row r="194" spans="2:9" s="3" customFormat="1" ht="20" customHeight="1">
      <c r="B194" s="16"/>
      <c r="C194" s="25" t="str">
        <f>CONCATENATE(this_instance,"02-w0",wld_domain_number_chosen,"-r01-esx02")</f>
        <v>sfo02-w01-r01-esx02</v>
      </c>
      <c r="D194" s="23" t="str">
        <f>IF(ISBLANK(input_wld_az2_host2_hostname),"",input_wld_az2_host2_hostname)</f>
        <v/>
      </c>
      <c r="E194" s="25" t="str">
        <f>CONCATENATE(prefix_wld_az2_cidr,"16.102")</f>
        <v>10.14.16.102</v>
      </c>
      <c r="F194" s="14"/>
      <c r="G194" s="454" t="s">
        <v>643</v>
      </c>
      <c r="H194" s="455"/>
      <c r="I194" s="456"/>
    </row>
    <row r="195" spans="2:9" s="3" customFormat="1" ht="20" customHeight="1">
      <c r="B195" s="16"/>
      <c r="C195" s="25" t="str">
        <f>CONCATENATE(this_instance,"02-w0",wld_domain_number_chosen,"-r01-esx03")</f>
        <v>sfo02-w01-r01-esx03</v>
      </c>
      <c r="D195" s="23" t="str">
        <f>IF(ISBLANK(input_wld_az2_host3_hostname),"",input_wld_az2_host3_hostname)</f>
        <v/>
      </c>
      <c r="E195" s="25" t="str">
        <f>CONCATENATE(prefix_wld_az2_cidr,"16.103")</f>
        <v>10.14.16.103</v>
      </c>
      <c r="F195" s="14"/>
      <c r="G195" s="454" t="s">
        <v>645</v>
      </c>
      <c r="H195" s="455"/>
      <c r="I195" s="456"/>
    </row>
    <row r="196" spans="2:9" s="3" customFormat="1" ht="20" customHeight="1">
      <c r="B196" s="16"/>
      <c r="C196" s="25" t="str">
        <f>CONCATENATE(this_instance,"02-w0",wld_domain_number_chosen,"-r01-esx04")</f>
        <v>sfo02-w01-r01-esx04</v>
      </c>
      <c r="D196" s="23" t="str">
        <f>IF(ISBLANK(input_wld_az2_host4_hostname),"",input_wld_az2_host4_hostname)</f>
        <v/>
      </c>
      <c r="E196" s="25" t="str">
        <f>CONCATENATE(prefix_wld_az2_cidr,"16.104")</f>
        <v>10.14.16.104</v>
      </c>
      <c r="F196" s="14"/>
      <c r="G196" s="454" t="s">
        <v>647</v>
      </c>
      <c r="H196" s="455"/>
      <c r="I196" s="456"/>
    </row>
    <row r="197" spans="2:9" s="3" customFormat="1" ht="20" customHeight="1">
      <c r="B197" s="16"/>
      <c r="C197" s="25" t="str">
        <f>CONCATENATE(this_instance,"02-w0",wld_domain_number_chosen,"-r01-esx05")</f>
        <v>sfo02-w01-r01-esx05</v>
      </c>
      <c r="D197" s="23" t="str">
        <f>IF(ISBLANK(input_wld_az2_host5_hostname),"",input_wld_az2_host5_hostname)</f>
        <v/>
      </c>
      <c r="E197" s="25" t="str">
        <f>CONCATENATE(prefix_wld_az2_cidr,"16.105")</f>
        <v>10.14.16.105</v>
      </c>
      <c r="F197" s="14"/>
      <c r="G197" s="454" t="s">
        <v>3771</v>
      </c>
      <c r="H197" s="455"/>
      <c r="I197" s="456"/>
    </row>
    <row r="198" spans="2:9" s="3" customFormat="1" ht="20" customHeight="1">
      <c r="B198" s="16"/>
      <c r="C198" s="25" t="str">
        <f>CONCATENATE(this_instance,"02-w0",wld_domain_number_chosen,"-r01-esx06")</f>
        <v>sfo02-w01-r01-esx06</v>
      </c>
      <c r="D198" s="23" t="str">
        <f>IF(ISBLANK(input_wld_az2_host6_hostname),"",input_wld_az2_host6_hostname)</f>
        <v/>
      </c>
      <c r="E198" s="25" t="str">
        <f>CONCATENATE(prefix_wld_az2_cidr,"16.106")</f>
        <v>10.14.16.106</v>
      </c>
      <c r="F198" s="14"/>
      <c r="G198" s="454" t="s">
        <v>3773</v>
      </c>
      <c r="H198" s="455"/>
      <c r="I198" s="456"/>
    </row>
    <row r="199" spans="2:9" s="3" customFormat="1" ht="20" customHeight="1">
      <c r="B199" s="16"/>
      <c r="C199" s="25" t="str">
        <f>CONCATENATE(this_instance,"02-w0",wld_domain_number_chosen,"-r01-esx07")</f>
        <v>sfo02-w01-r01-esx07</v>
      </c>
      <c r="D199" s="23" t="str">
        <f>IF(ISBLANK(input_wld_az2_host7_hostname),"",input_wld_az2_host7_hostname)</f>
        <v/>
      </c>
      <c r="E199" s="25" t="str">
        <f>CONCATENATE(prefix_wld_az2_cidr,"16.107")</f>
        <v>10.14.16.107</v>
      </c>
      <c r="F199" s="14"/>
      <c r="G199" s="454" t="s">
        <v>3775</v>
      </c>
      <c r="H199" s="455"/>
      <c r="I199" s="456"/>
    </row>
    <row r="200" spans="2:9" s="3" customFormat="1" ht="20" customHeight="1">
      <c r="B200" s="16"/>
      <c r="C200" s="25" t="str">
        <f>CONCATENATE(this_instance,"02-w0",wld_domain_number_chosen,"-r01-esx08")</f>
        <v>sfo02-w01-r01-esx08</v>
      </c>
      <c r="D200" s="23" t="str">
        <f>IF(ISBLANK(input_wld_az2_host8_hostname),"",input_wld_az2_host8_hostname)</f>
        <v/>
      </c>
      <c r="E200" s="25" t="str">
        <f>CONCATENATE(prefix_wld_az2_cidr,"16.108")</f>
        <v>10.14.16.108</v>
      </c>
      <c r="F200" s="14"/>
      <c r="G200" s="454" t="s">
        <v>3777</v>
      </c>
      <c r="H200" s="455"/>
      <c r="I200" s="456"/>
    </row>
    <row r="201" spans="2:9" s="3" customFormat="1" ht="20" customHeight="1">
      <c r="B201" s="16"/>
      <c r="C201" s="25" t="str">
        <f>CONCATENATE(this_instance,"02-w0",wld_domain_number_chosen,"-r01-esx09")</f>
        <v>sfo02-w01-r01-esx09</v>
      </c>
      <c r="D201" s="23" t="str">
        <f>IF(ISBLANK(input_wld_az2_host9_hostname),"",input_wld_az2_host9_hostname)</f>
        <v/>
      </c>
      <c r="E201" s="25" t="str">
        <f>CONCATENATE(prefix_wld_az2_cidr,"16.109")</f>
        <v>10.14.16.109</v>
      </c>
      <c r="F201" s="14"/>
      <c r="G201" s="454" t="s">
        <v>3779</v>
      </c>
      <c r="H201" s="455"/>
      <c r="I201" s="456"/>
    </row>
    <row r="202" spans="2:9" s="3" customFormat="1" ht="20" customHeight="1">
      <c r="B202" s="16"/>
      <c r="C202" s="25" t="str">
        <f>CONCATENATE(this_instance,"02-w0",wld_domain_number_chosen,"-r01-esx10")</f>
        <v>sfo02-w01-r01-esx10</v>
      </c>
      <c r="D202" s="23" t="str">
        <f>IF(ISBLANK(input_wld_az2_host10_hostname),"",input_wld_az2_host10_hostname)</f>
        <v/>
      </c>
      <c r="E202" s="25" t="str">
        <f>CONCATENATE(prefix_wld_az2_cidr,"16.110")</f>
        <v>10.14.16.110</v>
      </c>
      <c r="F202" s="14"/>
      <c r="G202" s="454" t="s">
        <v>3781</v>
      </c>
      <c r="H202" s="455"/>
      <c r="I202" s="456"/>
    </row>
    <row r="203" spans="2:9" s="3" customFormat="1" ht="20" customHeight="1">
      <c r="B203" s="16"/>
      <c r="C203" s="25" t="str">
        <f>CONCATENATE(this_instance,"02-w0",wld_domain_number_chosen,"-r01-esx11")</f>
        <v>sfo02-w01-r01-esx11</v>
      </c>
      <c r="D203" s="23" t="str">
        <f>IF(ISBLANK(input_wld_az2_host11_hostname),"",input_wld_az2_host11_hostname)</f>
        <v/>
      </c>
      <c r="E203" s="25" t="str">
        <f>CONCATENATE(prefix_wld_az2_cidr,"16.111")</f>
        <v>10.14.16.111</v>
      </c>
      <c r="F203" s="14"/>
      <c r="G203" s="454" t="s">
        <v>3783</v>
      </c>
      <c r="H203" s="455"/>
      <c r="I203" s="456"/>
    </row>
    <row r="204" spans="2:9" s="3" customFormat="1" ht="20" customHeight="1">
      <c r="B204" s="16"/>
      <c r="C204" s="25" t="str">
        <f>CONCATENATE(this_instance,"02-w0",wld_domain_number_chosen,"-r01-esx12")</f>
        <v>sfo02-w01-r01-esx12</v>
      </c>
      <c r="D204" s="23" t="str">
        <f>IF(ISBLANK(input_wld_az2_host12_hostname),"",input_wld_az2_host12_hostname)</f>
        <v/>
      </c>
      <c r="E204" s="25" t="str">
        <f>CONCATENATE(prefix_wld_az2_cidr,"16.112")</f>
        <v>10.14.16.112</v>
      </c>
      <c r="F204" s="14"/>
      <c r="G204" s="454" t="s">
        <v>3785</v>
      </c>
      <c r="H204" s="455"/>
      <c r="I204" s="456"/>
    </row>
    <row r="205" spans="2:9" s="3" customFormat="1" ht="20" customHeight="1">
      <c r="B205" s="16"/>
      <c r="C205" s="25" t="str">
        <f>CONCATENATE(this_instance,"02-w0",wld_domain_number_chosen,"-r01-esx13")</f>
        <v>sfo02-w01-r01-esx13</v>
      </c>
      <c r="D205" s="23" t="str">
        <f>IF(ISBLANK(input_wld_az2_host13_hostname),"",input_wld_az2_host13_hostname)</f>
        <v/>
      </c>
      <c r="E205" s="25" t="str">
        <f>CONCATENATE(prefix_wld_az2_cidr,"16.113")</f>
        <v>10.14.16.113</v>
      </c>
      <c r="F205" s="14"/>
      <c r="G205" s="454" t="s">
        <v>3787</v>
      </c>
      <c r="H205" s="455"/>
      <c r="I205" s="456"/>
    </row>
    <row r="206" spans="2:9" s="3" customFormat="1" ht="20" customHeight="1">
      <c r="B206" s="16"/>
      <c r="C206" s="25" t="str">
        <f>CONCATENATE(this_instance,"02-w0",wld_domain_number_chosen,"-r01-esx14")</f>
        <v>sfo02-w01-r01-esx14</v>
      </c>
      <c r="D206" s="23" t="str">
        <f>IF(ISBLANK(input_wld_az2_host14_hostname),"",input_wld_az2_host14_hostname)</f>
        <v/>
      </c>
      <c r="E206" s="25" t="str">
        <f>CONCATENATE(prefix_wld_az2_cidr,"16.114")</f>
        <v>10.14.16.114</v>
      </c>
      <c r="F206" s="14"/>
      <c r="G206" s="454" t="s">
        <v>3789</v>
      </c>
      <c r="H206" s="455"/>
      <c r="I206" s="456"/>
    </row>
    <row r="207" spans="2:9" s="3" customFormat="1" ht="20" customHeight="1">
      <c r="B207" s="16"/>
      <c r="C207" s="25" t="str">
        <f>CONCATENATE(this_instance,"02-w0",wld_domain_number_chosen,"-r01-esx15")</f>
        <v>sfo02-w01-r01-esx15</v>
      </c>
      <c r="D207" s="23" t="str">
        <f>IF(ISBLANK(input_wld_az2_host15_hostname),"",input_wld_az2_host15_hostname)</f>
        <v/>
      </c>
      <c r="E207" s="25" t="str">
        <f>CONCATENATE(prefix_wld_az2_cidr,"16.115")</f>
        <v>10.14.16.115</v>
      </c>
      <c r="F207" s="14"/>
      <c r="G207" s="454" t="s">
        <v>3791</v>
      </c>
      <c r="H207" s="455"/>
      <c r="I207" s="456"/>
    </row>
    <row r="208" spans="2:9" s="3" customFormat="1" ht="20" customHeight="1">
      <c r="B208" s="16"/>
      <c r="C208" s="25" t="str">
        <f>CONCATENATE(this_instance,"02-w0",wld_domain_number_chosen,"-r01-esx16")</f>
        <v>sfo02-w01-r01-esx16</v>
      </c>
      <c r="D208" s="23" t="str">
        <f>IF(ISBLANK(input_wld_az2_host16_hostname),"",input_wld_az2_host16_hostname)</f>
        <v/>
      </c>
      <c r="E208" s="25" t="str">
        <f>CONCATENATE(prefix_wld_az2_cidr,"16.116")</f>
        <v>10.14.16.116</v>
      </c>
      <c r="F208" s="14"/>
      <c r="G208" s="454" t="s">
        <v>3793</v>
      </c>
      <c r="H208" s="455"/>
      <c r="I208" s="456"/>
    </row>
    <row r="209" spans="2:11" s="3" customFormat="1" ht="20" customHeight="1">
      <c r="B209" s="425" t="s">
        <v>667</v>
      </c>
      <c r="C209" s="425"/>
      <c r="D209" s="425"/>
      <c r="E209" s="425"/>
      <c r="F209" s="425"/>
      <c r="G209" s="425"/>
      <c r="H209" s="425"/>
      <c r="I209" s="425"/>
    </row>
    <row r="210" spans="2:11" s="4" customFormat="1" ht="20" customHeight="1">
      <c r="B210" s="8" t="s">
        <v>668</v>
      </c>
      <c r="C210" s="345"/>
      <c r="D210" s="345"/>
      <c r="E210" s="8" t="s">
        <v>669</v>
      </c>
      <c r="F210" s="20" t="s">
        <v>632</v>
      </c>
      <c r="G210" s="345" t="s">
        <v>222</v>
      </c>
      <c r="H210" s="345"/>
      <c r="I210" s="345"/>
    </row>
    <row r="211" spans="2:11" s="3" customFormat="1" ht="20" customHeight="1">
      <c r="B211" s="26" t="s">
        <v>670</v>
      </c>
      <c r="C211" s="441"/>
      <c r="D211" s="441"/>
      <c r="E211" s="22" t="str">
        <f>CONCATENATE(prefix_wld_az2_cidr,"12.101")</f>
        <v>10.14.12.101</v>
      </c>
      <c r="F211" s="14"/>
      <c r="G211" s="445" t="s">
        <v>695</v>
      </c>
      <c r="H211" s="445"/>
      <c r="I211" s="445"/>
    </row>
    <row r="212" spans="2:11" s="3" customFormat="1" ht="20" customHeight="1">
      <c r="B212" s="26" t="s">
        <v>672</v>
      </c>
      <c r="C212" s="441"/>
      <c r="D212" s="441"/>
      <c r="E212" s="22" t="str">
        <f>CONCATENATE(prefix_wld_az2_cidr,"12.116")</f>
        <v>10.14.12.116</v>
      </c>
      <c r="F212" s="14"/>
      <c r="G212" s="445" t="s">
        <v>696</v>
      </c>
      <c r="H212" s="445"/>
      <c r="I212" s="445"/>
    </row>
    <row r="213" spans="2:11" s="3" customFormat="1" ht="20" customHeight="1">
      <c r="B213" s="21" t="str">
        <f>_xlfn.CONCAT(wld_principal_storage_chosen," Pool: Start IP")</f>
        <v>vSAN-ESA Pool: Start IP</v>
      </c>
      <c r="C213" s="441"/>
      <c r="D213" s="441"/>
      <c r="E213" s="22" t="str">
        <f>CONCATENATE(prefix_wld_az2_cidr,"13.101")</f>
        <v>10.14.13.101</v>
      </c>
      <c r="F213" s="14"/>
      <c r="G213" s="445" t="str">
        <f>_xlfn.CONCAT("Start IP of the ",wld_principal_storage_chosen, " Network Pool Range")</f>
        <v>Start IP of the vSAN-ESA Network Pool Range</v>
      </c>
      <c r="H213" s="445"/>
      <c r="I213" s="445"/>
      <c r="J213" s="5"/>
      <c r="K213" s="5"/>
    </row>
    <row r="214" spans="2:11" s="3" customFormat="1" ht="20" customHeight="1">
      <c r="B214" s="21" t="str">
        <f>_xlfn.CONCAT(wld_principal_storage_chosen," Pool: End IP")</f>
        <v>vSAN-ESA Pool: End IP</v>
      </c>
      <c r="C214" s="441"/>
      <c r="D214" s="441"/>
      <c r="E214" s="22" t="str">
        <f>CONCATENATE(prefix_wld_az2_cidr,"13.116")</f>
        <v>10.14.13.116</v>
      </c>
      <c r="F214" s="14"/>
      <c r="G214" s="445" t="str">
        <f>_xlfn.CONCAT("End IP of the ",wld_principal_storage_chosen, " Network Pool Range")</f>
        <v>End IP of the vSAN-ESA Network Pool Range</v>
      </c>
      <c r="H214" s="445"/>
      <c r="I214" s="445"/>
    </row>
    <row r="215" spans="2:11" s="3" customFormat="1" ht="20" customHeight="1">
      <c r="B215" s="21" t="s">
        <v>677</v>
      </c>
      <c r="C215" s="441"/>
      <c r="D215" s="441"/>
      <c r="E215" s="22" t="str">
        <f>CONCATENATE(prefix_wld_az2_cidr,"14.101")</f>
        <v>10.14.14.101</v>
      </c>
      <c r="F215" s="14"/>
      <c r="G215" s="445" t="s">
        <v>678</v>
      </c>
      <c r="H215" s="445"/>
      <c r="I215" s="445"/>
    </row>
    <row r="216" spans="2:11" s="3" customFormat="1" ht="20" customHeight="1">
      <c r="B216" s="21" t="s">
        <v>679</v>
      </c>
      <c r="C216" s="441"/>
      <c r="D216" s="441"/>
      <c r="E216" s="22" t="str">
        <f>CONCATENATE(prefix_wld_az2_cidr,"14.132")</f>
        <v>10.14.14.132</v>
      </c>
      <c r="F216" s="14"/>
      <c r="G216" s="445" t="s">
        <v>680</v>
      </c>
      <c r="H216" s="445"/>
      <c r="I216" s="445"/>
    </row>
    <row r="217" spans="2:11" s="3" customFormat="1" ht="20" customHeight="1">
      <c r="B217" s="21" t="s">
        <v>691</v>
      </c>
      <c r="C217" s="441"/>
      <c r="D217" s="441"/>
      <c r="E217" s="22" t="str">
        <f>CONCATENATE(prefix_wld_az2_cidr,"15.101")</f>
        <v>10.14.15.101</v>
      </c>
      <c r="F217" s="14"/>
      <c r="G217" s="445" t="s">
        <v>692</v>
      </c>
      <c r="H217" s="445"/>
      <c r="I217" s="445"/>
    </row>
    <row r="218" spans="2:11" s="4" customFormat="1" ht="20" customHeight="1">
      <c r="B218" s="21" t="s">
        <v>693</v>
      </c>
      <c r="C218" s="441"/>
      <c r="D218" s="441"/>
      <c r="E218" s="22" t="str">
        <f>CONCATENATE(prefix_wld_az2_cidr,"15.116")</f>
        <v>10.14.15.116</v>
      </c>
      <c r="F218" s="14"/>
      <c r="G218" s="445" t="s">
        <v>694</v>
      </c>
      <c r="H218" s="445"/>
      <c r="I218" s="445"/>
    </row>
    <row r="219" spans="2:11" s="3" customFormat="1" ht="16" customHeight="1">
      <c r="I219" s="5"/>
    </row>
    <row r="220" spans="2:11" ht="34" customHeight="1">
      <c r="B220" s="438" t="s">
        <v>4012</v>
      </c>
      <c r="C220" s="439"/>
      <c r="D220" s="439"/>
      <c r="E220" s="439"/>
      <c r="F220" s="439"/>
      <c r="G220" s="439"/>
      <c r="H220" s="439"/>
      <c r="I220" s="440"/>
    </row>
    <row r="221" spans="2:11" ht="20" customHeight="1">
      <c r="B221" s="190" t="s">
        <v>530</v>
      </c>
      <c r="C221" s="190" t="s">
        <v>489</v>
      </c>
      <c r="D221" s="190" t="s">
        <v>3928</v>
      </c>
      <c r="E221" s="190" t="s">
        <v>3927</v>
      </c>
      <c r="F221" s="210"/>
      <c r="G221" s="210"/>
      <c r="H221" s="210"/>
      <c r="I221" s="211"/>
    </row>
    <row r="222" spans="2:11" ht="20" customHeight="1">
      <c r="B222" s="21" t="s">
        <v>3926</v>
      </c>
      <c r="C222" s="25" t="s">
        <v>634</v>
      </c>
      <c r="D222" s="25" t="str">
        <f>IF(wld_host_dns_zone_chosen="Multiple",CONCATENATE("rack2.",this_instance,".rainpole.io"),CONCATENATE(this_instance,".rainpole.io"))</f>
        <v>sfo.rainpole.io</v>
      </c>
      <c r="E222" s="14"/>
      <c r="F222" s="212"/>
      <c r="G222" s="212"/>
      <c r="H222" s="212"/>
      <c r="I222" s="213"/>
    </row>
    <row r="223" spans="2:11" ht="20" customHeight="1">
      <c r="B223" s="437" t="s">
        <v>4009</v>
      </c>
      <c r="C223" s="437"/>
      <c r="D223" s="459"/>
      <c r="E223" s="459"/>
      <c r="F223" s="459"/>
      <c r="G223" s="459"/>
      <c r="H223" s="459"/>
      <c r="I223" s="459"/>
    </row>
    <row r="224" spans="2:11" ht="20" customHeight="1">
      <c r="B224" s="190" t="s">
        <v>583</v>
      </c>
      <c r="C224" s="190" t="s">
        <v>629</v>
      </c>
      <c r="D224" s="113" t="s">
        <v>630</v>
      </c>
      <c r="E224" s="190" t="s">
        <v>631</v>
      </c>
      <c r="F224" s="113" t="s">
        <v>632</v>
      </c>
      <c r="G224" s="458" t="s">
        <v>222</v>
      </c>
      <c r="H224" s="458"/>
      <c r="I224" s="458"/>
    </row>
    <row r="225" spans="2:9" ht="20" customHeight="1">
      <c r="B225" s="26" t="s">
        <v>639</v>
      </c>
      <c r="C225" s="25" t="str">
        <f>CONCATENATE(this_instance,"01-w0",wld_domain_number_chosen,"-r02-esx01")</f>
        <v>sfo01-w01-r02-esx01</v>
      </c>
      <c r="D225" s="14"/>
      <c r="E225" s="25" t="str">
        <f>CONCATENATE(prefix_wld_az1_rack_cidr,".22.101")</f>
        <v>10.13.22.101</v>
      </c>
      <c r="F225" s="14"/>
      <c r="G225" s="445" t="s">
        <v>640</v>
      </c>
      <c r="H225" s="445"/>
      <c r="I225" s="445"/>
    </row>
    <row r="226" spans="2:9" ht="20" customHeight="1">
      <c r="B226" s="16"/>
      <c r="C226" s="25" t="str">
        <f>CONCATENATE(this_instance,"01-w0",wld_domain_number_chosen,"-r02-esx02")</f>
        <v>sfo01-w01-r02-esx02</v>
      </c>
      <c r="D226" s="14"/>
      <c r="E226" s="25" t="str">
        <f>CONCATENATE(prefix_wld_az1_rack_cidr,".22.102")</f>
        <v>10.13.22.102</v>
      </c>
      <c r="F226" s="14"/>
      <c r="G226" s="445" t="s">
        <v>642</v>
      </c>
      <c r="H226" s="445"/>
      <c r="I226" s="445"/>
    </row>
    <row r="227" spans="2:9" ht="20" customHeight="1">
      <c r="B227" s="16"/>
      <c r="C227" s="25" t="str">
        <f>CONCATENATE(this_instance,"01-w0",wld_domain_number_chosen,"-r02-esx03")</f>
        <v>sfo01-w01-r02-esx03</v>
      </c>
      <c r="D227" s="14"/>
      <c r="E227" s="25" t="str">
        <f>CONCATENATE(prefix_wld_az1_rack_cidr,".22.103")</f>
        <v>10.13.22.103</v>
      </c>
      <c r="F227" s="14"/>
      <c r="G227" s="445" t="s">
        <v>644</v>
      </c>
      <c r="H227" s="445"/>
      <c r="I227" s="445"/>
    </row>
    <row r="228" spans="2:9" ht="20" customHeight="1">
      <c r="B228" s="16"/>
      <c r="C228" s="25" t="str">
        <f>CONCATENATE(this_instance,"01-w0",wld_domain_number_chosen,"-r02-esx04")</f>
        <v>sfo01-w01-r02-esx04</v>
      </c>
      <c r="D228" s="14"/>
      <c r="E228" s="25" t="str">
        <f>CONCATENATE(prefix_wld_az1_rack_cidr,".22.104")</f>
        <v>10.13.22.104</v>
      </c>
      <c r="F228" s="14"/>
      <c r="G228" s="445" t="s">
        <v>646</v>
      </c>
      <c r="H228" s="445"/>
      <c r="I228" s="445"/>
    </row>
    <row r="229" spans="2:9" ht="20" customHeight="1">
      <c r="B229" s="16"/>
      <c r="C229" s="25" t="str">
        <f>CONCATENATE(this_instance,"01-w0",wld_domain_number_chosen,"-r02-esx05")</f>
        <v>sfo01-w01-r02-esx05</v>
      </c>
      <c r="D229" s="14"/>
      <c r="E229" s="25" t="str">
        <f>CONCATENATE(prefix_wld_az1_rack_cidr,".22.105")</f>
        <v>10.13.22.105</v>
      </c>
      <c r="F229" s="14"/>
      <c r="G229" s="445" t="s">
        <v>3770</v>
      </c>
      <c r="H229" s="445"/>
      <c r="I229" s="445"/>
    </row>
    <row r="230" spans="2:9" ht="20" customHeight="1">
      <c r="B230" s="16"/>
      <c r="C230" s="25" t="str">
        <f>CONCATENATE(this_instance,"01-w0",wld_domain_number_chosen,"-r02-esx06")</f>
        <v>sfo01-w01-r02-esx06</v>
      </c>
      <c r="D230" s="14"/>
      <c r="E230" s="25" t="str">
        <f>CONCATENATE(prefix_wld_az1_rack_cidr,".22.106")</f>
        <v>10.13.22.106</v>
      </c>
      <c r="F230" s="14"/>
      <c r="G230" s="445" t="s">
        <v>3772</v>
      </c>
      <c r="H230" s="445"/>
      <c r="I230" s="445"/>
    </row>
    <row r="231" spans="2:9" ht="20" customHeight="1">
      <c r="B231" s="16"/>
      <c r="C231" s="25" t="str">
        <f>CONCATENATE(this_instance,"01-w0",wld_domain_number_chosen,"-r02-esx07")</f>
        <v>sfo01-w01-r02-esx07</v>
      </c>
      <c r="D231" s="14"/>
      <c r="E231" s="25" t="str">
        <f>CONCATENATE(prefix_wld_az1_rack_cidr,".22.107")</f>
        <v>10.13.22.107</v>
      </c>
      <c r="F231" s="14"/>
      <c r="G231" s="445" t="s">
        <v>3774</v>
      </c>
      <c r="H231" s="445"/>
      <c r="I231" s="445"/>
    </row>
    <row r="232" spans="2:9" ht="20" customHeight="1">
      <c r="B232" s="16"/>
      <c r="C232" s="25" t="str">
        <f>CONCATENATE(this_instance,"01-w0",wld_domain_number_chosen,"-r02-esx08")</f>
        <v>sfo01-w01-r02-esx08</v>
      </c>
      <c r="D232" s="14"/>
      <c r="E232" s="25" t="str">
        <f>CONCATENATE(prefix_wld_az1_rack_cidr,".22.108")</f>
        <v>10.13.22.108</v>
      </c>
      <c r="F232" s="14"/>
      <c r="G232" s="445" t="s">
        <v>3776</v>
      </c>
      <c r="H232" s="445"/>
      <c r="I232" s="445"/>
    </row>
    <row r="233" spans="2:9" ht="20" customHeight="1">
      <c r="B233" s="16"/>
      <c r="C233" s="25" t="str">
        <f>CONCATENATE(this_instance,"01-w0",wld_domain_number_chosen,"-r02-esx09")</f>
        <v>sfo01-w01-r02-esx09</v>
      </c>
      <c r="D233" s="14"/>
      <c r="E233" s="25" t="str">
        <f>CONCATENATE(prefix_wld_az1_rack_cidr,".22.109")</f>
        <v>10.13.22.109</v>
      </c>
      <c r="F233" s="14"/>
      <c r="G233" s="445" t="s">
        <v>3778</v>
      </c>
      <c r="H233" s="445"/>
      <c r="I233" s="445"/>
    </row>
    <row r="234" spans="2:9" ht="20" customHeight="1">
      <c r="B234" s="16"/>
      <c r="C234" s="25" t="str">
        <f>CONCATENATE(this_instance,"01-w0",wld_domain_number_chosen,"-r02-esx10")</f>
        <v>sfo01-w01-r02-esx10</v>
      </c>
      <c r="D234" s="14"/>
      <c r="E234" s="25" t="str">
        <f>CONCATENATE(prefix_wld_az1_rack_cidr,".22.110")</f>
        <v>10.13.22.110</v>
      </c>
      <c r="F234" s="14"/>
      <c r="G234" s="445" t="s">
        <v>3780</v>
      </c>
      <c r="H234" s="445"/>
      <c r="I234" s="445"/>
    </row>
    <row r="235" spans="2:9" ht="20" customHeight="1">
      <c r="B235" s="16"/>
      <c r="C235" s="25" t="str">
        <f>CONCATENATE(this_instance,"01-w0",wld_domain_number_chosen,"-r02-esx11")</f>
        <v>sfo01-w01-r02-esx11</v>
      </c>
      <c r="D235" s="14"/>
      <c r="E235" s="25" t="str">
        <f>CONCATENATE(prefix_wld_az1_rack_cidr,".22.111")</f>
        <v>10.13.22.111</v>
      </c>
      <c r="F235" s="14"/>
      <c r="G235" s="445" t="s">
        <v>3782</v>
      </c>
      <c r="H235" s="445"/>
      <c r="I235" s="445"/>
    </row>
    <row r="236" spans="2:9" ht="20" customHeight="1">
      <c r="B236" s="16"/>
      <c r="C236" s="25" t="str">
        <f>CONCATENATE(this_instance,"01-w0",wld_domain_number_chosen,"-r02-esx12")</f>
        <v>sfo01-w01-r02-esx12</v>
      </c>
      <c r="D236" s="14"/>
      <c r="E236" s="25" t="str">
        <f>CONCATENATE(prefix_wld_az1_rack_cidr,".22.112")</f>
        <v>10.13.22.112</v>
      </c>
      <c r="F236" s="14"/>
      <c r="G236" s="445" t="s">
        <v>3784</v>
      </c>
      <c r="H236" s="445"/>
      <c r="I236" s="445"/>
    </row>
    <row r="237" spans="2:9" ht="20" customHeight="1">
      <c r="B237" s="16"/>
      <c r="C237" s="25" t="str">
        <f>CONCATENATE(this_instance,"01-w0",wld_domain_number_chosen,"-r02-esx13")</f>
        <v>sfo01-w01-r02-esx13</v>
      </c>
      <c r="D237" s="14"/>
      <c r="E237" s="25" t="str">
        <f>CONCATENATE(prefix_wld_az1_rack_cidr,".22.113")</f>
        <v>10.13.22.113</v>
      </c>
      <c r="F237" s="14"/>
      <c r="G237" s="445" t="s">
        <v>3786</v>
      </c>
      <c r="H237" s="445"/>
      <c r="I237" s="445"/>
    </row>
    <row r="238" spans="2:9" ht="20" customHeight="1">
      <c r="B238" s="16"/>
      <c r="C238" s="25" t="str">
        <f>CONCATENATE(this_instance,"01-w0",wld_domain_number_chosen,"-r02-esx14")</f>
        <v>sfo01-w01-r02-esx14</v>
      </c>
      <c r="D238" s="14"/>
      <c r="E238" s="25" t="str">
        <f>CONCATENATE(prefix_wld_az1_rack_cidr,".22.114")</f>
        <v>10.13.22.114</v>
      </c>
      <c r="F238" s="14"/>
      <c r="G238" s="445" t="s">
        <v>3788</v>
      </c>
      <c r="H238" s="445"/>
      <c r="I238" s="445"/>
    </row>
    <row r="239" spans="2:9" ht="20" customHeight="1">
      <c r="B239" s="16"/>
      <c r="C239" s="25" t="str">
        <f>CONCATENATE(this_instance,"01-w0",wld_domain_number_chosen,"-r02-esx15")</f>
        <v>sfo01-w01-r02-esx15</v>
      </c>
      <c r="D239" s="14"/>
      <c r="E239" s="25" t="str">
        <f>CONCATENATE(prefix_wld_az1_rack_cidr,".22.115")</f>
        <v>10.13.22.115</v>
      </c>
      <c r="F239" s="14"/>
      <c r="G239" s="445" t="s">
        <v>3790</v>
      </c>
      <c r="H239" s="445"/>
      <c r="I239" s="445"/>
    </row>
    <row r="240" spans="2:9" ht="20" customHeight="1">
      <c r="B240" s="16"/>
      <c r="C240" s="25" t="str">
        <f>CONCATENATE(this_instance,"01-w0",wld_domain_number_chosen,"-r02-esx16")</f>
        <v>sfo01-w01-r02-esx16</v>
      </c>
      <c r="D240" s="14"/>
      <c r="E240" s="25" t="str">
        <f>CONCATENATE(prefix_wld_az1_rack_cidr,".22.116")</f>
        <v>10.13.22.116</v>
      </c>
      <c r="F240" s="14"/>
      <c r="G240" s="445" t="s">
        <v>3792</v>
      </c>
      <c r="H240" s="445"/>
      <c r="I240" s="445"/>
    </row>
    <row r="241" spans="2:9" ht="20" customHeight="1">
      <c r="B241" s="437" t="s">
        <v>4010</v>
      </c>
      <c r="C241" s="437"/>
      <c r="D241" s="459"/>
      <c r="E241" s="459"/>
      <c r="F241" s="459"/>
      <c r="G241" s="459"/>
      <c r="H241" s="459"/>
      <c r="I241" s="459"/>
    </row>
    <row r="242" spans="2:9" ht="20" customHeight="1">
      <c r="B242" s="26"/>
      <c r="C242" s="25" t="str">
        <f>CONCATENATE(this_instance,"01-w0",wld_domain_number_chosen,"-r02-esx01")</f>
        <v>sfo01-w01-r02-esx01</v>
      </c>
      <c r="D242" s="18" t="str">
        <f>IF(ISBLANK(input_wld_az1_rack2_host1_hostname),"",input_wld_az1_rack2_host1_hostname)</f>
        <v/>
      </c>
      <c r="E242" s="25" t="str">
        <f>CONCATENATE(prefix_wld_az1_rack_cidr,".27.101")</f>
        <v>10.13.27.101</v>
      </c>
      <c r="F242" s="14"/>
      <c r="G242" s="445" t="s">
        <v>641</v>
      </c>
      <c r="H242" s="445"/>
      <c r="I242" s="445"/>
    </row>
    <row r="243" spans="2:9" ht="20" customHeight="1">
      <c r="B243" s="16"/>
      <c r="C243" s="25" t="str">
        <f>CONCATENATE(this_instance,"01-w0",wld_domain_number_chosen,"-r02-esx02")</f>
        <v>sfo01-w01-r02-esx02</v>
      </c>
      <c r="D243" s="18" t="str">
        <f>IF(ISBLANK(input_wld_az1_rack2_host2_hostname),"",input_wld_az1_rack2_host2_hostname)</f>
        <v/>
      </c>
      <c r="E243" s="25" t="str">
        <f>CONCATENATE(prefix_wld_az1_rack_cidr,".27.102")</f>
        <v>10.13.27.102</v>
      </c>
      <c r="F243" s="14"/>
      <c r="G243" s="445" t="s">
        <v>643</v>
      </c>
      <c r="H243" s="445"/>
      <c r="I243" s="445"/>
    </row>
    <row r="244" spans="2:9" ht="20" customHeight="1">
      <c r="B244" s="16"/>
      <c r="C244" s="25" t="str">
        <f>CONCATENATE(this_instance,"01-w0",wld_domain_number_chosen,"-r02-esx03")</f>
        <v>sfo01-w01-r02-esx03</v>
      </c>
      <c r="D244" s="18" t="str">
        <f>IF(ISBLANK(input_wld_az1_rack2_host3_hostname),"",input_wld_az1_rack2_host3_hostname)</f>
        <v/>
      </c>
      <c r="E244" s="25" t="str">
        <f>CONCATENATE(prefix_wld_az1_rack_cidr,".27.103")</f>
        <v>10.13.27.103</v>
      </c>
      <c r="F244" s="14"/>
      <c r="G244" s="445" t="s">
        <v>645</v>
      </c>
      <c r="H244" s="445"/>
      <c r="I244" s="445"/>
    </row>
    <row r="245" spans="2:9" ht="20" customHeight="1">
      <c r="B245" s="16"/>
      <c r="C245" s="25" t="str">
        <f>CONCATENATE(this_instance,"01-w0",wld_domain_number_chosen,"-r02-esx04")</f>
        <v>sfo01-w01-r02-esx04</v>
      </c>
      <c r="D245" s="18" t="str">
        <f>IF(ISBLANK(input_wld_az1_rack2_host4_hostname),"",input_wld_az1_rack2_host4_hostname)</f>
        <v/>
      </c>
      <c r="E245" s="25" t="str">
        <f>CONCATENATE(prefix_wld_az1_rack_cidr,".27.104")</f>
        <v>10.13.27.104</v>
      </c>
      <c r="F245" s="14"/>
      <c r="G245" s="445" t="s">
        <v>647</v>
      </c>
      <c r="H245" s="445"/>
      <c r="I245" s="445"/>
    </row>
    <row r="246" spans="2:9" ht="20" customHeight="1">
      <c r="B246" s="16"/>
      <c r="C246" s="25" t="str">
        <f>CONCATENATE(this_instance,"01-w0",wld_domain_number_chosen,"-r02-esx05")</f>
        <v>sfo01-w01-r02-esx05</v>
      </c>
      <c r="D246" s="18" t="str">
        <f>IF(ISBLANK(input_wld_az1_rack2_host5_hostname),"",input_wld_az1_rack2_host5_hostname)</f>
        <v/>
      </c>
      <c r="E246" s="25" t="str">
        <f>CONCATENATE(prefix_wld_az1_rack_cidr,".27.105")</f>
        <v>10.13.27.105</v>
      </c>
      <c r="F246" s="14"/>
      <c r="G246" s="445" t="s">
        <v>3771</v>
      </c>
      <c r="H246" s="445"/>
      <c r="I246" s="445"/>
    </row>
    <row r="247" spans="2:9" ht="20" customHeight="1">
      <c r="B247" s="16"/>
      <c r="C247" s="25" t="str">
        <f>CONCATENATE(this_instance,"01-w0",wld_domain_number_chosen,"-r02-esx06")</f>
        <v>sfo01-w01-r02-esx06</v>
      </c>
      <c r="D247" s="18" t="str">
        <f>IF(ISBLANK(input_wld_az1_rack2_host6_hostname),"",input_wld_az1_rack2_host6_hostname)</f>
        <v/>
      </c>
      <c r="E247" s="25" t="str">
        <f>CONCATENATE(prefix_wld_az1_rack_cidr,".27.106")</f>
        <v>10.13.27.106</v>
      </c>
      <c r="F247" s="14"/>
      <c r="G247" s="445" t="s">
        <v>3773</v>
      </c>
      <c r="H247" s="445"/>
      <c r="I247" s="445"/>
    </row>
    <row r="248" spans="2:9" ht="20" customHeight="1">
      <c r="B248" s="16"/>
      <c r="C248" s="25" t="str">
        <f>CONCATENATE(this_instance,"01-w0",wld_domain_number_chosen,"-r02-esx07")</f>
        <v>sfo01-w01-r02-esx07</v>
      </c>
      <c r="D248" s="18" t="str">
        <f>IF(ISBLANK(input_wld_az1_rack2_host7_hostname),"",input_wld_az1_rack2_host7_hostname)</f>
        <v/>
      </c>
      <c r="E248" s="25" t="str">
        <f>CONCATENATE(prefix_wld_az1_rack_cidr,".27.107")</f>
        <v>10.13.27.107</v>
      </c>
      <c r="F248" s="14"/>
      <c r="G248" s="445" t="s">
        <v>3775</v>
      </c>
      <c r="H248" s="445"/>
      <c r="I248" s="445"/>
    </row>
    <row r="249" spans="2:9" ht="20" customHeight="1">
      <c r="B249" s="16"/>
      <c r="C249" s="25" t="str">
        <f>CONCATENATE(this_instance,"01-w0",wld_domain_number_chosen,"-r02-esx08")</f>
        <v>sfo01-w01-r02-esx08</v>
      </c>
      <c r="D249" s="18" t="str">
        <f>IF(ISBLANK(input_wld_az1_rack2_host8_hostname),"",input_wld_az1_rack2_host8_hostname)</f>
        <v/>
      </c>
      <c r="E249" s="25" t="str">
        <f>CONCATENATE(prefix_wld_az1_rack_cidr,".27.108")</f>
        <v>10.13.27.108</v>
      </c>
      <c r="F249" s="14"/>
      <c r="G249" s="445" t="s">
        <v>3777</v>
      </c>
      <c r="H249" s="445"/>
      <c r="I249" s="445"/>
    </row>
    <row r="250" spans="2:9" ht="20" customHeight="1">
      <c r="B250" s="16"/>
      <c r="C250" s="25" t="str">
        <f>CONCATENATE(this_instance,"01-w0",wld_domain_number_chosen,"-r02-esx09")</f>
        <v>sfo01-w01-r02-esx09</v>
      </c>
      <c r="D250" s="18" t="str">
        <f>IF(ISBLANK(input_wld_az1_rack2_host9_hostname),"",input_wld_az1_rack2_host9_hostname)</f>
        <v/>
      </c>
      <c r="E250" s="25" t="str">
        <f>CONCATENATE(prefix_wld_az1_rack_cidr,".27.109")</f>
        <v>10.13.27.109</v>
      </c>
      <c r="F250" s="14"/>
      <c r="G250" s="445" t="s">
        <v>3779</v>
      </c>
      <c r="H250" s="445"/>
      <c r="I250" s="445"/>
    </row>
    <row r="251" spans="2:9" ht="20" customHeight="1">
      <c r="B251" s="16"/>
      <c r="C251" s="25" t="str">
        <f>CONCATENATE(this_instance,"01-w0",wld_domain_number_chosen,"-r02-esx10")</f>
        <v>sfo01-w01-r02-esx10</v>
      </c>
      <c r="D251" s="18" t="str">
        <f>IF(ISBLANK(input_wld_az1_rack2_host10_hostname),"",input_wld_az1_rack2_host10_hostname)</f>
        <v/>
      </c>
      <c r="E251" s="25" t="str">
        <f>CONCATENATE(prefix_wld_az1_rack_cidr,".27.110")</f>
        <v>10.13.27.110</v>
      </c>
      <c r="F251" s="14"/>
      <c r="G251" s="445" t="s">
        <v>3781</v>
      </c>
      <c r="H251" s="445"/>
      <c r="I251" s="445"/>
    </row>
    <row r="252" spans="2:9" ht="20" customHeight="1">
      <c r="B252" s="16"/>
      <c r="C252" s="25" t="str">
        <f>CONCATENATE(this_instance,"01-w0",wld_domain_number_chosen,"-r02-esx11")</f>
        <v>sfo01-w01-r02-esx11</v>
      </c>
      <c r="D252" s="18" t="str">
        <f>IF(ISBLANK(input_wld_az1_rack2_host11_hostname),"",input_wld_az1_rack2_host11_hostname)</f>
        <v/>
      </c>
      <c r="E252" s="25" t="str">
        <f>CONCATENATE(prefix_wld_az1_rack_cidr,".27.111")</f>
        <v>10.13.27.111</v>
      </c>
      <c r="F252" s="14"/>
      <c r="G252" s="445" t="s">
        <v>3783</v>
      </c>
      <c r="H252" s="445"/>
      <c r="I252" s="445"/>
    </row>
    <row r="253" spans="2:9" ht="20" customHeight="1">
      <c r="B253" s="16"/>
      <c r="C253" s="25" t="str">
        <f>CONCATENATE(this_instance,"01-w0",wld_domain_number_chosen,"-r02-esx12")</f>
        <v>sfo01-w01-r02-esx12</v>
      </c>
      <c r="D253" s="18" t="str">
        <f>IF(ISBLANK(input_wld_az1_rack2_host12_hostname),"",input_wld_az1_rack2_host12_hostname)</f>
        <v/>
      </c>
      <c r="E253" s="25" t="str">
        <f>CONCATENATE(prefix_wld_az1_rack_cidr,".27.112")</f>
        <v>10.13.27.112</v>
      </c>
      <c r="F253" s="14"/>
      <c r="G253" s="445" t="s">
        <v>3785</v>
      </c>
      <c r="H253" s="445"/>
      <c r="I253" s="445"/>
    </row>
    <row r="254" spans="2:9" ht="20" customHeight="1">
      <c r="B254" s="16"/>
      <c r="C254" s="25" t="str">
        <f>CONCATENATE(this_instance,"01-w0",wld_domain_number_chosen,"-r02-esx13")</f>
        <v>sfo01-w01-r02-esx13</v>
      </c>
      <c r="D254" s="18" t="str">
        <f>IF(ISBLANK(input_wld_az1_rack2_host13_hostname),"",input_wld_az1_rack2_host13_hostname)</f>
        <v/>
      </c>
      <c r="E254" s="25" t="str">
        <f>CONCATENATE(prefix_wld_az1_rack_cidr,".27.113")</f>
        <v>10.13.27.113</v>
      </c>
      <c r="F254" s="14"/>
      <c r="G254" s="445" t="s">
        <v>3787</v>
      </c>
      <c r="H254" s="445"/>
      <c r="I254" s="445"/>
    </row>
    <row r="255" spans="2:9" ht="20" customHeight="1">
      <c r="B255" s="16"/>
      <c r="C255" s="25" t="str">
        <f>CONCATENATE(this_instance,"01-w0",wld_domain_number_chosen,"-r02-esx14")</f>
        <v>sfo01-w01-r02-esx14</v>
      </c>
      <c r="D255" s="18" t="str">
        <f>IF(ISBLANK(input_wld_az1_rack2_host14_hostname),"",input_wld_az1_rack2_host14_hostname)</f>
        <v/>
      </c>
      <c r="E255" s="25" t="str">
        <f>CONCATENATE(prefix_wld_az1_rack_cidr,".27.114")</f>
        <v>10.13.27.114</v>
      </c>
      <c r="F255" s="14"/>
      <c r="G255" s="445" t="s">
        <v>3789</v>
      </c>
      <c r="H255" s="445"/>
      <c r="I255" s="445"/>
    </row>
    <row r="256" spans="2:9" ht="20" customHeight="1">
      <c r="B256" s="16"/>
      <c r="C256" s="25" t="str">
        <f>CONCATENATE(this_instance,"01-w0",wld_domain_number_chosen,"-r02-esx15")</f>
        <v>sfo01-w01-r02-esx15</v>
      </c>
      <c r="D256" s="18" t="str">
        <f>IF(ISBLANK(input_wld_az1_rack2_host15_hostname),"",input_wld_az1_rack2_host15_hostname)</f>
        <v/>
      </c>
      <c r="E256" s="25" t="str">
        <f>CONCATENATE(prefix_wld_az1_rack_cidr,".27.115")</f>
        <v>10.13.27.115</v>
      </c>
      <c r="F256" s="14"/>
      <c r="G256" s="445" t="s">
        <v>3791</v>
      </c>
      <c r="H256" s="445"/>
      <c r="I256" s="445"/>
    </row>
    <row r="257" spans="2:10" ht="20" customHeight="1">
      <c r="B257" s="16"/>
      <c r="C257" s="25" t="str">
        <f>CONCATENATE(this_instance,"01-w0",wld_domain_number_chosen,"-r02-esx16")</f>
        <v>sfo01-w01-r02-esx16</v>
      </c>
      <c r="D257" s="18" t="str">
        <f>IF(ISBLANK(input_wld_az1_rack2_host16_hostname),"",input_wld_az1_rack2_host16_hostname)</f>
        <v/>
      </c>
      <c r="E257" s="25" t="str">
        <f>CONCATENATE(prefix_wld_az1_rack_cidr,".27.116")</f>
        <v>10.13.27.116</v>
      </c>
      <c r="F257" s="14"/>
      <c r="G257" s="445" t="s">
        <v>3793</v>
      </c>
      <c r="H257" s="445"/>
      <c r="I257" s="445"/>
    </row>
    <row r="258" spans="2:10" ht="20" customHeight="1">
      <c r="B258" s="437" t="s">
        <v>4011</v>
      </c>
      <c r="C258" s="437"/>
      <c r="D258" s="459"/>
      <c r="E258" s="459"/>
      <c r="F258" s="459"/>
      <c r="G258" s="459"/>
      <c r="H258" s="459"/>
      <c r="I258" s="459"/>
    </row>
    <row r="259" spans="2:10" ht="20" customHeight="1">
      <c r="B259" s="16"/>
      <c r="C259" s="25" t="str">
        <f>CONCATENATE(this_instance,"-w0",wld_domain_number_chosen,"-r02-en01")</f>
        <v>sfo-w01-r02-en01</v>
      </c>
      <c r="D259" s="14"/>
      <c r="E259" s="25" t="str">
        <f>IF(wld_dpg_separation_result="Included",CONCATENATE(prefix_wld_az1_cidr,"21.135"),CONCATENATE(prefix_wld_az1_cidr,"2.135"))</f>
        <v>10.13.2.135</v>
      </c>
      <c r="F259" s="14"/>
      <c r="G259" s="445" t="str">
        <f>IF(wld_dedicated_edge_cluster_chosen_first=2,"Edge Cluster Node 1",IF(wld_dedicated_edge_cluster_chosen_second=2,"Edge Node 2",""))</f>
        <v/>
      </c>
      <c r="H259" s="445"/>
      <c r="I259" s="445"/>
    </row>
    <row r="260" spans="2:10" ht="20" customHeight="1">
      <c r="B260" s="16"/>
      <c r="C260" s="25" t="s">
        <v>569</v>
      </c>
      <c r="D260" s="23" t="s">
        <v>569</v>
      </c>
      <c r="E260" s="25" t="str">
        <f>CONCATENATE(prefix_wld_az1_rack_cidr,".28.2")</f>
        <v>10.13.28.2</v>
      </c>
      <c r="F260" s="14"/>
      <c r="G260" s="445" t="str">
        <f>IF(wld_dedicated_edge_cluster_chosen_first=2,"Uplink 1 IP Address for Edge Cluster Node 1",IF(wld_dedicated_edge_cluster_chosen_second=2,"Uplink 1 IP Address for Edge Cluster Node 2",""))</f>
        <v/>
      </c>
      <c r="H260" s="445"/>
      <c r="I260" s="445"/>
    </row>
    <row r="261" spans="2:10" ht="20" customHeight="1">
      <c r="B261" s="16"/>
      <c r="C261" s="25" t="s">
        <v>569</v>
      </c>
      <c r="D261" s="23" t="s">
        <v>569</v>
      </c>
      <c r="E261" s="25" t="str">
        <f>CONCATENATE(prefix_wld_az1_rack_cidr,".29.2")</f>
        <v>10.13.29.2</v>
      </c>
      <c r="F261" s="14"/>
      <c r="G261" s="445" t="str">
        <f>IF(wld_dedicated_edge_cluster_chosen_first=2,"Uplink 2 IP Address for Edge Cluster Node 1",IF(wld_dedicated_edge_cluster_chosen_second=2,"Uplink 2 IP Address for Edge Cluste Node 2",""))</f>
        <v/>
      </c>
      <c r="H261" s="445"/>
      <c r="I261" s="445"/>
      <c r="J261" s="103"/>
    </row>
    <row r="262" spans="2:10" ht="20" customHeight="1">
      <c r="B262" s="16"/>
      <c r="C262" s="25" t="str">
        <f>CONCATENATE(this_instance,"-w0",wld_domain_number_chosen,"-r02-en02")</f>
        <v>sfo-w01-r02-en02</v>
      </c>
      <c r="D262" s="14"/>
      <c r="E262" s="25" t="str">
        <f>IF(wld_dpg_separation_result="Included",CONCATENATE(prefix_wld_az1_cidr,"21.136"),CONCATENATE(prefix_wld_az1_cidr,"2.136"))</f>
        <v>10.13.2.136</v>
      </c>
      <c r="F262" s="14"/>
      <c r="G262" s="445" t="str">
        <f>IF(wld_dedicated_edge_cluster_chosen_first=2,"Edge Cluster Node 3",IF(wld_dedicated_edge_cluster_chosen_second=2,"Edge Cluster Node 4",""))</f>
        <v/>
      </c>
      <c r="H262" s="445"/>
      <c r="I262" s="445"/>
      <c r="J262" s="103"/>
    </row>
    <row r="263" spans="2:10" ht="20" customHeight="1">
      <c r="B263" s="16"/>
      <c r="C263" s="25" t="s">
        <v>569</v>
      </c>
      <c r="D263" s="23" t="s">
        <v>569</v>
      </c>
      <c r="E263" s="25" t="str">
        <f>CONCATENATE(prefix_wld_az1_rack_cidr,".28.3")</f>
        <v>10.13.28.3</v>
      </c>
      <c r="F263" s="14"/>
      <c r="G263" s="445" t="str">
        <f>IF(wld_dedicated_edge_cluster_chosen_first=2,"Uplink 1 IP Address for Edge Cluster Node 3",IF(wld_dedicated_edge_cluster_chosen_second=2,"Uplink 1 IP Address for Edge Cluster Node 4",""))</f>
        <v/>
      </c>
      <c r="H263" s="445"/>
      <c r="I263" s="445"/>
      <c r="J263" s="103"/>
    </row>
    <row r="264" spans="2:10" ht="20" customHeight="1">
      <c r="B264" s="16"/>
      <c r="C264" s="25" t="s">
        <v>569</v>
      </c>
      <c r="D264" s="23" t="s">
        <v>569</v>
      </c>
      <c r="E264" s="25" t="str">
        <f>CONCATENATE(prefix_wld_az1_rack_cidr,".29.3")</f>
        <v>10.13.29.3</v>
      </c>
      <c r="F264" s="14"/>
      <c r="G264" s="445" t="str">
        <f>IF(wld_dedicated_edge_cluster_chosen_first=2,"Uplink 2 IP Address for Edge Cluster Node 3",IF(wld_dedicated_edge_cluster_chosen_second=2,"Uplink 2 IP Address for Edge Custer Node 4",""))</f>
        <v/>
      </c>
      <c r="H264" s="445"/>
      <c r="I264" s="445"/>
      <c r="J264" s="103"/>
    </row>
    <row r="265" spans="2:10" ht="20" customHeight="1">
      <c r="B265" s="437" t="s">
        <v>667</v>
      </c>
      <c r="C265" s="437"/>
      <c r="D265" s="437"/>
      <c r="E265" s="437"/>
      <c r="F265" s="437"/>
      <c r="G265" s="437"/>
      <c r="H265" s="437"/>
      <c r="I265" s="437"/>
      <c r="J265" s="103"/>
    </row>
    <row r="266" spans="2:10" ht="20" customHeight="1">
      <c r="B266" s="190" t="s">
        <v>668</v>
      </c>
      <c r="C266" s="458"/>
      <c r="D266" s="458"/>
      <c r="E266" s="190" t="s">
        <v>669</v>
      </c>
      <c r="F266" s="113" t="s">
        <v>632</v>
      </c>
      <c r="G266" s="458" t="s">
        <v>222</v>
      </c>
      <c r="H266" s="458"/>
      <c r="I266" s="458"/>
      <c r="J266" s="103"/>
    </row>
    <row r="267" spans="2:10" ht="20" customHeight="1">
      <c r="B267" s="26" t="s">
        <v>670</v>
      </c>
      <c r="C267" s="441"/>
      <c r="D267" s="441"/>
      <c r="E267" s="22" t="str">
        <f>CONCATENATE(prefix_wld_az1_rack_cidr,".23.101")</f>
        <v>10.13.23.101</v>
      </c>
      <c r="F267" s="14"/>
      <c r="G267" s="445" t="s">
        <v>671</v>
      </c>
      <c r="H267" s="445"/>
      <c r="I267" s="445"/>
      <c r="J267" s="103"/>
    </row>
    <row r="268" spans="2:10" ht="20" customHeight="1">
      <c r="B268" s="26" t="s">
        <v>672</v>
      </c>
      <c r="C268" s="441"/>
      <c r="D268" s="441"/>
      <c r="E268" s="22" t="str">
        <f>CONCATENATE(prefix_wld_az1_rack_cidr,".23.116")</f>
        <v>10.13.23.116</v>
      </c>
      <c r="F268" s="14"/>
      <c r="G268" s="445" t="s">
        <v>673</v>
      </c>
      <c r="H268" s="445"/>
      <c r="I268" s="445"/>
      <c r="J268" s="103"/>
    </row>
    <row r="269" spans="2:10" ht="20" customHeight="1">
      <c r="B269" s="21" t="s">
        <v>674</v>
      </c>
      <c r="C269" s="441"/>
      <c r="D269" s="441"/>
      <c r="E269" s="22" t="str">
        <f>CONCATENATE(prefix_wld_az1_rack_cidr,".24.101")</f>
        <v>10.13.24.101</v>
      </c>
      <c r="F269" s="14"/>
      <c r="G269" s="445" t="s">
        <v>675</v>
      </c>
      <c r="H269" s="445"/>
      <c r="I269" s="445"/>
    </row>
    <row r="270" spans="2:10" ht="20" customHeight="1">
      <c r="B270" s="21" t="s">
        <v>676</v>
      </c>
      <c r="C270" s="441"/>
      <c r="D270" s="441"/>
      <c r="E270" s="22" t="str">
        <f>CONCATENATE(prefix_wld_az1_rack_cidr,".24.116")</f>
        <v>10.13.24.116</v>
      </c>
      <c r="F270" s="14"/>
      <c r="G270" s="445" t="s">
        <v>3615</v>
      </c>
      <c r="H270" s="445"/>
      <c r="I270" s="445"/>
    </row>
    <row r="271" spans="2:10" ht="20" customHeight="1">
      <c r="B271" s="21" t="s">
        <v>677</v>
      </c>
      <c r="C271" s="441"/>
      <c r="D271" s="441"/>
      <c r="E271" s="22" t="str">
        <f>CONCATENATE(prefix_wld_az1_rack_cidr,".25.101")</f>
        <v>10.13.25.101</v>
      </c>
      <c r="F271" s="14"/>
      <c r="G271" s="445" t="s">
        <v>678</v>
      </c>
      <c r="H271" s="445"/>
      <c r="I271" s="445"/>
    </row>
    <row r="272" spans="2:10" ht="20" customHeight="1">
      <c r="B272" s="21" t="s">
        <v>679</v>
      </c>
      <c r="C272" s="441"/>
      <c r="D272" s="441"/>
      <c r="E272" s="22" t="str">
        <f>CONCATENATE(prefix_wld_az1_rack_cidr,".25.132")</f>
        <v>10.13.25.132</v>
      </c>
      <c r="F272" s="14"/>
      <c r="G272" s="445" t="s">
        <v>680</v>
      </c>
      <c r="H272" s="445"/>
      <c r="I272" s="445"/>
    </row>
    <row r="273" spans="2:9" ht="20" customHeight="1">
      <c r="B273" s="21" t="s">
        <v>691</v>
      </c>
      <c r="C273" s="465"/>
      <c r="D273" s="466"/>
      <c r="E273" s="22" t="str">
        <f>CONCATENATE(prefix_wld_az1_rack_cidr,".26.101")</f>
        <v>10.13.26.101</v>
      </c>
      <c r="F273" s="22"/>
      <c r="G273" s="442" t="s">
        <v>692</v>
      </c>
      <c r="H273" s="462"/>
      <c r="I273" s="451"/>
    </row>
    <row r="274" spans="2:9" ht="20" customHeight="1">
      <c r="B274" s="21" t="s">
        <v>693</v>
      </c>
      <c r="C274" s="465"/>
      <c r="D274" s="466"/>
      <c r="E274" s="22" t="str">
        <f>CONCATENATE(prefix_wld_az1_rack_cidr,".26.116")</f>
        <v>10.13.26.116</v>
      </c>
      <c r="F274" s="22"/>
      <c r="G274" s="442" t="s">
        <v>694</v>
      </c>
      <c r="H274" s="462"/>
      <c r="I274" s="451"/>
    </row>
    <row r="275" spans="2:9" ht="20" customHeight="1">
      <c r="B275" s="26" t="s">
        <v>4227</v>
      </c>
      <c r="C275" s="441"/>
      <c r="D275" s="441"/>
      <c r="E275" s="22" t="str">
        <f>CONCATENATE(prefix_wld_az1_rack_cidr,".30.2")</f>
        <v>10.13.30.2</v>
      </c>
      <c r="F275" s="14"/>
      <c r="G275" s="445" t="s">
        <v>4229</v>
      </c>
      <c r="H275" s="445"/>
      <c r="I275" s="445"/>
    </row>
    <row r="276" spans="2:9" ht="20" customHeight="1">
      <c r="B276" s="26" t="s">
        <v>4228</v>
      </c>
      <c r="C276" s="441"/>
      <c r="D276" s="441"/>
      <c r="E276" s="22" t="str">
        <f>CONCATENATE(prefix_wld_az1_rack_cidr,".30.5")</f>
        <v>10.13.30.5</v>
      </c>
      <c r="F276" s="14"/>
      <c r="G276" s="445" t="s">
        <v>4230</v>
      </c>
      <c r="H276" s="445"/>
      <c r="I276" s="445"/>
    </row>
    <row r="277" spans="2:9" ht="20" customHeight="1">
      <c r="B277" s="21" t="s">
        <v>681</v>
      </c>
      <c r="C277" s="441"/>
      <c r="D277" s="441"/>
      <c r="E277" s="22" t="str">
        <f>CONCATENATE(prefix_wld_az1_rack_cidr,".31.101")</f>
        <v>10.13.31.101</v>
      </c>
      <c r="F277" s="14"/>
      <c r="G277" s="454" t="s">
        <v>3930</v>
      </c>
      <c r="H277" s="455"/>
      <c r="I277" s="456"/>
    </row>
    <row r="278" spans="2:9" ht="20" customHeight="1">
      <c r="B278" s="21" t="s">
        <v>683</v>
      </c>
      <c r="C278" s="441"/>
      <c r="D278" s="441"/>
      <c r="E278" s="22" t="str">
        <f>CONCATENATE(prefix_wld_az1_rack_cidr,".31.116")</f>
        <v>10.13.31.116</v>
      </c>
      <c r="F278" s="14"/>
      <c r="G278" s="445" t="s">
        <v>3929</v>
      </c>
      <c r="H278" s="445"/>
      <c r="I278" s="445"/>
    </row>
    <row r="279" spans="2:9" ht="16" customHeight="1"/>
    <row r="280" spans="2:9" ht="34" customHeight="1">
      <c r="B280" s="436" t="s">
        <v>4013</v>
      </c>
      <c r="C280" s="436"/>
      <c r="D280" s="436"/>
      <c r="E280" s="457"/>
      <c r="F280" s="457"/>
      <c r="G280" s="457"/>
      <c r="H280" s="457"/>
      <c r="I280" s="457"/>
    </row>
    <row r="281" spans="2:9" ht="20" customHeight="1">
      <c r="B281" s="190" t="s">
        <v>530</v>
      </c>
      <c r="C281" s="190" t="s">
        <v>489</v>
      </c>
      <c r="D281" s="190" t="s">
        <v>3928</v>
      </c>
      <c r="E281" s="113" t="s">
        <v>3927</v>
      </c>
      <c r="F281" s="214"/>
      <c r="G281" s="214"/>
      <c r="H281" s="214"/>
      <c r="I281" s="215"/>
    </row>
    <row r="282" spans="2:9" ht="20" customHeight="1">
      <c r="B282" s="21" t="s">
        <v>3926</v>
      </c>
      <c r="C282" s="22" t="s">
        <v>634</v>
      </c>
      <c r="D282" s="22" t="str">
        <f>IF(wld_host_dns_zone_chosen="Multiple",CONCATENATE("rack3.",this_instance,".rainpole.io"),CONCATENATE(this_instance,".rainpole.io"))</f>
        <v>sfo.rainpole.io</v>
      </c>
      <c r="E282" s="18"/>
      <c r="F282" s="216"/>
      <c r="G282" s="216"/>
      <c r="H282" s="216"/>
      <c r="I282" s="217"/>
    </row>
    <row r="283" spans="2:9" ht="20" customHeight="1">
      <c r="B283" s="437" t="s">
        <v>4009</v>
      </c>
      <c r="C283" s="437"/>
      <c r="D283" s="459"/>
      <c r="E283" s="459"/>
      <c r="F283" s="459"/>
      <c r="G283" s="459"/>
      <c r="H283" s="459"/>
      <c r="I283" s="459"/>
    </row>
    <row r="284" spans="2:9" ht="20" customHeight="1">
      <c r="B284" s="190" t="s">
        <v>583</v>
      </c>
      <c r="C284" s="190" t="s">
        <v>629</v>
      </c>
      <c r="D284" s="113" t="s">
        <v>630</v>
      </c>
      <c r="E284" s="190" t="s">
        <v>631</v>
      </c>
      <c r="F284" s="113" t="s">
        <v>632</v>
      </c>
      <c r="G284" s="458" t="s">
        <v>222</v>
      </c>
      <c r="H284" s="458"/>
      <c r="I284" s="458"/>
    </row>
    <row r="285" spans="2:9" ht="20" customHeight="1">
      <c r="B285" s="26" t="s">
        <v>639</v>
      </c>
      <c r="C285" s="25" t="str">
        <f>CONCATENATE(this_instance,"01-w0",wld_domain_number_chosen,"-r03-esx01")</f>
        <v>sfo01-w01-r03-esx01</v>
      </c>
      <c r="D285" s="14"/>
      <c r="E285" s="25" t="str">
        <f>CONCATENATE(prefix_wld_az1_rack_cidr,".33.101")</f>
        <v>10.13.33.101</v>
      </c>
      <c r="F285" s="14"/>
      <c r="G285" s="445" t="s">
        <v>640</v>
      </c>
      <c r="H285" s="445"/>
      <c r="I285" s="445"/>
    </row>
    <row r="286" spans="2:9" ht="20" customHeight="1">
      <c r="B286" s="16"/>
      <c r="C286" s="25" t="str">
        <f>CONCATENATE(this_instance,"01-w0",wld_domain_number_chosen,"-r03-esx02")</f>
        <v>sfo01-w01-r03-esx02</v>
      </c>
      <c r="D286" s="14"/>
      <c r="E286" s="25" t="str">
        <f>CONCATENATE(prefix_wld_az1_rack_cidr,".33.102")</f>
        <v>10.13.33.102</v>
      </c>
      <c r="F286" s="14"/>
      <c r="G286" s="445" t="s">
        <v>642</v>
      </c>
      <c r="H286" s="445"/>
      <c r="I286" s="445"/>
    </row>
    <row r="287" spans="2:9" ht="20" customHeight="1">
      <c r="B287" s="16"/>
      <c r="C287" s="25" t="str">
        <f>CONCATENATE(this_instance,"01-w0",wld_domain_number_chosen,"-r03-esx03")</f>
        <v>sfo01-w01-r03-esx03</v>
      </c>
      <c r="D287" s="14"/>
      <c r="E287" s="25" t="str">
        <f>CONCATENATE(prefix_wld_az1_rack_cidr,".33.103")</f>
        <v>10.13.33.103</v>
      </c>
      <c r="F287" s="14"/>
      <c r="G287" s="445" t="s">
        <v>644</v>
      </c>
      <c r="H287" s="445"/>
      <c r="I287" s="445"/>
    </row>
    <row r="288" spans="2:9" ht="20" customHeight="1">
      <c r="B288" s="16"/>
      <c r="C288" s="25" t="str">
        <f>CONCATENATE(this_instance,"01-w0",wld_domain_number_chosen,"-r03-esx04")</f>
        <v>sfo01-w01-r03-esx04</v>
      </c>
      <c r="D288" s="14"/>
      <c r="E288" s="25" t="str">
        <f>CONCATENATE(prefix_wld_az1_rack_cidr,".33.104")</f>
        <v>10.13.33.104</v>
      </c>
      <c r="F288" s="14"/>
      <c r="G288" s="445" t="s">
        <v>646</v>
      </c>
      <c r="H288" s="445"/>
      <c r="I288" s="445"/>
    </row>
    <row r="289" spans="2:9" ht="20" customHeight="1">
      <c r="B289" s="16"/>
      <c r="C289" s="25" t="str">
        <f>CONCATENATE(this_instance,"01-w0",wld_domain_number_chosen,"-r03-esx05")</f>
        <v>sfo01-w01-r03-esx05</v>
      </c>
      <c r="D289" s="14"/>
      <c r="E289" s="25" t="str">
        <f>CONCATENATE(prefix_wld_az1_rack_cidr,".33.105")</f>
        <v>10.13.33.105</v>
      </c>
      <c r="F289" s="14"/>
      <c r="G289" s="445" t="s">
        <v>3770</v>
      </c>
      <c r="H289" s="445"/>
      <c r="I289" s="445"/>
    </row>
    <row r="290" spans="2:9" ht="20" customHeight="1">
      <c r="B290" s="16"/>
      <c r="C290" s="25" t="str">
        <f>CONCATENATE(this_instance,"01-w0",wld_domain_number_chosen,"-r03-esx06")</f>
        <v>sfo01-w01-r03-esx06</v>
      </c>
      <c r="D290" s="14"/>
      <c r="E290" s="25" t="str">
        <f>CONCATENATE(prefix_wld_az1_rack_cidr,".33.106")</f>
        <v>10.13.33.106</v>
      </c>
      <c r="F290" s="14"/>
      <c r="G290" s="445" t="s">
        <v>3772</v>
      </c>
      <c r="H290" s="445"/>
      <c r="I290" s="445"/>
    </row>
    <row r="291" spans="2:9" ht="20" customHeight="1">
      <c r="B291" s="16"/>
      <c r="C291" s="25" t="str">
        <f>CONCATENATE(this_instance,"01-w0",wld_domain_number_chosen,"-r03-esx07")</f>
        <v>sfo01-w01-r03-esx07</v>
      </c>
      <c r="D291" s="14"/>
      <c r="E291" s="25" t="str">
        <f>CONCATENATE(prefix_wld_az1_rack_cidr,".33.107")</f>
        <v>10.13.33.107</v>
      </c>
      <c r="F291" s="14"/>
      <c r="G291" s="445" t="s">
        <v>3774</v>
      </c>
      <c r="H291" s="445"/>
      <c r="I291" s="445"/>
    </row>
    <row r="292" spans="2:9" ht="20" customHeight="1">
      <c r="B292" s="16"/>
      <c r="C292" s="25" t="str">
        <f>CONCATENATE(this_instance,"01-w0",wld_domain_number_chosen,"-r03-esx08")</f>
        <v>sfo01-w01-r03-esx08</v>
      </c>
      <c r="D292" s="14"/>
      <c r="E292" s="25" t="str">
        <f>CONCATENATE(prefix_wld_az1_rack_cidr,".33.108")</f>
        <v>10.13.33.108</v>
      </c>
      <c r="F292" s="14"/>
      <c r="G292" s="445" t="s">
        <v>3776</v>
      </c>
      <c r="H292" s="445"/>
      <c r="I292" s="445"/>
    </row>
    <row r="293" spans="2:9" ht="20" customHeight="1">
      <c r="B293" s="16"/>
      <c r="C293" s="25" t="str">
        <f>CONCATENATE(this_instance,"01-w0",wld_domain_number_chosen,"-r03-esx09")</f>
        <v>sfo01-w01-r03-esx09</v>
      </c>
      <c r="D293" s="14"/>
      <c r="E293" s="25" t="str">
        <f>CONCATENATE(prefix_wld_az1_rack_cidr,".33.109")</f>
        <v>10.13.33.109</v>
      </c>
      <c r="F293" s="14"/>
      <c r="G293" s="445" t="s">
        <v>3778</v>
      </c>
      <c r="H293" s="445"/>
      <c r="I293" s="445"/>
    </row>
    <row r="294" spans="2:9" ht="20" customHeight="1">
      <c r="B294" s="16"/>
      <c r="C294" s="25" t="str">
        <f>CONCATENATE(this_instance,"01-w0",wld_domain_number_chosen,"-r03-esx10")</f>
        <v>sfo01-w01-r03-esx10</v>
      </c>
      <c r="D294" s="14"/>
      <c r="E294" s="25" t="str">
        <f>CONCATENATE(prefix_wld_az1_rack_cidr,".33.110")</f>
        <v>10.13.33.110</v>
      </c>
      <c r="F294" s="14"/>
      <c r="G294" s="445" t="s">
        <v>3780</v>
      </c>
      <c r="H294" s="445"/>
      <c r="I294" s="445"/>
    </row>
    <row r="295" spans="2:9" ht="20" customHeight="1">
      <c r="B295" s="16"/>
      <c r="C295" s="25" t="str">
        <f>CONCATENATE(this_instance,"01-w0",wld_domain_number_chosen,"-r03-esx11")</f>
        <v>sfo01-w01-r03-esx11</v>
      </c>
      <c r="D295" s="14"/>
      <c r="E295" s="25" t="str">
        <f>CONCATENATE(prefix_wld_az1_rack_cidr,".33.111")</f>
        <v>10.13.33.111</v>
      </c>
      <c r="F295" s="14"/>
      <c r="G295" s="445" t="s">
        <v>3782</v>
      </c>
      <c r="H295" s="445"/>
      <c r="I295" s="445"/>
    </row>
    <row r="296" spans="2:9" ht="20" customHeight="1">
      <c r="B296" s="16"/>
      <c r="C296" s="25" t="str">
        <f>CONCATENATE(this_instance,"01-w0",wld_domain_number_chosen,"-r03-esx12")</f>
        <v>sfo01-w01-r03-esx12</v>
      </c>
      <c r="D296" s="14"/>
      <c r="E296" s="25" t="str">
        <f>CONCATENATE(prefix_wld_az1_rack_cidr,".33.112")</f>
        <v>10.13.33.112</v>
      </c>
      <c r="F296" s="14"/>
      <c r="G296" s="445" t="s">
        <v>3784</v>
      </c>
      <c r="H296" s="445"/>
      <c r="I296" s="445"/>
    </row>
    <row r="297" spans="2:9" ht="20" customHeight="1">
      <c r="B297" s="16"/>
      <c r="C297" s="25" t="str">
        <f>CONCATENATE(this_instance,"01-w0",wld_domain_number_chosen,"-r03-esx13")</f>
        <v>sfo01-w01-r03-esx13</v>
      </c>
      <c r="D297" s="14"/>
      <c r="E297" s="25" t="str">
        <f>CONCATENATE(prefix_wld_az1_rack_cidr,".33.113")</f>
        <v>10.13.33.113</v>
      </c>
      <c r="F297" s="14"/>
      <c r="G297" s="445" t="s">
        <v>3786</v>
      </c>
      <c r="H297" s="445"/>
      <c r="I297" s="445"/>
    </row>
    <row r="298" spans="2:9" ht="20" customHeight="1">
      <c r="B298" s="16"/>
      <c r="C298" s="25" t="str">
        <f>CONCATENATE(this_instance,"01-w0",wld_domain_number_chosen,"-r03-esx14")</f>
        <v>sfo01-w01-r03-esx14</v>
      </c>
      <c r="D298" s="14"/>
      <c r="E298" s="25" t="str">
        <f>CONCATENATE(prefix_wld_az1_rack_cidr,".33.114")</f>
        <v>10.13.33.114</v>
      </c>
      <c r="F298" s="14"/>
      <c r="G298" s="445" t="s">
        <v>3788</v>
      </c>
      <c r="H298" s="445"/>
      <c r="I298" s="445"/>
    </row>
    <row r="299" spans="2:9" ht="20" customHeight="1">
      <c r="B299" s="16"/>
      <c r="C299" s="25" t="str">
        <f>CONCATENATE(this_instance,"01-w0",wld_domain_number_chosen,"-r03-esx15")</f>
        <v>sfo01-w01-r03-esx15</v>
      </c>
      <c r="D299" s="14"/>
      <c r="E299" s="25" t="str">
        <f>CONCATENATE(prefix_wld_az1_rack_cidr,".33.115")</f>
        <v>10.13.33.115</v>
      </c>
      <c r="F299" s="14"/>
      <c r="G299" s="445" t="s">
        <v>3790</v>
      </c>
      <c r="H299" s="445"/>
      <c r="I299" s="445"/>
    </row>
    <row r="300" spans="2:9" ht="20" customHeight="1">
      <c r="B300" s="16"/>
      <c r="C300" s="25" t="str">
        <f>CONCATENATE(this_instance,"01-w0",wld_domain_number_chosen,"-r03-esx16")</f>
        <v>sfo01-w01-r03-esx16</v>
      </c>
      <c r="D300" s="14"/>
      <c r="E300" s="25" t="str">
        <f>CONCATENATE(prefix_wld_az1_rack_cidr,".33.116")</f>
        <v>10.13.33.116</v>
      </c>
      <c r="F300" s="14"/>
      <c r="G300" s="445" t="s">
        <v>3792</v>
      </c>
      <c r="H300" s="445"/>
      <c r="I300" s="445"/>
    </row>
    <row r="301" spans="2:9" ht="20" customHeight="1">
      <c r="B301" s="437" t="s">
        <v>4010</v>
      </c>
      <c r="C301" s="437"/>
      <c r="D301" s="459"/>
      <c r="E301" s="459"/>
      <c r="F301" s="459"/>
      <c r="G301" s="459"/>
      <c r="H301" s="459"/>
      <c r="I301" s="459"/>
    </row>
    <row r="302" spans="2:9" ht="20" customHeight="1">
      <c r="B302" s="26"/>
      <c r="C302" s="25" t="str">
        <f>CONCATENATE(this_instance,"01-w0",wld_domain_number_chosen,"-r03-esx01")</f>
        <v>sfo01-w01-r03-esx01</v>
      </c>
      <c r="D302" s="18" t="str">
        <f>IF(ISBLANK(input_wld_az1_rack3_host1_hostname),"",input_wld_az1_rack3_host1_hostname)</f>
        <v/>
      </c>
      <c r="E302" s="25" t="str">
        <f>CONCATENATE(prefix_wld_az1_rack_cidr,".38.101")</f>
        <v>10.13.38.101</v>
      </c>
      <c r="F302" s="14"/>
      <c r="G302" s="445" t="s">
        <v>641</v>
      </c>
      <c r="H302" s="445"/>
      <c r="I302" s="445"/>
    </row>
    <row r="303" spans="2:9" ht="20" customHeight="1">
      <c r="B303" s="16"/>
      <c r="C303" s="25" t="str">
        <f>CONCATENATE(this_instance,"01-w0",wld_domain_number_chosen,"-r03-esx02")</f>
        <v>sfo01-w01-r03-esx02</v>
      </c>
      <c r="D303" s="18" t="str">
        <f>IF(ISBLANK(input_wld_az1_rack3_host2_hostname),"",input_wld_az1_rack3_host2_hostname)</f>
        <v/>
      </c>
      <c r="E303" s="25" t="str">
        <f>CONCATENATE(prefix_wld_az1_rack_cidr,".38.102")</f>
        <v>10.13.38.102</v>
      </c>
      <c r="F303" s="14"/>
      <c r="G303" s="445" t="s">
        <v>643</v>
      </c>
      <c r="H303" s="445"/>
      <c r="I303" s="445"/>
    </row>
    <row r="304" spans="2:9" ht="20" customHeight="1">
      <c r="B304" s="16"/>
      <c r="C304" s="25" t="str">
        <f>CONCATENATE(this_instance,"01-w0",wld_domain_number_chosen,"-r03-esx03")</f>
        <v>sfo01-w01-r03-esx03</v>
      </c>
      <c r="D304" s="18" t="str">
        <f>IF(ISBLANK(input_wld_az1_rack3_host3_hostname),"",input_wld_az1_rack3_host3_hostname)</f>
        <v/>
      </c>
      <c r="E304" s="25" t="str">
        <f>CONCATENATE(prefix_wld_az1_rack_cidr,".38.103")</f>
        <v>10.13.38.103</v>
      </c>
      <c r="F304" s="14"/>
      <c r="G304" s="445" t="s">
        <v>645</v>
      </c>
      <c r="H304" s="445"/>
      <c r="I304" s="445"/>
    </row>
    <row r="305" spans="2:9" ht="20" customHeight="1">
      <c r="B305" s="16"/>
      <c r="C305" s="25" t="str">
        <f>CONCATENATE(this_instance,"01-w0",wld_domain_number_chosen,"-r03-esx04")</f>
        <v>sfo01-w01-r03-esx04</v>
      </c>
      <c r="D305" s="18" t="str">
        <f>IF(ISBLANK(input_wld_az1_rack3_host4_hostname),"",input_wld_az1_rack3_host4_hostname)</f>
        <v/>
      </c>
      <c r="E305" s="25" t="str">
        <f>CONCATENATE(prefix_wld_az1_rack_cidr,".38.104")</f>
        <v>10.13.38.104</v>
      </c>
      <c r="F305" s="14"/>
      <c r="G305" s="445" t="s">
        <v>647</v>
      </c>
      <c r="H305" s="445"/>
      <c r="I305" s="445"/>
    </row>
    <row r="306" spans="2:9" ht="20" customHeight="1">
      <c r="B306" s="16"/>
      <c r="C306" s="25" t="str">
        <f>CONCATENATE(this_instance,"01-w0",wld_domain_number_chosen,"-r03-esx05")</f>
        <v>sfo01-w01-r03-esx05</v>
      </c>
      <c r="D306" s="18" t="str">
        <f>IF(ISBLANK(input_wld_az1_rack3_host5_hostname),"",input_wld_az1_rack3_host5_hostname)</f>
        <v/>
      </c>
      <c r="E306" s="25" t="str">
        <f>CONCATENATE(prefix_wld_az1_rack_cidr,".38.105")</f>
        <v>10.13.38.105</v>
      </c>
      <c r="F306" s="14"/>
      <c r="G306" s="445" t="s">
        <v>3771</v>
      </c>
      <c r="H306" s="445"/>
      <c r="I306" s="445"/>
    </row>
    <row r="307" spans="2:9" ht="20" customHeight="1">
      <c r="B307" s="16"/>
      <c r="C307" s="25" t="str">
        <f>CONCATENATE(this_instance,"01-w0",wld_domain_number_chosen,"-r03-esx06")</f>
        <v>sfo01-w01-r03-esx06</v>
      </c>
      <c r="D307" s="18" t="str">
        <f>IF(ISBLANK(input_wld_az1_rack3_host6_hostname),"",input_wld_az1_rack3_host6_hostname)</f>
        <v/>
      </c>
      <c r="E307" s="25" t="str">
        <f>CONCATENATE(prefix_wld_az1_rack_cidr,".38.106")</f>
        <v>10.13.38.106</v>
      </c>
      <c r="F307" s="14"/>
      <c r="G307" s="445" t="s">
        <v>3773</v>
      </c>
      <c r="H307" s="445"/>
      <c r="I307" s="445"/>
    </row>
    <row r="308" spans="2:9" ht="20" customHeight="1">
      <c r="B308" s="16"/>
      <c r="C308" s="25" t="str">
        <f>CONCATENATE(this_instance,"01-w0",wld_domain_number_chosen,"-r03-esx07")</f>
        <v>sfo01-w01-r03-esx07</v>
      </c>
      <c r="D308" s="18" t="str">
        <f>IF(ISBLANK(input_wld_az1_rack3_host7_hostname),"",input_wld_az1_rack3_host7_hostname)</f>
        <v/>
      </c>
      <c r="E308" s="25" t="str">
        <f>CONCATENATE(prefix_wld_az1_rack_cidr,".38.107")</f>
        <v>10.13.38.107</v>
      </c>
      <c r="F308" s="14"/>
      <c r="G308" s="445" t="s">
        <v>3775</v>
      </c>
      <c r="H308" s="445"/>
      <c r="I308" s="445"/>
    </row>
    <row r="309" spans="2:9" ht="20" customHeight="1">
      <c r="B309" s="16"/>
      <c r="C309" s="25" t="str">
        <f>CONCATENATE(this_instance,"01-w0",wld_domain_number_chosen,"-r03-esx08")</f>
        <v>sfo01-w01-r03-esx08</v>
      </c>
      <c r="D309" s="18" t="str">
        <f>IF(ISBLANK(input_wld_az1_rack3_host8_hostname),"",input_wld_az1_rack3_host8_hostname)</f>
        <v/>
      </c>
      <c r="E309" s="25" t="str">
        <f>CONCATENATE(prefix_wld_az1_rack_cidr,".38.108")</f>
        <v>10.13.38.108</v>
      </c>
      <c r="F309" s="14"/>
      <c r="G309" s="445" t="s">
        <v>3777</v>
      </c>
      <c r="H309" s="445"/>
      <c r="I309" s="445"/>
    </row>
    <row r="310" spans="2:9" ht="20" customHeight="1">
      <c r="B310" s="16"/>
      <c r="C310" s="25" t="str">
        <f>CONCATENATE(this_instance,"01-w0",wld_domain_number_chosen,"-r03-esx09")</f>
        <v>sfo01-w01-r03-esx09</v>
      </c>
      <c r="D310" s="18" t="str">
        <f>IF(ISBLANK(input_wld_az1_rack3_host9_hostname),"",input_wld_az1_rack3_host9_hostname)</f>
        <v/>
      </c>
      <c r="E310" s="25" t="str">
        <f>CONCATENATE(prefix_wld_az1_rack_cidr,".38.109")</f>
        <v>10.13.38.109</v>
      </c>
      <c r="F310" s="14"/>
      <c r="G310" s="445" t="s">
        <v>3779</v>
      </c>
      <c r="H310" s="445"/>
      <c r="I310" s="445"/>
    </row>
    <row r="311" spans="2:9" ht="20" customHeight="1">
      <c r="B311" s="16"/>
      <c r="C311" s="25" t="str">
        <f>CONCATENATE(this_instance,"01-w0",wld_domain_number_chosen,"-r03-esx10")</f>
        <v>sfo01-w01-r03-esx10</v>
      </c>
      <c r="D311" s="18" t="str">
        <f>IF(ISBLANK(input_wld_az1_rack3_host10_hostname),"",input_wld_az1_rack3_host10_hostname)</f>
        <v/>
      </c>
      <c r="E311" s="25" t="str">
        <f>CONCATENATE(prefix_wld_az1_rack_cidr,".38.110")</f>
        <v>10.13.38.110</v>
      </c>
      <c r="F311" s="14"/>
      <c r="G311" s="445" t="s">
        <v>3781</v>
      </c>
      <c r="H311" s="445"/>
      <c r="I311" s="445"/>
    </row>
    <row r="312" spans="2:9" ht="20" customHeight="1">
      <c r="B312" s="16"/>
      <c r="C312" s="25" t="str">
        <f>CONCATENATE(this_instance,"01-w0",wld_domain_number_chosen,"-r03-esx11")</f>
        <v>sfo01-w01-r03-esx11</v>
      </c>
      <c r="D312" s="18" t="str">
        <f>IF(ISBLANK(input_wld_az1_rack3_host11_hostname),"",input_wld_az1_rack3_host11_hostname)</f>
        <v/>
      </c>
      <c r="E312" s="25" t="str">
        <f>CONCATENATE(prefix_wld_az1_rack_cidr,".38.111")</f>
        <v>10.13.38.111</v>
      </c>
      <c r="F312" s="14"/>
      <c r="G312" s="445" t="s">
        <v>3783</v>
      </c>
      <c r="H312" s="445"/>
      <c r="I312" s="445"/>
    </row>
    <row r="313" spans="2:9" ht="20" customHeight="1">
      <c r="B313" s="16"/>
      <c r="C313" s="25" t="str">
        <f>CONCATENATE(this_instance,"01-w0",wld_domain_number_chosen,"-r03-esx12")</f>
        <v>sfo01-w01-r03-esx12</v>
      </c>
      <c r="D313" s="18" t="str">
        <f>IF(ISBLANK(input_wld_az1_rack3_host12_hostname),"",input_wld_az1_rack3_host12_hostname)</f>
        <v/>
      </c>
      <c r="E313" s="25" t="str">
        <f>CONCATENATE(prefix_wld_az1_rack_cidr,".38.112")</f>
        <v>10.13.38.112</v>
      </c>
      <c r="F313" s="14"/>
      <c r="G313" s="445" t="s">
        <v>3785</v>
      </c>
      <c r="H313" s="445"/>
      <c r="I313" s="445"/>
    </row>
    <row r="314" spans="2:9" ht="20" customHeight="1">
      <c r="B314" s="16"/>
      <c r="C314" s="25" t="str">
        <f>CONCATENATE(this_instance,"01-w0",wld_domain_number_chosen,"-r03-esx13")</f>
        <v>sfo01-w01-r03-esx13</v>
      </c>
      <c r="D314" s="18" t="str">
        <f>IF(ISBLANK(input_wld_az1_rack3_host13_hostname),"",input_wld_az1_rack3_host13_hostname)</f>
        <v/>
      </c>
      <c r="E314" s="25" t="str">
        <f>CONCATENATE(prefix_wld_az1_rack_cidr,".38.113")</f>
        <v>10.13.38.113</v>
      </c>
      <c r="F314" s="14"/>
      <c r="G314" s="445" t="s">
        <v>3787</v>
      </c>
      <c r="H314" s="445"/>
      <c r="I314" s="445"/>
    </row>
    <row r="315" spans="2:9" ht="20" customHeight="1">
      <c r="B315" s="16"/>
      <c r="C315" s="25" t="str">
        <f>CONCATENATE(this_instance,"01-w0",wld_domain_number_chosen,"-r03-esx14")</f>
        <v>sfo01-w01-r03-esx14</v>
      </c>
      <c r="D315" s="18" t="str">
        <f>IF(ISBLANK(input_wld_az1_rack3_host14_hostname),"",input_wld_az1_rack3_host14_hostname)</f>
        <v/>
      </c>
      <c r="E315" s="25" t="str">
        <f>CONCATENATE(prefix_wld_az1_rack_cidr,".38.114")</f>
        <v>10.13.38.114</v>
      </c>
      <c r="F315" s="14"/>
      <c r="G315" s="445" t="s">
        <v>3789</v>
      </c>
      <c r="H315" s="445"/>
      <c r="I315" s="445"/>
    </row>
    <row r="316" spans="2:9" ht="20" customHeight="1">
      <c r="B316" s="16"/>
      <c r="C316" s="25" t="str">
        <f>CONCATENATE(this_instance,"01-w0",wld_domain_number_chosen,"-r03-esx15")</f>
        <v>sfo01-w01-r03-esx15</v>
      </c>
      <c r="D316" s="18" t="str">
        <f>IF(ISBLANK(input_wld_az1_rack3_host15_hostname),"",input_wld_az1_rack3_host15_hostname)</f>
        <v/>
      </c>
      <c r="E316" s="25" t="str">
        <f>CONCATENATE(prefix_wld_az1_rack_cidr,".38.115")</f>
        <v>10.13.38.115</v>
      </c>
      <c r="F316" s="14"/>
      <c r="G316" s="445" t="s">
        <v>3791</v>
      </c>
      <c r="H316" s="445"/>
      <c r="I316" s="445"/>
    </row>
    <row r="317" spans="2:9" ht="20" customHeight="1">
      <c r="B317" s="16"/>
      <c r="C317" s="25" t="str">
        <f>CONCATENATE(this_instance,"01-w0",wld_domain_number_chosen,"-r03-esx16")</f>
        <v>sfo01-w01-r03-esx16</v>
      </c>
      <c r="D317" s="18" t="str">
        <f>IF(ISBLANK(input_wld_az1_rack3_host16_hostname),"",input_wld_az1_rack3_host16_hostname)</f>
        <v/>
      </c>
      <c r="E317" s="25" t="str">
        <f>CONCATENATE(prefix_wld_az1_rack_cidr,".38.116")</f>
        <v>10.13.38.116</v>
      </c>
      <c r="F317" s="14"/>
      <c r="G317" s="445" t="s">
        <v>3793</v>
      </c>
      <c r="H317" s="445"/>
      <c r="I317" s="445"/>
    </row>
    <row r="318" spans="2:9" ht="20" customHeight="1">
      <c r="B318" s="437" t="s">
        <v>4011</v>
      </c>
      <c r="C318" s="437"/>
      <c r="D318" s="459"/>
      <c r="E318" s="459"/>
      <c r="F318" s="459"/>
      <c r="G318" s="459"/>
      <c r="H318" s="459"/>
      <c r="I318" s="459"/>
    </row>
    <row r="319" spans="2:9" ht="20" customHeight="1">
      <c r="B319" s="16"/>
      <c r="C319" s="25" t="str">
        <f>CONCATENATE(this_instance,"-w0",wld_domain_number_chosen,"-r03-en01")</f>
        <v>sfo-w01-r03-en01</v>
      </c>
      <c r="D319" s="14"/>
      <c r="E319" s="25" t="str">
        <f>IF(wld_dpg_separation_result="Included",CONCATENATE(prefix_wld_az1_rack_cidr,".32.135"),CONCATENATE(prefix_wld_az1_rack_cidr,".33.135"))</f>
        <v>10.13.33.135</v>
      </c>
      <c r="F319" s="14"/>
      <c r="G319" s="445" t="str">
        <f>IF(wld_dedicated_edge_cluster_chosen_first=3,"Edge Node 1",IF(wld_dedicated_edge_cluster_chosen_second=3,"Edge Node 2",""))</f>
        <v/>
      </c>
      <c r="H319" s="445"/>
      <c r="I319" s="445"/>
    </row>
    <row r="320" spans="2:9" ht="20" customHeight="1">
      <c r="B320" s="16"/>
      <c r="C320" s="25" t="s">
        <v>569</v>
      </c>
      <c r="D320" s="23" t="s">
        <v>569</v>
      </c>
      <c r="E320" s="25" t="str">
        <f>CONCATENATE(prefix_wld_az1_rack_cidr,".39.2")</f>
        <v>10.13.39.2</v>
      </c>
      <c r="F320" s="14"/>
      <c r="G320" s="445" t="str">
        <f>IF(wld_dedicated_edge_cluster_chosen_first=3,"Uplink 1 IP Address for Edge Node 1",IF(wld_dedicated_edge_cluster_chosen_second=3,"Uplink 1 IP Address for Edge Node 2",""))</f>
        <v/>
      </c>
      <c r="H320" s="445"/>
      <c r="I320" s="445"/>
    </row>
    <row r="321" spans="2:9" ht="20" customHeight="1">
      <c r="B321" s="16"/>
      <c r="C321" s="25" t="s">
        <v>569</v>
      </c>
      <c r="D321" s="23" t="s">
        <v>569</v>
      </c>
      <c r="E321" s="25" t="str">
        <f>CONCATENATE(prefix_wld_az1_rack_cidr,".40.2")</f>
        <v>10.13.40.2</v>
      </c>
      <c r="F321" s="14"/>
      <c r="G321" s="445" t="str">
        <f>IF(wld_dedicated_edge_cluster_chosen_first=3,"Uplink 2 IP Address for Edge Node 1",IF(wld_dedicated_edge_cluster_chosen_second=3,"Uplink 2 IP Address for Edge Node 2",""))</f>
        <v/>
      </c>
      <c r="H321" s="445"/>
      <c r="I321" s="445"/>
    </row>
    <row r="322" spans="2:9" ht="20" customHeight="1">
      <c r="B322" s="16"/>
      <c r="C322" s="25" t="str">
        <f>CONCATENATE(this_instance,"-w0",wld_domain_number_chosen,"-r03-en02")</f>
        <v>sfo-w01-r03-en02</v>
      </c>
      <c r="D322" s="14"/>
      <c r="E322" s="25" t="str">
        <f>IF(wld_dpg_separation_result="Included",CONCATENATE(prefix_wld_az1_rack_cidr,".32.136"),CONCATENATE(prefix_wld_az1_rack_cidr,".33.136"))</f>
        <v>10.13.33.136</v>
      </c>
      <c r="F322" s="14"/>
      <c r="G322" s="445" t="str">
        <f>IF(wld_dedicated_edge_cluster_chosen_first=3,"Edge Cluster Node 3",IF(wld_dedicated_edge_cluster_chosen_second=3,"Edge Cluster Node 4",""))</f>
        <v/>
      </c>
      <c r="H322" s="445"/>
      <c r="I322" s="445"/>
    </row>
    <row r="323" spans="2:9" ht="20" customHeight="1">
      <c r="B323" s="16"/>
      <c r="C323" s="25" t="s">
        <v>569</v>
      </c>
      <c r="D323" s="23" t="s">
        <v>569</v>
      </c>
      <c r="E323" s="25" t="str">
        <f>CONCATENATE(prefix_wld_az1_rack_cidr,".39.3")</f>
        <v>10.13.39.3</v>
      </c>
      <c r="F323" s="14"/>
      <c r="G323" s="445" t="str">
        <f>IF(wld_dedicated_edge_cluster_chosen_first=3,"Uplink 1 IP Address for Edge Cluster Node 3",IF(wld_dedicated_edge_cluster_chosen_second=3,"Uplink 1 IP Address for Edge Cluster Node 4",""))</f>
        <v/>
      </c>
      <c r="H323" s="445"/>
      <c r="I323" s="445"/>
    </row>
    <row r="324" spans="2:9" ht="20" customHeight="1">
      <c r="B324" s="16"/>
      <c r="C324" s="25" t="s">
        <v>569</v>
      </c>
      <c r="D324" s="23" t="s">
        <v>569</v>
      </c>
      <c r="E324" s="25" t="str">
        <f>CONCATENATE(prefix_wld_az1_rack_cidr,".40.3")</f>
        <v>10.13.40.3</v>
      </c>
      <c r="F324" s="14"/>
      <c r="G324" s="445" t="str">
        <f>IF(wld_dedicated_edge_cluster_chosen_first=3,"Uplink 2 IP Address for Edge Cluster  Node 3",IF(wld_dedicated_edge_cluster_chosen_second=3,"Uplink 2 IP Address for Edge Cluster Node 4",""))</f>
        <v/>
      </c>
      <c r="H324" s="445"/>
      <c r="I324" s="445"/>
    </row>
    <row r="325" spans="2:9" ht="20" customHeight="1">
      <c r="B325" s="437" t="s">
        <v>667</v>
      </c>
      <c r="C325" s="437"/>
      <c r="D325" s="437"/>
      <c r="E325" s="437"/>
      <c r="F325" s="437"/>
      <c r="G325" s="437"/>
      <c r="H325" s="437"/>
      <c r="I325" s="437"/>
    </row>
    <row r="326" spans="2:9" ht="20" customHeight="1">
      <c r="B326" s="190" t="s">
        <v>668</v>
      </c>
      <c r="C326" s="458"/>
      <c r="D326" s="458"/>
      <c r="E326" s="190" t="s">
        <v>669</v>
      </c>
      <c r="F326" s="113" t="s">
        <v>632</v>
      </c>
      <c r="G326" s="458" t="s">
        <v>222</v>
      </c>
      <c r="H326" s="458"/>
      <c r="I326" s="458"/>
    </row>
    <row r="327" spans="2:9" ht="20" customHeight="1">
      <c r="B327" s="26" t="s">
        <v>670</v>
      </c>
      <c r="C327" s="441"/>
      <c r="D327" s="441"/>
      <c r="E327" s="22" t="str">
        <f>CONCATENATE(prefix_wld_az1_rack_cidr,".34.101")</f>
        <v>10.13.34.101</v>
      </c>
      <c r="F327" s="14"/>
      <c r="G327" s="445" t="s">
        <v>671</v>
      </c>
      <c r="H327" s="445"/>
      <c r="I327" s="445"/>
    </row>
    <row r="328" spans="2:9" ht="20" customHeight="1">
      <c r="B328" s="26" t="s">
        <v>672</v>
      </c>
      <c r="C328" s="441"/>
      <c r="D328" s="441"/>
      <c r="E328" s="22" t="str">
        <f>CONCATENATE(prefix_wld_az1_rack_cidr,".34.116")</f>
        <v>10.13.34.116</v>
      </c>
      <c r="F328" s="14"/>
      <c r="G328" s="445" t="s">
        <v>673</v>
      </c>
      <c r="H328" s="445"/>
      <c r="I328" s="445"/>
    </row>
    <row r="329" spans="2:9" ht="20" customHeight="1">
      <c r="B329" s="21" t="s">
        <v>674</v>
      </c>
      <c r="C329" s="441"/>
      <c r="D329" s="441"/>
      <c r="E329" s="22" t="str">
        <f>CONCATENATE(prefix_wld_az1_rack_cidr,".35.101")</f>
        <v>10.13.35.101</v>
      </c>
      <c r="F329" s="14"/>
      <c r="G329" s="445" t="s">
        <v>675</v>
      </c>
      <c r="H329" s="445"/>
      <c r="I329" s="445"/>
    </row>
    <row r="330" spans="2:9" ht="20" customHeight="1">
      <c r="B330" s="21" t="s">
        <v>676</v>
      </c>
      <c r="C330" s="441"/>
      <c r="D330" s="441"/>
      <c r="E330" s="22" t="str">
        <f>CONCATENATE(prefix_wld_az1_rack_cidr,".35.116")</f>
        <v>10.13.35.116</v>
      </c>
      <c r="F330" s="14"/>
      <c r="G330" s="445" t="s">
        <v>3615</v>
      </c>
      <c r="H330" s="445"/>
      <c r="I330" s="445"/>
    </row>
    <row r="331" spans="2:9" ht="20" customHeight="1">
      <c r="B331" s="21" t="s">
        <v>677</v>
      </c>
      <c r="C331" s="441"/>
      <c r="D331" s="441"/>
      <c r="E331" s="22" t="str">
        <f>CONCATENATE(prefix_wld_az1_rack_cidr,".36.101")</f>
        <v>10.13.36.101</v>
      </c>
      <c r="F331" s="14"/>
      <c r="G331" s="445" t="s">
        <v>678</v>
      </c>
      <c r="H331" s="445"/>
      <c r="I331" s="445"/>
    </row>
    <row r="332" spans="2:9" ht="20" customHeight="1">
      <c r="B332" s="21" t="s">
        <v>679</v>
      </c>
      <c r="C332" s="441"/>
      <c r="D332" s="441"/>
      <c r="E332" s="22" t="str">
        <f>CONCATENATE(prefix_wld_az1_rack_cidr,".36.132")</f>
        <v>10.13.36.132</v>
      </c>
      <c r="F332" s="14"/>
      <c r="G332" s="445" t="s">
        <v>680</v>
      </c>
      <c r="H332" s="445"/>
      <c r="I332" s="445"/>
    </row>
    <row r="333" spans="2:9" ht="20" customHeight="1">
      <c r="B333" s="21" t="s">
        <v>691</v>
      </c>
      <c r="C333" s="460"/>
      <c r="D333" s="461"/>
      <c r="E333" s="22" t="str">
        <f>CONCATENATE(prefix_wld_az1_rack_cidr,".37.101")</f>
        <v>10.13.37.101</v>
      </c>
      <c r="F333" s="18"/>
      <c r="G333" s="442" t="s">
        <v>692</v>
      </c>
      <c r="H333" s="462"/>
      <c r="I333" s="451"/>
    </row>
    <row r="334" spans="2:9" ht="20" customHeight="1">
      <c r="B334" s="21" t="s">
        <v>693</v>
      </c>
      <c r="C334" s="460"/>
      <c r="D334" s="461"/>
      <c r="E334" s="22" t="str">
        <f>CONCATENATE(prefix_wld_az1_rack_cidr,".37.116")</f>
        <v>10.13.37.116</v>
      </c>
      <c r="F334" s="18"/>
      <c r="G334" s="442" t="s">
        <v>694</v>
      </c>
      <c r="H334" s="462"/>
      <c r="I334" s="451"/>
    </row>
    <row r="335" spans="2:9" ht="20" customHeight="1">
      <c r="B335" s="26" t="s">
        <v>4227</v>
      </c>
      <c r="C335" s="441"/>
      <c r="D335" s="441"/>
      <c r="E335" s="22" t="str">
        <f>CONCATENATE(prefix_wld_az1_rack_cidr,".41.2")</f>
        <v>10.13.41.2</v>
      </c>
      <c r="F335" s="14"/>
      <c r="G335" s="445" t="s">
        <v>4229</v>
      </c>
      <c r="H335" s="445"/>
      <c r="I335" s="445"/>
    </row>
    <row r="336" spans="2:9" ht="20" customHeight="1">
      <c r="B336" s="26" t="s">
        <v>4228</v>
      </c>
      <c r="C336" s="441"/>
      <c r="D336" s="441"/>
      <c r="E336" s="22" t="str">
        <f>CONCATENATE(prefix_wld_az1_rack_cidr,".41.5")</f>
        <v>10.13.41.5</v>
      </c>
      <c r="F336" s="14"/>
      <c r="G336" s="445" t="s">
        <v>4230</v>
      </c>
      <c r="H336" s="445"/>
      <c r="I336" s="445"/>
    </row>
    <row r="337" spans="2:9" ht="20" customHeight="1">
      <c r="B337" s="21" t="s">
        <v>681</v>
      </c>
      <c r="C337" s="441"/>
      <c r="D337" s="441"/>
      <c r="E337" s="22" t="str">
        <f>CONCATENATE(prefix_wld_az1_rack_cidr,".42.101")</f>
        <v>10.13.42.101</v>
      </c>
      <c r="F337" s="14"/>
      <c r="G337" s="445" t="s">
        <v>3930</v>
      </c>
      <c r="H337" s="445"/>
      <c r="I337" s="445"/>
    </row>
    <row r="338" spans="2:9" ht="20" customHeight="1">
      <c r="B338" s="21" t="s">
        <v>683</v>
      </c>
      <c r="C338" s="441"/>
      <c r="D338" s="441"/>
      <c r="E338" s="22" t="str">
        <f>CONCATENATE(prefix_wld_az1_rack_cidr,".42.116")</f>
        <v>10.13.42.116</v>
      </c>
      <c r="F338" s="14"/>
      <c r="G338" s="445" t="s">
        <v>3929</v>
      </c>
      <c r="H338" s="445"/>
      <c r="I338" s="445"/>
    </row>
    <row r="339" spans="2:9" ht="16" customHeight="1"/>
    <row r="340" spans="2:9" ht="34" customHeight="1">
      <c r="B340" s="436" t="s">
        <v>4014</v>
      </c>
      <c r="C340" s="436"/>
      <c r="D340" s="436"/>
      <c r="E340" s="457"/>
      <c r="F340" s="457"/>
      <c r="G340" s="457"/>
      <c r="H340" s="457"/>
      <c r="I340" s="457"/>
    </row>
    <row r="341" spans="2:9" ht="20" customHeight="1">
      <c r="B341" s="190" t="s">
        <v>530</v>
      </c>
      <c r="C341" s="190" t="s">
        <v>489</v>
      </c>
      <c r="D341" s="190" t="s">
        <v>3928</v>
      </c>
      <c r="E341" s="113" t="s">
        <v>3927</v>
      </c>
      <c r="F341" s="214"/>
      <c r="G341" s="214"/>
      <c r="H341" s="214"/>
      <c r="I341" s="215"/>
    </row>
    <row r="342" spans="2:9" ht="20" customHeight="1">
      <c r="B342" s="21" t="s">
        <v>3926</v>
      </c>
      <c r="C342" s="22" t="s">
        <v>634</v>
      </c>
      <c r="D342" s="25" t="str">
        <f>IF(wld_host_dns_zone_chosen="Multiple",CONCATENATE("rack4.",this_instance,".rainpole.io"),CONCATENATE(this_instance,".rainpole.io"))</f>
        <v>sfo.rainpole.io</v>
      </c>
      <c r="E342" s="14"/>
      <c r="F342" s="216"/>
      <c r="G342" s="216"/>
      <c r="H342" s="216"/>
      <c r="I342" s="217"/>
    </row>
    <row r="343" spans="2:9" ht="20" customHeight="1">
      <c r="B343" s="437" t="s">
        <v>4009</v>
      </c>
      <c r="C343" s="437"/>
      <c r="D343" s="459"/>
      <c r="E343" s="459"/>
      <c r="F343" s="459"/>
      <c r="G343" s="459"/>
      <c r="H343" s="459"/>
      <c r="I343" s="459"/>
    </row>
    <row r="344" spans="2:9" ht="20" customHeight="1">
      <c r="B344" s="190" t="s">
        <v>583</v>
      </c>
      <c r="C344" s="190" t="s">
        <v>629</v>
      </c>
      <c r="D344" s="113" t="s">
        <v>630</v>
      </c>
      <c r="E344" s="190" t="s">
        <v>631</v>
      </c>
      <c r="F344" s="113" t="s">
        <v>632</v>
      </c>
      <c r="G344" s="458" t="s">
        <v>222</v>
      </c>
      <c r="H344" s="458"/>
      <c r="I344" s="458"/>
    </row>
    <row r="345" spans="2:9" ht="20" customHeight="1">
      <c r="B345" s="26" t="s">
        <v>639</v>
      </c>
      <c r="C345" s="25" t="str">
        <f>CONCATENATE(this_instance,"01-w0",wld_domain_number_chosen,"-r04-esx01")</f>
        <v>sfo01-w01-r04-esx01</v>
      </c>
      <c r="D345" s="14"/>
      <c r="E345" s="25" t="str">
        <f>CONCATENATE(prefix_wld_az1_rack_cidr,".44.101")</f>
        <v>10.13.44.101</v>
      </c>
      <c r="F345" s="14"/>
      <c r="G345" s="445" t="s">
        <v>640</v>
      </c>
      <c r="H345" s="445"/>
      <c r="I345" s="445"/>
    </row>
    <row r="346" spans="2:9" ht="20" customHeight="1">
      <c r="B346" s="16"/>
      <c r="C346" s="25" t="str">
        <f>CONCATENATE(this_instance,"01-w0",wld_domain_number_chosen,"-r04-esx02")</f>
        <v>sfo01-w01-r04-esx02</v>
      </c>
      <c r="D346" s="14"/>
      <c r="E346" s="25" t="str">
        <f>CONCATENATE(prefix_wld_az1_rack_cidr,".44.102")</f>
        <v>10.13.44.102</v>
      </c>
      <c r="F346" s="14"/>
      <c r="G346" s="445" t="s">
        <v>642</v>
      </c>
      <c r="H346" s="445"/>
      <c r="I346" s="445"/>
    </row>
    <row r="347" spans="2:9" ht="20" customHeight="1">
      <c r="B347" s="16"/>
      <c r="C347" s="25" t="str">
        <f>CONCATENATE(this_instance,"01-w0",wld_domain_number_chosen,"-r04-esx03")</f>
        <v>sfo01-w01-r04-esx03</v>
      </c>
      <c r="D347" s="14"/>
      <c r="E347" s="25" t="str">
        <f>CONCATENATE(prefix_wld_az1_rack_cidr,".44.103")</f>
        <v>10.13.44.103</v>
      </c>
      <c r="F347" s="14"/>
      <c r="G347" s="445" t="s">
        <v>644</v>
      </c>
      <c r="H347" s="445"/>
      <c r="I347" s="445"/>
    </row>
    <row r="348" spans="2:9" ht="20" customHeight="1">
      <c r="B348" s="16"/>
      <c r="C348" s="25" t="str">
        <f>CONCATENATE(this_instance,"01-w0",wld_domain_number_chosen,"-r04-esx04")</f>
        <v>sfo01-w01-r04-esx04</v>
      </c>
      <c r="D348" s="14"/>
      <c r="E348" s="25" t="str">
        <f>CONCATENATE(prefix_wld_az1_rack_cidr,".44.104")</f>
        <v>10.13.44.104</v>
      </c>
      <c r="F348" s="14"/>
      <c r="G348" s="445" t="s">
        <v>646</v>
      </c>
      <c r="H348" s="445"/>
      <c r="I348" s="445"/>
    </row>
    <row r="349" spans="2:9" ht="20" customHeight="1">
      <c r="B349" s="16"/>
      <c r="C349" s="25" t="str">
        <f>CONCATENATE(this_instance,"01-w0",wld_domain_number_chosen,"-r04-esx05")</f>
        <v>sfo01-w01-r04-esx05</v>
      </c>
      <c r="D349" s="14"/>
      <c r="E349" s="25" t="str">
        <f>CONCATENATE(prefix_wld_az1_rack_cidr,".44.105")</f>
        <v>10.13.44.105</v>
      </c>
      <c r="F349" s="14"/>
      <c r="G349" s="445" t="s">
        <v>3770</v>
      </c>
      <c r="H349" s="445"/>
      <c r="I349" s="445"/>
    </row>
    <row r="350" spans="2:9" ht="20" customHeight="1">
      <c r="B350" s="16"/>
      <c r="C350" s="25" t="str">
        <f>CONCATENATE(this_instance,"01-w0",wld_domain_number_chosen,"-r04-esx06")</f>
        <v>sfo01-w01-r04-esx06</v>
      </c>
      <c r="D350" s="14"/>
      <c r="E350" s="25" t="str">
        <f>CONCATENATE(prefix_wld_az1_rack_cidr,".44.106")</f>
        <v>10.13.44.106</v>
      </c>
      <c r="F350" s="14"/>
      <c r="G350" s="445" t="s">
        <v>3772</v>
      </c>
      <c r="H350" s="445"/>
      <c r="I350" s="445"/>
    </row>
    <row r="351" spans="2:9" ht="20" customHeight="1">
      <c r="B351" s="16"/>
      <c r="C351" s="25" t="str">
        <f>CONCATENATE(this_instance,"01-w0",wld_domain_number_chosen,"-r04-esx07")</f>
        <v>sfo01-w01-r04-esx07</v>
      </c>
      <c r="D351" s="14"/>
      <c r="E351" s="25" t="str">
        <f>CONCATENATE(prefix_wld_az1_rack_cidr,".44.107")</f>
        <v>10.13.44.107</v>
      </c>
      <c r="F351" s="14"/>
      <c r="G351" s="445" t="s">
        <v>3774</v>
      </c>
      <c r="H351" s="445"/>
      <c r="I351" s="445"/>
    </row>
    <row r="352" spans="2:9" ht="20" customHeight="1">
      <c r="B352" s="16"/>
      <c r="C352" s="25" t="str">
        <f>CONCATENATE(this_instance,"01-w0",wld_domain_number_chosen,"-r04-esx08")</f>
        <v>sfo01-w01-r04-esx08</v>
      </c>
      <c r="D352" s="14"/>
      <c r="E352" s="25" t="str">
        <f>CONCATENATE(prefix_wld_az1_rack_cidr,".44.108")</f>
        <v>10.13.44.108</v>
      </c>
      <c r="F352" s="14"/>
      <c r="G352" s="445" t="s">
        <v>3776</v>
      </c>
      <c r="H352" s="445"/>
      <c r="I352" s="445"/>
    </row>
    <row r="353" spans="2:9" ht="20" customHeight="1">
      <c r="B353" s="16"/>
      <c r="C353" s="25" t="str">
        <f>CONCATENATE(this_instance,"01-w0",wld_domain_number_chosen,"-r04-esx09")</f>
        <v>sfo01-w01-r04-esx09</v>
      </c>
      <c r="D353" s="14"/>
      <c r="E353" s="25" t="str">
        <f>CONCATENATE(prefix_wld_az1_rack_cidr,".44.109")</f>
        <v>10.13.44.109</v>
      </c>
      <c r="F353" s="14"/>
      <c r="G353" s="445" t="s">
        <v>3778</v>
      </c>
      <c r="H353" s="445"/>
      <c r="I353" s="445"/>
    </row>
    <row r="354" spans="2:9" ht="20" customHeight="1">
      <c r="B354" s="16"/>
      <c r="C354" s="25" t="str">
        <f>CONCATENATE(this_instance,"01-w0",wld_domain_number_chosen,"-r04-esx10")</f>
        <v>sfo01-w01-r04-esx10</v>
      </c>
      <c r="D354" s="14"/>
      <c r="E354" s="25" t="str">
        <f>CONCATENATE(prefix_wld_az1_rack_cidr,".44.110")</f>
        <v>10.13.44.110</v>
      </c>
      <c r="F354" s="14"/>
      <c r="G354" s="445" t="s">
        <v>3780</v>
      </c>
      <c r="H354" s="445"/>
      <c r="I354" s="445"/>
    </row>
    <row r="355" spans="2:9" ht="20" customHeight="1">
      <c r="B355" s="16"/>
      <c r="C355" s="25" t="str">
        <f>CONCATENATE(this_instance,"01-w0",wld_domain_number_chosen,"-r04-esx11")</f>
        <v>sfo01-w01-r04-esx11</v>
      </c>
      <c r="D355" s="14"/>
      <c r="E355" s="25" t="str">
        <f>CONCATENATE(prefix_wld_az1_rack_cidr,".44.111")</f>
        <v>10.13.44.111</v>
      </c>
      <c r="F355" s="14"/>
      <c r="G355" s="445" t="s">
        <v>3782</v>
      </c>
      <c r="H355" s="445"/>
      <c r="I355" s="445"/>
    </row>
    <row r="356" spans="2:9" ht="20" customHeight="1">
      <c r="B356" s="16"/>
      <c r="C356" s="25" t="str">
        <f>CONCATENATE(this_instance,"01-w0",wld_domain_number_chosen,"-r04-esx12")</f>
        <v>sfo01-w01-r04-esx12</v>
      </c>
      <c r="D356" s="14"/>
      <c r="E356" s="25" t="str">
        <f>CONCATENATE(prefix_wld_az1_rack_cidr,".44.112")</f>
        <v>10.13.44.112</v>
      </c>
      <c r="F356" s="14"/>
      <c r="G356" s="445" t="s">
        <v>3784</v>
      </c>
      <c r="H356" s="445"/>
      <c r="I356" s="445"/>
    </row>
    <row r="357" spans="2:9" ht="20" customHeight="1">
      <c r="B357" s="16"/>
      <c r="C357" s="25" t="str">
        <f>CONCATENATE(this_instance,"01-w0",wld_domain_number_chosen,"-r04-esx13")</f>
        <v>sfo01-w01-r04-esx13</v>
      </c>
      <c r="D357" s="14"/>
      <c r="E357" s="25" t="str">
        <f>CONCATENATE(prefix_wld_az1_rack_cidr,".44.113")</f>
        <v>10.13.44.113</v>
      </c>
      <c r="F357" s="14"/>
      <c r="G357" s="445" t="s">
        <v>3786</v>
      </c>
      <c r="H357" s="445"/>
      <c r="I357" s="445"/>
    </row>
    <row r="358" spans="2:9" ht="20" customHeight="1">
      <c r="B358" s="16"/>
      <c r="C358" s="25" t="str">
        <f>CONCATENATE(this_instance,"01-w0",wld_domain_number_chosen,"-r04-esx14")</f>
        <v>sfo01-w01-r04-esx14</v>
      </c>
      <c r="D358" s="14"/>
      <c r="E358" s="25" t="str">
        <f>CONCATENATE(prefix_wld_az1_rack_cidr,".44.114")</f>
        <v>10.13.44.114</v>
      </c>
      <c r="F358" s="14"/>
      <c r="G358" s="445" t="s">
        <v>3788</v>
      </c>
      <c r="H358" s="445"/>
      <c r="I358" s="445"/>
    </row>
    <row r="359" spans="2:9" ht="20" customHeight="1">
      <c r="B359" s="16"/>
      <c r="C359" s="25" t="str">
        <f>CONCATENATE(this_instance,"01-w0",wld_domain_number_chosen,"-r04-esx15")</f>
        <v>sfo01-w01-r04-esx15</v>
      </c>
      <c r="D359" s="14"/>
      <c r="E359" s="25" t="str">
        <f>CONCATENATE(prefix_wld_az1_rack_cidr,".44.115")</f>
        <v>10.13.44.115</v>
      </c>
      <c r="F359" s="14"/>
      <c r="G359" s="445" t="s">
        <v>3790</v>
      </c>
      <c r="H359" s="445"/>
      <c r="I359" s="445"/>
    </row>
    <row r="360" spans="2:9" ht="20" customHeight="1">
      <c r="B360" s="16"/>
      <c r="C360" s="25" t="str">
        <f>CONCATENATE(this_instance,"01-w0",wld_domain_number_chosen,"-r04-esx16")</f>
        <v>sfo01-w01-r04-esx16</v>
      </c>
      <c r="D360" s="14"/>
      <c r="E360" s="25" t="str">
        <f>CONCATENATE(prefix_wld_az1_rack_cidr,".44.116")</f>
        <v>10.13.44.116</v>
      </c>
      <c r="F360" s="14"/>
      <c r="G360" s="445" t="s">
        <v>3792</v>
      </c>
      <c r="H360" s="445"/>
      <c r="I360" s="445"/>
    </row>
    <row r="361" spans="2:9" ht="20" customHeight="1">
      <c r="B361" s="437" t="s">
        <v>4010</v>
      </c>
      <c r="C361" s="437"/>
      <c r="D361" s="459"/>
      <c r="E361" s="459"/>
      <c r="F361" s="459"/>
      <c r="G361" s="459"/>
      <c r="H361" s="459"/>
      <c r="I361" s="459"/>
    </row>
    <row r="362" spans="2:9" ht="20" customHeight="1">
      <c r="B362" s="26"/>
      <c r="C362" s="25" t="str">
        <f>CONCATENATE(this_instance,"01-w0",wld_domain_number_chosen,"-r04-esx01")</f>
        <v>sfo01-w01-r04-esx01</v>
      </c>
      <c r="D362" s="18" t="str">
        <f>IF(ISBLANK(input_wld_az1_rack4_host1_hostname),"",input_wld_az1_rack4_host1_hostname)</f>
        <v/>
      </c>
      <c r="E362" s="25" t="str">
        <f>CONCATENATE(prefix_wld_az1_rack_cidr,".49.101")</f>
        <v>10.13.49.101</v>
      </c>
      <c r="F362" s="14"/>
      <c r="G362" s="445" t="s">
        <v>641</v>
      </c>
      <c r="H362" s="445"/>
      <c r="I362" s="445"/>
    </row>
    <row r="363" spans="2:9" ht="20" customHeight="1">
      <c r="B363" s="16"/>
      <c r="C363" s="25" t="str">
        <f>CONCATENATE(this_instance,"01-w0",wld_domain_number_chosen,"-r04-esx02")</f>
        <v>sfo01-w01-r04-esx02</v>
      </c>
      <c r="D363" s="18" t="str">
        <f>IF(ISBLANK(input_wld_az1_rack4_host2_hostname),"",input_wld_az1_rack4_host2_hostname)</f>
        <v/>
      </c>
      <c r="E363" s="25" t="str">
        <f>CONCATENATE(prefix_wld_az1_rack_cidr,".49.102")</f>
        <v>10.13.49.102</v>
      </c>
      <c r="F363" s="14"/>
      <c r="G363" s="445" t="s">
        <v>643</v>
      </c>
      <c r="H363" s="445"/>
      <c r="I363" s="445"/>
    </row>
    <row r="364" spans="2:9" ht="20" customHeight="1">
      <c r="B364" s="16"/>
      <c r="C364" s="25" t="str">
        <f>CONCATENATE(this_instance,"01-w0",wld_domain_number_chosen,"-r04-esx03")</f>
        <v>sfo01-w01-r04-esx03</v>
      </c>
      <c r="D364" s="18" t="str">
        <f>IF(ISBLANK(input_wld_az1_rack4_host3_hostname),"",input_wld_az1_rack4_host3_hostname)</f>
        <v/>
      </c>
      <c r="E364" s="25" t="str">
        <f>CONCATENATE(prefix_wld_az1_rack_cidr,".49.103")</f>
        <v>10.13.49.103</v>
      </c>
      <c r="F364" s="14"/>
      <c r="G364" s="445" t="s">
        <v>645</v>
      </c>
      <c r="H364" s="445"/>
      <c r="I364" s="445"/>
    </row>
    <row r="365" spans="2:9" ht="20" customHeight="1">
      <c r="B365" s="16"/>
      <c r="C365" s="25" t="str">
        <f>CONCATENATE(this_instance,"01-w0",wld_domain_number_chosen,"-r04-esx04")</f>
        <v>sfo01-w01-r04-esx04</v>
      </c>
      <c r="D365" s="18" t="str">
        <f>IF(ISBLANK(input_wld_az1_rack4_host4_hostname),"",input_wld_az1_rack4_host4_hostname)</f>
        <v/>
      </c>
      <c r="E365" s="25" t="str">
        <f>CONCATENATE(prefix_wld_az1_rack_cidr,".49.104")</f>
        <v>10.13.49.104</v>
      </c>
      <c r="F365" s="14"/>
      <c r="G365" s="445" t="s">
        <v>647</v>
      </c>
      <c r="H365" s="445"/>
      <c r="I365" s="445"/>
    </row>
    <row r="366" spans="2:9" ht="20" customHeight="1">
      <c r="B366" s="16"/>
      <c r="C366" s="25" t="str">
        <f>CONCATENATE(this_instance,"01-w0",wld_domain_number_chosen,"-r04-esx05")</f>
        <v>sfo01-w01-r04-esx05</v>
      </c>
      <c r="D366" s="18" t="str">
        <f>IF(ISBLANK(input_wld_az1_rack4_host5_hostname),"",input_wld_az1_rack4_host5_hostname)</f>
        <v/>
      </c>
      <c r="E366" s="25" t="str">
        <f>CONCATENATE(prefix_wld_az1_rack_cidr,".49.105")</f>
        <v>10.13.49.105</v>
      </c>
      <c r="F366" s="14"/>
      <c r="G366" s="445" t="s">
        <v>3771</v>
      </c>
      <c r="H366" s="445"/>
      <c r="I366" s="445"/>
    </row>
    <row r="367" spans="2:9" ht="20" customHeight="1">
      <c r="B367" s="16"/>
      <c r="C367" s="25" t="str">
        <f>CONCATENATE(this_instance,"01-w0",wld_domain_number_chosen,"-r04-esx06")</f>
        <v>sfo01-w01-r04-esx06</v>
      </c>
      <c r="D367" s="18" t="str">
        <f>IF(ISBLANK(input_wld_az1_rack4_host6_hostname),"",input_wld_az1_rack4_host6_hostname)</f>
        <v/>
      </c>
      <c r="E367" s="25" t="str">
        <f>CONCATENATE(prefix_wld_az1_rack_cidr,".49.106")</f>
        <v>10.13.49.106</v>
      </c>
      <c r="F367" s="14"/>
      <c r="G367" s="445" t="s">
        <v>3773</v>
      </c>
      <c r="H367" s="445"/>
      <c r="I367" s="445"/>
    </row>
    <row r="368" spans="2:9" ht="20" customHeight="1">
      <c r="B368" s="16"/>
      <c r="C368" s="25" t="str">
        <f>CONCATENATE(this_instance,"01-w0",wld_domain_number_chosen,"-r04-esx07")</f>
        <v>sfo01-w01-r04-esx07</v>
      </c>
      <c r="D368" s="18" t="str">
        <f>IF(ISBLANK(input_wld_az1_rack4_host7_hostname),"",input_wld_az1_rack4_host7_hostname)</f>
        <v/>
      </c>
      <c r="E368" s="25" t="str">
        <f>CONCATENATE(prefix_wld_az1_rack_cidr,".49.107")</f>
        <v>10.13.49.107</v>
      </c>
      <c r="F368" s="14"/>
      <c r="G368" s="445" t="s">
        <v>3775</v>
      </c>
      <c r="H368" s="445"/>
      <c r="I368" s="445"/>
    </row>
    <row r="369" spans="2:10" ht="20" customHeight="1">
      <c r="B369" s="16"/>
      <c r="C369" s="25" t="str">
        <f>CONCATENATE(this_instance,"01-w0",wld_domain_number_chosen,"-r04-esx08")</f>
        <v>sfo01-w01-r04-esx08</v>
      </c>
      <c r="D369" s="18" t="str">
        <f>IF(ISBLANK(input_wld_az1_rack4_host8_hostname),"",input_wld_az1_rack4_host8_hostname)</f>
        <v/>
      </c>
      <c r="E369" s="25" t="str">
        <f>CONCATENATE(prefix_wld_az1_rack_cidr,".49.108")</f>
        <v>10.13.49.108</v>
      </c>
      <c r="F369" s="14"/>
      <c r="G369" s="445" t="s">
        <v>3777</v>
      </c>
      <c r="H369" s="445"/>
      <c r="I369" s="445"/>
    </row>
    <row r="370" spans="2:10" ht="20" customHeight="1">
      <c r="B370" s="16"/>
      <c r="C370" s="25" t="str">
        <f>CONCATENATE(this_instance,"01-w0",wld_domain_number_chosen,"-r04-esx09")</f>
        <v>sfo01-w01-r04-esx09</v>
      </c>
      <c r="D370" s="18" t="str">
        <f>IF(ISBLANK(input_wld_az1_rack4_host9_hostname),"",input_wld_az1_rack4_host9_hostname)</f>
        <v/>
      </c>
      <c r="E370" s="25" t="str">
        <f>CONCATENATE(prefix_wld_az1_rack_cidr,".49.109")</f>
        <v>10.13.49.109</v>
      </c>
      <c r="F370" s="14"/>
      <c r="G370" s="445" t="s">
        <v>3779</v>
      </c>
      <c r="H370" s="445"/>
      <c r="I370" s="445"/>
    </row>
    <row r="371" spans="2:10" ht="20" customHeight="1">
      <c r="B371" s="16"/>
      <c r="C371" s="25" t="str">
        <f>CONCATENATE(this_instance,"01-w0",wld_domain_number_chosen,"-r04-esx10")</f>
        <v>sfo01-w01-r04-esx10</v>
      </c>
      <c r="D371" s="18" t="str">
        <f>IF(ISBLANK(input_wld_az1_rack4_host10_hostname),"",input_wld_az1_rack4_host10_hostname)</f>
        <v/>
      </c>
      <c r="E371" s="25" t="str">
        <f>CONCATENATE(prefix_wld_az1_rack_cidr,".49.110")</f>
        <v>10.13.49.110</v>
      </c>
      <c r="F371" s="14"/>
      <c r="G371" s="445" t="s">
        <v>3781</v>
      </c>
      <c r="H371" s="445"/>
      <c r="I371" s="445"/>
    </row>
    <row r="372" spans="2:10" ht="20" customHeight="1">
      <c r="B372" s="16"/>
      <c r="C372" s="25" t="str">
        <f>CONCATENATE(this_instance,"01-w0",wld_domain_number_chosen,"-r04-esx11")</f>
        <v>sfo01-w01-r04-esx11</v>
      </c>
      <c r="D372" s="18" t="str">
        <f>IF(ISBLANK(input_wld_az1_rack4_host11_hostname),"",input_wld_az1_rack4_host11_hostname)</f>
        <v/>
      </c>
      <c r="E372" s="25" t="str">
        <f>CONCATENATE(prefix_wld_az1_rack_cidr,".49.111")</f>
        <v>10.13.49.111</v>
      </c>
      <c r="F372" s="14"/>
      <c r="G372" s="445" t="s">
        <v>3783</v>
      </c>
      <c r="H372" s="445"/>
      <c r="I372" s="445"/>
    </row>
    <row r="373" spans="2:10" ht="20" customHeight="1">
      <c r="B373" s="16"/>
      <c r="C373" s="25" t="str">
        <f>CONCATENATE(this_instance,"01-w0",wld_domain_number_chosen,"-r04-esx12")</f>
        <v>sfo01-w01-r04-esx12</v>
      </c>
      <c r="D373" s="18" t="str">
        <f>IF(ISBLANK(input_wld_az1_rack4_host12_hostname),"",input_wld_az1_rack4_host12_hostname)</f>
        <v/>
      </c>
      <c r="E373" s="25" t="str">
        <f>CONCATENATE(prefix_wld_az1_rack_cidr,".49.112")</f>
        <v>10.13.49.112</v>
      </c>
      <c r="F373" s="14"/>
      <c r="G373" s="445" t="s">
        <v>3785</v>
      </c>
      <c r="H373" s="445"/>
      <c r="I373" s="445"/>
    </row>
    <row r="374" spans="2:10" ht="20" customHeight="1">
      <c r="B374" s="16"/>
      <c r="C374" s="25" t="str">
        <f>CONCATENATE(this_instance,"01-w0",wld_domain_number_chosen,"-r04-esx13")</f>
        <v>sfo01-w01-r04-esx13</v>
      </c>
      <c r="D374" s="18" t="str">
        <f>IF(ISBLANK(input_wld_az1_rack4_host13_hostname),"",input_wld_az1_rack4_host13_hostname)</f>
        <v/>
      </c>
      <c r="E374" s="25" t="str">
        <f>CONCATENATE(prefix_wld_az1_rack_cidr,".49.113")</f>
        <v>10.13.49.113</v>
      </c>
      <c r="F374" s="14"/>
      <c r="G374" s="445" t="s">
        <v>3787</v>
      </c>
      <c r="H374" s="445"/>
      <c r="I374" s="445"/>
    </row>
    <row r="375" spans="2:10" ht="20" customHeight="1">
      <c r="B375" s="16"/>
      <c r="C375" s="25" t="str">
        <f>CONCATENATE(this_instance,"01-w0",wld_domain_number_chosen,"-r04-esx14")</f>
        <v>sfo01-w01-r04-esx14</v>
      </c>
      <c r="D375" s="18" t="str">
        <f>IF(ISBLANK(input_wld_az1_rack4_host14_hostname),"",input_wld_az1_rack4_host14_hostname)</f>
        <v/>
      </c>
      <c r="E375" s="25" t="str">
        <f>CONCATENATE(prefix_wld_az1_rack_cidr,".49.114")</f>
        <v>10.13.49.114</v>
      </c>
      <c r="F375" s="14"/>
      <c r="G375" s="445" t="s">
        <v>3789</v>
      </c>
      <c r="H375" s="445"/>
      <c r="I375" s="445"/>
    </row>
    <row r="376" spans="2:10" ht="20" customHeight="1">
      <c r="B376" s="16"/>
      <c r="C376" s="25" t="str">
        <f>CONCATENATE(this_instance,"01-w0",wld_domain_number_chosen,"-r04-esx15")</f>
        <v>sfo01-w01-r04-esx15</v>
      </c>
      <c r="D376" s="18" t="str">
        <f>IF(ISBLANK(input_wld_az1_rack4_host15_hostname),"",input_wld_az1_rack4_host15_hostname)</f>
        <v/>
      </c>
      <c r="E376" s="25" t="str">
        <f>CONCATENATE(prefix_wld_az1_rack_cidr,".49.115")</f>
        <v>10.13.49.115</v>
      </c>
      <c r="F376" s="14"/>
      <c r="G376" s="445" t="s">
        <v>3791</v>
      </c>
      <c r="H376" s="445"/>
      <c r="I376" s="445"/>
    </row>
    <row r="377" spans="2:10" ht="20" customHeight="1">
      <c r="B377" s="16"/>
      <c r="C377" s="25" t="str">
        <f>CONCATENATE(this_instance,"01-w0",wld_domain_number_chosen,"-r04-esx16")</f>
        <v>sfo01-w01-r04-esx16</v>
      </c>
      <c r="D377" s="18" t="str">
        <f>IF(ISBLANK(input_wld_az1_rack4_host16_hostname),"",input_wld_az1_rack4_host16_hostname)</f>
        <v/>
      </c>
      <c r="E377" s="25" t="str">
        <f>CONCATENATE(prefix_wld_az1_rack_cidr,".49.116")</f>
        <v>10.13.49.116</v>
      </c>
      <c r="F377" s="14"/>
      <c r="G377" s="445" t="s">
        <v>3793</v>
      </c>
      <c r="H377" s="445"/>
      <c r="I377" s="445"/>
    </row>
    <row r="378" spans="2:10" ht="20" customHeight="1">
      <c r="B378" s="437" t="s">
        <v>4011</v>
      </c>
      <c r="C378" s="437"/>
      <c r="D378" s="459"/>
      <c r="E378" s="459"/>
      <c r="F378" s="459"/>
      <c r="G378" s="459"/>
      <c r="H378" s="459"/>
      <c r="I378" s="459"/>
    </row>
    <row r="379" spans="2:10" ht="20" customHeight="1">
      <c r="B379" s="16"/>
      <c r="C379" s="25" t="str">
        <f>CONCATENATE(this_instance,"-w0",wld_domain_number_chosen,"-r04-en01")</f>
        <v>sfo-w01-r04-en01</v>
      </c>
      <c r="D379" s="14"/>
      <c r="E379" s="25" t="str">
        <f>IF(wld_dpg_separation_result="Included",CONCATENATE(prefix_wld_az1_rack_cidr,".43.135"),CONCATENATE(prefix_wld_az1_rack_cidr,".44.135"))</f>
        <v>10.13.44.135</v>
      </c>
      <c r="F379" s="14"/>
      <c r="G379" s="445" t="str">
        <f>IF(wld_dedicated_edge_cluster_chosen_first=4,"Edge Node 1",IF(wld_dedicated_edge_cluster_chosen_second=4,"Edge Node 2",""))</f>
        <v/>
      </c>
      <c r="H379" s="445"/>
      <c r="I379" s="445"/>
    </row>
    <row r="380" spans="2:10" ht="20" customHeight="1">
      <c r="B380" s="16"/>
      <c r="C380" s="25" t="s">
        <v>569</v>
      </c>
      <c r="D380" s="23" t="s">
        <v>569</v>
      </c>
      <c r="E380" s="25" t="str">
        <f>CONCATENATE(prefix_wld_az1_rack_cidr,".50.2")</f>
        <v>10.13.50.2</v>
      </c>
      <c r="F380" s="14"/>
      <c r="G380" s="445" t="str">
        <f>IF(wld_dedicated_edge_cluster_chosen_first=4,"Uplink 1 IP Address for Edge Node 1",IF(wld_dedicated_edge_cluster_chosen_second=4,"Uplink 1 IP Address for Edge Node 2",""))</f>
        <v/>
      </c>
      <c r="H380" s="445"/>
      <c r="I380" s="445"/>
    </row>
    <row r="381" spans="2:10" ht="20" customHeight="1">
      <c r="B381" s="16"/>
      <c r="C381" s="25" t="s">
        <v>569</v>
      </c>
      <c r="D381" s="23" t="s">
        <v>569</v>
      </c>
      <c r="E381" s="25" t="str">
        <f>CONCATENATE(prefix_wld_az1_rack_cidr,".51.2")</f>
        <v>10.13.51.2</v>
      </c>
      <c r="F381" s="14"/>
      <c r="G381" s="445" t="str">
        <f>IF(wld_dedicated_edge_cluster_chosen_first=4,"Uplink 2 IP Address for Edge Cluster Node 3",IF(wld_dedicated_edge_cluster_chosen_second=4,"Uplink 2 IP Address for Edge Cluster Node 4",""))</f>
        <v/>
      </c>
      <c r="H381" s="445"/>
      <c r="I381" s="445"/>
    </row>
    <row r="382" spans="2:10" ht="20" customHeight="1">
      <c r="B382" s="16"/>
      <c r="C382" s="25" t="str">
        <f>CONCATENATE(this_instance,"-w0",wld_domain_number_chosen,"-r04-en02")</f>
        <v>sfo-w01-r04-en02</v>
      </c>
      <c r="D382" s="14"/>
      <c r="E382" s="25" t="str">
        <f>IF(wld_dpg_separation_result="Included",CONCATENATE(prefix_wld_az1_rack_cidr,".43.136"),CONCATENATE(prefix_wld_az1_rack_cidr,".44.136"))</f>
        <v>10.13.44.136</v>
      </c>
      <c r="F382" s="14"/>
      <c r="G382" s="445" t="str">
        <f>IF(wld_dedicated_edge_cluster_chosen_first=4,"Edge Cluster Node 3",IF(wld_dedicated_edge_cluster_chosen_second=4,"Edge  Cluster Node 4",""))</f>
        <v/>
      </c>
      <c r="H382" s="445"/>
      <c r="I382" s="445"/>
      <c r="J382" s="103"/>
    </row>
    <row r="383" spans="2:10" ht="20" customHeight="1">
      <c r="B383" s="16"/>
      <c r="C383" s="25" t="s">
        <v>569</v>
      </c>
      <c r="D383" s="23" t="s">
        <v>569</v>
      </c>
      <c r="E383" s="25" t="str">
        <f>CONCATENATE(prefix_wld_az1_rack_cidr,".50.3")</f>
        <v>10.13.50.3</v>
      </c>
      <c r="F383" s="14"/>
      <c r="G383" s="445" t="str">
        <f>IF(wld_dedicated_edge_cluster_chosen_first=4,"Uplink 1 IP Address for Edge Cluster Node 3",IF(wld_dedicated_edge_cluster_chosen_second=4,"Uplink 1 IP Address for Edge Cluster Node 4",""))</f>
        <v/>
      </c>
      <c r="H383" s="445"/>
      <c r="I383" s="445"/>
      <c r="J383" s="103"/>
    </row>
    <row r="384" spans="2:10" ht="20" customHeight="1">
      <c r="B384" s="16"/>
      <c r="C384" s="25" t="s">
        <v>569</v>
      </c>
      <c r="D384" s="23" t="s">
        <v>569</v>
      </c>
      <c r="E384" s="25" t="str">
        <f>CONCATENATE(prefix_wld_az1_rack_cidr,".51.3")</f>
        <v>10.13.51.3</v>
      </c>
      <c r="F384" s="14"/>
      <c r="G384" s="445" t="str">
        <f>IF(wld_dedicated_edge_cluster_chosen_first=4,"Uplink 2 IP Address for Edge Cluster Node 3",IF(wld_dedicated_edge_cluster_chosen_second=4,"Uplink 2 IP Address for Edge Cluster Node 4",""))</f>
        <v/>
      </c>
      <c r="H384" s="445"/>
      <c r="I384" s="445"/>
      <c r="J384" s="103"/>
    </row>
    <row r="385" spans="2:10" ht="20" customHeight="1">
      <c r="B385" s="437" t="s">
        <v>667</v>
      </c>
      <c r="C385" s="437"/>
      <c r="D385" s="437"/>
      <c r="E385" s="437"/>
      <c r="F385" s="437"/>
      <c r="G385" s="437"/>
      <c r="H385" s="437"/>
      <c r="I385" s="437"/>
      <c r="J385" s="103"/>
    </row>
    <row r="386" spans="2:10" ht="20" customHeight="1">
      <c r="B386" s="190" t="s">
        <v>668</v>
      </c>
      <c r="C386" s="458"/>
      <c r="D386" s="458"/>
      <c r="E386" s="190" t="s">
        <v>669</v>
      </c>
      <c r="F386" s="113" t="s">
        <v>632</v>
      </c>
      <c r="G386" s="458" t="s">
        <v>222</v>
      </c>
      <c r="H386" s="458"/>
      <c r="I386" s="458"/>
      <c r="J386" s="103"/>
    </row>
    <row r="387" spans="2:10" ht="20" customHeight="1">
      <c r="B387" s="26" t="s">
        <v>670</v>
      </c>
      <c r="C387" s="441"/>
      <c r="D387" s="441"/>
      <c r="E387" s="22" t="str">
        <f>CONCATENATE(prefix_wld_az1_rack_cidr,".45.101")</f>
        <v>10.13.45.101</v>
      </c>
      <c r="F387" s="14"/>
      <c r="G387" s="445" t="s">
        <v>671</v>
      </c>
      <c r="H387" s="445"/>
      <c r="I387" s="445"/>
      <c r="J387" s="103"/>
    </row>
    <row r="388" spans="2:10" ht="20" customHeight="1">
      <c r="B388" s="26" t="s">
        <v>672</v>
      </c>
      <c r="C388" s="441"/>
      <c r="D388" s="441"/>
      <c r="E388" s="22" t="str">
        <f>CONCATENATE(prefix_wld_az1_rack_cidr,".45.116")</f>
        <v>10.13.45.116</v>
      </c>
      <c r="F388" s="14"/>
      <c r="G388" s="445" t="s">
        <v>673</v>
      </c>
      <c r="H388" s="445"/>
      <c r="I388" s="445"/>
    </row>
    <row r="389" spans="2:10" ht="20" customHeight="1">
      <c r="B389" s="21" t="s">
        <v>674</v>
      </c>
      <c r="C389" s="441"/>
      <c r="D389" s="441"/>
      <c r="E389" s="22" t="str">
        <f>CONCATENATE(prefix_wld_az1_rack_cidr,".46.101")</f>
        <v>10.13.46.101</v>
      </c>
      <c r="F389" s="14"/>
      <c r="G389" s="445" t="s">
        <v>675</v>
      </c>
      <c r="H389" s="445"/>
      <c r="I389" s="445"/>
    </row>
    <row r="390" spans="2:10" ht="20" customHeight="1">
      <c r="B390" s="21" t="s">
        <v>676</v>
      </c>
      <c r="C390" s="441"/>
      <c r="D390" s="441"/>
      <c r="E390" s="22" t="str">
        <f>CONCATENATE(prefix_wld_az1_rack_cidr,".46.116")</f>
        <v>10.13.46.116</v>
      </c>
      <c r="F390" s="14"/>
      <c r="G390" s="445" t="s">
        <v>3615</v>
      </c>
      <c r="H390" s="445"/>
      <c r="I390" s="445"/>
    </row>
    <row r="391" spans="2:10" ht="20" customHeight="1">
      <c r="B391" s="21" t="s">
        <v>677</v>
      </c>
      <c r="C391" s="441"/>
      <c r="D391" s="441"/>
      <c r="E391" s="22" t="str">
        <f>CONCATENATE(prefix_wld_az1_rack_cidr,".47.101")</f>
        <v>10.13.47.101</v>
      </c>
      <c r="F391" s="14"/>
      <c r="G391" s="445" t="s">
        <v>678</v>
      </c>
      <c r="H391" s="445"/>
      <c r="I391" s="445"/>
    </row>
    <row r="392" spans="2:10" ht="20" customHeight="1">
      <c r="B392" s="21" t="s">
        <v>679</v>
      </c>
      <c r="C392" s="441"/>
      <c r="D392" s="441"/>
      <c r="E392" s="22" t="str">
        <f>CONCATENATE(prefix_wld_az1_rack_cidr,".47.132")</f>
        <v>10.13.47.132</v>
      </c>
      <c r="F392" s="14"/>
      <c r="G392" s="445" t="s">
        <v>680</v>
      </c>
      <c r="H392" s="445"/>
      <c r="I392" s="445"/>
    </row>
    <row r="393" spans="2:10" ht="20" customHeight="1">
      <c r="B393" s="21" t="s">
        <v>691</v>
      </c>
      <c r="C393" s="460"/>
      <c r="D393" s="461"/>
      <c r="E393" s="22" t="str">
        <f>CONCATENATE(prefix_wld_az1_rack_cidr,".48.101")</f>
        <v>10.13.48.101</v>
      </c>
      <c r="F393" s="18"/>
      <c r="G393" s="442" t="s">
        <v>692</v>
      </c>
      <c r="H393" s="462"/>
      <c r="I393" s="451"/>
    </row>
    <row r="394" spans="2:10" ht="20" customHeight="1">
      <c r="B394" s="21" t="s">
        <v>693</v>
      </c>
      <c r="C394" s="460"/>
      <c r="D394" s="461"/>
      <c r="E394" s="22" t="str">
        <f>CONCATENATE(prefix_wld_az1_rack_cidr,".48.116")</f>
        <v>10.13.48.116</v>
      </c>
      <c r="F394" s="18"/>
      <c r="G394" s="442" t="s">
        <v>694</v>
      </c>
      <c r="H394" s="462"/>
      <c r="I394" s="451"/>
    </row>
    <row r="395" spans="2:10" ht="20" customHeight="1">
      <c r="B395" s="26" t="s">
        <v>4227</v>
      </c>
      <c r="C395" s="441"/>
      <c r="D395" s="441"/>
      <c r="E395" s="22" t="str">
        <f>CONCATENATE(prefix_wld_az1_rack_cidr,".52.2")</f>
        <v>10.13.52.2</v>
      </c>
      <c r="F395" s="14"/>
      <c r="G395" s="445" t="s">
        <v>4229</v>
      </c>
      <c r="H395" s="445"/>
      <c r="I395" s="445"/>
    </row>
    <row r="396" spans="2:10" ht="20" customHeight="1">
      <c r="B396" s="26" t="s">
        <v>4228</v>
      </c>
      <c r="C396" s="441"/>
      <c r="D396" s="441"/>
      <c r="E396" s="22" t="str">
        <f>CONCATENATE(prefix_wld_az1_rack_cidr,".52.5")</f>
        <v>10.13.52.5</v>
      </c>
      <c r="F396" s="14"/>
      <c r="G396" s="445" t="s">
        <v>4230</v>
      </c>
      <c r="H396" s="445"/>
      <c r="I396" s="445"/>
    </row>
    <row r="397" spans="2:10" ht="20" customHeight="1">
      <c r="B397" s="21" t="s">
        <v>681</v>
      </c>
      <c r="C397" s="441"/>
      <c r="D397" s="441"/>
      <c r="E397" s="22" t="str">
        <f>CONCATENATE(prefix_wld_az1_rack_cidr,".53.101")</f>
        <v>10.13.53.101</v>
      </c>
      <c r="F397" s="14"/>
      <c r="G397" s="445" t="s">
        <v>3930</v>
      </c>
      <c r="H397" s="445"/>
      <c r="I397" s="445"/>
    </row>
    <row r="398" spans="2:10" ht="20" customHeight="1">
      <c r="B398" s="21" t="s">
        <v>683</v>
      </c>
      <c r="C398" s="441"/>
      <c r="D398" s="441"/>
      <c r="E398" s="22" t="str">
        <f>CONCATENATE(prefix_wld_az1_rack_cidr,".53.116")</f>
        <v>10.13.53.116</v>
      </c>
      <c r="F398" s="14"/>
      <c r="G398" s="445" t="s">
        <v>3929</v>
      </c>
      <c r="H398" s="445"/>
      <c r="I398" s="445"/>
    </row>
    <row r="399" spans="2:10" ht="16" customHeight="1"/>
    <row r="400" spans="2:10" ht="34" customHeight="1">
      <c r="B400" s="436" t="s">
        <v>4015</v>
      </c>
      <c r="C400" s="436"/>
      <c r="D400" s="436"/>
      <c r="E400" s="457"/>
      <c r="F400" s="457"/>
      <c r="G400" s="457"/>
      <c r="H400" s="457"/>
      <c r="I400" s="457"/>
    </row>
    <row r="401" spans="2:9" ht="20" customHeight="1">
      <c r="B401" s="190" t="s">
        <v>530</v>
      </c>
      <c r="C401" s="190" t="s">
        <v>489</v>
      </c>
      <c r="D401" s="190" t="s">
        <v>3928</v>
      </c>
      <c r="E401" s="113" t="s">
        <v>3927</v>
      </c>
      <c r="F401" s="214"/>
      <c r="G401" s="214"/>
      <c r="H401" s="214"/>
      <c r="I401" s="215"/>
    </row>
    <row r="402" spans="2:9" ht="20" customHeight="1">
      <c r="B402" s="21" t="s">
        <v>3926</v>
      </c>
      <c r="C402" s="22" t="s">
        <v>634</v>
      </c>
      <c r="D402" s="25" t="str">
        <f>IF(wld_host_dns_zone_chosen="Multiple",CONCATENATE("rack5.",this_instance,".rainpole.io"),CONCATENATE(this_instance,".rainpole.io"))</f>
        <v>sfo.rainpole.io</v>
      </c>
      <c r="E402" s="14"/>
      <c r="F402" s="216"/>
      <c r="G402" s="216"/>
      <c r="H402" s="216"/>
      <c r="I402" s="217"/>
    </row>
    <row r="403" spans="2:9" ht="20" customHeight="1">
      <c r="B403" s="437" t="s">
        <v>4009</v>
      </c>
      <c r="C403" s="437"/>
      <c r="D403" s="459"/>
      <c r="E403" s="459"/>
      <c r="F403" s="459"/>
      <c r="G403" s="459"/>
      <c r="H403" s="459"/>
      <c r="I403" s="459"/>
    </row>
    <row r="404" spans="2:9" ht="20" customHeight="1">
      <c r="B404" s="190" t="s">
        <v>583</v>
      </c>
      <c r="C404" s="190" t="s">
        <v>629</v>
      </c>
      <c r="D404" s="113" t="s">
        <v>630</v>
      </c>
      <c r="E404" s="190" t="s">
        <v>631</v>
      </c>
      <c r="F404" s="113" t="s">
        <v>632</v>
      </c>
      <c r="G404" s="458" t="s">
        <v>222</v>
      </c>
      <c r="H404" s="458"/>
      <c r="I404" s="458"/>
    </row>
    <row r="405" spans="2:9" ht="20" customHeight="1">
      <c r="B405" s="26" t="s">
        <v>639</v>
      </c>
      <c r="C405" s="25" t="str">
        <f>CONCATENATE(this_instance,"01-w0",wld_domain_number_chosen,"-r05-esx01")</f>
        <v>sfo01-w01-r05-esx01</v>
      </c>
      <c r="D405" s="14"/>
      <c r="E405" s="25" t="str">
        <f>CONCATENATE(prefix_wld_az1_rack_cidr,".55.101")</f>
        <v>10.13.55.101</v>
      </c>
      <c r="F405" s="14"/>
      <c r="G405" s="445" t="s">
        <v>640</v>
      </c>
      <c r="H405" s="445"/>
      <c r="I405" s="445"/>
    </row>
    <row r="406" spans="2:9" ht="20" customHeight="1">
      <c r="B406" s="16"/>
      <c r="C406" s="25" t="str">
        <f>CONCATENATE(this_instance,"01-w0",wld_domain_number_chosen,"-r05-esx02")</f>
        <v>sfo01-w01-r05-esx02</v>
      </c>
      <c r="D406" s="14"/>
      <c r="E406" s="25" t="str">
        <f>CONCATENATE(prefix_wld_az1_rack_cidr,".55.102")</f>
        <v>10.13.55.102</v>
      </c>
      <c r="F406" s="14"/>
      <c r="G406" s="445" t="s">
        <v>642</v>
      </c>
      <c r="H406" s="445"/>
      <c r="I406" s="445"/>
    </row>
    <row r="407" spans="2:9" ht="20" customHeight="1">
      <c r="B407" s="16"/>
      <c r="C407" s="25" t="str">
        <f>CONCATENATE(this_instance,"01-w0",wld_domain_number_chosen,"-r05-esx03")</f>
        <v>sfo01-w01-r05-esx03</v>
      </c>
      <c r="D407" s="14"/>
      <c r="E407" s="25" t="str">
        <f>CONCATENATE(prefix_wld_az1_rack_cidr,".55.103")</f>
        <v>10.13.55.103</v>
      </c>
      <c r="F407" s="14"/>
      <c r="G407" s="445" t="s">
        <v>644</v>
      </c>
      <c r="H407" s="445"/>
      <c r="I407" s="445"/>
    </row>
    <row r="408" spans="2:9" ht="20" customHeight="1">
      <c r="B408" s="16"/>
      <c r="C408" s="25" t="str">
        <f>CONCATENATE(this_instance,"01-w0",wld_domain_number_chosen,"-r05-esx04")</f>
        <v>sfo01-w01-r05-esx04</v>
      </c>
      <c r="D408" s="14"/>
      <c r="E408" s="25" t="str">
        <f>CONCATENATE(prefix_wld_az1_rack_cidr,".55.104")</f>
        <v>10.13.55.104</v>
      </c>
      <c r="F408" s="14"/>
      <c r="G408" s="445" t="s">
        <v>646</v>
      </c>
      <c r="H408" s="445"/>
      <c r="I408" s="445"/>
    </row>
    <row r="409" spans="2:9" ht="20" customHeight="1">
      <c r="B409" s="16"/>
      <c r="C409" s="25" t="str">
        <f>CONCATENATE(this_instance,"01-w0",wld_domain_number_chosen,"-r05-esx05")</f>
        <v>sfo01-w01-r05-esx05</v>
      </c>
      <c r="D409" s="14"/>
      <c r="E409" s="25" t="str">
        <f>CONCATENATE(prefix_wld_az1_rack_cidr,".55.105")</f>
        <v>10.13.55.105</v>
      </c>
      <c r="F409" s="14"/>
      <c r="G409" s="445" t="s">
        <v>3770</v>
      </c>
      <c r="H409" s="445"/>
      <c r="I409" s="445"/>
    </row>
    <row r="410" spans="2:9" ht="20" customHeight="1">
      <c r="B410" s="16"/>
      <c r="C410" s="25" t="str">
        <f>CONCATENATE(this_instance,"01-w0",wld_domain_number_chosen,"-r05-esx06")</f>
        <v>sfo01-w01-r05-esx06</v>
      </c>
      <c r="D410" s="14"/>
      <c r="E410" s="25" t="str">
        <f>CONCATENATE(prefix_wld_az1_rack_cidr,".55.106")</f>
        <v>10.13.55.106</v>
      </c>
      <c r="F410" s="14"/>
      <c r="G410" s="445" t="s">
        <v>3772</v>
      </c>
      <c r="H410" s="445"/>
      <c r="I410" s="445"/>
    </row>
    <row r="411" spans="2:9" ht="20" customHeight="1">
      <c r="B411" s="16"/>
      <c r="C411" s="25" t="str">
        <f>CONCATENATE(this_instance,"01-w0",wld_domain_number_chosen,"-r05-esx07")</f>
        <v>sfo01-w01-r05-esx07</v>
      </c>
      <c r="D411" s="14"/>
      <c r="E411" s="25" t="str">
        <f>CONCATENATE(prefix_wld_az1_rack_cidr,".55.107")</f>
        <v>10.13.55.107</v>
      </c>
      <c r="F411" s="14"/>
      <c r="G411" s="445" t="s">
        <v>3774</v>
      </c>
      <c r="H411" s="445"/>
      <c r="I411" s="445"/>
    </row>
    <row r="412" spans="2:9" ht="20" customHeight="1">
      <c r="B412" s="16"/>
      <c r="C412" s="25" t="str">
        <f>CONCATENATE(this_instance,"01-w0",wld_domain_number_chosen,"-r05-esx08")</f>
        <v>sfo01-w01-r05-esx08</v>
      </c>
      <c r="D412" s="14"/>
      <c r="E412" s="25" t="str">
        <f>CONCATENATE(prefix_wld_az1_rack_cidr,".55.108")</f>
        <v>10.13.55.108</v>
      </c>
      <c r="F412" s="14"/>
      <c r="G412" s="445" t="s">
        <v>3776</v>
      </c>
      <c r="H412" s="445"/>
      <c r="I412" s="445"/>
    </row>
    <row r="413" spans="2:9" ht="20" customHeight="1">
      <c r="B413" s="16"/>
      <c r="C413" s="25" t="str">
        <f>CONCATENATE(this_instance,"01-w0",wld_domain_number_chosen,"-r05-esx09")</f>
        <v>sfo01-w01-r05-esx09</v>
      </c>
      <c r="D413" s="14"/>
      <c r="E413" s="25" t="str">
        <f>CONCATENATE(prefix_wld_az1_rack_cidr,".55.109")</f>
        <v>10.13.55.109</v>
      </c>
      <c r="F413" s="14"/>
      <c r="G413" s="445" t="s">
        <v>3778</v>
      </c>
      <c r="H413" s="445"/>
      <c r="I413" s="445"/>
    </row>
    <row r="414" spans="2:9" ht="20" customHeight="1">
      <c r="B414" s="16"/>
      <c r="C414" s="25" t="str">
        <f>CONCATENATE(this_instance,"01-w0",wld_domain_number_chosen,"-r05-esx10")</f>
        <v>sfo01-w01-r05-esx10</v>
      </c>
      <c r="D414" s="14"/>
      <c r="E414" s="25" t="str">
        <f>CONCATENATE(prefix_wld_az1_rack_cidr,".55.110")</f>
        <v>10.13.55.110</v>
      </c>
      <c r="F414" s="14"/>
      <c r="G414" s="445" t="s">
        <v>3780</v>
      </c>
      <c r="H414" s="445"/>
      <c r="I414" s="445"/>
    </row>
    <row r="415" spans="2:9" ht="20" customHeight="1">
      <c r="B415" s="16"/>
      <c r="C415" s="25" t="str">
        <f>CONCATENATE(this_instance,"01-w0",wld_domain_number_chosen,"-r05-esx11")</f>
        <v>sfo01-w01-r05-esx11</v>
      </c>
      <c r="D415" s="14"/>
      <c r="E415" s="25" t="str">
        <f>CONCATENATE(prefix_wld_az1_rack_cidr,".55.111")</f>
        <v>10.13.55.111</v>
      </c>
      <c r="F415" s="14"/>
      <c r="G415" s="445" t="s">
        <v>3782</v>
      </c>
      <c r="H415" s="445"/>
      <c r="I415" s="445"/>
    </row>
    <row r="416" spans="2:9" ht="20" customHeight="1">
      <c r="B416" s="16"/>
      <c r="C416" s="25" t="str">
        <f>CONCATENATE(this_instance,"01-w0",wld_domain_number_chosen,"-r05-esx12")</f>
        <v>sfo01-w01-r05-esx12</v>
      </c>
      <c r="D416" s="14"/>
      <c r="E416" s="25" t="str">
        <f>CONCATENATE(prefix_wld_az1_rack_cidr,".55.112")</f>
        <v>10.13.55.112</v>
      </c>
      <c r="F416" s="14"/>
      <c r="G416" s="445" t="s">
        <v>3784</v>
      </c>
      <c r="H416" s="445"/>
      <c r="I416" s="445"/>
    </row>
    <row r="417" spans="2:9" ht="20" customHeight="1">
      <c r="B417" s="16"/>
      <c r="C417" s="25" t="str">
        <f>CONCATENATE(this_instance,"01-w0",wld_domain_number_chosen,"-r05-esx13")</f>
        <v>sfo01-w01-r05-esx13</v>
      </c>
      <c r="D417" s="14"/>
      <c r="E417" s="25" t="str">
        <f>CONCATENATE(prefix_wld_az1_rack_cidr,".55.113")</f>
        <v>10.13.55.113</v>
      </c>
      <c r="F417" s="14"/>
      <c r="G417" s="445" t="s">
        <v>3786</v>
      </c>
      <c r="H417" s="445"/>
      <c r="I417" s="445"/>
    </row>
    <row r="418" spans="2:9" ht="20" customHeight="1">
      <c r="B418" s="16"/>
      <c r="C418" s="25" t="str">
        <f>CONCATENATE(this_instance,"01-w0",wld_domain_number_chosen,"-r05-esx14")</f>
        <v>sfo01-w01-r05-esx14</v>
      </c>
      <c r="D418" s="14"/>
      <c r="E418" s="25" t="str">
        <f>CONCATENATE(prefix_wld_az1_rack_cidr,".55.114")</f>
        <v>10.13.55.114</v>
      </c>
      <c r="F418" s="14"/>
      <c r="G418" s="445" t="s">
        <v>3788</v>
      </c>
      <c r="H418" s="445"/>
      <c r="I418" s="445"/>
    </row>
    <row r="419" spans="2:9" ht="20" customHeight="1">
      <c r="B419" s="16"/>
      <c r="C419" s="25" t="str">
        <f>CONCATENATE(this_instance,"01-w0",wld_domain_number_chosen,"-r05-esx15")</f>
        <v>sfo01-w01-r05-esx15</v>
      </c>
      <c r="D419" s="14"/>
      <c r="E419" s="25" t="str">
        <f>CONCATENATE(prefix_wld_az1_rack_cidr,".55.115")</f>
        <v>10.13.55.115</v>
      </c>
      <c r="F419" s="14"/>
      <c r="G419" s="445" t="s">
        <v>3790</v>
      </c>
      <c r="H419" s="445"/>
      <c r="I419" s="445"/>
    </row>
    <row r="420" spans="2:9" ht="20" customHeight="1">
      <c r="B420" s="16"/>
      <c r="C420" s="25" t="str">
        <f>CONCATENATE(this_instance,"01-w0",wld_domain_number_chosen,"-r05-esx16")</f>
        <v>sfo01-w01-r05-esx16</v>
      </c>
      <c r="D420" s="14"/>
      <c r="E420" s="25" t="str">
        <f>CONCATENATE(prefix_wld_az1_rack_cidr,".55.116")</f>
        <v>10.13.55.116</v>
      </c>
      <c r="F420" s="14"/>
      <c r="G420" s="445" t="s">
        <v>3792</v>
      </c>
      <c r="H420" s="445"/>
      <c r="I420" s="445"/>
    </row>
    <row r="421" spans="2:9" ht="20" customHeight="1">
      <c r="B421" s="437" t="s">
        <v>4010</v>
      </c>
      <c r="C421" s="437"/>
      <c r="D421" s="459"/>
      <c r="E421" s="459"/>
      <c r="F421" s="459"/>
      <c r="G421" s="459"/>
      <c r="H421" s="459"/>
      <c r="I421" s="459"/>
    </row>
    <row r="422" spans="2:9" ht="20" customHeight="1">
      <c r="B422" s="26"/>
      <c r="C422" s="25" t="str">
        <f>CONCATENATE(this_instance,"01-w0",wld_domain_number_chosen,"-r05-esx01")</f>
        <v>sfo01-w01-r05-esx01</v>
      </c>
      <c r="D422" s="18" t="str">
        <f>IF(ISBLANK(input_wld_az1_rack5_host1_hostname),"",input_wld_az1_rack5_host1_hostname)</f>
        <v/>
      </c>
      <c r="E422" s="25" t="str">
        <f>CONCATENATE(prefix_wld_az1_rack_cidr,".60.101")</f>
        <v>10.13.60.101</v>
      </c>
      <c r="F422" s="14"/>
      <c r="G422" s="445" t="s">
        <v>641</v>
      </c>
      <c r="H422" s="445"/>
      <c r="I422" s="445"/>
    </row>
    <row r="423" spans="2:9" ht="20" customHeight="1">
      <c r="B423" s="16"/>
      <c r="C423" s="25" t="str">
        <f>CONCATENATE(this_instance,"01-w0",wld_domain_number_chosen,"-r05-esx02")</f>
        <v>sfo01-w01-r05-esx02</v>
      </c>
      <c r="D423" s="18" t="str">
        <f>IF(ISBLANK(input_wld_az1_rack5_host2_hostname),"",input_wld_az1_rack5_host2_hostname)</f>
        <v/>
      </c>
      <c r="E423" s="25" t="str">
        <f>CONCATENATE(prefix_wld_az1_rack_cidr,".60.102")</f>
        <v>10.13.60.102</v>
      </c>
      <c r="F423" s="14"/>
      <c r="G423" s="445" t="s">
        <v>643</v>
      </c>
      <c r="H423" s="445"/>
      <c r="I423" s="445"/>
    </row>
    <row r="424" spans="2:9" ht="20" customHeight="1">
      <c r="B424" s="16"/>
      <c r="C424" s="25" t="str">
        <f>CONCATENATE(this_instance,"01-w0",wld_domain_number_chosen,"-r05-esx03")</f>
        <v>sfo01-w01-r05-esx03</v>
      </c>
      <c r="D424" s="18" t="str">
        <f>IF(ISBLANK(input_wld_az1_rack5_host3_hostname),"",input_wld_az1_rack5_host3_hostname)</f>
        <v/>
      </c>
      <c r="E424" s="25" t="str">
        <f>CONCATENATE(prefix_wld_az1_rack_cidr,".60.103")</f>
        <v>10.13.60.103</v>
      </c>
      <c r="F424" s="14"/>
      <c r="G424" s="445" t="s">
        <v>645</v>
      </c>
      <c r="H424" s="445"/>
      <c r="I424" s="445"/>
    </row>
    <row r="425" spans="2:9" ht="20" customHeight="1">
      <c r="B425" s="16"/>
      <c r="C425" s="25" t="str">
        <f>CONCATENATE(this_instance,"01-w0",wld_domain_number_chosen,"-r05-esx04")</f>
        <v>sfo01-w01-r05-esx04</v>
      </c>
      <c r="D425" s="18" t="str">
        <f>IF(ISBLANK(input_wld_az1_rack5_host4_hostname),"",input_wld_az1_rack5_host4_hostname)</f>
        <v/>
      </c>
      <c r="E425" s="25" t="str">
        <f>CONCATENATE(prefix_wld_az1_rack_cidr,".60.104")</f>
        <v>10.13.60.104</v>
      </c>
      <c r="F425" s="14"/>
      <c r="G425" s="445" t="s">
        <v>647</v>
      </c>
      <c r="H425" s="445"/>
      <c r="I425" s="445"/>
    </row>
    <row r="426" spans="2:9" ht="20" customHeight="1">
      <c r="B426" s="16"/>
      <c r="C426" s="25" t="str">
        <f>CONCATENATE(this_instance,"01-w0",wld_domain_number_chosen,"-r05-esx05")</f>
        <v>sfo01-w01-r05-esx05</v>
      </c>
      <c r="D426" s="18" t="str">
        <f>IF(ISBLANK(input_wld_az1_rack5_host5_hostname),"",input_wld_az1_rack5_host5_hostname)</f>
        <v/>
      </c>
      <c r="E426" s="25" t="str">
        <f>CONCATENATE(prefix_wld_az1_rack_cidr,".60.105")</f>
        <v>10.13.60.105</v>
      </c>
      <c r="F426" s="14"/>
      <c r="G426" s="445" t="s">
        <v>3771</v>
      </c>
      <c r="H426" s="445"/>
      <c r="I426" s="445"/>
    </row>
    <row r="427" spans="2:9" ht="20" customHeight="1">
      <c r="B427" s="16"/>
      <c r="C427" s="25" t="str">
        <f>CONCATENATE(this_instance,"01-w0",wld_domain_number_chosen,"-r05-esx06")</f>
        <v>sfo01-w01-r05-esx06</v>
      </c>
      <c r="D427" s="18" t="str">
        <f>IF(ISBLANK(input_wld_az1_rack5_host6_hostname),"",input_wld_az1_rack5_host6_hostname)</f>
        <v/>
      </c>
      <c r="E427" s="25" t="str">
        <f>CONCATENATE(prefix_wld_az1_rack_cidr,".60.106")</f>
        <v>10.13.60.106</v>
      </c>
      <c r="F427" s="14"/>
      <c r="G427" s="445" t="s">
        <v>3773</v>
      </c>
      <c r="H427" s="445"/>
      <c r="I427" s="445"/>
    </row>
    <row r="428" spans="2:9" ht="20" customHeight="1">
      <c r="B428" s="16"/>
      <c r="C428" s="25" t="str">
        <f>CONCATENATE(this_instance,"01-w0",wld_domain_number_chosen,"-r05-esx07")</f>
        <v>sfo01-w01-r05-esx07</v>
      </c>
      <c r="D428" s="18" t="str">
        <f>IF(ISBLANK(input_wld_az1_rack5_host7_hostname),"",input_wld_az1_rack5_host7_hostname)</f>
        <v/>
      </c>
      <c r="E428" s="25" t="str">
        <f>CONCATENATE(prefix_wld_az1_rack_cidr,".60.107")</f>
        <v>10.13.60.107</v>
      </c>
      <c r="F428" s="14"/>
      <c r="G428" s="445" t="s">
        <v>3775</v>
      </c>
      <c r="H428" s="445"/>
      <c r="I428" s="445"/>
    </row>
    <row r="429" spans="2:9" ht="20" customHeight="1">
      <c r="B429" s="16"/>
      <c r="C429" s="25" t="str">
        <f>CONCATENATE(this_instance,"01-w0",wld_domain_number_chosen,"-r05-esx08")</f>
        <v>sfo01-w01-r05-esx08</v>
      </c>
      <c r="D429" s="18" t="str">
        <f>IF(ISBLANK(input_wld_az1_rack5_host8_hostname),"",input_wld_az1_rack5_host8_hostname)</f>
        <v/>
      </c>
      <c r="E429" s="25" t="str">
        <f>CONCATENATE(prefix_wld_az1_rack_cidr,".60.108")</f>
        <v>10.13.60.108</v>
      </c>
      <c r="F429" s="14"/>
      <c r="G429" s="445" t="s">
        <v>3777</v>
      </c>
      <c r="H429" s="445"/>
      <c r="I429" s="445"/>
    </row>
    <row r="430" spans="2:9" ht="20" customHeight="1">
      <c r="B430" s="16"/>
      <c r="C430" s="25" t="str">
        <f>CONCATENATE(this_instance,"01-w0",wld_domain_number_chosen,"-r05-esx09")</f>
        <v>sfo01-w01-r05-esx09</v>
      </c>
      <c r="D430" s="18" t="str">
        <f>IF(ISBLANK(input_wld_az1_rack5_host9_hostname),"",input_wld_az1_rack5_host9_hostname)</f>
        <v/>
      </c>
      <c r="E430" s="25" t="str">
        <f>CONCATENATE(prefix_wld_az1_rack_cidr,".60.109")</f>
        <v>10.13.60.109</v>
      </c>
      <c r="F430" s="14"/>
      <c r="G430" s="445" t="s">
        <v>3779</v>
      </c>
      <c r="H430" s="445"/>
      <c r="I430" s="445"/>
    </row>
    <row r="431" spans="2:9" ht="20" customHeight="1">
      <c r="B431" s="16"/>
      <c r="C431" s="25" t="str">
        <f>CONCATENATE(this_instance,"01-w0",wld_domain_number_chosen,"-r05-esx10")</f>
        <v>sfo01-w01-r05-esx10</v>
      </c>
      <c r="D431" s="18" t="str">
        <f>IF(ISBLANK(input_wld_az1_rack5_host10_hostname),"",input_wld_az1_rack5_host10_hostname)</f>
        <v/>
      </c>
      <c r="E431" s="25" t="str">
        <f>CONCATENATE(prefix_wld_az1_rack_cidr,".60.110")</f>
        <v>10.13.60.110</v>
      </c>
      <c r="F431" s="14"/>
      <c r="G431" s="445" t="s">
        <v>3781</v>
      </c>
      <c r="H431" s="445"/>
      <c r="I431" s="445"/>
    </row>
    <row r="432" spans="2:9" ht="20" customHeight="1">
      <c r="B432" s="16"/>
      <c r="C432" s="25" t="str">
        <f>CONCATENATE(this_instance,"01-w0",wld_domain_number_chosen,"-r05-esx11")</f>
        <v>sfo01-w01-r05-esx11</v>
      </c>
      <c r="D432" s="18" t="str">
        <f>IF(ISBLANK(input_wld_az1_rack5_host11_hostname),"",input_wld_az1_rack5_host11_hostname)</f>
        <v/>
      </c>
      <c r="E432" s="25" t="str">
        <f>CONCATENATE(prefix_wld_az1_rack_cidr,".60.111")</f>
        <v>10.13.60.111</v>
      </c>
      <c r="F432" s="14"/>
      <c r="G432" s="445" t="s">
        <v>3783</v>
      </c>
      <c r="H432" s="445"/>
      <c r="I432" s="445"/>
    </row>
    <row r="433" spans="2:10" ht="20" customHeight="1">
      <c r="B433" s="16"/>
      <c r="C433" s="25" t="str">
        <f>CONCATENATE(this_instance,"01-w0",wld_domain_number_chosen,"-r05-esx12")</f>
        <v>sfo01-w01-r05-esx12</v>
      </c>
      <c r="D433" s="18" t="str">
        <f>IF(ISBLANK(input_wld_az1_rack5_host12_hostname),"",input_wld_az1_rack5_host12_hostname)</f>
        <v/>
      </c>
      <c r="E433" s="25" t="str">
        <f>CONCATENATE(prefix_wld_az1_rack_cidr,".60.112")</f>
        <v>10.13.60.112</v>
      </c>
      <c r="F433" s="14"/>
      <c r="G433" s="445" t="s">
        <v>3785</v>
      </c>
      <c r="H433" s="445"/>
      <c r="I433" s="445"/>
    </row>
    <row r="434" spans="2:10" ht="20" customHeight="1">
      <c r="B434" s="16"/>
      <c r="C434" s="25" t="str">
        <f>CONCATENATE(this_instance,"01-w0",wld_domain_number_chosen,"-r05-esx13")</f>
        <v>sfo01-w01-r05-esx13</v>
      </c>
      <c r="D434" s="18" t="str">
        <f>IF(ISBLANK(input_wld_az1_rack5_host13_hostname),"",input_wld_az1_rack5_host13_hostname)</f>
        <v/>
      </c>
      <c r="E434" s="25" t="str">
        <f>CONCATENATE(prefix_wld_az1_rack_cidr,".60.113")</f>
        <v>10.13.60.113</v>
      </c>
      <c r="F434" s="14"/>
      <c r="G434" s="445" t="s">
        <v>3787</v>
      </c>
      <c r="H434" s="445"/>
      <c r="I434" s="445"/>
    </row>
    <row r="435" spans="2:10" ht="20" customHeight="1">
      <c r="B435" s="16"/>
      <c r="C435" s="25" t="str">
        <f>CONCATENATE(this_instance,"01-w0",wld_domain_number_chosen,"-r05-esx14")</f>
        <v>sfo01-w01-r05-esx14</v>
      </c>
      <c r="D435" s="18" t="str">
        <f>IF(ISBLANK(input_wld_az1_rack5_host14_hostname),"",input_wld_az1_rack5_host14_hostname)</f>
        <v/>
      </c>
      <c r="E435" s="25" t="str">
        <f>CONCATENATE(prefix_wld_az1_rack_cidr,".60.114")</f>
        <v>10.13.60.114</v>
      </c>
      <c r="F435" s="14"/>
      <c r="G435" s="445" t="s">
        <v>3789</v>
      </c>
      <c r="H435" s="445"/>
      <c r="I435" s="445"/>
    </row>
    <row r="436" spans="2:10" ht="20" customHeight="1">
      <c r="B436" s="16"/>
      <c r="C436" s="25" t="str">
        <f>CONCATENATE(this_instance,"01-w0",wld_domain_number_chosen,"-r05-esx15")</f>
        <v>sfo01-w01-r05-esx15</v>
      </c>
      <c r="D436" s="18" t="str">
        <f>IF(ISBLANK(input_wld_az1_rack5_host15_hostname),"",input_wld_az1_rack5_host15_hostname)</f>
        <v/>
      </c>
      <c r="E436" s="25" t="str">
        <f>CONCATENATE(prefix_wld_az1_rack_cidr,".60.115")</f>
        <v>10.13.60.115</v>
      </c>
      <c r="F436" s="14"/>
      <c r="G436" s="445" t="s">
        <v>3791</v>
      </c>
      <c r="H436" s="445"/>
      <c r="I436" s="445"/>
    </row>
    <row r="437" spans="2:10" ht="20" customHeight="1">
      <c r="B437" s="16"/>
      <c r="C437" s="25" t="str">
        <f>CONCATENATE(this_instance,"01-w0",wld_domain_number_chosen,"-r05-esx16")</f>
        <v>sfo01-w01-r05-esx16</v>
      </c>
      <c r="D437" s="18" t="str">
        <f>IF(ISBLANK(input_wld_az1_rack5_host16_hostname),"",input_wld_az1_rack5_host16_hostname)</f>
        <v/>
      </c>
      <c r="E437" s="25" t="str">
        <f>CONCATENATE(prefix_wld_az1_rack_cidr,".60.116")</f>
        <v>10.13.60.116</v>
      </c>
      <c r="F437" s="14"/>
      <c r="G437" s="445" t="s">
        <v>3793</v>
      </c>
      <c r="H437" s="445"/>
      <c r="I437" s="445"/>
    </row>
    <row r="438" spans="2:10" ht="20" customHeight="1">
      <c r="B438" s="437" t="s">
        <v>4011</v>
      </c>
      <c r="C438" s="437"/>
      <c r="D438" s="459"/>
      <c r="E438" s="459"/>
      <c r="F438" s="459"/>
      <c r="G438" s="459"/>
      <c r="H438" s="459"/>
      <c r="I438" s="459"/>
    </row>
    <row r="439" spans="2:10" ht="20" customHeight="1">
      <c r="B439" s="16"/>
      <c r="C439" s="25" t="str">
        <f>CONCATENATE(this_instance,"-w0",wld_domain_number_chosen,"-r05-en01")</f>
        <v>sfo-w01-r05-en01</v>
      </c>
      <c r="D439" s="14"/>
      <c r="E439" s="25" t="str">
        <f>IF(wld_dpg_separation_result="Included",CONCATENATE(prefix_wld_az1_rack_cidr,".54.135"),CONCATENATE(prefix_wld_az1_rack_cidr,".55.135"))</f>
        <v>10.13.55.135</v>
      </c>
      <c r="F439" s="14"/>
      <c r="G439" s="445" t="str">
        <f>IF(wld_dedicated_edge_cluster_chosen_first=5,"Edge Node 1",IF(wld_dedicated_edge_cluster_chosen_second=5,"Edge Node 2",""))</f>
        <v/>
      </c>
      <c r="H439" s="445"/>
      <c r="I439" s="445"/>
    </row>
    <row r="440" spans="2:10" ht="20" customHeight="1">
      <c r="B440" s="16"/>
      <c r="C440" s="25" t="s">
        <v>569</v>
      </c>
      <c r="D440" s="23" t="s">
        <v>569</v>
      </c>
      <c r="E440" s="25" t="str">
        <f>CONCATENATE(prefix_wld_az1_rack_cidr,".61.2")</f>
        <v>10.13.61.2</v>
      </c>
      <c r="F440" s="14"/>
      <c r="G440" s="445" t="str">
        <f>IF(wld_dedicated_edge_cluster_chosen_first=5,"Uplink 1 IP Address for Edge Node 1",IF(wld_dedicated_edge_cluster_chosen_second=5,"Uplink 1 IP Address for Edge Node 2",""))</f>
        <v/>
      </c>
      <c r="H440" s="445"/>
      <c r="I440" s="445"/>
    </row>
    <row r="441" spans="2:10" ht="20" customHeight="1">
      <c r="B441" s="16"/>
      <c r="C441" s="25" t="s">
        <v>569</v>
      </c>
      <c r="D441" s="23" t="s">
        <v>569</v>
      </c>
      <c r="E441" s="25" t="str">
        <f>CONCATENATE(prefix_wld_az1_rack_cidr,".62.2")</f>
        <v>10.13.62.2</v>
      </c>
      <c r="F441" s="14"/>
      <c r="G441" s="445" t="str">
        <f>IF(wld_dedicated_edge_cluster_chosen_first=5,"Uplink 2 IP Address for Edge Node 1",IF(wld_dedicated_edge_cluster_chosen_second=5,"Uplink 2 IP Address for Edge Node 2",""))</f>
        <v/>
      </c>
      <c r="H441" s="445"/>
      <c r="I441" s="445"/>
      <c r="J441" s="103"/>
    </row>
    <row r="442" spans="2:10" ht="20" customHeight="1">
      <c r="B442" s="16"/>
      <c r="C442" s="25" t="str">
        <f>CONCATENATE(this_instance,"-w0",wld_domain_number_chosen,"-r05-en02")</f>
        <v>sfo-w01-r05-en02</v>
      </c>
      <c r="D442" s="14"/>
      <c r="E442" s="25" t="str">
        <f>IF(wld_dpg_separation_result="Included",CONCATENATE(prefix_wld_az1_rack_cidr,".54.136"),CONCATENATE(prefix_wld_az1_rack_cidr,".55.136"))</f>
        <v>10.13.55.136</v>
      </c>
      <c r="F442" s="14"/>
      <c r="G442" s="445" t="str">
        <f>IF(wld_dedicated_edge_cluster_chosen_first=5,"Edge Cluster Node 3",IF(wld_dedicated_edge_cluster_chosen_second=5,"Edge Cluster Node 4",""))</f>
        <v/>
      </c>
      <c r="H442" s="445"/>
      <c r="I442" s="445"/>
      <c r="J442" s="103"/>
    </row>
    <row r="443" spans="2:10" ht="20" customHeight="1">
      <c r="B443" s="16"/>
      <c r="C443" s="25" t="s">
        <v>569</v>
      </c>
      <c r="D443" s="23" t="s">
        <v>569</v>
      </c>
      <c r="E443" s="25" t="str">
        <f>CONCATENATE(prefix_wld_az1_rack_cidr,".61.3")</f>
        <v>10.13.61.3</v>
      </c>
      <c r="F443" s="14"/>
      <c r="G443" s="445" t="str">
        <f>IF(wld_dedicated_edge_cluster_chosen_first=5,"Uplink 1 IP Address for Edge Cluster Node 3",IF(wld_dedicated_edge_cluster_chosen_second=5,"Uplink 1 IP Address for Edge Cluster Node 4",""))</f>
        <v/>
      </c>
      <c r="H443" s="445"/>
      <c r="I443" s="445"/>
      <c r="J443" s="103"/>
    </row>
    <row r="444" spans="2:10" ht="20" customHeight="1">
      <c r="B444" s="16"/>
      <c r="C444" s="25" t="s">
        <v>569</v>
      </c>
      <c r="D444" s="23" t="s">
        <v>569</v>
      </c>
      <c r="E444" s="25" t="str">
        <f>CONCATENATE(prefix_wld_az1_rack_cidr,".62.3")</f>
        <v>10.13.62.3</v>
      </c>
      <c r="F444" s="14"/>
      <c r="G444" s="445" t="str">
        <f>IF(wld_dedicated_edge_cluster_chosen_first=5,"Uplink 2 IP Address for Edge Cluster Node 3",IF(wld_dedicated_edge_cluster_chosen_second=5,"Uplink 2 IP Address for Edge Cluster Node 4",""))</f>
        <v/>
      </c>
      <c r="H444" s="445"/>
      <c r="I444" s="445"/>
      <c r="J444" s="103"/>
    </row>
    <row r="445" spans="2:10" ht="20" customHeight="1">
      <c r="B445" s="437" t="s">
        <v>667</v>
      </c>
      <c r="C445" s="437"/>
      <c r="D445" s="437"/>
      <c r="E445" s="437"/>
      <c r="F445" s="437"/>
      <c r="G445" s="437"/>
      <c r="H445" s="437"/>
      <c r="I445" s="437"/>
      <c r="J445" s="103"/>
    </row>
    <row r="446" spans="2:10" ht="20" customHeight="1">
      <c r="B446" s="190" t="s">
        <v>668</v>
      </c>
      <c r="C446" s="458"/>
      <c r="D446" s="458"/>
      <c r="E446" s="190" t="s">
        <v>669</v>
      </c>
      <c r="F446" s="113" t="s">
        <v>632</v>
      </c>
      <c r="G446" s="458" t="s">
        <v>222</v>
      </c>
      <c r="H446" s="458"/>
      <c r="I446" s="458"/>
      <c r="J446" s="103"/>
    </row>
    <row r="447" spans="2:10" ht="20" customHeight="1">
      <c r="B447" s="26" t="s">
        <v>670</v>
      </c>
      <c r="C447" s="441"/>
      <c r="D447" s="441"/>
      <c r="E447" s="22" t="str">
        <f>CONCATENATE(prefix_wld_az1_rack_cidr,".56.101")</f>
        <v>10.13.56.101</v>
      </c>
      <c r="F447" s="14"/>
      <c r="G447" s="445" t="s">
        <v>671</v>
      </c>
      <c r="H447" s="445"/>
      <c r="I447" s="445"/>
      <c r="J447" s="103"/>
    </row>
    <row r="448" spans="2:10" ht="20" customHeight="1">
      <c r="B448" s="26" t="s">
        <v>672</v>
      </c>
      <c r="C448" s="441"/>
      <c r="D448" s="441"/>
      <c r="E448" s="22" t="str">
        <f>CONCATENATE(prefix_wld_az1_rack_cidr,".56.116")</f>
        <v>10.13.56.116</v>
      </c>
      <c r="F448" s="14"/>
      <c r="G448" s="445" t="s">
        <v>673</v>
      </c>
      <c r="H448" s="445"/>
      <c r="I448" s="445"/>
      <c r="J448" s="103"/>
    </row>
    <row r="449" spans="2:9" ht="20" customHeight="1">
      <c r="B449" s="21" t="s">
        <v>674</v>
      </c>
      <c r="C449" s="441"/>
      <c r="D449" s="441"/>
      <c r="E449" s="22" t="str">
        <f>CONCATENATE(prefix_wld_az1_rack_cidr,".57.101")</f>
        <v>10.13.57.101</v>
      </c>
      <c r="F449" s="14"/>
      <c r="G449" s="445" t="s">
        <v>675</v>
      </c>
      <c r="H449" s="445"/>
      <c r="I449" s="445"/>
    </row>
    <row r="450" spans="2:9" ht="20" customHeight="1">
      <c r="B450" s="21" t="s">
        <v>676</v>
      </c>
      <c r="C450" s="441"/>
      <c r="D450" s="441"/>
      <c r="E450" s="22" t="str">
        <f>CONCATENATE(prefix_wld_az1_rack_cidr,".57.116")</f>
        <v>10.13.57.116</v>
      </c>
      <c r="F450" s="14"/>
      <c r="G450" s="445" t="s">
        <v>3615</v>
      </c>
      <c r="H450" s="445"/>
      <c r="I450" s="445"/>
    </row>
    <row r="451" spans="2:9" ht="20" customHeight="1">
      <c r="B451" s="21" t="s">
        <v>677</v>
      </c>
      <c r="C451" s="441"/>
      <c r="D451" s="441"/>
      <c r="E451" s="22" t="str">
        <f>CONCATENATE(prefix_wld_az1_rack_cidr,".58.101")</f>
        <v>10.13.58.101</v>
      </c>
      <c r="F451" s="14"/>
      <c r="G451" s="445" t="s">
        <v>678</v>
      </c>
      <c r="H451" s="445"/>
      <c r="I451" s="445"/>
    </row>
    <row r="452" spans="2:9" ht="20" customHeight="1">
      <c r="B452" s="21" t="s">
        <v>679</v>
      </c>
      <c r="C452" s="441"/>
      <c r="D452" s="441"/>
      <c r="E452" s="22" t="str">
        <f>CONCATENATE(prefix_wld_az1_rack_cidr,".58.132")</f>
        <v>10.13.58.132</v>
      </c>
      <c r="F452" s="14"/>
      <c r="G452" s="445" t="s">
        <v>680</v>
      </c>
      <c r="H452" s="445"/>
      <c r="I452" s="445"/>
    </row>
    <row r="453" spans="2:9" ht="20" customHeight="1">
      <c r="B453" s="21" t="s">
        <v>691</v>
      </c>
      <c r="C453" s="460"/>
      <c r="D453" s="461"/>
      <c r="E453" s="22" t="str">
        <f>CONCATENATE(prefix_wld_az1_rack_cidr,".59.101")</f>
        <v>10.13.59.101</v>
      </c>
      <c r="F453" s="18"/>
      <c r="G453" s="442" t="s">
        <v>692</v>
      </c>
      <c r="H453" s="462"/>
      <c r="I453" s="451"/>
    </row>
    <row r="454" spans="2:9" ht="20" customHeight="1">
      <c r="B454" s="21" t="s">
        <v>693</v>
      </c>
      <c r="C454" s="460"/>
      <c r="D454" s="461"/>
      <c r="E454" s="22" t="str">
        <f>CONCATENATE(prefix_wld_az1_rack_cidr,".59.116")</f>
        <v>10.13.59.116</v>
      </c>
      <c r="F454" s="18"/>
      <c r="G454" s="442" t="s">
        <v>694</v>
      </c>
      <c r="H454" s="462"/>
      <c r="I454" s="451"/>
    </row>
    <row r="455" spans="2:9" ht="20" customHeight="1">
      <c r="B455" s="26" t="s">
        <v>4227</v>
      </c>
      <c r="C455" s="441"/>
      <c r="D455" s="441"/>
      <c r="E455" s="22" t="str">
        <f>CONCATENATE(prefix_wld_az1_rack_cidr,".63.2")</f>
        <v>10.13.63.2</v>
      </c>
      <c r="F455" s="14"/>
      <c r="G455" s="445" t="s">
        <v>4229</v>
      </c>
      <c r="H455" s="445"/>
      <c r="I455" s="445"/>
    </row>
    <row r="456" spans="2:9" ht="20" customHeight="1">
      <c r="B456" s="26" t="s">
        <v>4228</v>
      </c>
      <c r="C456" s="441"/>
      <c r="D456" s="441"/>
      <c r="E456" s="22" t="str">
        <f>CONCATENATE(prefix_wld_az1_rack_cidr,".63.5")</f>
        <v>10.13.63.5</v>
      </c>
      <c r="F456" s="14"/>
      <c r="G456" s="445" t="s">
        <v>4230</v>
      </c>
      <c r="H456" s="445"/>
      <c r="I456" s="445"/>
    </row>
    <row r="457" spans="2:9" ht="20" customHeight="1">
      <c r="B457" s="21" t="s">
        <v>681</v>
      </c>
      <c r="C457" s="441"/>
      <c r="D457" s="441"/>
      <c r="E457" s="22" t="str">
        <f>CONCATENATE(prefix_wld_az1_rack_cidr,".64.101")</f>
        <v>10.13.64.101</v>
      </c>
      <c r="F457" s="14"/>
      <c r="G457" s="445" t="s">
        <v>3930</v>
      </c>
      <c r="H457" s="445"/>
      <c r="I457" s="445"/>
    </row>
    <row r="458" spans="2:9" ht="20" customHeight="1">
      <c r="B458" s="21" t="s">
        <v>683</v>
      </c>
      <c r="C458" s="441"/>
      <c r="D458" s="441"/>
      <c r="E458" s="22" t="str">
        <f>CONCATENATE(prefix_wld_az1_rack_cidr,".64.116")</f>
        <v>10.13.64.116</v>
      </c>
      <c r="F458" s="14"/>
      <c r="G458" s="445" t="s">
        <v>3929</v>
      </c>
      <c r="H458" s="445"/>
      <c r="I458" s="445"/>
    </row>
    <row r="459" spans="2:9" ht="16" customHeight="1"/>
    <row r="460" spans="2:9" ht="34" customHeight="1">
      <c r="B460" s="436" t="s">
        <v>4016</v>
      </c>
      <c r="C460" s="436"/>
      <c r="D460" s="436"/>
      <c r="E460" s="457"/>
      <c r="F460" s="457"/>
      <c r="G460" s="457"/>
      <c r="H460" s="457"/>
      <c r="I460" s="457"/>
    </row>
    <row r="461" spans="2:9" ht="20" customHeight="1">
      <c r="B461" s="190" t="s">
        <v>530</v>
      </c>
      <c r="C461" s="190" t="s">
        <v>489</v>
      </c>
      <c r="D461" s="190" t="s">
        <v>3928</v>
      </c>
      <c r="E461" s="113" t="s">
        <v>3927</v>
      </c>
      <c r="F461" s="214"/>
      <c r="G461" s="214"/>
      <c r="H461" s="214"/>
      <c r="I461" s="215"/>
    </row>
    <row r="462" spans="2:9" ht="20" customHeight="1">
      <c r="B462" s="21" t="s">
        <v>3926</v>
      </c>
      <c r="C462" s="22" t="s">
        <v>634</v>
      </c>
      <c r="D462" s="25" t="str">
        <f>IF(wld_host_dns_zone_chosen="Multiple",CONCATENATE("rack6.",this_instance,".rainpole.io"),CONCATENATE(this_instance,".rainpole.io"))</f>
        <v>sfo.rainpole.io</v>
      </c>
      <c r="E462" s="14"/>
      <c r="F462" s="216"/>
      <c r="G462" s="216"/>
      <c r="H462" s="216"/>
      <c r="I462" s="217"/>
    </row>
    <row r="463" spans="2:9" ht="20" customHeight="1">
      <c r="B463" s="437" t="s">
        <v>4009</v>
      </c>
      <c r="C463" s="437"/>
      <c r="D463" s="459"/>
      <c r="E463" s="459"/>
      <c r="F463" s="459"/>
      <c r="G463" s="459"/>
      <c r="H463" s="459"/>
      <c r="I463" s="459"/>
    </row>
    <row r="464" spans="2:9" ht="20" customHeight="1">
      <c r="B464" s="190" t="s">
        <v>583</v>
      </c>
      <c r="C464" s="190" t="s">
        <v>629</v>
      </c>
      <c r="D464" s="113" t="s">
        <v>630</v>
      </c>
      <c r="E464" s="190" t="s">
        <v>631</v>
      </c>
      <c r="F464" s="113" t="s">
        <v>632</v>
      </c>
      <c r="G464" s="458" t="s">
        <v>222</v>
      </c>
      <c r="H464" s="458"/>
      <c r="I464" s="458"/>
    </row>
    <row r="465" spans="2:9" ht="20" customHeight="1">
      <c r="B465" s="26" t="s">
        <v>639</v>
      </c>
      <c r="C465" s="25" t="str">
        <f>CONCATENATE(this_instance,"01-w0",wld_domain_number_chosen,"-r06-esx01")</f>
        <v>sfo01-w01-r06-esx01</v>
      </c>
      <c r="D465" s="14"/>
      <c r="E465" s="25" t="str">
        <f>CONCATENATE(prefix_wld_az1_rack_cidr,".66.101")</f>
        <v>10.13.66.101</v>
      </c>
      <c r="F465" s="14"/>
      <c r="G465" s="445" t="s">
        <v>640</v>
      </c>
      <c r="H465" s="445"/>
      <c r="I465" s="445"/>
    </row>
    <row r="466" spans="2:9" ht="20" customHeight="1">
      <c r="B466" s="16"/>
      <c r="C466" s="25" t="str">
        <f>CONCATENATE(this_instance,"01-w0",wld_domain_number_chosen,"-r06-esx02")</f>
        <v>sfo01-w01-r06-esx02</v>
      </c>
      <c r="D466" s="14"/>
      <c r="E466" s="25" t="str">
        <f>CONCATENATE(prefix_wld_az1_rack_cidr,".66.102")</f>
        <v>10.13.66.102</v>
      </c>
      <c r="F466" s="14"/>
      <c r="G466" s="445" t="s">
        <v>642</v>
      </c>
      <c r="H466" s="445"/>
      <c r="I466" s="445"/>
    </row>
    <row r="467" spans="2:9" ht="20" customHeight="1">
      <c r="B467" s="16"/>
      <c r="C467" s="25" t="str">
        <f>CONCATENATE(this_instance,"01-w0",wld_domain_number_chosen,"-r06-esx03")</f>
        <v>sfo01-w01-r06-esx03</v>
      </c>
      <c r="D467" s="14"/>
      <c r="E467" s="25" t="str">
        <f>CONCATENATE(prefix_wld_az1_rack_cidr,".66.103")</f>
        <v>10.13.66.103</v>
      </c>
      <c r="F467" s="14"/>
      <c r="G467" s="445" t="s">
        <v>644</v>
      </c>
      <c r="H467" s="445"/>
      <c r="I467" s="445"/>
    </row>
    <row r="468" spans="2:9" ht="20" customHeight="1">
      <c r="B468" s="16"/>
      <c r="C468" s="25" t="str">
        <f>CONCATENATE(this_instance,"01-w0",wld_domain_number_chosen,"-r06-esx04")</f>
        <v>sfo01-w01-r06-esx04</v>
      </c>
      <c r="D468" s="14"/>
      <c r="E468" s="25" t="str">
        <f>CONCATENATE(prefix_wld_az1_rack_cidr,".66.104")</f>
        <v>10.13.66.104</v>
      </c>
      <c r="F468" s="14"/>
      <c r="G468" s="445" t="s">
        <v>646</v>
      </c>
      <c r="H468" s="445"/>
      <c r="I468" s="445"/>
    </row>
    <row r="469" spans="2:9" ht="20" customHeight="1">
      <c r="B469" s="16"/>
      <c r="C469" s="25" t="str">
        <f>CONCATENATE(this_instance,"01-w0",wld_domain_number_chosen,"-r06-esx05")</f>
        <v>sfo01-w01-r06-esx05</v>
      </c>
      <c r="D469" s="14"/>
      <c r="E469" s="25" t="str">
        <f>CONCATENATE(prefix_wld_az1_rack_cidr,".66.105")</f>
        <v>10.13.66.105</v>
      </c>
      <c r="F469" s="14"/>
      <c r="G469" s="445" t="s">
        <v>3770</v>
      </c>
      <c r="H469" s="445"/>
      <c r="I469" s="445"/>
    </row>
    <row r="470" spans="2:9" ht="20" customHeight="1">
      <c r="B470" s="16"/>
      <c r="C470" s="25" t="str">
        <f>CONCATENATE(this_instance,"01-w0",wld_domain_number_chosen,"-r06-esx06")</f>
        <v>sfo01-w01-r06-esx06</v>
      </c>
      <c r="D470" s="14"/>
      <c r="E470" s="25" t="str">
        <f>CONCATENATE(prefix_wld_az1_rack_cidr,".66.106")</f>
        <v>10.13.66.106</v>
      </c>
      <c r="F470" s="14"/>
      <c r="G470" s="445" t="s">
        <v>3772</v>
      </c>
      <c r="H470" s="445"/>
      <c r="I470" s="445"/>
    </row>
    <row r="471" spans="2:9" ht="20" customHeight="1">
      <c r="B471" s="16"/>
      <c r="C471" s="25" t="str">
        <f>CONCATENATE(this_instance,"01-w0",wld_domain_number_chosen,"-r06-esx07")</f>
        <v>sfo01-w01-r06-esx07</v>
      </c>
      <c r="D471" s="14"/>
      <c r="E471" s="25" t="str">
        <f>CONCATENATE(prefix_wld_az1_rack_cidr,".66.107")</f>
        <v>10.13.66.107</v>
      </c>
      <c r="F471" s="14"/>
      <c r="G471" s="445" t="s">
        <v>3774</v>
      </c>
      <c r="H471" s="445"/>
      <c r="I471" s="445"/>
    </row>
    <row r="472" spans="2:9" ht="20" customHeight="1">
      <c r="B472" s="16"/>
      <c r="C472" s="25" t="str">
        <f>CONCATENATE(this_instance,"01-w0",wld_domain_number_chosen,"-r06-esx08")</f>
        <v>sfo01-w01-r06-esx08</v>
      </c>
      <c r="D472" s="14"/>
      <c r="E472" s="25" t="str">
        <f>CONCATENATE(prefix_wld_az1_rack_cidr,".66.108")</f>
        <v>10.13.66.108</v>
      </c>
      <c r="F472" s="14"/>
      <c r="G472" s="445" t="s">
        <v>3776</v>
      </c>
      <c r="H472" s="445"/>
      <c r="I472" s="445"/>
    </row>
    <row r="473" spans="2:9" ht="20" customHeight="1">
      <c r="B473" s="16"/>
      <c r="C473" s="25" t="str">
        <f>CONCATENATE(this_instance,"01-w0",wld_domain_number_chosen,"-r06-esx09")</f>
        <v>sfo01-w01-r06-esx09</v>
      </c>
      <c r="D473" s="14"/>
      <c r="E473" s="25" t="str">
        <f>CONCATENATE(prefix_wld_az1_rack_cidr,".66.109")</f>
        <v>10.13.66.109</v>
      </c>
      <c r="F473" s="14"/>
      <c r="G473" s="445" t="s">
        <v>3778</v>
      </c>
      <c r="H473" s="445"/>
      <c r="I473" s="445"/>
    </row>
    <row r="474" spans="2:9" ht="20" customHeight="1">
      <c r="B474" s="16"/>
      <c r="C474" s="25" t="str">
        <f>CONCATENATE(this_instance,"01-w0",wld_domain_number_chosen,"-r06-esx10")</f>
        <v>sfo01-w01-r06-esx10</v>
      </c>
      <c r="D474" s="14"/>
      <c r="E474" s="25" t="str">
        <f>CONCATENATE(prefix_wld_az1_rack_cidr,".66.110")</f>
        <v>10.13.66.110</v>
      </c>
      <c r="F474" s="14"/>
      <c r="G474" s="445" t="s">
        <v>3780</v>
      </c>
      <c r="H474" s="445"/>
      <c r="I474" s="445"/>
    </row>
    <row r="475" spans="2:9" ht="20" customHeight="1">
      <c r="B475" s="16"/>
      <c r="C475" s="25" t="str">
        <f>CONCATENATE(this_instance,"01-w0",wld_domain_number_chosen,"-r06-esx11")</f>
        <v>sfo01-w01-r06-esx11</v>
      </c>
      <c r="D475" s="14"/>
      <c r="E475" s="25" t="str">
        <f>CONCATENATE(prefix_wld_az1_rack_cidr,".66.111")</f>
        <v>10.13.66.111</v>
      </c>
      <c r="F475" s="14"/>
      <c r="G475" s="445" t="s">
        <v>3925</v>
      </c>
      <c r="H475" s="445"/>
      <c r="I475" s="445"/>
    </row>
    <row r="476" spans="2:9" ht="20" customHeight="1">
      <c r="B476" s="16"/>
      <c r="C476" s="25" t="str">
        <f>CONCATENATE(this_instance,"01-w0",wld_domain_number_chosen,"-r06-esx12")</f>
        <v>sfo01-w01-r06-esx12</v>
      </c>
      <c r="D476" s="14"/>
      <c r="E476" s="25" t="str">
        <f>CONCATENATE(prefix_wld_az1_rack_cidr,".66.112")</f>
        <v>10.13.66.112</v>
      </c>
      <c r="F476" s="14"/>
      <c r="G476" s="445" t="s">
        <v>3784</v>
      </c>
      <c r="H476" s="445"/>
      <c r="I476" s="445"/>
    </row>
    <row r="477" spans="2:9" ht="20" customHeight="1">
      <c r="B477" s="16"/>
      <c r="C477" s="25" t="str">
        <f>CONCATENATE(this_instance,"01-w0",wld_domain_number_chosen,"-r06-esx13")</f>
        <v>sfo01-w01-r06-esx13</v>
      </c>
      <c r="D477" s="14"/>
      <c r="E477" s="25" t="str">
        <f>CONCATENATE(prefix_wld_az1_rack_cidr,".66.113")</f>
        <v>10.13.66.113</v>
      </c>
      <c r="F477" s="14"/>
      <c r="G477" s="445" t="s">
        <v>3786</v>
      </c>
      <c r="H477" s="445"/>
      <c r="I477" s="445"/>
    </row>
    <row r="478" spans="2:9" ht="20" customHeight="1">
      <c r="B478" s="16"/>
      <c r="C478" s="25" t="str">
        <f>CONCATENATE(this_instance,"01-w0",wld_domain_number_chosen,"-r06-esx14")</f>
        <v>sfo01-w01-r06-esx14</v>
      </c>
      <c r="D478" s="14"/>
      <c r="E478" s="25" t="str">
        <f>CONCATENATE(prefix_wld_az1_rack_cidr,".66.114")</f>
        <v>10.13.66.114</v>
      </c>
      <c r="F478" s="14"/>
      <c r="G478" s="445" t="s">
        <v>3788</v>
      </c>
      <c r="H478" s="445"/>
      <c r="I478" s="445"/>
    </row>
    <row r="479" spans="2:9" ht="20" customHeight="1">
      <c r="B479" s="16"/>
      <c r="C479" s="25" t="str">
        <f>CONCATENATE(this_instance,"01-w0",wld_domain_number_chosen,"-r06-esx15")</f>
        <v>sfo01-w01-r06-esx15</v>
      </c>
      <c r="D479" s="14"/>
      <c r="E479" s="25" t="str">
        <f>CONCATENATE(prefix_wld_az1_rack_cidr,".66.115")</f>
        <v>10.13.66.115</v>
      </c>
      <c r="F479" s="14"/>
      <c r="G479" s="445" t="s">
        <v>3790</v>
      </c>
      <c r="H479" s="445"/>
      <c r="I479" s="445"/>
    </row>
    <row r="480" spans="2:9" ht="20" customHeight="1">
      <c r="B480" s="16"/>
      <c r="C480" s="25" t="str">
        <f>CONCATENATE(this_instance,"01-w0",wld_domain_number_chosen,"-r06-esx16")</f>
        <v>sfo01-w01-r06-esx16</v>
      </c>
      <c r="D480" s="14"/>
      <c r="E480" s="25" t="str">
        <f>CONCATENATE(prefix_wld_az1_rack_cidr,".66.116")</f>
        <v>10.13.66.116</v>
      </c>
      <c r="F480" s="14"/>
      <c r="G480" s="445" t="s">
        <v>3792</v>
      </c>
      <c r="H480" s="445"/>
      <c r="I480" s="445"/>
    </row>
    <row r="481" spans="2:9" ht="20" customHeight="1">
      <c r="B481" s="437" t="s">
        <v>4010</v>
      </c>
      <c r="C481" s="437"/>
      <c r="D481" s="459"/>
      <c r="E481" s="459"/>
      <c r="F481" s="459"/>
      <c r="G481" s="459"/>
      <c r="H481" s="459"/>
      <c r="I481" s="459"/>
    </row>
    <row r="482" spans="2:9" ht="20" customHeight="1">
      <c r="B482" s="26"/>
      <c r="C482" s="25" t="str">
        <f>CONCATENATE(this_instance,"01-w0",wld_domain_number_chosen,"-r06-esx01")</f>
        <v>sfo01-w01-r06-esx01</v>
      </c>
      <c r="D482" s="18" t="str">
        <f>IF(ISBLANK(input_wld_az1_rack6_host1_hostname),"",input_wld_az1_rack6_host1_hostname)</f>
        <v/>
      </c>
      <c r="E482" s="25" t="str">
        <f>CONCATENATE(prefix_wld_az1_rack_cidr,".71.101")</f>
        <v>10.13.71.101</v>
      </c>
      <c r="F482" s="14"/>
      <c r="G482" s="445" t="s">
        <v>641</v>
      </c>
      <c r="H482" s="445"/>
      <c r="I482" s="445"/>
    </row>
    <row r="483" spans="2:9" ht="20" customHeight="1">
      <c r="B483" s="16"/>
      <c r="C483" s="25" t="str">
        <f>CONCATENATE(this_instance,"01-w0",wld_domain_number_chosen,"-r06-esx02")</f>
        <v>sfo01-w01-r06-esx02</v>
      </c>
      <c r="D483" s="18" t="str">
        <f>IF(ISBLANK(input_wld_az1_rack6_host2_hostname),"",input_wld_az1_rack6_host2_hostname)</f>
        <v/>
      </c>
      <c r="E483" s="25" t="str">
        <f>CONCATENATE(prefix_wld_az1_rack_cidr,".71.102")</f>
        <v>10.13.71.102</v>
      </c>
      <c r="F483" s="14"/>
      <c r="G483" s="445" t="s">
        <v>643</v>
      </c>
      <c r="H483" s="445"/>
      <c r="I483" s="445"/>
    </row>
    <row r="484" spans="2:9" ht="20" customHeight="1">
      <c r="B484" s="16"/>
      <c r="C484" s="25" t="str">
        <f>CONCATENATE(this_instance,"01-w0",wld_domain_number_chosen,"-r06-esx03")</f>
        <v>sfo01-w01-r06-esx03</v>
      </c>
      <c r="D484" s="18" t="str">
        <f>IF(ISBLANK(input_wld_az1_rack6_host3_hostname),"",input_wld_az1_rack6_host3_hostname)</f>
        <v/>
      </c>
      <c r="E484" s="25" t="str">
        <f>CONCATENATE(prefix_wld_az1_rack_cidr,".71.103")</f>
        <v>10.13.71.103</v>
      </c>
      <c r="F484" s="14"/>
      <c r="G484" s="445" t="s">
        <v>645</v>
      </c>
      <c r="H484" s="445"/>
      <c r="I484" s="445"/>
    </row>
    <row r="485" spans="2:9" ht="20" customHeight="1">
      <c r="B485" s="16"/>
      <c r="C485" s="25" t="str">
        <f>CONCATENATE(this_instance,"01-w0",wld_domain_number_chosen,"-r06-esx04")</f>
        <v>sfo01-w01-r06-esx04</v>
      </c>
      <c r="D485" s="18" t="str">
        <f>IF(ISBLANK(input_wld_az1_rack6_host4_hostname),"",input_wld_az1_rack6_host4_hostname)</f>
        <v/>
      </c>
      <c r="E485" s="25" t="str">
        <f>CONCATENATE(prefix_wld_az1_rack_cidr,".71.104")</f>
        <v>10.13.71.104</v>
      </c>
      <c r="F485" s="14"/>
      <c r="G485" s="445" t="s">
        <v>647</v>
      </c>
      <c r="H485" s="445"/>
      <c r="I485" s="445"/>
    </row>
    <row r="486" spans="2:9" ht="20" customHeight="1">
      <c r="B486" s="16"/>
      <c r="C486" s="25" t="str">
        <f>CONCATENATE(this_instance,"01-w0",wld_domain_number_chosen,"-r06-esx05")</f>
        <v>sfo01-w01-r06-esx05</v>
      </c>
      <c r="D486" s="18" t="str">
        <f>IF(ISBLANK(input_wld_az1_rack6_host5_hostname),"",input_wld_az1_rack6_host5_hostname)</f>
        <v/>
      </c>
      <c r="E486" s="25" t="str">
        <f>CONCATENATE(prefix_wld_az1_rack_cidr,".71.105")</f>
        <v>10.13.71.105</v>
      </c>
      <c r="F486" s="14"/>
      <c r="G486" s="445" t="s">
        <v>3771</v>
      </c>
      <c r="H486" s="445"/>
      <c r="I486" s="445"/>
    </row>
    <row r="487" spans="2:9" ht="20" customHeight="1">
      <c r="B487" s="16"/>
      <c r="C487" s="25" t="str">
        <f>CONCATENATE(this_instance,"01-w0",wld_domain_number_chosen,"-r06-esx06")</f>
        <v>sfo01-w01-r06-esx06</v>
      </c>
      <c r="D487" s="18" t="str">
        <f>IF(ISBLANK(input_wld_az1_rack6_host6_hostname),"",input_wld_az1_rack6_host6_hostname)</f>
        <v/>
      </c>
      <c r="E487" s="25" t="str">
        <f>CONCATENATE(prefix_wld_az1_rack_cidr,".71.106")</f>
        <v>10.13.71.106</v>
      </c>
      <c r="F487" s="14"/>
      <c r="G487" s="445" t="s">
        <v>3773</v>
      </c>
      <c r="H487" s="445"/>
      <c r="I487" s="445"/>
    </row>
    <row r="488" spans="2:9" ht="20" customHeight="1">
      <c r="B488" s="16"/>
      <c r="C488" s="25" t="str">
        <f>CONCATENATE(this_instance,"01-w0",wld_domain_number_chosen,"-r06-esx07")</f>
        <v>sfo01-w01-r06-esx07</v>
      </c>
      <c r="D488" s="18" t="str">
        <f>IF(ISBLANK(input_wld_az1_rack6_host7_hostname),"",input_wld_az1_rack6_host7_hostname)</f>
        <v/>
      </c>
      <c r="E488" s="25" t="str">
        <f>CONCATENATE(prefix_wld_az1_rack_cidr,".71.107")</f>
        <v>10.13.71.107</v>
      </c>
      <c r="F488" s="14"/>
      <c r="G488" s="445" t="s">
        <v>3775</v>
      </c>
      <c r="H488" s="445"/>
      <c r="I488" s="445"/>
    </row>
    <row r="489" spans="2:9" ht="20" customHeight="1">
      <c r="B489" s="16"/>
      <c r="C489" s="25" t="str">
        <f>CONCATENATE(this_instance,"01-w0",wld_domain_number_chosen,"-r06-esx08")</f>
        <v>sfo01-w01-r06-esx08</v>
      </c>
      <c r="D489" s="18" t="str">
        <f>IF(ISBLANK(input_wld_az1_rack6_host8_hostname),"",input_wld_az1_rack6_host8_hostname)</f>
        <v/>
      </c>
      <c r="E489" s="25" t="str">
        <f>CONCATENATE(prefix_wld_az1_rack_cidr,".71.108")</f>
        <v>10.13.71.108</v>
      </c>
      <c r="F489" s="14"/>
      <c r="G489" s="445" t="s">
        <v>3777</v>
      </c>
      <c r="H489" s="445"/>
      <c r="I489" s="445"/>
    </row>
    <row r="490" spans="2:9" ht="20" customHeight="1">
      <c r="B490" s="16"/>
      <c r="C490" s="25" t="str">
        <f>CONCATENATE(this_instance,"01-w0",wld_domain_number_chosen,"-r06-esx09")</f>
        <v>sfo01-w01-r06-esx09</v>
      </c>
      <c r="D490" s="18" t="str">
        <f>IF(ISBLANK(input_wld_az1_rack6_host9_hostname),"",input_wld_az1_rack6_host9_hostname)</f>
        <v/>
      </c>
      <c r="E490" s="25" t="str">
        <f>CONCATENATE(prefix_wld_az1_rack_cidr,".71.109")</f>
        <v>10.13.71.109</v>
      </c>
      <c r="F490" s="14"/>
      <c r="G490" s="445" t="s">
        <v>3779</v>
      </c>
      <c r="H490" s="445"/>
      <c r="I490" s="445"/>
    </row>
    <row r="491" spans="2:9" ht="20" customHeight="1">
      <c r="B491" s="16"/>
      <c r="C491" s="25" t="str">
        <f>CONCATENATE(this_instance,"01-w0",wld_domain_number_chosen,"-r06-esx10")</f>
        <v>sfo01-w01-r06-esx10</v>
      </c>
      <c r="D491" s="18" t="str">
        <f>IF(ISBLANK(input_wld_az1_rack6_host10_hostname),"",input_wld_az1_rack6_host10_hostname)</f>
        <v/>
      </c>
      <c r="E491" s="25" t="str">
        <f>CONCATENATE(prefix_wld_az1_rack_cidr,".71.110")</f>
        <v>10.13.71.110</v>
      </c>
      <c r="F491" s="14"/>
      <c r="G491" s="445" t="s">
        <v>3781</v>
      </c>
      <c r="H491" s="445"/>
      <c r="I491" s="445"/>
    </row>
    <row r="492" spans="2:9" ht="20" customHeight="1">
      <c r="B492" s="16"/>
      <c r="C492" s="25" t="str">
        <f>CONCATENATE(this_instance,"01-w0",wld_domain_number_chosen,"-r06-esx11")</f>
        <v>sfo01-w01-r06-esx11</v>
      </c>
      <c r="D492" s="18" t="str">
        <f>IF(ISBLANK(input_wld_az1_rack6_host11_hostname),"",input_wld_az1_rack6_host11_hostname)</f>
        <v/>
      </c>
      <c r="E492" s="25" t="str">
        <f>CONCATENATE(prefix_wld_az1_rack_cidr,".71.111")</f>
        <v>10.13.71.111</v>
      </c>
      <c r="F492" s="14"/>
      <c r="G492" s="445" t="s">
        <v>3783</v>
      </c>
      <c r="H492" s="445"/>
      <c r="I492" s="445"/>
    </row>
    <row r="493" spans="2:9" ht="20" customHeight="1">
      <c r="B493" s="16"/>
      <c r="C493" s="25" t="str">
        <f>CONCATENATE(this_instance,"01-w0",wld_domain_number_chosen,"-r06-esx12")</f>
        <v>sfo01-w01-r06-esx12</v>
      </c>
      <c r="D493" s="18" t="str">
        <f>IF(ISBLANK(input_wld_az1_rack6_host12_hostname),"",input_wld_az1_rack6_host12_hostname)</f>
        <v/>
      </c>
      <c r="E493" s="25" t="str">
        <f>CONCATENATE(prefix_wld_az1_rack_cidr,".71.112")</f>
        <v>10.13.71.112</v>
      </c>
      <c r="F493" s="14"/>
      <c r="G493" s="445" t="s">
        <v>3785</v>
      </c>
      <c r="H493" s="445"/>
      <c r="I493" s="445"/>
    </row>
    <row r="494" spans="2:9" ht="20" customHeight="1">
      <c r="B494" s="16"/>
      <c r="C494" s="25" t="str">
        <f>CONCATENATE(this_instance,"01-w0",wld_domain_number_chosen,"-r06-esx13")</f>
        <v>sfo01-w01-r06-esx13</v>
      </c>
      <c r="D494" s="18" t="str">
        <f>IF(ISBLANK(input_wld_az1_rack6_host13_hostname),"",input_wld_az1_rack6_host13_hostname)</f>
        <v/>
      </c>
      <c r="E494" s="25" t="str">
        <f>CONCATENATE(prefix_wld_az1_rack_cidr,".71.113")</f>
        <v>10.13.71.113</v>
      </c>
      <c r="F494" s="14"/>
      <c r="G494" s="445" t="s">
        <v>3787</v>
      </c>
      <c r="H494" s="445"/>
      <c r="I494" s="445"/>
    </row>
    <row r="495" spans="2:9" ht="20" customHeight="1">
      <c r="B495" s="16"/>
      <c r="C495" s="25" t="str">
        <f>CONCATENATE(this_instance,"01-w0",wld_domain_number_chosen,"-r06-esx14")</f>
        <v>sfo01-w01-r06-esx14</v>
      </c>
      <c r="D495" s="18" t="str">
        <f>IF(ISBLANK(input_wld_az1_rack6_host14_hostname),"",input_wld_az1_rack6_host14_hostname)</f>
        <v/>
      </c>
      <c r="E495" s="25" t="str">
        <f>CONCATENATE(prefix_wld_az1_rack_cidr,".71.114")</f>
        <v>10.13.71.114</v>
      </c>
      <c r="F495" s="14"/>
      <c r="G495" s="445" t="s">
        <v>3789</v>
      </c>
      <c r="H495" s="445"/>
      <c r="I495" s="445"/>
    </row>
    <row r="496" spans="2:9" ht="20" customHeight="1">
      <c r="B496" s="16"/>
      <c r="C496" s="25" t="str">
        <f>CONCATENATE(this_instance,"01-w0",wld_domain_number_chosen,"-r06-esx15")</f>
        <v>sfo01-w01-r06-esx15</v>
      </c>
      <c r="D496" s="18" t="str">
        <f>IF(ISBLANK(input_wld_az1_rack6_host15_hostname),"",input_wld_az1_rack6_host15_hostname)</f>
        <v/>
      </c>
      <c r="E496" s="25" t="str">
        <f>CONCATENATE(prefix_wld_az1_rack_cidr,".71.115")</f>
        <v>10.13.71.115</v>
      </c>
      <c r="F496" s="14"/>
      <c r="G496" s="445" t="s">
        <v>3791</v>
      </c>
      <c r="H496" s="445"/>
      <c r="I496" s="445"/>
    </row>
    <row r="497" spans="2:10" ht="20" customHeight="1">
      <c r="B497" s="16"/>
      <c r="C497" s="25" t="str">
        <f>CONCATENATE(this_instance,"01-w0",wld_domain_number_chosen,"-r06-esx16")</f>
        <v>sfo01-w01-r06-esx16</v>
      </c>
      <c r="D497" s="18" t="str">
        <f>IF(ISBLANK(input_wld_az1_rack6_host16_hostname),"",input_wld_az1_rack6_host16_hostname)</f>
        <v/>
      </c>
      <c r="E497" s="25" t="str">
        <f>CONCATENATE(prefix_wld_az1_rack_cidr,".71.116")</f>
        <v>10.13.71.116</v>
      </c>
      <c r="F497" s="14"/>
      <c r="G497" s="445" t="s">
        <v>3793</v>
      </c>
      <c r="H497" s="445"/>
      <c r="I497" s="445"/>
    </row>
    <row r="498" spans="2:10" ht="20" customHeight="1">
      <c r="B498" s="437" t="s">
        <v>4011</v>
      </c>
      <c r="C498" s="437"/>
      <c r="D498" s="459"/>
      <c r="E498" s="459"/>
      <c r="F498" s="459"/>
      <c r="G498" s="459"/>
      <c r="H498" s="459"/>
      <c r="I498" s="459"/>
    </row>
    <row r="499" spans="2:10" ht="20" customHeight="1">
      <c r="B499" s="16"/>
      <c r="C499" s="25" t="str">
        <f>CONCATENATE(this_instance,"-w0",wld_domain_number_chosen,"-r06-en01")</f>
        <v>sfo-w01-r06-en01</v>
      </c>
      <c r="D499" s="14"/>
      <c r="E499" s="25" t="str">
        <f>IF(wld_dpg_separation_result="Included",CONCATENATE(prefix_wld_az1_rack_cidr,".65.135"),CONCATENATE(prefix_wld_az1_rack_cidr,".66.135"))</f>
        <v>10.13.66.135</v>
      </c>
      <c r="F499" s="14"/>
      <c r="G499" s="445" t="str">
        <f>IF(wld_dedicated_edge_cluster_chosen_first=6,"Edge Node 1",IF(wld_dedicated_edge_cluster_chosen_second=6,"Edge Node 2",""))</f>
        <v/>
      </c>
      <c r="H499" s="445"/>
      <c r="I499" s="445"/>
    </row>
    <row r="500" spans="2:10" ht="20" customHeight="1">
      <c r="B500" s="16"/>
      <c r="C500" s="25" t="s">
        <v>569</v>
      </c>
      <c r="D500" s="23" t="s">
        <v>569</v>
      </c>
      <c r="E500" s="25" t="str">
        <f>CONCATENATE(prefix_wld_az1_rack_cidr,".72.2")</f>
        <v>10.13.72.2</v>
      </c>
      <c r="F500" s="14"/>
      <c r="G500" s="445" t="str">
        <f>IF(wld_dedicated_edge_cluster_chosen_first=6,"Uplink 1 IP Address for Edge Node 1",IF(wld_dedicated_edge_cluster_chosen_second=6,"Uplink 1 IP Address for Edge Node 2",""))</f>
        <v/>
      </c>
      <c r="H500" s="445"/>
      <c r="I500" s="445"/>
    </row>
    <row r="501" spans="2:10" ht="20" customHeight="1">
      <c r="B501" s="16"/>
      <c r="C501" s="25" t="s">
        <v>569</v>
      </c>
      <c r="D501" s="23" t="s">
        <v>569</v>
      </c>
      <c r="E501" s="25" t="str">
        <f>CONCATENATE(prefix_wld_az1_rack_cidr,".73.2")</f>
        <v>10.13.73.2</v>
      </c>
      <c r="F501" s="14"/>
      <c r="G501" s="445" t="str">
        <f>IF(wld_dedicated_edge_cluster_chosen_first=6,"Uplink 2 IP Address for Edge Node 1",IF(wld_dedicated_edge_cluster_chosen_second=6,"Uplink 2 IP Address for Edge Node 2",""))</f>
        <v/>
      </c>
      <c r="H501" s="445"/>
      <c r="I501" s="445"/>
      <c r="J501" s="103"/>
    </row>
    <row r="502" spans="2:10" ht="20" customHeight="1">
      <c r="B502" s="16"/>
      <c r="C502" s="25" t="str">
        <f>CONCATENATE(this_instance,"-w0",wld_domain_number_chosen,"-r06-en02")</f>
        <v>sfo-w01-r06-en02</v>
      </c>
      <c r="D502" s="14"/>
      <c r="E502" s="25" t="str">
        <f>IF(wld_dpg_separation_result="Included",CONCATENATE(prefix_wld_az1_rack_cidr,".65.136"),CONCATENATE(prefix_wld_az1_rack_cidr,".66.136"))</f>
        <v>10.13.66.136</v>
      </c>
      <c r="F502" s="14"/>
      <c r="G502" s="445" t="str">
        <f>IF(wld_dedicated_edge_cluster_chosen_first=6,"Edge Cluster Node 3",IF(wld_dedicated_edge_cluster_chosen_second=6,"Edge Cluster Node 4",""))</f>
        <v/>
      </c>
      <c r="H502" s="445"/>
      <c r="I502" s="445"/>
      <c r="J502" s="103"/>
    </row>
    <row r="503" spans="2:10" ht="20" customHeight="1">
      <c r="B503" s="16"/>
      <c r="C503" s="25" t="s">
        <v>569</v>
      </c>
      <c r="D503" s="23" t="s">
        <v>569</v>
      </c>
      <c r="E503" s="25" t="str">
        <f>CONCATENATE(prefix_wld_az1_rack_cidr,".72.3")</f>
        <v>10.13.72.3</v>
      </c>
      <c r="F503" s="14"/>
      <c r="G503" s="445" t="str">
        <f>IF(wld_dedicated_edge_cluster_chosen_first=6,"Uplink 1 IP Address for Edge Cluster Node 3",IF(wld_dedicated_edge_cluster_chosen_second=6,"Uplink 1 IP Address for Edge Cluster Node 4",""))</f>
        <v/>
      </c>
      <c r="H503" s="445"/>
      <c r="I503" s="445"/>
      <c r="J503" s="103"/>
    </row>
    <row r="504" spans="2:10" ht="20" customHeight="1">
      <c r="B504" s="16"/>
      <c r="C504" s="25" t="s">
        <v>569</v>
      </c>
      <c r="D504" s="23" t="s">
        <v>569</v>
      </c>
      <c r="E504" s="25" t="str">
        <f>CONCATENATE(prefix_wld_az1_rack_cidr,".73.3")</f>
        <v>10.13.73.3</v>
      </c>
      <c r="F504" s="14"/>
      <c r="G504" s="445" t="str">
        <f>IF(wld_dedicated_edge_cluster_chosen_first=6,"Uplink 2 IP Address for Edge Cluster Node 3",IF(wld_dedicated_edge_cluster_chosen_second=6,"Uplink 2 IP Address for Edge Cluster Node 4",""))</f>
        <v/>
      </c>
      <c r="H504" s="445"/>
      <c r="I504" s="445"/>
      <c r="J504" s="103"/>
    </row>
    <row r="505" spans="2:10" ht="20" customHeight="1">
      <c r="B505" s="190" t="s">
        <v>668</v>
      </c>
      <c r="C505" s="458"/>
      <c r="D505" s="458"/>
      <c r="E505" s="190" t="s">
        <v>669</v>
      </c>
      <c r="F505" s="113" t="s">
        <v>632</v>
      </c>
      <c r="G505" s="458" t="s">
        <v>222</v>
      </c>
      <c r="H505" s="458"/>
      <c r="I505" s="458"/>
      <c r="J505" s="103"/>
    </row>
    <row r="506" spans="2:10" ht="20" customHeight="1">
      <c r="B506" s="26" t="s">
        <v>670</v>
      </c>
      <c r="C506" s="441"/>
      <c r="D506" s="441"/>
      <c r="E506" s="22" t="str">
        <f>CONCATENATE(prefix_wld_az1_rack_cidr,".67.101")</f>
        <v>10.13.67.101</v>
      </c>
      <c r="F506" s="14"/>
      <c r="G506" s="445" t="s">
        <v>671</v>
      </c>
      <c r="H506" s="445"/>
      <c r="I506" s="445"/>
      <c r="J506" s="103"/>
    </row>
    <row r="507" spans="2:10" ht="20" customHeight="1">
      <c r="B507" s="26" t="s">
        <v>672</v>
      </c>
      <c r="C507" s="441"/>
      <c r="D507" s="441"/>
      <c r="E507" s="22" t="str">
        <f>CONCATENATE(prefix_wld_az1_rack_cidr,".67.116")</f>
        <v>10.13.67.116</v>
      </c>
      <c r="F507" s="14"/>
      <c r="G507" s="445" t="s">
        <v>673</v>
      </c>
      <c r="H507" s="445"/>
      <c r="I507" s="445"/>
      <c r="J507" s="103"/>
    </row>
    <row r="508" spans="2:10" ht="20" customHeight="1">
      <c r="B508" s="21" t="s">
        <v>674</v>
      </c>
      <c r="C508" s="441"/>
      <c r="D508" s="441"/>
      <c r="E508" s="22" t="str">
        <f>CONCATENATE(prefix_wld_az1_rack_cidr,".68.101")</f>
        <v>10.13.68.101</v>
      </c>
      <c r="F508" s="14"/>
      <c r="G508" s="445" t="s">
        <v>675</v>
      </c>
      <c r="H508" s="445"/>
      <c r="I508" s="445"/>
      <c r="J508" s="103"/>
    </row>
    <row r="509" spans="2:10" ht="20" customHeight="1">
      <c r="B509" s="21" t="s">
        <v>676</v>
      </c>
      <c r="C509" s="441"/>
      <c r="D509" s="441"/>
      <c r="E509" s="22" t="str">
        <f>CONCATENATE(prefix_wld_az1_rack_cidr,".68.116")</f>
        <v>10.13.68.116</v>
      </c>
      <c r="F509" s="14"/>
      <c r="G509" s="445" t="s">
        <v>3615</v>
      </c>
      <c r="H509" s="445"/>
      <c r="I509" s="445"/>
    </row>
    <row r="510" spans="2:10" ht="20" customHeight="1">
      <c r="B510" s="21" t="s">
        <v>677</v>
      </c>
      <c r="C510" s="441"/>
      <c r="D510" s="441"/>
      <c r="E510" s="22" t="str">
        <f>CONCATENATE(prefix_wld_az1_rack_cidr,".69.101")</f>
        <v>10.13.69.101</v>
      </c>
      <c r="F510" s="14"/>
      <c r="G510" s="445" t="s">
        <v>678</v>
      </c>
      <c r="H510" s="445"/>
      <c r="I510" s="445"/>
    </row>
    <row r="511" spans="2:10" ht="20" customHeight="1">
      <c r="B511" s="21" t="s">
        <v>679</v>
      </c>
      <c r="C511" s="441"/>
      <c r="D511" s="441"/>
      <c r="E511" s="22" t="str">
        <f>CONCATENATE(prefix_wld_az1_rack_cidr,".69.132")</f>
        <v>10.13.69.132</v>
      </c>
      <c r="F511" s="14"/>
      <c r="G511" s="445" t="s">
        <v>680</v>
      </c>
      <c r="H511" s="445"/>
      <c r="I511" s="445"/>
    </row>
    <row r="512" spans="2:10" ht="20" customHeight="1">
      <c r="B512" s="21" t="s">
        <v>691</v>
      </c>
      <c r="C512" s="460"/>
      <c r="D512" s="461"/>
      <c r="E512" s="22" t="str">
        <f>CONCATENATE(prefix_wld_az1_rack_cidr,".70.101")</f>
        <v>10.13.70.101</v>
      </c>
      <c r="F512" s="18"/>
      <c r="G512" s="442" t="s">
        <v>692</v>
      </c>
      <c r="H512" s="462"/>
      <c r="I512" s="451"/>
    </row>
    <row r="513" spans="2:9" ht="20" customHeight="1">
      <c r="B513" s="21" t="s">
        <v>693</v>
      </c>
      <c r="C513" s="460"/>
      <c r="D513" s="461"/>
      <c r="E513" s="22" t="str">
        <f>CONCATENATE(prefix_wld_az1_rack_cidr,".70.116")</f>
        <v>10.13.70.116</v>
      </c>
      <c r="F513" s="18"/>
      <c r="G513" s="442" t="s">
        <v>694</v>
      </c>
      <c r="H513" s="462"/>
      <c r="I513" s="451"/>
    </row>
    <row r="514" spans="2:9" ht="20" customHeight="1">
      <c r="B514" s="26" t="s">
        <v>4227</v>
      </c>
      <c r="C514" s="441"/>
      <c r="D514" s="441"/>
      <c r="E514" s="22" t="str">
        <f>CONCATENATE(prefix_wld_az1_rack_cidr,".74.2")</f>
        <v>10.13.74.2</v>
      </c>
      <c r="F514" s="14"/>
      <c r="G514" s="445" t="s">
        <v>4229</v>
      </c>
      <c r="H514" s="445"/>
      <c r="I514" s="445"/>
    </row>
    <row r="515" spans="2:9" ht="20" customHeight="1">
      <c r="B515" s="26" t="s">
        <v>4228</v>
      </c>
      <c r="C515" s="441"/>
      <c r="D515" s="441"/>
      <c r="E515" s="22" t="str">
        <f>CONCATENATE(prefix_wld_az1_rack_cidr,".74.5")</f>
        <v>10.13.74.5</v>
      </c>
      <c r="F515" s="14"/>
      <c r="G515" s="445" t="s">
        <v>4230</v>
      </c>
      <c r="H515" s="445"/>
      <c r="I515" s="445"/>
    </row>
    <row r="516" spans="2:9" ht="20" customHeight="1">
      <c r="B516" s="21" t="s">
        <v>681</v>
      </c>
      <c r="C516" s="441"/>
      <c r="D516" s="441"/>
      <c r="E516" s="22" t="str">
        <f>CONCATENATE(prefix_wld_az1_rack_cidr,".75.101")</f>
        <v>10.13.75.101</v>
      </c>
      <c r="F516" s="14"/>
      <c r="G516" s="454" t="s">
        <v>3930</v>
      </c>
      <c r="H516" s="455"/>
      <c r="I516" s="456"/>
    </row>
    <row r="517" spans="2:9" ht="20" customHeight="1">
      <c r="B517" s="21" t="s">
        <v>683</v>
      </c>
      <c r="C517" s="441"/>
      <c r="D517" s="441"/>
      <c r="E517" s="22" t="str">
        <f>CONCATENATE(prefix_wld_az1_rack_cidr,".75.116")</f>
        <v>10.13.75.116</v>
      </c>
      <c r="F517" s="14"/>
      <c r="G517" s="454" t="s">
        <v>3929</v>
      </c>
      <c r="H517" s="455"/>
      <c r="I517" s="456"/>
    </row>
    <row r="518" spans="2:9" ht="16" customHeight="1"/>
    <row r="519" spans="2:9" ht="20" customHeight="1">
      <c r="B519" s="436" t="s">
        <v>4017</v>
      </c>
      <c r="C519" s="436"/>
      <c r="D519" s="436"/>
      <c r="E519" s="457"/>
      <c r="F519" s="457"/>
      <c r="G519" s="457"/>
      <c r="H519" s="457"/>
      <c r="I519" s="457"/>
    </row>
    <row r="520" spans="2:9" ht="20" customHeight="1">
      <c r="B520" s="190" t="s">
        <v>530</v>
      </c>
      <c r="C520" s="190" t="s">
        <v>489</v>
      </c>
      <c r="D520" s="190" t="s">
        <v>3928</v>
      </c>
      <c r="E520" s="113" t="s">
        <v>3927</v>
      </c>
      <c r="F520" s="214"/>
      <c r="G520" s="214"/>
      <c r="H520" s="214"/>
      <c r="I520" s="215"/>
    </row>
    <row r="521" spans="2:9" ht="20" customHeight="1">
      <c r="B521" s="21" t="s">
        <v>3926</v>
      </c>
      <c r="C521" s="22" t="s">
        <v>634</v>
      </c>
      <c r="D521" s="25" t="str">
        <f>IF(wld_host_dns_zone_chosen="Multiple",CONCATENATE("rack7.",this_instance,".rainpole.io"),CONCATENATE(this_instance,".rainpole.io"))</f>
        <v>sfo.rainpole.io</v>
      </c>
      <c r="E521" s="14"/>
      <c r="F521" s="216"/>
      <c r="G521" s="216"/>
      <c r="H521" s="216"/>
      <c r="I521" s="217"/>
    </row>
    <row r="522" spans="2:9" ht="20" customHeight="1">
      <c r="B522" s="437" t="s">
        <v>4009</v>
      </c>
      <c r="C522" s="437"/>
      <c r="D522" s="459"/>
      <c r="E522" s="459"/>
      <c r="F522" s="459"/>
      <c r="G522" s="459"/>
      <c r="H522" s="459"/>
      <c r="I522" s="459"/>
    </row>
    <row r="523" spans="2:9" ht="20" customHeight="1">
      <c r="B523" s="190" t="s">
        <v>583</v>
      </c>
      <c r="C523" s="190" t="s">
        <v>629</v>
      </c>
      <c r="D523" s="113" t="s">
        <v>630</v>
      </c>
      <c r="E523" s="190" t="s">
        <v>631</v>
      </c>
      <c r="F523" s="113" t="s">
        <v>632</v>
      </c>
      <c r="G523" s="458" t="s">
        <v>222</v>
      </c>
      <c r="H523" s="458"/>
      <c r="I523" s="458"/>
    </row>
    <row r="524" spans="2:9" ht="20" customHeight="1">
      <c r="B524" s="26" t="s">
        <v>639</v>
      </c>
      <c r="C524" s="25" t="str">
        <f>CONCATENATE(this_instance,"01-w0",wld_domain_number_chosen,"-r07-esx01")</f>
        <v>sfo01-w01-r07-esx01</v>
      </c>
      <c r="D524" s="14"/>
      <c r="E524" s="25" t="str">
        <f>CONCATENATE(prefix_wld_az1_rack_cidr,".77.101")</f>
        <v>10.13.77.101</v>
      </c>
      <c r="F524" s="14"/>
      <c r="G524" s="445" t="s">
        <v>640</v>
      </c>
      <c r="H524" s="445"/>
      <c r="I524" s="445"/>
    </row>
    <row r="525" spans="2:9" ht="20" customHeight="1">
      <c r="B525" s="16"/>
      <c r="C525" s="25" t="str">
        <f>CONCATENATE(this_instance,"01-w0",wld_domain_number_chosen,"-r07-esx02")</f>
        <v>sfo01-w01-r07-esx02</v>
      </c>
      <c r="D525" s="14"/>
      <c r="E525" s="25" t="str">
        <f>CONCATENATE(prefix_wld_az1_rack_cidr,".77.102")</f>
        <v>10.13.77.102</v>
      </c>
      <c r="F525" s="14"/>
      <c r="G525" s="445" t="s">
        <v>642</v>
      </c>
      <c r="H525" s="445"/>
      <c r="I525" s="445"/>
    </row>
    <row r="526" spans="2:9" ht="20" customHeight="1">
      <c r="B526" s="16"/>
      <c r="C526" s="25" t="str">
        <f>CONCATENATE(this_instance,"01-w0",wld_domain_number_chosen,"-r07-esx03")</f>
        <v>sfo01-w01-r07-esx03</v>
      </c>
      <c r="D526" s="14"/>
      <c r="E526" s="25" t="str">
        <f>CONCATENATE(prefix_wld_az1_rack_cidr,".77.103")</f>
        <v>10.13.77.103</v>
      </c>
      <c r="F526" s="14"/>
      <c r="G526" s="445" t="s">
        <v>644</v>
      </c>
      <c r="H526" s="445"/>
      <c r="I526" s="445"/>
    </row>
    <row r="527" spans="2:9" ht="20" customHeight="1">
      <c r="B527" s="16"/>
      <c r="C527" s="25" t="str">
        <f>CONCATENATE(this_instance,"01-w0",wld_domain_number_chosen,"-r07-esx04")</f>
        <v>sfo01-w01-r07-esx04</v>
      </c>
      <c r="D527" s="14"/>
      <c r="E527" s="25" t="str">
        <f>CONCATENATE(prefix_wld_az1_rack_cidr,".77.104")</f>
        <v>10.13.77.104</v>
      </c>
      <c r="F527" s="14"/>
      <c r="G527" s="445" t="s">
        <v>646</v>
      </c>
      <c r="H527" s="445"/>
      <c r="I527" s="445"/>
    </row>
    <row r="528" spans="2:9" ht="20" customHeight="1">
      <c r="B528" s="16"/>
      <c r="C528" s="25" t="str">
        <f>CONCATENATE(this_instance,"01-w0",wld_domain_number_chosen,"-r07-esx05")</f>
        <v>sfo01-w01-r07-esx05</v>
      </c>
      <c r="D528" s="14"/>
      <c r="E528" s="25" t="str">
        <f>CONCATENATE(prefix_wld_az1_rack_cidr,".77.105")</f>
        <v>10.13.77.105</v>
      </c>
      <c r="F528" s="14"/>
      <c r="G528" s="445" t="s">
        <v>3770</v>
      </c>
      <c r="H528" s="445"/>
      <c r="I528" s="445"/>
    </row>
    <row r="529" spans="2:9" ht="20" customHeight="1">
      <c r="B529" s="16"/>
      <c r="C529" s="25" t="str">
        <f>CONCATENATE(this_instance,"01-w0",wld_domain_number_chosen,"-r07-esx06")</f>
        <v>sfo01-w01-r07-esx06</v>
      </c>
      <c r="D529" s="14"/>
      <c r="E529" s="25" t="str">
        <f>CONCATENATE(prefix_wld_az1_rack_cidr,".77.106")</f>
        <v>10.13.77.106</v>
      </c>
      <c r="F529" s="14"/>
      <c r="G529" s="445" t="s">
        <v>3772</v>
      </c>
      <c r="H529" s="445"/>
      <c r="I529" s="445"/>
    </row>
    <row r="530" spans="2:9" ht="20" customHeight="1">
      <c r="B530" s="16"/>
      <c r="C530" s="25" t="str">
        <f>CONCATENATE(this_instance,"01-w0",wld_domain_number_chosen,"-r07-esx07")</f>
        <v>sfo01-w01-r07-esx07</v>
      </c>
      <c r="D530" s="14"/>
      <c r="E530" s="25" t="str">
        <f>CONCATENATE(prefix_wld_az1_rack_cidr,".77.107")</f>
        <v>10.13.77.107</v>
      </c>
      <c r="F530" s="14"/>
      <c r="G530" s="445" t="s">
        <v>3774</v>
      </c>
      <c r="H530" s="445"/>
      <c r="I530" s="445"/>
    </row>
    <row r="531" spans="2:9" ht="20" customHeight="1">
      <c r="B531" s="16"/>
      <c r="C531" s="25" t="str">
        <f>CONCATENATE(this_instance,"01-w0",wld_domain_number_chosen,"-r07-esx08")</f>
        <v>sfo01-w01-r07-esx08</v>
      </c>
      <c r="D531" s="14"/>
      <c r="E531" s="25" t="str">
        <f>CONCATENATE(prefix_wld_az1_rack_cidr,".77.108")</f>
        <v>10.13.77.108</v>
      </c>
      <c r="F531" s="14"/>
      <c r="G531" s="445" t="s">
        <v>3776</v>
      </c>
      <c r="H531" s="445"/>
      <c r="I531" s="445"/>
    </row>
    <row r="532" spans="2:9" ht="20" customHeight="1">
      <c r="B532" s="16"/>
      <c r="C532" s="25" t="str">
        <f>CONCATENATE(this_instance,"01-w0",wld_domain_number_chosen,"-r07-esx09")</f>
        <v>sfo01-w01-r07-esx09</v>
      </c>
      <c r="D532" s="14"/>
      <c r="E532" s="25" t="str">
        <f>CONCATENATE(prefix_wld_az1_rack_cidr,".77.109")</f>
        <v>10.13.77.109</v>
      </c>
      <c r="F532" s="14"/>
      <c r="G532" s="445" t="s">
        <v>3778</v>
      </c>
      <c r="H532" s="445"/>
      <c r="I532" s="445"/>
    </row>
    <row r="533" spans="2:9" ht="20" customHeight="1">
      <c r="B533" s="16"/>
      <c r="C533" s="25" t="str">
        <f>CONCATENATE(this_instance,"01-w0",wld_domain_number_chosen,"-r07-esx10")</f>
        <v>sfo01-w01-r07-esx10</v>
      </c>
      <c r="D533" s="14"/>
      <c r="E533" s="25" t="str">
        <f>CONCATENATE(prefix_wld_az1_rack_cidr,".77.110")</f>
        <v>10.13.77.110</v>
      </c>
      <c r="F533" s="14"/>
      <c r="G533" s="445" t="s">
        <v>3780</v>
      </c>
      <c r="H533" s="445"/>
      <c r="I533" s="445"/>
    </row>
    <row r="534" spans="2:9" ht="20" customHeight="1">
      <c r="B534" s="16"/>
      <c r="C534" s="25" t="str">
        <f>CONCATENATE(this_instance,"01-w0",wld_domain_number_chosen,"-r07-esx11")</f>
        <v>sfo01-w01-r07-esx11</v>
      </c>
      <c r="D534" s="14"/>
      <c r="E534" s="25" t="str">
        <f>CONCATENATE(prefix_wld_az1_rack_cidr,".77.111")</f>
        <v>10.13.77.111</v>
      </c>
      <c r="F534" s="14"/>
      <c r="G534" s="445" t="s">
        <v>3925</v>
      </c>
      <c r="H534" s="445"/>
      <c r="I534" s="445"/>
    </row>
    <row r="535" spans="2:9" ht="20" customHeight="1">
      <c r="B535" s="16"/>
      <c r="C535" s="25" t="str">
        <f>CONCATENATE(this_instance,"01-w0",wld_domain_number_chosen,"-r07-esx12")</f>
        <v>sfo01-w01-r07-esx12</v>
      </c>
      <c r="D535" s="14"/>
      <c r="E535" s="25" t="str">
        <f>CONCATENATE(prefix_wld_az1_rack_cidr,".77.112")</f>
        <v>10.13.77.112</v>
      </c>
      <c r="F535" s="14"/>
      <c r="G535" s="445" t="s">
        <v>3784</v>
      </c>
      <c r="H535" s="445"/>
      <c r="I535" s="445"/>
    </row>
    <row r="536" spans="2:9" ht="20" customHeight="1">
      <c r="B536" s="16"/>
      <c r="C536" s="25" t="str">
        <f>CONCATENATE(this_instance,"01-w0",wld_domain_number_chosen,"-r07-esx13")</f>
        <v>sfo01-w01-r07-esx13</v>
      </c>
      <c r="D536" s="14"/>
      <c r="E536" s="25" t="str">
        <f>CONCATENATE(prefix_wld_az1_rack_cidr,".77.113")</f>
        <v>10.13.77.113</v>
      </c>
      <c r="F536" s="14"/>
      <c r="G536" s="445" t="s">
        <v>3786</v>
      </c>
      <c r="H536" s="445"/>
      <c r="I536" s="445"/>
    </row>
    <row r="537" spans="2:9" ht="20" customHeight="1">
      <c r="B537" s="16"/>
      <c r="C537" s="25" t="str">
        <f>CONCATENATE(this_instance,"01-w0",wld_domain_number_chosen,"-r07-esx14")</f>
        <v>sfo01-w01-r07-esx14</v>
      </c>
      <c r="D537" s="14"/>
      <c r="E537" s="25" t="str">
        <f>CONCATENATE(prefix_wld_az1_rack_cidr,".77.114")</f>
        <v>10.13.77.114</v>
      </c>
      <c r="F537" s="14"/>
      <c r="G537" s="445" t="s">
        <v>3788</v>
      </c>
      <c r="H537" s="445"/>
      <c r="I537" s="445"/>
    </row>
    <row r="538" spans="2:9" ht="20" customHeight="1">
      <c r="B538" s="16"/>
      <c r="C538" s="25" t="str">
        <f>CONCATENATE(this_instance,"01-w0",wld_domain_number_chosen,"-r07-esx15")</f>
        <v>sfo01-w01-r07-esx15</v>
      </c>
      <c r="D538" s="14"/>
      <c r="E538" s="25" t="str">
        <f>CONCATENATE(prefix_wld_az1_rack_cidr,".77.115")</f>
        <v>10.13.77.115</v>
      </c>
      <c r="F538" s="14"/>
      <c r="G538" s="445" t="s">
        <v>3790</v>
      </c>
      <c r="H538" s="445"/>
      <c r="I538" s="445"/>
    </row>
    <row r="539" spans="2:9" ht="20" customHeight="1">
      <c r="B539" s="16"/>
      <c r="C539" s="25" t="str">
        <f>CONCATENATE(this_instance,"01-w0",wld_domain_number_chosen,"-r07-esx16")</f>
        <v>sfo01-w01-r07-esx16</v>
      </c>
      <c r="D539" s="14"/>
      <c r="E539" s="25" t="str">
        <f>CONCATENATE(prefix_wld_az1_rack_cidr,".77.116")</f>
        <v>10.13.77.116</v>
      </c>
      <c r="F539" s="14"/>
      <c r="G539" s="445" t="s">
        <v>3792</v>
      </c>
      <c r="H539" s="445"/>
      <c r="I539" s="445"/>
    </row>
    <row r="540" spans="2:9" ht="20" customHeight="1">
      <c r="B540" s="437" t="s">
        <v>4010</v>
      </c>
      <c r="C540" s="437"/>
      <c r="D540" s="459"/>
      <c r="E540" s="459"/>
      <c r="F540" s="459"/>
      <c r="G540" s="459"/>
      <c r="H540" s="459"/>
      <c r="I540" s="459"/>
    </row>
    <row r="541" spans="2:9" ht="20" customHeight="1">
      <c r="B541" s="26"/>
      <c r="C541" s="25" t="str">
        <f>CONCATENATE(this_instance,"01-w0",wld_domain_number_chosen,"-r07-esx01")</f>
        <v>sfo01-w01-r07-esx01</v>
      </c>
      <c r="D541" s="18" t="str">
        <f>IF(ISBLANK(input_wld_az1_rack7_host1_hostname),"",input_wld_az1_rack7_host1_hostname)</f>
        <v/>
      </c>
      <c r="E541" s="25" t="str">
        <f>CONCATENATE(prefix_wld_az1_rack_cidr,".82.101")</f>
        <v>10.13.82.101</v>
      </c>
      <c r="F541" s="14"/>
      <c r="G541" s="445" t="s">
        <v>641</v>
      </c>
      <c r="H541" s="445"/>
      <c r="I541" s="445"/>
    </row>
    <row r="542" spans="2:9" ht="20" customHeight="1">
      <c r="B542" s="16"/>
      <c r="C542" s="25" t="str">
        <f>CONCATENATE(this_instance,"01-w0",wld_domain_number_chosen,"-r07-esx02")</f>
        <v>sfo01-w01-r07-esx02</v>
      </c>
      <c r="D542" s="18" t="str">
        <f>IF(ISBLANK(input_wld_az1_rack7_host2_hostname),"",input_wld_az1_rack7_host2_hostname)</f>
        <v/>
      </c>
      <c r="E542" s="25" t="str">
        <f>CONCATENATE(prefix_wld_az1_rack_cidr,".82.102")</f>
        <v>10.13.82.102</v>
      </c>
      <c r="F542" s="14"/>
      <c r="G542" s="445" t="s">
        <v>643</v>
      </c>
      <c r="H542" s="445"/>
      <c r="I542" s="445"/>
    </row>
    <row r="543" spans="2:9" ht="20" customHeight="1">
      <c r="B543" s="16"/>
      <c r="C543" s="25" t="str">
        <f>CONCATENATE(this_instance,"01-w0",wld_domain_number_chosen,"-r07-esx03")</f>
        <v>sfo01-w01-r07-esx03</v>
      </c>
      <c r="D543" s="18" t="str">
        <f>IF(ISBLANK(input_wld_az1_rack7_host3_hostname),"",input_wld_az1_rack7_host3_hostname)</f>
        <v/>
      </c>
      <c r="E543" s="25" t="str">
        <f>CONCATENATE(prefix_wld_az1_rack_cidr,".82.103")</f>
        <v>10.13.82.103</v>
      </c>
      <c r="F543" s="14"/>
      <c r="G543" s="445" t="s">
        <v>645</v>
      </c>
      <c r="H543" s="445"/>
      <c r="I543" s="445"/>
    </row>
    <row r="544" spans="2:9" ht="20" customHeight="1">
      <c r="B544" s="16"/>
      <c r="C544" s="25" t="str">
        <f>CONCATENATE(this_instance,"01-w0",wld_domain_number_chosen,"-r07-esx04")</f>
        <v>sfo01-w01-r07-esx04</v>
      </c>
      <c r="D544" s="18" t="str">
        <f>IF(ISBLANK(input_wld_az1_rack7_host4_hostname),"",input_wld_az1_rack7_host4_hostname)</f>
        <v/>
      </c>
      <c r="E544" s="25" t="str">
        <f>CONCATENATE(prefix_wld_az1_rack_cidr,".82.104")</f>
        <v>10.13.82.104</v>
      </c>
      <c r="F544" s="14"/>
      <c r="G544" s="445" t="s">
        <v>647</v>
      </c>
      <c r="H544" s="445"/>
      <c r="I544" s="445"/>
    </row>
    <row r="545" spans="2:10" ht="20" customHeight="1">
      <c r="B545" s="16"/>
      <c r="C545" s="25" t="str">
        <f>CONCATENATE(this_instance,"01-w0",wld_domain_number_chosen,"-r07-esx05")</f>
        <v>sfo01-w01-r07-esx05</v>
      </c>
      <c r="D545" s="18" t="str">
        <f>IF(ISBLANK(input_wld_az1_rack7_host5_hostname),"",input_wld_az1_rack7_host5_hostname)</f>
        <v/>
      </c>
      <c r="E545" s="25" t="str">
        <f>CONCATENATE(prefix_wld_az1_rack_cidr,".82.105")</f>
        <v>10.13.82.105</v>
      </c>
      <c r="F545" s="14"/>
      <c r="G545" s="445" t="s">
        <v>3771</v>
      </c>
      <c r="H545" s="445"/>
      <c r="I545" s="445"/>
    </row>
    <row r="546" spans="2:10" ht="20" customHeight="1">
      <c r="B546" s="16"/>
      <c r="C546" s="25" t="str">
        <f>CONCATENATE(this_instance,"01-w0",wld_domain_number_chosen,"-r07-esx06")</f>
        <v>sfo01-w01-r07-esx06</v>
      </c>
      <c r="D546" s="18" t="str">
        <f>IF(ISBLANK(input_wld_az1_rack7_host6_hostname),"",input_wld_az1_rack7_host6_hostname)</f>
        <v/>
      </c>
      <c r="E546" s="25" t="str">
        <f>CONCATENATE(prefix_wld_az1_rack_cidr,".82.106")</f>
        <v>10.13.82.106</v>
      </c>
      <c r="F546" s="14"/>
      <c r="G546" s="445" t="s">
        <v>3773</v>
      </c>
      <c r="H546" s="445"/>
      <c r="I546" s="445"/>
    </row>
    <row r="547" spans="2:10" ht="20" customHeight="1">
      <c r="B547" s="16"/>
      <c r="C547" s="25" t="str">
        <f>CONCATENATE(this_instance,"01-w0",wld_domain_number_chosen,"-r07-esx07")</f>
        <v>sfo01-w01-r07-esx07</v>
      </c>
      <c r="D547" s="18" t="str">
        <f>IF(ISBLANK(input_wld_az1_rack7_host7_hostname),"",input_wld_az1_rack7_host7_hostname)</f>
        <v/>
      </c>
      <c r="E547" s="25" t="str">
        <f>CONCATENATE(prefix_wld_az1_rack_cidr,".82.107")</f>
        <v>10.13.82.107</v>
      </c>
      <c r="F547" s="14"/>
      <c r="G547" s="445" t="s">
        <v>3775</v>
      </c>
      <c r="H547" s="445"/>
      <c r="I547" s="445"/>
    </row>
    <row r="548" spans="2:10" ht="20" customHeight="1">
      <c r="B548" s="16"/>
      <c r="C548" s="25" t="str">
        <f>CONCATENATE(this_instance,"01-w0",wld_domain_number_chosen,"-r07-esx08")</f>
        <v>sfo01-w01-r07-esx08</v>
      </c>
      <c r="D548" s="18" t="str">
        <f>IF(ISBLANK(input_wld_az1_rack7_host8_hostname),"",input_wld_az1_rack7_host8_hostname)</f>
        <v/>
      </c>
      <c r="E548" s="25" t="str">
        <f>CONCATENATE(prefix_wld_az1_rack_cidr,".82.108")</f>
        <v>10.13.82.108</v>
      </c>
      <c r="F548" s="14"/>
      <c r="G548" s="445" t="s">
        <v>3777</v>
      </c>
      <c r="H548" s="445"/>
      <c r="I548" s="445"/>
    </row>
    <row r="549" spans="2:10" ht="20" customHeight="1">
      <c r="B549" s="16"/>
      <c r="C549" s="25" t="str">
        <f>CONCATENATE(this_instance,"01-w0",wld_domain_number_chosen,"-r07-esx09")</f>
        <v>sfo01-w01-r07-esx09</v>
      </c>
      <c r="D549" s="18" t="str">
        <f>IF(ISBLANK(input_wld_az1_rack7_host9_hostname),"",input_wld_az1_rack7_host9_hostname)</f>
        <v/>
      </c>
      <c r="E549" s="25" t="str">
        <f>CONCATENATE(prefix_wld_az1_rack_cidr,".82.109")</f>
        <v>10.13.82.109</v>
      </c>
      <c r="F549" s="14"/>
      <c r="G549" s="445" t="s">
        <v>3779</v>
      </c>
      <c r="H549" s="445"/>
      <c r="I549" s="445"/>
    </row>
    <row r="550" spans="2:10" ht="20" customHeight="1">
      <c r="B550" s="16"/>
      <c r="C550" s="25" t="str">
        <f>CONCATENATE(this_instance,"01-w0",wld_domain_number_chosen,"-r07-esx10")</f>
        <v>sfo01-w01-r07-esx10</v>
      </c>
      <c r="D550" s="18" t="str">
        <f>IF(ISBLANK(input_wld_az1_rack7_host10_hostname),"",input_wld_az1_rack7_host10_hostname)</f>
        <v/>
      </c>
      <c r="E550" s="25" t="str">
        <f>CONCATENATE(prefix_wld_az1_rack_cidr,".82.110")</f>
        <v>10.13.82.110</v>
      </c>
      <c r="F550" s="14"/>
      <c r="G550" s="445" t="s">
        <v>3781</v>
      </c>
      <c r="H550" s="445"/>
      <c r="I550" s="445"/>
    </row>
    <row r="551" spans="2:10" ht="20" customHeight="1">
      <c r="B551" s="16"/>
      <c r="C551" s="25" t="str">
        <f>CONCATENATE(this_instance,"01-w0",wld_domain_number_chosen,"-r07-esx11")</f>
        <v>sfo01-w01-r07-esx11</v>
      </c>
      <c r="D551" s="18" t="str">
        <f>IF(ISBLANK(input_wld_az1_rack7_host11_hostname),"",input_wld_az1_rack7_host11_hostname)</f>
        <v/>
      </c>
      <c r="E551" s="25" t="str">
        <f>CONCATENATE(prefix_wld_az1_rack_cidr,".82.111")</f>
        <v>10.13.82.111</v>
      </c>
      <c r="F551" s="14"/>
      <c r="G551" s="445" t="s">
        <v>3783</v>
      </c>
      <c r="H551" s="445"/>
      <c r="I551" s="445"/>
    </row>
    <row r="552" spans="2:10" ht="20" customHeight="1">
      <c r="B552" s="16"/>
      <c r="C552" s="25" t="str">
        <f>CONCATENATE(this_instance,"01-w0",wld_domain_number_chosen,"-r07-esx12")</f>
        <v>sfo01-w01-r07-esx12</v>
      </c>
      <c r="D552" s="18" t="str">
        <f>IF(ISBLANK(input_wld_az1_rack7_host12_hostname),"",input_wld_az1_rack7_host12_hostname)</f>
        <v/>
      </c>
      <c r="E552" s="25" t="str">
        <f>CONCATENATE(prefix_wld_az1_rack_cidr,".82.112")</f>
        <v>10.13.82.112</v>
      </c>
      <c r="F552" s="14"/>
      <c r="G552" s="445" t="s">
        <v>3785</v>
      </c>
      <c r="H552" s="445"/>
      <c r="I552" s="445"/>
    </row>
    <row r="553" spans="2:10" ht="20" customHeight="1">
      <c r="B553" s="16"/>
      <c r="C553" s="25" t="str">
        <f>CONCATENATE(this_instance,"01-w0",wld_domain_number_chosen,"-r07-esx13")</f>
        <v>sfo01-w01-r07-esx13</v>
      </c>
      <c r="D553" s="18" t="str">
        <f>IF(ISBLANK(input_wld_az1_rack7_host13_hostname),"",input_wld_az1_rack7_host13_hostname)</f>
        <v/>
      </c>
      <c r="E553" s="25" t="str">
        <f>CONCATENATE(prefix_wld_az1_rack_cidr,".82.113")</f>
        <v>10.13.82.113</v>
      </c>
      <c r="F553" s="14"/>
      <c r="G553" s="445" t="s">
        <v>3787</v>
      </c>
      <c r="H553" s="445"/>
      <c r="I553" s="445"/>
    </row>
    <row r="554" spans="2:10" ht="20" customHeight="1">
      <c r="B554" s="16"/>
      <c r="C554" s="25" t="str">
        <f>CONCATENATE(this_instance,"01-w0",wld_domain_number_chosen,"-r07-esx14")</f>
        <v>sfo01-w01-r07-esx14</v>
      </c>
      <c r="D554" s="18" t="str">
        <f>IF(ISBLANK(input_wld_az1_rack7_host14_hostname),"",input_wld_az1_rack7_host14_hostname)</f>
        <v/>
      </c>
      <c r="E554" s="25" t="str">
        <f>CONCATENATE(prefix_wld_az1_rack_cidr,".82.114")</f>
        <v>10.13.82.114</v>
      </c>
      <c r="F554" s="14"/>
      <c r="G554" s="445" t="s">
        <v>3789</v>
      </c>
      <c r="H554" s="445"/>
      <c r="I554" s="445"/>
    </row>
    <row r="555" spans="2:10" ht="20" customHeight="1">
      <c r="B555" s="16"/>
      <c r="C555" s="25" t="str">
        <f>CONCATENATE(this_instance,"01-w0",wld_domain_number_chosen,"-r07-esx15")</f>
        <v>sfo01-w01-r07-esx15</v>
      </c>
      <c r="D555" s="18" t="str">
        <f>IF(ISBLANK(input_wld_az1_rack7_host15_hostname),"",input_wld_az1_rack7_host15_hostname)</f>
        <v/>
      </c>
      <c r="E555" s="25" t="str">
        <f>CONCATENATE(prefix_wld_az1_rack_cidr,".82.115")</f>
        <v>10.13.82.115</v>
      </c>
      <c r="F555" s="14"/>
      <c r="G555" s="445" t="s">
        <v>3791</v>
      </c>
      <c r="H555" s="445"/>
      <c r="I555" s="445"/>
    </row>
    <row r="556" spans="2:10" ht="20" customHeight="1">
      <c r="B556" s="16"/>
      <c r="C556" s="25" t="str">
        <f>CONCATENATE(this_instance,"01-w0",wld_domain_number_chosen,"-r07-esx16")</f>
        <v>sfo01-w01-r07-esx16</v>
      </c>
      <c r="D556" s="18" t="str">
        <f>IF(ISBLANK(input_wld_az1_rack7_host16_hostname),"",input_wld_az1_rack7_host16_hostname)</f>
        <v/>
      </c>
      <c r="E556" s="25" t="str">
        <f>CONCATENATE(prefix_wld_az1_rack_cidr,".82.116")</f>
        <v>10.13.82.116</v>
      </c>
      <c r="F556" s="14"/>
      <c r="G556" s="445" t="s">
        <v>3793</v>
      </c>
      <c r="H556" s="445"/>
      <c r="I556" s="445"/>
    </row>
    <row r="557" spans="2:10" ht="20" customHeight="1">
      <c r="B557" s="437" t="s">
        <v>4011</v>
      </c>
      <c r="C557" s="437"/>
      <c r="D557" s="459"/>
      <c r="E557" s="459"/>
      <c r="F557" s="459"/>
      <c r="G557" s="459"/>
      <c r="H557" s="459"/>
      <c r="I557" s="459"/>
    </row>
    <row r="558" spans="2:10" ht="20" customHeight="1">
      <c r="B558" s="16"/>
      <c r="C558" s="25" t="str">
        <f>CONCATENATE(this_instance,"-w0",wld_domain_number_chosen,"-r07-en01")</f>
        <v>sfo-w01-r07-en01</v>
      </c>
      <c r="D558" s="14"/>
      <c r="E558" s="25" t="str">
        <f>IF(wld_dpg_separation_result="Included",CONCATENATE(prefix_wld_az1_rack_cidr,".76.135"),CONCATENATE(prefix_wld_az1_rack_cidr,".77.135"))</f>
        <v>10.13.77.135</v>
      </c>
      <c r="F558" s="14"/>
      <c r="G558" s="445" t="str">
        <f>IF(wld_dedicated_edge_cluster_chosen_first=7,"Edge Node 1",IF(wld_dedicated_edge_cluster_chosen_second=7,"Edge Node 2",""))</f>
        <v/>
      </c>
      <c r="H558" s="445"/>
      <c r="I558" s="445"/>
      <c r="J558" s="103"/>
    </row>
    <row r="559" spans="2:10" ht="20" customHeight="1">
      <c r="B559" s="16"/>
      <c r="C559" s="25" t="s">
        <v>569</v>
      </c>
      <c r="D559" s="23" t="s">
        <v>569</v>
      </c>
      <c r="E559" s="25" t="str">
        <f>CONCATENATE(prefix_wld_az1_rack_cidr,".83.2")</f>
        <v>10.13.83.2</v>
      </c>
      <c r="F559" s="14"/>
      <c r="G559" s="445" t="str">
        <f>IF(wld_dedicated_edge_cluster_chosen_first=7,"Uplink 1 IP Address for Edge Node 1",IF(wld_dedicated_edge_cluster_chosen_second=7,"Uplink 1 IP Address for Edge Node 2",""))</f>
        <v/>
      </c>
      <c r="H559" s="445"/>
      <c r="I559" s="445"/>
      <c r="J559" s="103"/>
    </row>
    <row r="560" spans="2:10" ht="20" customHeight="1">
      <c r="B560" s="16"/>
      <c r="C560" s="25" t="s">
        <v>569</v>
      </c>
      <c r="D560" s="23" t="s">
        <v>569</v>
      </c>
      <c r="E560" s="25" t="str">
        <f>CONCATENATE(prefix_wld_az1_rack_cidr,".84.2")</f>
        <v>10.13.84.2</v>
      </c>
      <c r="F560" s="14"/>
      <c r="G560" s="445" t="str">
        <f>IF(wld_dedicated_edge_cluster_chosen_first=7,"Uplink 2 IP Address for Edge Node 1",IF(wld_dedicated_edge_cluster_chosen_second=7,"Uplink 2 IP Address for Edge Node 2",""))</f>
        <v/>
      </c>
      <c r="H560" s="445"/>
      <c r="I560" s="445"/>
      <c r="J560" s="103"/>
    </row>
    <row r="561" spans="2:10" ht="20" customHeight="1">
      <c r="B561" s="16"/>
      <c r="C561" s="25" t="str">
        <f>CONCATENATE(this_instance,"-w0",wld_domain_number_chosen,"-r07-en02")</f>
        <v>sfo-w01-r07-en02</v>
      </c>
      <c r="D561" s="14"/>
      <c r="E561" s="25" t="str">
        <f>IF(wld_dpg_separation_result="Included",CONCATENATE(prefix_wld_az1_rack_cidr,".76.136"),CONCATENATE(prefix_wld_az1_rack_cidr,".77.136"))</f>
        <v>10.13.77.136</v>
      </c>
      <c r="F561" s="14"/>
      <c r="G561" s="445" t="str">
        <f>IF(wld_dedicated_edge_cluster_chosen_first=7,"Edge Cluster Node 3",IF(wld_dedicated_edge_cluster_chosen_second=7,"Edge Cluster Node 4",""))</f>
        <v/>
      </c>
      <c r="H561" s="445"/>
      <c r="I561" s="445"/>
      <c r="J561" s="103"/>
    </row>
    <row r="562" spans="2:10" ht="20" customHeight="1">
      <c r="B562" s="16"/>
      <c r="C562" s="25" t="s">
        <v>569</v>
      </c>
      <c r="D562" s="23" t="s">
        <v>569</v>
      </c>
      <c r="E562" s="25" t="str">
        <f>CONCATENATE(prefix_wld_az1_rack_cidr,".83.3")</f>
        <v>10.13.83.3</v>
      </c>
      <c r="F562" s="14"/>
      <c r="G562" s="445" t="str">
        <f>IF(wld_dedicated_edge_cluster_chosen_first=7,"Uplink 1 IP Address for Edge Cluster Node 3",IF(wld_dedicated_edge_cluster_chosen_second=7,"Uplink 1 IP Address for Edge Cluster Node 4",""))</f>
        <v/>
      </c>
      <c r="H562" s="445"/>
      <c r="I562" s="445"/>
      <c r="J562" s="103"/>
    </row>
    <row r="563" spans="2:10" ht="20" customHeight="1">
      <c r="B563" s="16"/>
      <c r="C563" s="25" t="s">
        <v>569</v>
      </c>
      <c r="D563" s="23" t="s">
        <v>569</v>
      </c>
      <c r="E563" s="25" t="str">
        <f>CONCATENATE(prefix_wld_az1_rack_cidr,".84.3")</f>
        <v>10.13.84.3</v>
      </c>
      <c r="F563" s="14"/>
      <c r="G563" s="445" t="str">
        <f>IF(wld_dedicated_edge_cluster_chosen_first=7,"Uplink 2 IP Address for Edge Cluster Node 3",IF(wld_dedicated_edge_cluster_chosen_second=7,"Uplink 2 IP Address for Edge Cluster Node 4",""))</f>
        <v/>
      </c>
      <c r="H563" s="445"/>
      <c r="I563" s="445"/>
      <c r="J563" s="103"/>
    </row>
    <row r="564" spans="2:10" ht="20" customHeight="1">
      <c r="B564" s="437" t="s">
        <v>667</v>
      </c>
      <c r="C564" s="437"/>
      <c r="D564" s="437"/>
      <c r="E564" s="437"/>
      <c r="F564" s="437"/>
      <c r="G564" s="437"/>
      <c r="H564" s="437"/>
      <c r="I564" s="437"/>
      <c r="J564" s="103"/>
    </row>
    <row r="565" spans="2:10" ht="20" customHeight="1">
      <c r="B565" s="190" t="s">
        <v>668</v>
      </c>
      <c r="C565" s="458"/>
      <c r="D565" s="458"/>
      <c r="E565" s="190" t="s">
        <v>669</v>
      </c>
      <c r="F565" s="113" t="s">
        <v>632</v>
      </c>
      <c r="G565" s="458" t="s">
        <v>222</v>
      </c>
      <c r="H565" s="458"/>
      <c r="I565" s="458"/>
      <c r="J565" s="103"/>
    </row>
    <row r="566" spans="2:10" ht="20" customHeight="1">
      <c r="B566" s="26" t="s">
        <v>670</v>
      </c>
      <c r="C566" s="441"/>
      <c r="D566" s="441"/>
      <c r="E566" s="22" t="str">
        <f>CONCATENATE(prefix_wld_az1_rack_cidr,".78.101")</f>
        <v>10.13.78.101</v>
      </c>
      <c r="F566" s="14"/>
      <c r="G566" s="445" t="s">
        <v>671</v>
      </c>
      <c r="H566" s="445"/>
      <c r="I566" s="445"/>
      <c r="J566" s="103"/>
    </row>
    <row r="567" spans="2:10" ht="20" customHeight="1">
      <c r="B567" s="26" t="s">
        <v>672</v>
      </c>
      <c r="C567" s="441"/>
      <c r="D567" s="441"/>
      <c r="E567" s="22" t="str">
        <f>CONCATENATE(prefix_wld_az1_rack_cidr,".78.116")</f>
        <v>10.13.78.116</v>
      </c>
      <c r="F567" s="14"/>
      <c r="G567" s="445" t="s">
        <v>673</v>
      </c>
      <c r="H567" s="445"/>
      <c r="I567" s="445"/>
      <c r="J567" s="103"/>
    </row>
    <row r="568" spans="2:10" ht="20" customHeight="1">
      <c r="B568" s="21" t="s">
        <v>674</v>
      </c>
      <c r="C568" s="441"/>
      <c r="D568" s="441"/>
      <c r="E568" s="22" t="str">
        <f>CONCATENATE(prefix_wld_az1_rack_cidr,".79.101")</f>
        <v>10.13.79.101</v>
      </c>
      <c r="F568" s="14"/>
      <c r="G568" s="445" t="s">
        <v>675</v>
      </c>
      <c r="H568" s="445"/>
      <c r="I568" s="445"/>
      <c r="J568" s="103"/>
    </row>
    <row r="569" spans="2:10" ht="20" customHeight="1">
      <c r="B569" s="21" t="s">
        <v>676</v>
      </c>
      <c r="C569" s="441"/>
      <c r="D569" s="441"/>
      <c r="E569" s="22" t="str">
        <f>CONCATENATE(prefix_wld_az1_rack_cidr,".79.116")</f>
        <v>10.13.79.116</v>
      </c>
      <c r="F569" s="14"/>
      <c r="G569" s="445" t="s">
        <v>3615</v>
      </c>
      <c r="H569" s="445"/>
      <c r="I569" s="445"/>
      <c r="J569" s="103"/>
    </row>
    <row r="570" spans="2:10" ht="20" customHeight="1">
      <c r="B570" s="21" t="s">
        <v>677</v>
      </c>
      <c r="C570" s="441"/>
      <c r="D570" s="441"/>
      <c r="E570" s="22" t="str">
        <f>CONCATENATE(prefix_wld_az1_rack_cidr,".80.101")</f>
        <v>10.13.80.101</v>
      </c>
      <c r="F570" s="14"/>
      <c r="G570" s="445" t="s">
        <v>678</v>
      </c>
      <c r="H570" s="445"/>
      <c r="I570" s="445"/>
      <c r="J570" s="103"/>
    </row>
    <row r="571" spans="2:10" ht="20" customHeight="1">
      <c r="B571" s="21" t="s">
        <v>679</v>
      </c>
      <c r="C571" s="441"/>
      <c r="D571" s="441"/>
      <c r="E571" s="22" t="str">
        <f>CONCATENATE(prefix_wld_az1_rack_cidr,".80.132")</f>
        <v>10.13.80.132</v>
      </c>
      <c r="F571" s="14"/>
      <c r="G571" s="445" t="s">
        <v>680</v>
      </c>
      <c r="H571" s="445"/>
      <c r="I571" s="445"/>
      <c r="J571" s="103"/>
    </row>
    <row r="572" spans="2:10" ht="20" customHeight="1">
      <c r="B572" s="21" t="s">
        <v>691</v>
      </c>
      <c r="C572" s="460"/>
      <c r="D572" s="461"/>
      <c r="E572" s="22" t="str">
        <f>CONCATENATE(prefix_wld_az1_rack_cidr,".81.101")</f>
        <v>10.13.81.101</v>
      </c>
      <c r="F572" s="18"/>
      <c r="G572" s="442" t="s">
        <v>692</v>
      </c>
      <c r="H572" s="462"/>
      <c r="I572" s="451"/>
      <c r="J572" s="103"/>
    </row>
    <row r="573" spans="2:10" ht="20" customHeight="1">
      <c r="B573" s="21" t="s">
        <v>693</v>
      </c>
      <c r="C573" s="460"/>
      <c r="D573" s="461"/>
      <c r="E573" s="22" t="str">
        <f>CONCATENATE(prefix_wld_az1_rack_cidr,".81.116")</f>
        <v>10.13.81.116</v>
      </c>
      <c r="F573" s="18"/>
      <c r="G573" s="442" t="s">
        <v>694</v>
      </c>
      <c r="H573" s="462"/>
      <c r="I573" s="451"/>
    </row>
    <row r="574" spans="2:10" ht="20" customHeight="1">
      <c r="B574" s="26" t="s">
        <v>4227</v>
      </c>
      <c r="C574" s="441"/>
      <c r="D574" s="441"/>
      <c r="E574" s="22" t="str">
        <f>CONCATENATE(prefix_wld_az1_rack_cidr,".85.2")</f>
        <v>10.13.85.2</v>
      </c>
      <c r="F574" s="14"/>
      <c r="G574" s="445" t="s">
        <v>4229</v>
      </c>
      <c r="H574" s="445"/>
      <c r="I574" s="445"/>
    </row>
    <row r="575" spans="2:10" ht="20" customHeight="1">
      <c r="B575" s="26" t="s">
        <v>4228</v>
      </c>
      <c r="C575" s="441"/>
      <c r="D575" s="441"/>
      <c r="E575" s="22" t="str">
        <f>CONCATENATE(prefix_wld_az1_rack_cidr,".85.5")</f>
        <v>10.13.85.5</v>
      </c>
      <c r="F575" s="14"/>
      <c r="G575" s="445" t="s">
        <v>4230</v>
      </c>
      <c r="H575" s="445"/>
      <c r="I575" s="445"/>
    </row>
    <row r="576" spans="2:10" ht="20" customHeight="1">
      <c r="B576" s="21" t="s">
        <v>681</v>
      </c>
      <c r="C576" s="441"/>
      <c r="D576" s="441"/>
      <c r="E576" s="22" t="str">
        <f>CONCATENATE(prefix_wld_az1_rack_cidr,".86.101")</f>
        <v>10.13.86.101</v>
      </c>
      <c r="F576" s="14"/>
      <c r="G576" s="445" t="s">
        <v>3930</v>
      </c>
      <c r="H576" s="445"/>
      <c r="I576" s="445"/>
    </row>
    <row r="577" spans="2:9" ht="20" customHeight="1">
      <c r="B577" s="21" t="s">
        <v>683</v>
      </c>
      <c r="C577" s="441"/>
      <c r="D577" s="441"/>
      <c r="E577" s="22" t="str">
        <f>CONCATENATE(prefix_wld_az1_rack_cidr,".86.116")</f>
        <v>10.13.86.116</v>
      </c>
      <c r="F577" s="14"/>
      <c r="G577" s="445" t="s">
        <v>3929</v>
      </c>
      <c r="H577" s="445"/>
      <c r="I577" s="445"/>
    </row>
    <row r="578" spans="2:9" ht="16" customHeight="1"/>
    <row r="579" spans="2:9" ht="34" customHeight="1">
      <c r="B579" s="436" t="s">
        <v>4018</v>
      </c>
      <c r="C579" s="436"/>
      <c r="D579" s="436"/>
      <c r="E579" s="436"/>
      <c r="F579" s="436"/>
      <c r="G579" s="436"/>
      <c r="H579" s="436"/>
      <c r="I579" s="436"/>
    </row>
    <row r="580" spans="2:9" ht="20" customHeight="1">
      <c r="B580" s="190" t="s">
        <v>530</v>
      </c>
      <c r="C580" s="190" t="s">
        <v>489</v>
      </c>
      <c r="D580" s="190" t="s">
        <v>3928</v>
      </c>
      <c r="E580" s="113" t="s">
        <v>3927</v>
      </c>
      <c r="F580" s="210"/>
      <c r="G580" s="210"/>
      <c r="H580" s="210"/>
      <c r="I580" s="211"/>
    </row>
    <row r="581" spans="2:9" ht="20" customHeight="1">
      <c r="B581" s="21" t="s">
        <v>3926</v>
      </c>
      <c r="C581" s="22" t="s">
        <v>634</v>
      </c>
      <c r="D581" s="25" t="str">
        <f>IF(wld_host_dns_zone_chosen="Multiple",CONCATENATE("rack8.",this_instance,".rainpole.io"),CONCATENATE(this_instance,".rainpole.io"))</f>
        <v>sfo.rainpole.io</v>
      </c>
      <c r="E581" s="14"/>
      <c r="F581" s="212"/>
      <c r="G581" s="212"/>
      <c r="H581" s="212"/>
      <c r="I581" s="213"/>
    </row>
    <row r="582" spans="2:9" ht="20" customHeight="1">
      <c r="B582" s="437" t="s">
        <v>4009</v>
      </c>
      <c r="C582" s="437"/>
      <c r="D582" s="459"/>
      <c r="E582" s="459"/>
      <c r="F582" s="459"/>
      <c r="G582" s="459"/>
      <c r="H582" s="459"/>
      <c r="I582" s="459"/>
    </row>
    <row r="583" spans="2:9" ht="20" customHeight="1">
      <c r="B583" s="190" t="s">
        <v>583</v>
      </c>
      <c r="C583" s="190" t="s">
        <v>629</v>
      </c>
      <c r="D583" s="113" t="s">
        <v>630</v>
      </c>
      <c r="E583" s="190" t="s">
        <v>631</v>
      </c>
      <c r="F583" s="113" t="s">
        <v>632</v>
      </c>
      <c r="G583" s="458" t="s">
        <v>222</v>
      </c>
      <c r="H583" s="458"/>
      <c r="I583" s="458"/>
    </row>
    <row r="584" spans="2:9" ht="20" customHeight="1">
      <c r="B584" s="26" t="s">
        <v>639</v>
      </c>
      <c r="C584" s="25" t="str">
        <f>CONCATENATE(this_instance,"01-w0",wld_domain_number_chosen,"-r08-esx01")</f>
        <v>sfo01-w01-r08-esx01</v>
      </c>
      <c r="D584" s="14"/>
      <c r="E584" s="25" t="str">
        <f>CONCATENATE(prefix_wld_az1_rack_cidr,".88.101")</f>
        <v>10.13.88.101</v>
      </c>
      <c r="F584" s="14"/>
      <c r="G584" s="445" t="s">
        <v>640</v>
      </c>
      <c r="H584" s="445"/>
      <c r="I584" s="445"/>
    </row>
    <row r="585" spans="2:9" ht="20" customHeight="1">
      <c r="B585" s="16"/>
      <c r="C585" s="25" t="str">
        <f>CONCATENATE(this_instance,"01-w0",wld_domain_number_chosen,"-r08-esx02")</f>
        <v>sfo01-w01-r08-esx02</v>
      </c>
      <c r="D585" s="14"/>
      <c r="E585" s="25" t="str">
        <f>CONCATENATE(prefix_wld_az1_rack_cidr,".88.102")</f>
        <v>10.13.88.102</v>
      </c>
      <c r="F585" s="14"/>
      <c r="G585" s="445" t="s">
        <v>642</v>
      </c>
      <c r="H585" s="445"/>
      <c r="I585" s="445"/>
    </row>
    <row r="586" spans="2:9" ht="20" customHeight="1">
      <c r="B586" s="16"/>
      <c r="C586" s="25" t="str">
        <f>CONCATENATE(this_instance,"01-w0",wld_domain_number_chosen,"-r08-esx03")</f>
        <v>sfo01-w01-r08-esx03</v>
      </c>
      <c r="D586" s="14"/>
      <c r="E586" s="25" t="str">
        <f>CONCATENATE(prefix_wld_az1_rack_cidr,".88.103")</f>
        <v>10.13.88.103</v>
      </c>
      <c r="F586" s="14"/>
      <c r="G586" s="445" t="s">
        <v>644</v>
      </c>
      <c r="H586" s="445"/>
      <c r="I586" s="445"/>
    </row>
    <row r="587" spans="2:9" ht="20" customHeight="1">
      <c r="B587" s="16"/>
      <c r="C587" s="25" t="str">
        <f>CONCATENATE(this_instance,"01-w0",wld_domain_number_chosen,"-r08-esx04")</f>
        <v>sfo01-w01-r08-esx04</v>
      </c>
      <c r="D587" s="14"/>
      <c r="E587" s="25" t="str">
        <f>CONCATENATE(prefix_wld_az1_rack_cidr,".88.104")</f>
        <v>10.13.88.104</v>
      </c>
      <c r="F587" s="14"/>
      <c r="G587" s="445" t="s">
        <v>646</v>
      </c>
      <c r="H587" s="445"/>
      <c r="I587" s="445"/>
    </row>
    <row r="588" spans="2:9" ht="20" customHeight="1">
      <c r="B588" s="16"/>
      <c r="C588" s="25" t="str">
        <f>CONCATENATE(this_instance,"01-w0",wld_domain_number_chosen,"-r08-esx05")</f>
        <v>sfo01-w01-r08-esx05</v>
      </c>
      <c r="D588" s="14"/>
      <c r="E588" s="25" t="str">
        <f>CONCATENATE(prefix_wld_az1_rack_cidr,".88.105")</f>
        <v>10.13.88.105</v>
      </c>
      <c r="F588" s="14"/>
      <c r="G588" s="445" t="s">
        <v>3770</v>
      </c>
      <c r="H588" s="445"/>
      <c r="I588" s="445"/>
    </row>
    <row r="589" spans="2:9" ht="20" customHeight="1">
      <c r="B589" s="16"/>
      <c r="C589" s="25" t="str">
        <f>CONCATENATE(this_instance,"01-w0",wld_domain_number_chosen,"-r08-esx06")</f>
        <v>sfo01-w01-r08-esx06</v>
      </c>
      <c r="D589" s="14"/>
      <c r="E589" s="25" t="str">
        <f>CONCATENATE(prefix_wld_az1_rack_cidr,".88.106")</f>
        <v>10.13.88.106</v>
      </c>
      <c r="F589" s="14"/>
      <c r="G589" s="445" t="s">
        <v>3772</v>
      </c>
      <c r="H589" s="445"/>
      <c r="I589" s="445"/>
    </row>
    <row r="590" spans="2:9" ht="20" customHeight="1">
      <c r="B590" s="16"/>
      <c r="C590" s="25" t="str">
        <f>CONCATENATE(this_instance,"01-w0",wld_domain_number_chosen,"-r08-esx07")</f>
        <v>sfo01-w01-r08-esx07</v>
      </c>
      <c r="D590" s="14"/>
      <c r="E590" s="25" t="str">
        <f>CONCATENATE(prefix_wld_az1_rack_cidr,".88.107")</f>
        <v>10.13.88.107</v>
      </c>
      <c r="F590" s="14"/>
      <c r="G590" s="445" t="s">
        <v>3774</v>
      </c>
      <c r="H590" s="445"/>
      <c r="I590" s="445"/>
    </row>
    <row r="591" spans="2:9" ht="20" customHeight="1">
      <c r="B591" s="16"/>
      <c r="C591" s="25" t="str">
        <f>CONCATENATE(this_instance,"01-w0",wld_domain_number_chosen,"-r08-esx08")</f>
        <v>sfo01-w01-r08-esx08</v>
      </c>
      <c r="D591" s="14"/>
      <c r="E591" s="25" t="str">
        <f>CONCATENATE(prefix_wld_az1_rack_cidr,".88.108")</f>
        <v>10.13.88.108</v>
      </c>
      <c r="F591" s="14"/>
      <c r="G591" s="445" t="s">
        <v>3776</v>
      </c>
      <c r="H591" s="445"/>
      <c r="I591" s="445"/>
    </row>
    <row r="592" spans="2:9" ht="20" customHeight="1">
      <c r="B592" s="16"/>
      <c r="C592" s="25" t="str">
        <f>CONCATENATE(this_instance,"01-w0",wld_domain_number_chosen,"-r08-esx09")</f>
        <v>sfo01-w01-r08-esx09</v>
      </c>
      <c r="D592" s="14"/>
      <c r="E592" s="25" t="str">
        <f>CONCATENATE(prefix_wld_az1_rack_cidr,".88.109")</f>
        <v>10.13.88.109</v>
      </c>
      <c r="F592" s="14"/>
      <c r="G592" s="445" t="s">
        <v>3778</v>
      </c>
      <c r="H592" s="445"/>
      <c r="I592" s="445"/>
    </row>
    <row r="593" spans="2:9" ht="20" customHeight="1">
      <c r="B593" s="16"/>
      <c r="C593" s="25" t="str">
        <f>CONCATENATE(this_instance,"01-w0",wld_domain_number_chosen,"-r08-esx10")</f>
        <v>sfo01-w01-r08-esx10</v>
      </c>
      <c r="D593" s="14"/>
      <c r="E593" s="25" t="str">
        <f>CONCATENATE(prefix_wld_az1_rack_cidr,".88.110")</f>
        <v>10.13.88.110</v>
      </c>
      <c r="F593" s="14"/>
      <c r="G593" s="445" t="s">
        <v>3780</v>
      </c>
      <c r="H593" s="445"/>
      <c r="I593" s="445"/>
    </row>
    <row r="594" spans="2:9" ht="20" customHeight="1">
      <c r="B594" s="16"/>
      <c r="C594" s="25" t="str">
        <f>CONCATENATE(this_instance,"01-w0",wld_domain_number_chosen,"-r08-esx11")</f>
        <v>sfo01-w01-r08-esx11</v>
      </c>
      <c r="D594" s="14"/>
      <c r="E594" s="25" t="str">
        <f>CONCATENATE(prefix_wld_az1_rack_cidr,".88.111")</f>
        <v>10.13.88.111</v>
      </c>
      <c r="F594" s="14"/>
      <c r="G594" s="445" t="s">
        <v>3782</v>
      </c>
      <c r="H594" s="445"/>
      <c r="I594" s="445"/>
    </row>
    <row r="595" spans="2:9" ht="20" customHeight="1">
      <c r="B595" s="16"/>
      <c r="C595" s="25" t="str">
        <f>CONCATENATE(this_instance,"01-w0",wld_domain_number_chosen,"-r08-esx12")</f>
        <v>sfo01-w01-r08-esx12</v>
      </c>
      <c r="D595" s="14"/>
      <c r="E595" s="25" t="str">
        <f>CONCATENATE(prefix_wld_az1_rack_cidr,".88.112")</f>
        <v>10.13.88.112</v>
      </c>
      <c r="F595" s="14"/>
      <c r="G595" s="445" t="s">
        <v>3784</v>
      </c>
      <c r="H595" s="445"/>
      <c r="I595" s="445"/>
    </row>
    <row r="596" spans="2:9" ht="20" customHeight="1">
      <c r="B596" s="16"/>
      <c r="C596" s="25" t="str">
        <f>CONCATENATE(this_instance,"01-w0",wld_domain_number_chosen,"-r08-esx13")</f>
        <v>sfo01-w01-r08-esx13</v>
      </c>
      <c r="D596" s="14"/>
      <c r="E596" s="25" t="str">
        <f>CONCATENATE(prefix_wld_az1_rack_cidr,".88.113")</f>
        <v>10.13.88.113</v>
      </c>
      <c r="F596" s="14"/>
      <c r="G596" s="445" t="s">
        <v>3786</v>
      </c>
      <c r="H596" s="445"/>
      <c r="I596" s="445"/>
    </row>
    <row r="597" spans="2:9" ht="20" customHeight="1">
      <c r="B597" s="16"/>
      <c r="C597" s="25" t="str">
        <f>CONCATENATE(this_instance,"01-w0",wld_domain_number_chosen,"-r08-esx14")</f>
        <v>sfo01-w01-r08-esx14</v>
      </c>
      <c r="D597" s="14"/>
      <c r="E597" s="25" t="str">
        <f>CONCATENATE(prefix_wld_az1_rack_cidr,".88.114")</f>
        <v>10.13.88.114</v>
      </c>
      <c r="F597" s="14"/>
      <c r="G597" s="445" t="s">
        <v>3788</v>
      </c>
      <c r="H597" s="445"/>
      <c r="I597" s="445"/>
    </row>
    <row r="598" spans="2:9" ht="20" customHeight="1">
      <c r="B598" s="16"/>
      <c r="C598" s="25" t="str">
        <f>CONCATENATE(this_instance,"01-w0",wld_domain_number_chosen,"-r08-esx15")</f>
        <v>sfo01-w01-r08-esx15</v>
      </c>
      <c r="D598" s="14"/>
      <c r="E598" s="25" t="str">
        <f>CONCATENATE(prefix_wld_az1_rack_cidr,".88.115")</f>
        <v>10.13.88.115</v>
      </c>
      <c r="F598" s="14"/>
      <c r="G598" s="445" t="s">
        <v>3790</v>
      </c>
      <c r="H598" s="445"/>
      <c r="I598" s="445"/>
    </row>
    <row r="599" spans="2:9" ht="20" customHeight="1">
      <c r="B599" s="16"/>
      <c r="C599" s="25" t="str">
        <f>CONCATENATE(this_instance,"01-w0",wld_domain_number_chosen,"-r08-esx16")</f>
        <v>sfo01-w01-r08-esx16</v>
      </c>
      <c r="D599" s="14"/>
      <c r="E599" s="25" t="str">
        <f>CONCATENATE(prefix_wld_az1_rack_cidr,".88.116")</f>
        <v>10.13.88.116</v>
      </c>
      <c r="F599" s="14"/>
      <c r="G599" s="445" t="s">
        <v>3792</v>
      </c>
      <c r="H599" s="445"/>
      <c r="I599" s="445"/>
    </row>
    <row r="600" spans="2:9" ht="20" customHeight="1">
      <c r="B600" s="437" t="s">
        <v>4010</v>
      </c>
      <c r="C600" s="437"/>
      <c r="D600" s="459"/>
      <c r="E600" s="459"/>
      <c r="F600" s="459"/>
      <c r="G600" s="459"/>
      <c r="H600" s="459"/>
      <c r="I600" s="459"/>
    </row>
    <row r="601" spans="2:9" ht="20" customHeight="1">
      <c r="B601" s="26"/>
      <c r="C601" s="25" t="str">
        <f>CONCATENATE(this_instance,"01-w0",wld_domain_number_chosen,"-r08-esx01")</f>
        <v>sfo01-w01-r08-esx01</v>
      </c>
      <c r="D601" s="18" t="str">
        <f>IF(ISBLANK(input_wld_az1_rack8_host1_hostname),"",input_wld_az1_rack8_host1_hostname)</f>
        <v/>
      </c>
      <c r="E601" s="25" t="str">
        <f>CONCATENATE(prefix_wld_az1_rack_cidr,".93.101")</f>
        <v>10.13.93.101</v>
      </c>
      <c r="F601" s="14"/>
      <c r="G601" s="445" t="s">
        <v>641</v>
      </c>
      <c r="H601" s="445"/>
      <c r="I601" s="445"/>
    </row>
    <row r="602" spans="2:9" ht="20" customHeight="1">
      <c r="B602" s="16"/>
      <c r="C602" s="25" t="str">
        <f>CONCATENATE(this_instance,"01-w0",wld_domain_number_chosen,"-r08-esx02")</f>
        <v>sfo01-w01-r08-esx02</v>
      </c>
      <c r="D602" s="18" t="str">
        <f>IF(ISBLANK(input_wld_az1_rack8_host2_hostname),"",input_wld_az1_rack8_host2_hostname)</f>
        <v/>
      </c>
      <c r="E602" s="25" t="str">
        <f>CONCATENATE(prefix_wld_az1_rack_cidr,".93.102")</f>
        <v>10.13.93.102</v>
      </c>
      <c r="F602" s="14"/>
      <c r="G602" s="445" t="s">
        <v>643</v>
      </c>
      <c r="H602" s="445"/>
      <c r="I602" s="445"/>
    </row>
    <row r="603" spans="2:9" ht="20" customHeight="1">
      <c r="B603" s="16"/>
      <c r="C603" s="25" t="str">
        <f>CONCATENATE(this_instance,"01-w0",wld_domain_number_chosen,"-r08-esx03")</f>
        <v>sfo01-w01-r08-esx03</v>
      </c>
      <c r="D603" s="18" t="str">
        <f>IF(ISBLANK(input_wld_az1_rack8_host3_hostname),"",input_wld_az1_rack8_host3_hostname)</f>
        <v/>
      </c>
      <c r="E603" s="25" t="str">
        <f>CONCATENATE(prefix_wld_az1_rack_cidr,".93.103")</f>
        <v>10.13.93.103</v>
      </c>
      <c r="F603" s="14"/>
      <c r="G603" s="445" t="s">
        <v>645</v>
      </c>
      <c r="H603" s="445"/>
      <c r="I603" s="445"/>
    </row>
    <row r="604" spans="2:9" ht="20" customHeight="1">
      <c r="B604" s="16"/>
      <c r="C604" s="25" t="str">
        <f>CONCATENATE(this_instance,"01-w0",wld_domain_number_chosen,"-r08-esx04")</f>
        <v>sfo01-w01-r08-esx04</v>
      </c>
      <c r="D604" s="18" t="str">
        <f>IF(ISBLANK(input_wld_az1_rack8_host4_hostname),"",input_wld_az1_rack8_host4_hostname)</f>
        <v/>
      </c>
      <c r="E604" s="25" t="str">
        <f>CONCATENATE(prefix_wld_az1_rack_cidr,".93.104")</f>
        <v>10.13.93.104</v>
      </c>
      <c r="F604" s="14"/>
      <c r="G604" s="445" t="s">
        <v>647</v>
      </c>
      <c r="H604" s="445"/>
      <c r="I604" s="445"/>
    </row>
    <row r="605" spans="2:9" ht="20" customHeight="1">
      <c r="B605" s="16"/>
      <c r="C605" s="25" t="str">
        <f>CONCATENATE(this_instance,"01-w0",wld_domain_number_chosen,"-r08-esx05")</f>
        <v>sfo01-w01-r08-esx05</v>
      </c>
      <c r="D605" s="18" t="str">
        <f>IF(ISBLANK(input_wld_az1_rack8_host5_hostname),"",input_wld_az1_rack8_host5_hostname)</f>
        <v/>
      </c>
      <c r="E605" s="25" t="str">
        <f>CONCATENATE(prefix_wld_az1_rack_cidr,".93.105")</f>
        <v>10.13.93.105</v>
      </c>
      <c r="F605" s="14"/>
      <c r="G605" s="445" t="s">
        <v>3771</v>
      </c>
      <c r="H605" s="445"/>
      <c r="I605" s="445"/>
    </row>
    <row r="606" spans="2:9" ht="20" customHeight="1">
      <c r="B606" s="16"/>
      <c r="C606" s="25" t="str">
        <f>CONCATENATE(this_instance,"01-w0",wld_domain_number_chosen,"-r08-esx06")</f>
        <v>sfo01-w01-r08-esx06</v>
      </c>
      <c r="D606" s="18" t="str">
        <f>IF(ISBLANK(input_wld_az1_rack8_host6_hostname),"",input_wld_az1_rack8_host6_hostname)</f>
        <v/>
      </c>
      <c r="E606" s="25" t="str">
        <f>CONCATENATE(prefix_wld_az1_rack_cidr,".93.106")</f>
        <v>10.13.93.106</v>
      </c>
      <c r="F606" s="14"/>
      <c r="G606" s="445" t="s">
        <v>3773</v>
      </c>
      <c r="H606" s="445"/>
      <c r="I606" s="445"/>
    </row>
    <row r="607" spans="2:9" ht="20" customHeight="1">
      <c r="B607" s="16"/>
      <c r="C607" s="25" t="str">
        <f>CONCATENATE(this_instance,"01-w0",wld_domain_number_chosen,"-r08-esx07")</f>
        <v>sfo01-w01-r08-esx07</v>
      </c>
      <c r="D607" s="18" t="str">
        <f>IF(ISBLANK(input_wld_az1_rack8_host7_hostname),"",input_wld_az1_rack8_host7_hostname)</f>
        <v/>
      </c>
      <c r="E607" s="25" t="str">
        <f>CONCATENATE(prefix_wld_az1_rack_cidr,".93.107")</f>
        <v>10.13.93.107</v>
      </c>
      <c r="F607" s="14"/>
      <c r="G607" s="445" t="s">
        <v>3775</v>
      </c>
      <c r="H607" s="445"/>
      <c r="I607" s="445"/>
    </row>
    <row r="608" spans="2:9" ht="20" customHeight="1">
      <c r="B608" s="16"/>
      <c r="C608" s="25" t="str">
        <f>CONCATENATE(this_instance,"01-w0",wld_domain_number_chosen,"-r08-esx08")</f>
        <v>sfo01-w01-r08-esx08</v>
      </c>
      <c r="D608" s="18" t="str">
        <f>IF(ISBLANK(input_wld_az1_rack8_host8_hostname),"",input_wld_az1_rack8_host8_hostname)</f>
        <v/>
      </c>
      <c r="E608" s="25" t="str">
        <f>CONCATENATE(prefix_wld_az1_rack_cidr,".93.108")</f>
        <v>10.13.93.108</v>
      </c>
      <c r="F608" s="14"/>
      <c r="G608" s="445" t="s">
        <v>3777</v>
      </c>
      <c r="H608" s="445"/>
      <c r="I608" s="445"/>
    </row>
    <row r="609" spans="2:10" ht="20" customHeight="1">
      <c r="B609" s="16"/>
      <c r="C609" s="25" t="str">
        <f>CONCATENATE(this_instance,"01-w0",wld_domain_number_chosen,"-r08-esx09")</f>
        <v>sfo01-w01-r08-esx09</v>
      </c>
      <c r="D609" s="18" t="str">
        <f>IF(ISBLANK(input_wld_az1_rack8_host9_hostname),"",input_wld_az1_rack8_host9_hostname)</f>
        <v/>
      </c>
      <c r="E609" s="25" t="str">
        <f>CONCATENATE(prefix_wld_az1_rack_cidr,".93.109")</f>
        <v>10.13.93.109</v>
      </c>
      <c r="F609" s="14"/>
      <c r="G609" s="445" t="s">
        <v>3779</v>
      </c>
      <c r="H609" s="445"/>
      <c r="I609" s="445"/>
    </row>
    <row r="610" spans="2:10" ht="20" customHeight="1">
      <c r="B610" s="16"/>
      <c r="C610" s="25" t="str">
        <f>CONCATENATE(this_instance,"01-w0",wld_domain_number_chosen,"-r08-esx10")</f>
        <v>sfo01-w01-r08-esx10</v>
      </c>
      <c r="D610" s="18" t="str">
        <f>IF(ISBLANK(input_wld_az1_rack8_host10_hostname),"",input_wld_az1_rack8_host10_hostname)</f>
        <v/>
      </c>
      <c r="E610" s="25" t="str">
        <f>CONCATENATE(prefix_wld_az1_rack_cidr,".93.110")</f>
        <v>10.13.93.110</v>
      </c>
      <c r="F610" s="14"/>
      <c r="G610" s="445" t="s">
        <v>3781</v>
      </c>
      <c r="H610" s="445"/>
      <c r="I610" s="445"/>
    </row>
    <row r="611" spans="2:10" ht="20" customHeight="1">
      <c r="B611" s="16"/>
      <c r="C611" s="25" t="str">
        <f>CONCATENATE(this_instance,"01-w0",wld_domain_number_chosen,"-r08-esx11")</f>
        <v>sfo01-w01-r08-esx11</v>
      </c>
      <c r="D611" s="18" t="str">
        <f>IF(ISBLANK(input_wld_az1_rack8_host11_hostname),"",input_wld_az1_rack8_host11_hostname)</f>
        <v/>
      </c>
      <c r="E611" s="25" t="str">
        <f>CONCATENATE(prefix_wld_az1_rack_cidr,".93.111")</f>
        <v>10.13.93.111</v>
      </c>
      <c r="F611" s="14"/>
      <c r="G611" s="445" t="s">
        <v>3783</v>
      </c>
      <c r="H611" s="445"/>
      <c r="I611" s="445"/>
    </row>
    <row r="612" spans="2:10" ht="20" customHeight="1">
      <c r="B612" s="16"/>
      <c r="C612" s="25" t="str">
        <f>CONCATENATE(this_instance,"01-w0",wld_domain_number_chosen,"-r08-esx12")</f>
        <v>sfo01-w01-r08-esx12</v>
      </c>
      <c r="D612" s="18" t="str">
        <f>IF(ISBLANK(input_wld_az1_rack8_host12_hostname),"",input_wld_az1_rack8_host12_hostname)</f>
        <v/>
      </c>
      <c r="E612" s="25" t="str">
        <f>CONCATENATE(prefix_wld_az1_rack_cidr,".93.112")</f>
        <v>10.13.93.112</v>
      </c>
      <c r="F612" s="14"/>
      <c r="G612" s="445" t="s">
        <v>3785</v>
      </c>
      <c r="H612" s="445"/>
      <c r="I612" s="445"/>
    </row>
    <row r="613" spans="2:10" ht="20" customHeight="1">
      <c r="B613" s="16"/>
      <c r="C613" s="25" t="str">
        <f>CONCATENATE(this_instance,"01-w0",wld_domain_number_chosen,"-r08-esx13")</f>
        <v>sfo01-w01-r08-esx13</v>
      </c>
      <c r="D613" s="18" t="str">
        <f>IF(ISBLANK(input_wld_az1_rack8_host13_hostname),"",input_wld_az1_rack8_host13_hostname)</f>
        <v/>
      </c>
      <c r="E613" s="25" t="str">
        <f>CONCATENATE(prefix_wld_az1_rack_cidr,".93.113")</f>
        <v>10.13.93.113</v>
      </c>
      <c r="F613" s="14"/>
      <c r="G613" s="445" t="s">
        <v>3787</v>
      </c>
      <c r="H613" s="445"/>
      <c r="I613" s="445"/>
    </row>
    <row r="614" spans="2:10" ht="20" customHeight="1">
      <c r="B614" s="16"/>
      <c r="C614" s="25" t="str">
        <f>CONCATENATE(this_instance,"01-w0",wld_domain_number_chosen,"-r08-esx14")</f>
        <v>sfo01-w01-r08-esx14</v>
      </c>
      <c r="D614" s="18" t="str">
        <f>IF(ISBLANK(input_wld_az1_rack8_host14_hostname),"",input_wld_az1_rack8_host14_hostname)</f>
        <v/>
      </c>
      <c r="E614" s="25" t="str">
        <f>CONCATENATE(prefix_wld_az1_rack_cidr,".93.114")</f>
        <v>10.13.93.114</v>
      </c>
      <c r="F614" s="14"/>
      <c r="G614" s="445" t="s">
        <v>3789</v>
      </c>
      <c r="H614" s="445"/>
      <c r="I614" s="445"/>
    </row>
    <row r="615" spans="2:10" ht="20" customHeight="1">
      <c r="B615" s="16"/>
      <c r="C615" s="25" t="str">
        <f>CONCATENATE(this_instance,"01-w0",wld_domain_number_chosen,"-r08-esx15")</f>
        <v>sfo01-w01-r08-esx15</v>
      </c>
      <c r="D615" s="18" t="str">
        <f>IF(ISBLANK(input_wld_az1_rack8_host15_hostname),"",input_wld_az1_rack8_host15_hostname)</f>
        <v/>
      </c>
      <c r="E615" s="25" t="str">
        <f>CONCATENATE(prefix_wld_az1_rack_cidr,".93.115")</f>
        <v>10.13.93.115</v>
      </c>
      <c r="F615" s="14"/>
      <c r="G615" s="445" t="s">
        <v>3791</v>
      </c>
      <c r="H615" s="445"/>
      <c r="I615" s="445"/>
    </row>
    <row r="616" spans="2:10" ht="20" customHeight="1">
      <c r="B616" s="16"/>
      <c r="C616" s="25" t="str">
        <f>CONCATENATE(this_instance,"01-w0",wld_domain_number_chosen,"-r08-esx16")</f>
        <v>sfo01-w01-r08-esx16</v>
      </c>
      <c r="D616" s="18" t="str">
        <f>IF(ISBLANK(input_wld_az1_rack8_host16_hostname),"",input_wld_az1_rack8_host16_hostname)</f>
        <v/>
      </c>
      <c r="E616" s="25" t="str">
        <f>CONCATENATE(prefix_wld_az1_rack_cidr,".93.116")</f>
        <v>10.13.93.116</v>
      </c>
      <c r="F616" s="14"/>
      <c r="G616" s="445" t="s">
        <v>3793</v>
      </c>
      <c r="H616" s="445"/>
      <c r="I616" s="445"/>
    </row>
    <row r="617" spans="2:10" ht="20" customHeight="1">
      <c r="B617" s="437" t="s">
        <v>4011</v>
      </c>
      <c r="C617" s="437"/>
      <c r="D617" s="459"/>
      <c r="E617" s="459"/>
      <c r="F617" s="459"/>
      <c r="G617" s="459"/>
      <c r="H617" s="459"/>
      <c r="I617" s="459"/>
    </row>
    <row r="618" spans="2:10" ht="20" customHeight="1">
      <c r="B618" s="16"/>
      <c r="C618" s="25" t="str">
        <f>CONCATENATE(this_instance,"-w0",wld_domain_number_chosen,"-r08-en01")</f>
        <v>sfo-w01-r08-en01</v>
      </c>
      <c r="D618" s="14"/>
      <c r="E618" s="25" t="str">
        <f>IF(wld_dpg_separation_result="Included",CONCATENATE(prefix_wld_az1_rack_cidr,".87.135"),CONCATENATE(prefix_wld_az1_rack_cidr,".88.135"))</f>
        <v>10.13.88.135</v>
      </c>
      <c r="F618" s="14"/>
      <c r="G618" s="445" t="str">
        <f>IF(wld_dedicated_edge_cluster_chosen_first=8,"Edge Node 1",IF(wld_dedicated_edge_cluster_chosen_second=8,"Edge Node 2",""))</f>
        <v/>
      </c>
      <c r="H618" s="445"/>
      <c r="I618" s="445"/>
      <c r="J618" s="103"/>
    </row>
    <row r="619" spans="2:10" ht="20" customHeight="1">
      <c r="B619" s="16"/>
      <c r="C619" s="25" t="s">
        <v>569</v>
      </c>
      <c r="D619" s="23" t="s">
        <v>569</v>
      </c>
      <c r="E619" s="25" t="str">
        <f>CONCATENATE(prefix_wld_az1_rack_cidr,".94.2")</f>
        <v>10.13.94.2</v>
      </c>
      <c r="F619" s="14"/>
      <c r="G619" s="445" t="str">
        <f>IF(wld_dedicated_edge_cluster_chosen_first=8,"Uplink 1 IP Address for Edge Node 1",IF(wld_dedicated_edge_cluster_chosen_second=8,"Uplink 1 IP Address for Edge Node 2",""))</f>
        <v/>
      </c>
      <c r="H619" s="445"/>
      <c r="I619" s="445"/>
      <c r="J619" s="103"/>
    </row>
    <row r="620" spans="2:10" ht="20" customHeight="1">
      <c r="B620" s="16"/>
      <c r="C620" s="25" t="s">
        <v>569</v>
      </c>
      <c r="D620" s="23" t="s">
        <v>569</v>
      </c>
      <c r="E620" s="25" t="str">
        <f>CONCATENATE(prefix_wld_az1_rack_cidr,".95.2")</f>
        <v>10.13.95.2</v>
      </c>
      <c r="F620" s="14"/>
      <c r="G620" s="445" t="str">
        <f>IF(wld_dedicated_edge_cluster_chosen_first=8,"Uplink 2 IP Address for Edge Node 1",IF(wld_dedicated_edge_cluster_chosen_second=8,"Uplink 2 IP Address for Edge Node 2",""))</f>
        <v/>
      </c>
      <c r="H620" s="445"/>
      <c r="I620" s="445"/>
      <c r="J620" s="103"/>
    </row>
    <row r="621" spans="2:10" ht="20" customHeight="1">
      <c r="B621" s="16"/>
      <c r="C621" s="25" t="str">
        <f>CONCATENATE(this_instance,"-w0",wld_domain_number_chosen,"-r08-en02")</f>
        <v>sfo-w01-r08-en02</v>
      </c>
      <c r="D621" s="14"/>
      <c r="E621" s="25" t="str">
        <f>IF(wld_dpg_separation_result="Included",CONCATENATE(prefix_wld_az1_rack_cidr,".87.136"),CONCATENATE(prefix_wld_az1_rack_cidr,".88.136"))</f>
        <v>10.13.88.136</v>
      </c>
      <c r="F621" s="14"/>
      <c r="G621" s="445" t="str">
        <f>IF(wld_dedicated_edge_cluster_chosen_first=8,"Edge Cluster Node 3",IF(wld_dedicated_edge_cluster_chosen_second=8,"Edge Node 4",""))</f>
        <v/>
      </c>
      <c r="H621" s="445"/>
      <c r="I621" s="445"/>
      <c r="J621" s="103"/>
    </row>
    <row r="622" spans="2:10" ht="20" customHeight="1">
      <c r="B622" s="16"/>
      <c r="C622" s="25" t="s">
        <v>569</v>
      </c>
      <c r="D622" s="23" t="s">
        <v>569</v>
      </c>
      <c r="E622" s="25" t="str">
        <f>CONCATENATE(prefix_wld_az1_rack_cidr,".94.3")</f>
        <v>10.13.94.3</v>
      </c>
      <c r="F622" s="14"/>
      <c r="G622" s="445" t="str">
        <f>IF(wld_dedicated_edge_cluster_chosen_first=8,"Uplink 1 IP Address for Edge Cluster Node 3",IF(wld_dedicated_edge_cluster_chosen_second=8,"Uplink 1 IP Address for Edge Cluster  Node 4",""))</f>
        <v/>
      </c>
      <c r="H622" s="445"/>
      <c r="I622" s="445"/>
      <c r="J622" s="103"/>
    </row>
    <row r="623" spans="2:10" ht="20" customHeight="1">
      <c r="B623" s="16"/>
      <c r="C623" s="25" t="s">
        <v>569</v>
      </c>
      <c r="D623" s="23" t="s">
        <v>569</v>
      </c>
      <c r="E623" s="25" t="str">
        <f>CONCATENATE(prefix_wld_az1_rack_cidr,".95.3")</f>
        <v>10.13.95.3</v>
      </c>
      <c r="F623" s="14"/>
      <c r="G623" s="445" t="str">
        <f>IF(wld_dedicated_edge_cluster_chosen_first=8,"Uplink 2 IP Address for Edge Cluster  Node 3",IF(wld_dedicated_edge_cluster_chosen_second=8,"Uplink 2 IP Address for Edge Cluster  Node 4",""))</f>
        <v/>
      </c>
      <c r="H623" s="445"/>
      <c r="I623" s="445"/>
      <c r="J623" s="103"/>
    </row>
    <row r="624" spans="2:10" ht="20" customHeight="1">
      <c r="B624" s="437" t="s">
        <v>667</v>
      </c>
      <c r="C624" s="437"/>
      <c r="D624" s="437"/>
      <c r="E624" s="437"/>
      <c r="F624" s="437"/>
      <c r="G624" s="437"/>
      <c r="H624" s="437"/>
      <c r="I624" s="437"/>
      <c r="J624" s="103"/>
    </row>
    <row r="625" spans="2:10" ht="20" customHeight="1">
      <c r="B625" s="190" t="s">
        <v>668</v>
      </c>
      <c r="C625" s="458"/>
      <c r="D625" s="458"/>
      <c r="E625" s="190" t="s">
        <v>669</v>
      </c>
      <c r="F625" s="113" t="s">
        <v>632</v>
      </c>
      <c r="G625" s="458" t="s">
        <v>222</v>
      </c>
      <c r="H625" s="458"/>
      <c r="I625" s="458"/>
      <c r="J625" s="103"/>
    </row>
    <row r="626" spans="2:10" ht="20" customHeight="1">
      <c r="B626" s="26" t="s">
        <v>670</v>
      </c>
      <c r="C626" s="441"/>
      <c r="D626" s="441"/>
      <c r="E626" s="22" t="str">
        <f>CONCATENATE(prefix_wld_az1_rack_cidr,".89.101")</f>
        <v>10.13.89.101</v>
      </c>
      <c r="F626" s="14"/>
      <c r="G626" s="445" t="s">
        <v>671</v>
      </c>
      <c r="H626" s="445"/>
      <c r="I626" s="445"/>
      <c r="J626" s="103"/>
    </row>
    <row r="627" spans="2:10" ht="20" customHeight="1">
      <c r="B627" s="26" t="s">
        <v>672</v>
      </c>
      <c r="C627" s="441"/>
      <c r="D627" s="441"/>
      <c r="E627" s="22" t="str">
        <f>CONCATENATE(prefix_wld_az1_rack_cidr,".89.116")</f>
        <v>10.13.89.116</v>
      </c>
      <c r="F627" s="14"/>
      <c r="G627" s="445" t="s">
        <v>673</v>
      </c>
      <c r="H627" s="445"/>
      <c r="I627" s="445"/>
      <c r="J627" s="103"/>
    </row>
    <row r="628" spans="2:10" ht="20" customHeight="1">
      <c r="B628" s="21" t="s">
        <v>674</v>
      </c>
      <c r="C628" s="441"/>
      <c r="D628" s="441"/>
      <c r="E628" s="22" t="str">
        <f>CONCATENATE(prefix_wld_az1_rack_cidr,".90.101")</f>
        <v>10.13.90.101</v>
      </c>
      <c r="F628" s="14"/>
      <c r="G628" s="445" t="s">
        <v>675</v>
      </c>
      <c r="H628" s="445"/>
      <c r="I628" s="445"/>
      <c r="J628" s="103"/>
    </row>
    <row r="629" spans="2:10" ht="20" customHeight="1">
      <c r="B629" s="21" t="s">
        <v>676</v>
      </c>
      <c r="C629" s="441"/>
      <c r="D629" s="441"/>
      <c r="E629" s="22" t="str">
        <f>CONCATENATE(prefix_wld_az1_rack_cidr,".90.116")</f>
        <v>10.13.90.116</v>
      </c>
      <c r="F629" s="14"/>
      <c r="G629" s="445" t="s">
        <v>3615</v>
      </c>
      <c r="H629" s="445"/>
      <c r="I629" s="445"/>
      <c r="J629" s="103"/>
    </row>
    <row r="630" spans="2:10" ht="20" customHeight="1">
      <c r="B630" s="21" t="s">
        <v>677</v>
      </c>
      <c r="C630" s="441"/>
      <c r="D630" s="441"/>
      <c r="E630" s="22" t="str">
        <f>CONCATENATE(prefix_wld_az1_rack_cidr,".91.101")</f>
        <v>10.13.91.101</v>
      </c>
      <c r="F630" s="14"/>
      <c r="G630" s="445" t="s">
        <v>678</v>
      </c>
      <c r="H630" s="445"/>
      <c r="I630" s="445"/>
      <c r="J630" s="103"/>
    </row>
    <row r="631" spans="2:10" ht="20" customHeight="1">
      <c r="B631" s="21" t="s">
        <v>679</v>
      </c>
      <c r="C631" s="441"/>
      <c r="D631" s="441"/>
      <c r="E631" s="22" t="str">
        <f>CONCATENATE(prefix_wld_az1_rack_cidr,".91.132")</f>
        <v>10.13.91.132</v>
      </c>
      <c r="F631" s="14"/>
      <c r="G631" s="445" t="s">
        <v>680</v>
      </c>
      <c r="H631" s="445"/>
      <c r="I631" s="445"/>
      <c r="J631" s="103"/>
    </row>
    <row r="632" spans="2:10" ht="20" customHeight="1">
      <c r="B632" s="21" t="s">
        <v>691</v>
      </c>
      <c r="C632" s="460"/>
      <c r="D632" s="461"/>
      <c r="E632" s="22" t="str">
        <f>CONCATENATE(prefix_wld_az1_rack_cidr,".92.101")</f>
        <v>10.13.92.101</v>
      </c>
      <c r="F632" s="18"/>
      <c r="G632" s="442" t="s">
        <v>692</v>
      </c>
      <c r="H632" s="462"/>
      <c r="I632" s="451"/>
      <c r="J632" s="103"/>
    </row>
    <row r="633" spans="2:10" ht="20" customHeight="1">
      <c r="B633" s="21" t="s">
        <v>693</v>
      </c>
      <c r="C633" s="460"/>
      <c r="D633" s="461"/>
      <c r="E633" s="22" t="str">
        <f>CONCATENATE(prefix_wld_az1_rack_cidr,".92.116")</f>
        <v>10.13.92.116</v>
      </c>
      <c r="F633" s="18"/>
      <c r="G633" s="442" t="s">
        <v>694</v>
      </c>
      <c r="H633" s="462"/>
      <c r="I633" s="451"/>
      <c r="J633" s="103"/>
    </row>
    <row r="634" spans="2:10" ht="20" customHeight="1">
      <c r="B634" s="26" t="s">
        <v>4227</v>
      </c>
      <c r="C634" s="441"/>
      <c r="D634" s="441"/>
      <c r="E634" s="22" t="str">
        <f>CONCATENATE(prefix_wld_az1_rack_cidr,".96.2")</f>
        <v>10.13.96.2</v>
      </c>
      <c r="F634" s="14"/>
      <c r="G634" s="445" t="s">
        <v>4229</v>
      </c>
      <c r="H634" s="445"/>
      <c r="I634" s="445"/>
      <c r="J634" s="103"/>
    </row>
    <row r="635" spans="2:10" ht="20" customHeight="1">
      <c r="B635" s="26" t="s">
        <v>4228</v>
      </c>
      <c r="C635" s="441"/>
      <c r="D635" s="441"/>
      <c r="E635" s="22" t="str">
        <f>CONCATENATE(prefix_wld_az1_rack_cidr,".96.5")</f>
        <v>10.13.96.5</v>
      </c>
      <c r="F635" s="14"/>
      <c r="G635" s="445" t="s">
        <v>4230</v>
      </c>
      <c r="H635" s="445"/>
      <c r="I635" s="445"/>
      <c r="J635" s="103"/>
    </row>
    <row r="636" spans="2:10" ht="20" customHeight="1">
      <c r="B636" s="21" t="s">
        <v>681</v>
      </c>
      <c r="C636" s="441"/>
      <c r="D636" s="441"/>
      <c r="E636" s="22" t="str">
        <f>CONCATENATE(prefix_wld_az1_rack_cidr,".97.101")</f>
        <v>10.13.97.101</v>
      </c>
      <c r="F636" s="14"/>
      <c r="G636" s="445" t="s">
        <v>3924</v>
      </c>
      <c r="H636" s="445"/>
      <c r="I636" s="445"/>
    </row>
    <row r="637" spans="2:10" ht="20" customHeight="1">
      <c r="B637" s="21" t="s">
        <v>683</v>
      </c>
      <c r="C637" s="441"/>
      <c r="D637" s="441"/>
      <c r="E637" s="22" t="str">
        <f>CONCATENATE(prefix_wld_az1_rack_cidr,".97.116")</f>
        <v>10.13.97.116</v>
      </c>
      <c r="F637" s="14"/>
      <c r="G637" s="445" t="s">
        <v>3923</v>
      </c>
      <c r="H637" s="445"/>
      <c r="I637" s="445"/>
    </row>
  </sheetData>
  <sheetProtection algorithmName="SHA-512" hashValue="tHF7wCcj2P6L+aWkeqA2TWcsReXKdBSVG0rDJV9Qe/IBr9dmiaa4X7f895LhnmKf4PQohvfXGYZdHjE0WPF7Sw==" saltValue="lLgmhSklR+E/89AL0PaGmQ==" spinCount="100000" sheet="1" selectLockedCells="1"/>
  <mergeCells count="737">
    <mergeCell ref="C515:D515"/>
    <mergeCell ref="G515:I515"/>
    <mergeCell ref="C574:D574"/>
    <mergeCell ref="G574:I574"/>
    <mergeCell ref="C575:D575"/>
    <mergeCell ref="G575:I575"/>
    <mergeCell ref="C634:D634"/>
    <mergeCell ref="G634:I634"/>
    <mergeCell ref="G592:I592"/>
    <mergeCell ref="G587:I587"/>
    <mergeCell ref="G588:I588"/>
    <mergeCell ref="G605:I605"/>
    <mergeCell ref="G589:I589"/>
    <mergeCell ref="G606:I606"/>
    <mergeCell ref="G590:I590"/>
    <mergeCell ref="G607:I607"/>
    <mergeCell ref="G585:I585"/>
    <mergeCell ref="G602:I602"/>
    <mergeCell ref="G586:I586"/>
    <mergeCell ref="G603:I603"/>
    <mergeCell ref="G567:I567"/>
    <mergeCell ref="G548:I548"/>
    <mergeCell ref="G563:I563"/>
    <mergeCell ref="G621:I621"/>
    <mergeCell ref="G175:I175"/>
    <mergeCell ref="B174:I174"/>
    <mergeCell ref="G207:I207"/>
    <mergeCell ref="G200:I200"/>
    <mergeCell ref="G184:I184"/>
    <mergeCell ref="G201:I201"/>
    <mergeCell ref="G185:I185"/>
    <mergeCell ref="G202:I202"/>
    <mergeCell ref="C514:D514"/>
    <mergeCell ref="G514:I514"/>
    <mergeCell ref="G502:I502"/>
    <mergeCell ref="G503:I503"/>
    <mergeCell ref="G504:I504"/>
    <mergeCell ref="G263:I263"/>
    <mergeCell ref="G264:I264"/>
    <mergeCell ref="G322:I322"/>
    <mergeCell ref="G323:I323"/>
    <mergeCell ref="G324:I324"/>
    <mergeCell ref="G382:I382"/>
    <mergeCell ref="G383:I383"/>
    <mergeCell ref="G384:I384"/>
    <mergeCell ref="B481:I481"/>
    <mergeCell ref="G278:I278"/>
    <mergeCell ref="C270:D270"/>
    <mergeCell ref="C275:D275"/>
    <mergeCell ref="G275:I275"/>
    <mergeCell ref="C276:D276"/>
    <mergeCell ref="G276:I276"/>
    <mergeCell ref="C335:D335"/>
    <mergeCell ref="G335:I335"/>
    <mergeCell ref="G176:I176"/>
    <mergeCell ref="G177:I177"/>
    <mergeCell ref="G182:I182"/>
    <mergeCell ref="G183:I183"/>
    <mergeCell ref="G195:I195"/>
    <mergeCell ref="G179:I179"/>
    <mergeCell ref="G270:I270"/>
    <mergeCell ref="C271:D271"/>
    <mergeCell ref="C273:D273"/>
    <mergeCell ref="G273:I273"/>
    <mergeCell ref="C274:D274"/>
    <mergeCell ref="G187:I187"/>
    <mergeCell ref="G204:I204"/>
    <mergeCell ref="G197:I197"/>
    <mergeCell ref="G198:I198"/>
    <mergeCell ref="G196:I196"/>
    <mergeCell ref="G259:I259"/>
    <mergeCell ref="G260:I260"/>
    <mergeCell ref="B147:I147"/>
    <mergeCell ref="B258:I258"/>
    <mergeCell ref="B318:I318"/>
    <mergeCell ref="B378:I378"/>
    <mergeCell ref="B438:I438"/>
    <mergeCell ref="B498:I498"/>
    <mergeCell ref="B557:I557"/>
    <mergeCell ref="B540:I540"/>
    <mergeCell ref="C218:D218"/>
    <mergeCell ref="G218:I218"/>
    <mergeCell ref="B209:I209"/>
    <mergeCell ref="G205:I205"/>
    <mergeCell ref="G199:I199"/>
    <mergeCell ref="G180:I180"/>
    <mergeCell ref="G181:I181"/>
    <mergeCell ref="C210:D210"/>
    <mergeCell ref="B173:I173"/>
    <mergeCell ref="G191:I191"/>
    <mergeCell ref="G193:I193"/>
    <mergeCell ref="G212:I212"/>
    <mergeCell ref="G215:I215"/>
    <mergeCell ref="C213:D213"/>
    <mergeCell ref="G186:I186"/>
    <mergeCell ref="G203:I203"/>
    <mergeCell ref="B83:I83"/>
    <mergeCell ref="B192:I192"/>
    <mergeCell ref="B241:I241"/>
    <mergeCell ref="B301:I301"/>
    <mergeCell ref="B130:I130"/>
    <mergeCell ref="C216:D216"/>
    <mergeCell ref="G216:I216"/>
    <mergeCell ref="C217:D217"/>
    <mergeCell ref="G217:I217"/>
    <mergeCell ref="G178:I178"/>
    <mergeCell ref="G194:I194"/>
    <mergeCell ref="C215:D215"/>
    <mergeCell ref="G214:I214"/>
    <mergeCell ref="G210:I210"/>
    <mergeCell ref="C211:D211"/>
    <mergeCell ref="G211:I211"/>
    <mergeCell ref="C212:D212"/>
    <mergeCell ref="G189:I189"/>
    <mergeCell ref="G206:I206"/>
    <mergeCell ref="G190:I190"/>
    <mergeCell ref="G208:I208"/>
    <mergeCell ref="G188:I188"/>
    <mergeCell ref="G213:I213"/>
    <mergeCell ref="C214:D214"/>
    <mergeCell ref="C171:D171"/>
    <mergeCell ref="G171:I171"/>
    <mergeCell ref="C170:D170"/>
    <mergeCell ref="C162:D162"/>
    <mergeCell ref="C164:D164"/>
    <mergeCell ref="C165:D165"/>
    <mergeCell ref="G166:I166"/>
    <mergeCell ref="C167:D167"/>
    <mergeCell ref="C163:D163"/>
    <mergeCell ref="C166:D166"/>
    <mergeCell ref="G164:I164"/>
    <mergeCell ref="G165:I165"/>
    <mergeCell ref="G170:I170"/>
    <mergeCell ref="G167:I167"/>
    <mergeCell ref="G163:I163"/>
    <mergeCell ref="G168:I168"/>
    <mergeCell ref="G169:I169"/>
    <mergeCell ref="C168:D168"/>
    <mergeCell ref="C169:D169"/>
    <mergeCell ref="G151:I151"/>
    <mergeCell ref="G156:I156"/>
    <mergeCell ref="G159:I159"/>
    <mergeCell ref="G160:I160"/>
    <mergeCell ref="G148:I148"/>
    <mergeCell ref="B158:I158"/>
    <mergeCell ref="G150:I150"/>
    <mergeCell ref="G162:I162"/>
    <mergeCell ref="G149:I149"/>
    <mergeCell ref="G155:I155"/>
    <mergeCell ref="G161:I161"/>
    <mergeCell ref="G157:I157"/>
    <mergeCell ref="G152:I152"/>
    <mergeCell ref="G153:I153"/>
    <mergeCell ref="G154:I154"/>
    <mergeCell ref="C159:D159"/>
    <mergeCell ref="C160:D160"/>
    <mergeCell ref="C161:D161"/>
    <mergeCell ref="G146:I146"/>
    <mergeCell ref="G118:I118"/>
    <mergeCell ref="G135:I135"/>
    <mergeCell ref="G119:I119"/>
    <mergeCell ref="G136:I136"/>
    <mergeCell ref="G120:I120"/>
    <mergeCell ref="G137:I137"/>
    <mergeCell ref="G121:I121"/>
    <mergeCell ref="G122:I122"/>
    <mergeCell ref="G123:I123"/>
    <mergeCell ref="G124:I124"/>
    <mergeCell ref="G125:I125"/>
    <mergeCell ref="G131:I131"/>
    <mergeCell ref="G132:I132"/>
    <mergeCell ref="G133:I133"/>
    <mergeCell ref="G134:I134"/>
    <mergeCell ref="G141:I141"/>
    <mergeCell ref="G142:I142"/>
    <mergeCell ref="G126:I126"/>
    <mergeCell ref="G143:I143"/>
    <mergeCell ref="G127:I127"/>
    <mergeCell ref="G144:I144"/>
    <mergeCell ref="G128:I128"/>
    <mergeCell ref="G145:I145"/>
    <mergeCell ref="G129:I129"/>
    <mergeCell ref="B109:I109"/>
    <mergeCell ref="B112:I112"/>
    <mergeCell ref="G113:I113"/>
    <mergeCell ref="G138:I138"/>
    <mergeCell ref="G139:I139"/>
    <mergeCell ref="G140:I140"/>
    <mergeCell ref="G114:I114"/>
    <mergeCell ref="G116:I116"/>
    <mergeCell ref="G117:I117"/>
    <mergeCell ref="G115:I115"/>
    <mergeCell ref="C105:D105"/>
    <mergeCell ref="C104:D104"/>
    <mergeCell ref="G105:I105"/>
    <mergeCell ref="C106:D106"/>
    <mergeCell ref="G106:I106"/>
    <mergeCell ref="C107:D107"/>
    <mergeCell ref="G72:I72"/>
    <mergeCell ref="G89:I89"/>
    <mergeCell ref="G73:I73"/>
    <mergeCell ref="G90:I90"/>
    <mergeCell ref="G74:I74"/>
    <mergeCell ref="G91:I91"/>
    <mergeCell ref="G75:I75"/>
    <mergeCell ref="G92:I92"/>
    <mergeCell ref="G76:I76"/>
    <mergeCell ref="G93:I93"/>
    <mergeCell ref="G77:I77"/>
    <mergeCell ref="G94:I94"/>
    <mergeCell ref="G88:I88"/>
    <mergeCell ref="G107:I107"/>
    <mergeCell ref="G103:I103"/>
    <mergeCell ref="B100:I100"/>
    <mergeCell ref="G104:I104"/>
    <mergeCell ref="G96:I96"/>
    <mergeCell ref="C103:D103"/>
    <mergeCell ref="G85:I85"/>
    <mergeCell ref="G86:I86"/>
    <mergeCell ref="G87:I87"/>
    <mergeCell ref="C54:D54"/>
    <mergeCell ref="G44:I44"/>
    <mergeCell ref="G45:I45"/>
    <mergeCell ref="G54:I54"/>
    <mergeCell ref="B53:I53"/>
    <mergeCell ref="G99:I99"/>
    <mergeCell ref="C102:D102"/>
    <mergeCell ref="C101:D101"/>
    <mergeCell ref="G67:I67"/>
    <mergeCell ref="G69:I69"/>
    <mergeCell ref="G68:I68"/>
    <mergeCell ref="C55:D55"/>
    <mergeCell ref="B64:I64"/>
    <mergeCell ref="G71:I71"/>
    <mergeCell ref="G78:I78"/>
    <mergeCell ref="G95:I95"/>
    <mergeCell ref="G79:I79"/>
    <mergeCell ref="G80:I80"/>
    <mergeCell ref="G97:I97"/>
    <mergeCell ref="G81:I81"/>
    <mergeCell ref="G98:I98"/>
    <mergeCell ref="G82:I82"/>
    <mergeCell ref="G101:I101"/>
    <mergeCell ref="G84:I84"/>
    <mergeCell ref="G102:I102"/>
    <mergeCell ref="G43:I43"/>
    <mergeCell ref="G62:I62"/>
    <mergeCell ref="G46:I46"/>
    <mergeCell ref="G70:I70"/>
    <mergeCell ref="G66:I66"/>
    <mergeCell ref="B65:I65"/>
    <mergeCell ref="C62:D62"/>
    <mergeCell ref="G47:I47"/>
    <mergeCell ref="G48:I48"/>
    <mergeCell ref="G60:I60"/>
    <mergeCell ref="G55:I55"/>
    <mergeCell ref="G50:I50"/>
    <mergeCell ref="G51:I51"/>
    <mergeCell ref="G52:I52"/>
    <mergeCell ref="G49:I49"/>
    <mergeCell ref="C56:D56"/>
    <mergeCell ref="C59:D59"/>
    <mergeCell ref="G57:I57"/>
    <mergeCell ref="G58:I58"/>
    <mergeCell ref="G61:I61"/>
    <mergeCell ref="G59:I59"/>
    <mergeCell ref="C57:D57"/>
    <mergeCell ref="C58:D58"/>
    <mergeCell ref="G56:I56"/>
    <mergeCell ref="C61:D61"/>
    <mergeCell ref="C60:D60"/>
    <mergeCell ref="G41:I41"/>
    <mergeCell ref="G34:I34"/>
    <mergeCell ref="B42:I42"/>
    <mergeCell ref="G30:I30"/>
    <mergeCell ref="G31:I31"/>
    <mergeCell ref="G32:I32"/>
    <mergeCell ref="G33:I33"/>
    <mergeCell ref="G22:I22"/>
    <mergeCell ref="G26:I26"/>
    <mergeCell ref="G29:I29"/>
    <mergeCell ref="G28:I28"/>
    <mergeCell ref="G27:I27"/>
    <mergeCell ref="B25:I25"/>
    <mergeCell ref="B6:I6"/>
    <mergeCell ref="B7:I7"/>
    <mergeCell ref="G8:I8"/>
    <mergeCell ref="G39:I39"/>
    <mergeCell ref="G23:I23"/>
    <mergeCell ref="G40:I40"/>
    <mergeCell ref="G24:I24"/>
    <mergeCell ref="G13:I13"/>
    <mergeCell ref="G14:I14"/>
    <mergeCell ref="G15:I15"/>
    <mergeCell ref="G16:I16"/>
    <mergeCell ref="G17:I17"/>
    <mergeCell ref="G10:I10"/>
    <mergeCell ref="G11:I11"/>
    <mergeCell ref="G12:I12"/>
    <mergeCell ref="G9:I9"/>
    <mergeCell ref="G18:I18"/>
    <mergeCell ref="G35:I35"/>
    <mergeCell ref="G19:I19"/>
    <mergeCell ref="G36:I36"/>
    <mergeCell ref="G20:I20"/>
    <mergeCell ref="G37:I37"/>
    <mergeCell ref="G21:I21"/>
    <mergeCell ref="G38:I38"/>
    <mergeCell ref="G261:I261"/>
    <mergeCell ref="G262:I262"/>
    <mergeCell ref="G499:I499"/>
    <mergeCell ref="G500:I500"/>
    <mergeCell ref="G501:I501"/>
    <mergeCell ref="G317:I317"/>
    <mergeCell ref="B325:I325"/>
    <mergeCell ref="C326:D326"/>
    <mergeCell ref="G326:I326"/>
    <mergeCell ref="C327:D327"/>
    <mergeCell ref="G327:I327"/>
    <mergeCell ref="G319:I319"/>
    <mergeCell ref="G320:I320"/>
    <mergeCell ref="G321:I321"/>
    <mergeCell ref="G314:I314"/>
    <mergeCell ref="G298:I298"/>
    <mergeCell ref="G315:I315"/>
    <mergeCell ref="G299:I299"/>
    <mergeCell ref="G439:I439"/>
    <mergeCell ref="G440:I440"/>
    <mergeCell ref="G441:I441"/>
    <mergeCell ref="C278:D278"/>
    <mergeCell ref="G274:I274"/>
    <mergeCell ref="G271:I271"/>
    <mergeCell ref="C272:D272"/>
    <mergeCell ref="G272:I272"/>
    <mergeCell ref="C338:D338"/>
    <mergeCell ref="G338:I338"/>
    <mergeCell ref="C331:D331"/>
    <mergeCell ref="G331:I331"/>
    <mergeCell ref="C332:D332"/>
    <mergeCell ref="G332:I332"/>
    <mergeCell ref="C337:D337"/>
    <mergeCell ref="G337:I337"/>
    <mergeCell ref="C333:D333"/>
    <mergeCell ref="G333:I333"/>
    <mergeCell ref="C334:D334"/>
    <mergeCell ref="G334:I334"/>
    <mergeCell ref="C328:D328"/>
    <mergeCell ref="G328:I328"/>
    <mergeCell ref="C329:D329"/>
    <mergeCell ref="G329:I329"/>
    <mergeCell ref="C330:D330"/>
    <mergeCell ref="G330:I330"/>
    <mergeCell ref="C336:D336"/>
    <mergeCell ref="G336:I336"/>
    <mergeCell ref="G310:I310"/>
    <mergeCell ref="G294:I294"/>
    <mergeCell ref="G233:I233"/>
    <mergeCell ref="G244:I244"/>
    <mergeCell ref="G228:I228"/>
    <mergeCell ref="G245:I245"/>
    <mergeCell ref="G229:I229"/>
    <mergeCell ref="G246:I246"/>
    <mergeCell ref="G230:I230"/>
    <mergeCell ref="G231:I231"/>
    <mergeCell ref="C269:D269"/>
    <mergeCell ref="G269:I269"/>
    <mergeCell ref="B265:I265"/>
    <mergeCell ref="C266:D266"/>
    <mergeCell ref="G266:I266"/>
    <mergeCell ref="G237:I237"/>
    <mergeCell ref="G254:I254"/>
    <mergeCell ref="G238:I238"/>
    <mergeCell ref="G255:I255"/>
    <mergeCell ref="G239:I239"/>
    <mergeCell ref="G250:I250"/>
    <mergeCell ref="G234:I234"/>
    <mergeCell ref="G251:I251"/>
    <mergeCell ref="G235:I235"/>
    <mergeCell ref="G252:I252"/>
    <mergeCell ref="G236:I236"/>
    <mergeCell ref="G227:I227"/>
    <mergeCell ref="G247:I247"/>
    <mergeCell ref="B2:I2"/>
    <mergeCell ref="B3:I3"/>
    <mergeCell ref="C277:D277"/>
    <mergeCell ref="G277:I277"/>
    <mergeCell ref="C267:D267"/>
    <mergeCell ref="G267:I267"/>
    <mergeCell ref="C268:D268"/>
    <mergeCell ref="G268:I268"/>
    <mergeCell ref="G248:I248"/>
    <mergeCell ref="G232:I232"/>
    <mergeCell ref="G249:I249"/>
    <mergeCell ref="B220:I220"/>
    <mergeCell ref="B223:I223"/>
    <mergeCell ref="G224:I224"/>
    <mergeCell ref="G225:I225"/>
    <mergeCell ref="G242:I242"/>
    <mergeCell ref="G226:I226"/>
    <mergeCell ref="G243:I243"/>
    <mergeCell ref="G256:I256"/>
    <mergeCell ref="G240:I240"/>
    <mergeCell ref="G257:I257"/>
    <mergeCell ref="G253:I253"/>
    <mergeCell ref="G305:I305"/>
    <mergeCell ref="G289:I289"/>
    <mergeCell ref="G306:I306"/>
    <mergeCell ref="G290:I290"/>
    <mergeCell ref="G307:I307"/>
    <mergeCell ref="G291:I291"/>
    <mergeCell ref="G316:I316"/>
    <mergeCell ref="G300:I300"/>
    <mergeCell ref="G311:I311"/>
    <mergeCell ref="G295:I295"/>
    <mergeCell ref="G312:I312"/>
    <mergeCell ref="G296:I296"/>
    <mergeCell ref="G313:I313"/>
    <mergeCell ref="G297:I297"/>
    <mergeCell ref="G308:I308"/>
    <mergeCell ref="G309:I309"/>
    <mergeCell ref="G286:I286"/>
    <mergeCell ref="G303:I303"/>
    <mergeCell ref="G287:I287"/>
    <mergeCell ref="G304:I304"/>
    <mergeCell ref="G288:I288"/>
    <mergeCell ref="B280:I280"/>
    <mergeCell ref="B283:I283"/>
    <mergeCell ref="G284:I284"/>
    <mergeCell ref="G285:I285"/>
    <mergeCell ref="G302:I302"/>
    <mergeCell ref="G292:I292"/>
    <mergeCell ref="G293:I293"/>
    <mergeCell ref="C397:D397"/>
    <mergeCell ref="G397:I397"/>
    <mergeCell ref="C398:D398"/>
    <mergeCell ref="G398:I398"/>
    <mergeCell ref="C393:D393"/>
    <mergeCell ref="G393:I393"/>
    <mergeCell ref="C394:D394"/>
    <mergeCell ref="G394:I394"/>
    <mergeCell ref="C390:D390"/>
    <mergeCell ref="G390:I390"/>
    <mergeCell ref="C391:D391"/>
    <mergeCell ref="G391:I391"/>
    <mergeCell ref="C392:D392"/>
    <mergeCell ref="G392:I392"/>
    <mergeCell ref="C395:D395"/>
    <mergeCell ref="G395:I395"/>
    <mergeCell ref="C396:D396"/>
    <mergeCell ref="G396:I396"/>
    <mergeCell ref="C387:D387"/>
    <mergeCell ref="G387:I387"/>
    <mergeCell ref="C388:D388"/>
    <mergeCell ref="G388:I388"/>
    <mergeCell ref="C389:D389"/>
    <mergeCell ref="G389:I389"/>
    <mergeCell ref="G376:I376"/>
    <mergeCell ref="G360:I360"/>
    <mergeCell ref="G377:I377"/>
    <mergeCell ref="B385:I385"/>
    <mergeCell ref="C386:D386"/>
    <mergeCell ref="G386:I386"/>
    <mergeCell ref="G379:I379"/>
    <mergeCell ref="G380:I380"/>
    <mergeCell ref="G381:I381"/>
    <mergeCell ref="B361:I361"/>
    <mergeCell ref="G374:I374"/>
    <mergeCell ref="G358:I358"/>
    <mergeCell ref="G375:I375"/>
    <mergeCell ref="G359:I359"/>
    <mergeCell ref="G370:I370"/>
    <mergeCell ref="G354:I354"/>
    <mergeCell ref="G371:I371"/>
    <mergeCell ref="G355:I355"/>
    <mergeCell ref="G372:I372"/>
    <mergeCell ref="G356:I356"/>
    <mergeCell ref="G351:I351"/>
    <mergeCell ref="G368:I368"/>
    <mergeCell ref="G352:I352"/>
    <mergeCell ref="G369:I369"/>
    <mergeCell ref="G353:I353"/>
    <mergeCell ref="C450:D450"/>
    <mergeCell ref="G346:I346"/>
    <mergeCell ref="G363:I363"/>
    <mergeCell ref="G347:I347"/>
    <mergeCell ref="G364:I364"/>
    <mergeCell ref="G348:I348"/>
    <mergeCell ref="G365:I365"/>
    <mergeCell ref="G349:I349"/>
    <mergeCell ref="G366:I366"/>
    <mergeCell ref="G350:I350"/>
    <mergeCell ref="G416:I416"/>
    <mergeCell ref="G427:I427"/>
    <mergeCell ref="G411:I411"/>
    <mergeCell ref="G428:I428"/>
    <mergeCell ref="G412:I412"/>
    <mergeCell ref="G429:I429"/>
    <mergeCell ref="G413:I413"/>
    <mergeCell ref="G373:I373"/>
    <mergeCell ref="G357:I357"/>
    <mergeCell ref="B340:I340"/>
    <mergeCell ref="B343:I343"/>
    <mergeCell ref="G344:I344"/>
    <mergeCell ref="G345:I345"/>
    <mergeCell ref="G362:I362"/>
    <mergeCell ref="C452:D452"/>
    <mergeCell ref="G452:I452"/>
    <mergeCell ref="C449:D449"/>
    <mergeCell ref="G449:I449"/>
    <mergeCell ref="G447:I447"/>
    <mergeCell ref="C448:D448"/>
    <mergeCell ref="G448:I448"/>
    <mergeCell ref="G433:I433"/>
    <mergeCell ref="G417:I417"/>
    <mergeCell ref="G434:I434"/>
    <mergeCell ref="G418:I418"/>
    <mergeCell ref="G435:I435"/>
    <mergeCell ref="G419:I419"/>
    <mergeCell ref="G430:I430"/>
    <mergeCell ref="G414:I414"/>
    <mergeCell ref="G431:I431"/>
    <mergeCell ref="G415:I415"/>
    <mergeCell ref="G432:I432"/>
    <mergeCell ref="G367:I367"/>
    <mergeCell ref="G436:I436"/>
    <mergeCell ref="G420:I420"/>
    <mergeCell ref="G437:I437"/>
    <mergeCell ref="G450:I450"/>
    <mergeCell ref="C451:D451"/>
    <mergeCell ref="G451:I451"/>
    <mergeCell ref="B445:I445"/>
    <mergeCell ref="C446:D446"/>
    <mergeCell ref="G446:I446"/>
    <mergeCell ref="C447:D447"/>
    <mergeCell ref="B421:I421"/>
    <mergeCell ref="G442:I442"/>
    <mergeCell ref="G443:I443"/>
    <mergeCell ref="G444:I444"/>
    <mergeCell ref="G465:I465"/>
    <mergeCell ref="C457:D457"/>
    <mergeCell ref="G457:I457"/>
    <mergeCell ref="C458:D458"/>
    <mergeCell ref="G458:I458"/>
    <mergeCell ref="G479:I479"/>
    <mergeCell ref="C453:D453"/>
    <mergeCell ref="G453:I453"/>
    <mergeCell ref="C454:D454"/>
    <mergeCell ref="G454:I454"/>
    <mergeCell ref="G466:I466"/>
    <mergeCell ref="B460:I460"/>
    <mergeCell ref="B463:I463"/>
    <mergeCell ref="G464:I464"/>
    <mergeCell ref="C455:D455"/>
    <mergeCell ref="G455:I455"/>
    <mergeCell ref="C456:D456"/>
    <mergeCell ref="G456:I456"/>
    <mergeCell ref="C509:D509"/>
    <mergeCell ref="G406:I406"/>
    <mergeCell ref="G423:I423"/>
    <mergeCell ref="G407:I407"/>
    <mergeCell ref="G424:I424"/>
    <mergeCell ref="G408:I408"/>
    <mergeCell ref="G425:I425"/>
    <mergeCell ref="G409:I409"/>
    <mergeCell ref="G426:I426"/>
    <mergeCell ref="G410:I410"/>
    <mergeCell ref="G476:I476"/>
    <mergeCell ref="G487:I487"/>
    <mergeCell ref="G471:I471"/>
    <mergeCell ref="G488:I488"/>
    <mergeCell ref="G472:I472"/>
    <mergeCell ref="G489:I489"/>
    <mergeCell ref="G473:I473"/>
    <mergeCell ref="G484:I484"/>
    <mergeCell ref="G482:I482"/>
    <mergeCell ref="G468:I468"/>
    <mergeCell ref="G485:I485"/>
    <mergeCell ref="G469:I469"/>
    <mergeCell ref="G486:I486"/>
    <mergeCell ref="G470:I470"/>
    <mergeCell ref="C506:D506"/>
    <mergeCell ref="G513:I513"/>
    <mergeCell ref="B400:I400"/>
    <mergeCell ref="B403:I403"/>
    <mergeCell ref="G404:I404"/>
    <mergeCell ref="G405:I405"/>
    <mergeCell ref="G422:I422"/>
    <mergeCell ref="C511:D511"/>
    <mergeCell ref="G511:I511"/>
    <mergeCell ref="C508:D508"/>
    <mergeCell ref="G508:I508"/>
    <mergeCell ref="G506:I506"/>
    <mergeCell ref="C507:D507"/>
    <mergeCell ref="G507:I507"/>
    <mergeCell ref="G493:I493"/>
    <mergeCell ref="G477:I477"/>
    <mergeCell ref="G494:I494"/>
    <mergeCell ref="G478:I478"/>
    <mergeCell ref="G495:I495"/>
    <mergeCell ref="G490:I490"/>
    <mergeCell ref="G474:I474"/>
    <mergeCell ref="G491:I491"/>
    <mergeCell ref="G475:I475"/>
    <mergeCell ref="G492:I492"/>
    <mergeCell ref="G483:I483"/>
    <mergeCell ref="G467:I467"/>
    <mergeCell ref="B522:I522"/>
    <mergeCell ref="G523:I523"/>
    <mergeCell ref="G524:I524"/>
    <mergeCell ref="G541:I541"/>
    <mergeCell ref="C516:D516"/>
    <mergeCell ref="G516:I516"/>
    <mergeCell ref="C517:D517"/>
    <mergeCell ref="G517:I517"/>
    <mergeCell ref="C512:D512"/>
    <mergeCell ref="G512:I512"/>
    <mergeCell ref="C513:D513"/>
    <mergeCell ref="G496:I496"/>
    <mergeCell ref="G480:I480"/>
    <mergeCell ref="G497:I497"/>
    <mergeCell ref="G509:I509"/>
    <mergeCell ref="G526:I526"/>
    <mergeCell ref="C510:D510"/>
    <mergeCell ref="G510:I510"/>
    <mergeCell ref="C505:D505"/>
    <mergeCell ref="G505:I505"/>
    <mergeCell ref="G527:I527"/>
    <mergeCell ref="G529:I529"/>
    <mergeCell ref="G636:I636"/>
    <mergeCell ref="G596:I596"/>
    <mergeCell ref="G613:I613"/>
    <mergeCell ref="G597:I597"/>
    <mergeCell ref="G614:I614"/>
    <mergeCell ref="G598:I598"/>
    <mergeCell ref="G615:I615"/>
    <mergeCell ref="G593:I593"/>
    <mergeCell ref="G610:I610"/>
    <mergeCell ref="G594:I594"/>
    <mergeCell ref="G611:I611"/>
    <mergeCell ref="G595:I595"/>
    <mergeCell ref="G612:I612"/>
    <mergeCell ref="G618:I618"/>
    <mergeCell ref="G619:I619"/>
    <mergeCell ref="G620:I620"/>
    <mergeCell ref="B617:I617"/>
    <mergeCell ref="G608:I608"/>
    <mergeCell ref="C635:D635"/>
    <mergeCell ref="G635:I635"/>
    <mergeCell ref="G609:I609"/>
    <mergeCell ref="G604:I604"/>
    <mergeCell ref="G622:I622"/>
    <mergeCell ref="G623:I623"/>
    <mergeCell ref="C637:D637"/>
    <mergeCell ref="G637:I637"/>
    <mergeCell ref="C632:D632"/>
    <mergeCell ref="G632:I632"/>
    <mergeCell ref="C633:D633"/>
    <mergeCell ref="G633:I633"/>
    <mergeCell ref="G599:I599"/>
    <mergeCell ref="G616:I616"/>
    <mergeCell ref="G629:I629"/>
    <mergeCell ref="C630:D630"/>
    <mergeCell ref="G630:I630"/>
    <mergeCell ref="B624:I624"/>
    <mergeCell ref="C625:D625"/>
    <mergeCell ref="G625:I625"/>
    <mergeCell ref="C626:D626"/>
    <mergeCell ref="G626:I626"/>
    <mergeCell ref="C631:D631"/>
    <mergeCell ref="G631:I631"/>
    <mergeCell ref="C628:D628"/>
    <mergeCell ref="G628:I628"/>
    <mergeCell ref="C629:D629"/>
    <mergeCell ref="C627:D627"/>
    <mergeCell ref="G627:I627"/>
    <mergeCell ref="C636:D636"/>
    <mergeCell ref="G584:I584"/>
    <mergeCell ref="G601:I601"/>
    <mergeCell ref="C576:D576"/>
    <mergeCell ref="G576:I576"/>
    <mergeCell ref="C577:D577"/>
    <mergeCell ref="G577:I577"/>
    <mergeCell ref="C572:D572"/>
    <mergeCell ref="G572:I572"/>
    <mergeCell ref="C573:D573"/>
    <mergeCell ref="G573:I573"/>
    <mergeCell ref="G591:I591"/>
    <mergeCell ref="B579:I579"/>
    <mergeCell ref="B600:I600"/>
    <mergeCell ref="G532:I532"/>
    <mergeCell ref="G549:I549"/>
    <mergeCell ref="G533:I533"/>
    <mergeCell ref="G550:I550"/>
    <mergeCell ref="G534:I534"/>
    <mergeCell ref="G538:I538"/>
    <mergeCell ref="G543:I543"/>
    <mergeCell ref="B582:I582"/>
    <mergeCell ref="G583:I583"/>
    <mergeCell ref="C568:D568"/>
    <mergeCell ref="G568:I568"/>
    <mergeCell ref="C569:D569"/>
    <mergeCell ref="G544:I544"/>
    <mergeCell ref="C566:D566"/>
    <mergeCell ref="G566:I566"/>
    <mergeCell ref="G551:I551"/>
    <mergeCell ref="G535:I535"/>
    <mergeCell ref="G545:I545"/>
    <mergeCell ref="G555:I555"/>
    <mergeCell ref="G552:I552"/>
    <mergeCell ref="G536:I536"/>
    <mergeCell ref="G553:I553"/>
    <mergeCell ref="G537:I537"/>
    <mergeCell ref="G554:I554"/>
    <mergeCell ref="B519:I519"/>
    <mergeCell ref="C570:D570"/>
    <mergeCell ref="G570:I570"/>
    <mergeCell ref="C571:D571"/>
    <mergeCell ref="G571:I571"/>
    <mergeCell ref="G546:I546"/>
    <mergeCell ref="G530:I530"/>
    <mergeCell ref="G547:I547"/>
    <mergeCell ref="G531:I531"/>
    <mergeCell ref="G558:I558"/>
    <mergeCell ref="G559:I559"/>
    <mergeCell ref="G560:I560"/>
    <mergeCell ref="G561:I561"/>
    <mergeCell ref="G562:I562"/>
    <mergeCell ref="G525:I525"/>
    <mergeCell ref="G542:I542"/>
    <mergeCell ref="G528:I528"/>
    <mergeCell ref="G539:I539"/>
    <mergeCell ref="G556:I556"/>
    <mergeCell ref="G569:I569"/>
    <mergeCell ref="B564:I564"/>
    <mergeCell ref="C565:D565"/>
    <mergeCell ref="G565:I565"/>
    <mergeCell ref="C567:D567"/>
  </mergeCells>
  <conditionalFormatting sqref="B131:B134 E132:E146">
    <cfRule type="expression" dxfId="4094" priority="485">
      <formula>wld_domain_result="Excluded"</formula>
    </cfRule>
  </conditionalFormatting>
  <conditionalFormatting sqref="B197:B208 E206:I207">
    <cfRule type="expression" dxfId="4093" priority="442" stopIfTrue="1">
      <formula>OR((wld_domain_result="Excluded"),(wld_stretched_cluster_result="Excluded"))</formula>
    </cfRule>
  </conditionalFormatting>
  <conditionalFormatting sqref="B282 D282:E282 B222:E222 B402:E402 B462:E462 B521:E521 B581:E581">
    <cfRule type="expression" dxfId="4092" priority="1037">
      <formula>wld_host_dns_zone_chosen="Single"</formula>
    </cfRule>
  </conditionalFormatting>
  <conditionalFormatting sqref="B342 D342:E342">
    <cfRule type="expression" dxfId="4091" priority="1073">
      <formula>wld_host_dns_zone_chosen="Single"</formula>
    </cfRule>
  </conditionalFormatting>
  <conditionalFormatting sqref="B217:E218 G217:I218">
    <cfRule type="expression" dxfId="4090" priority="460">
      <formula>OR((wld_domain_result="Excluded"),(wld_stretched_cluster_result="Excluded"),(wld_secondary_storage_result="Excluded"))</formula>
    </cfRule>
  </conditionalFormatting>
  <conditionalFormatting sqref="B176:G208">
    <cfRule type="expression" dxfId="4089" priority="446">
      <formula>OR((wld_domain_result="Excluded"),(wld_stretched_cluster_result="Excluded"))</formula>
    </cfRule>
  </conditionalFormatting>
  <conditionalFormatting sqref="B25:I41">
    <cfRule type="expression" dxfId="4088" priority="518">
      <formula>AND((spr_mo_result="False"),(spr_mw_result="False"))</formula>
    </cfRule>
  </conditionalFormatting>
  <conditionalFormatting sqref="B42:I52">
    <cfRule type="expression" dxfId="4087" priority="506">
      <formula>mgmt_vns_result="Excluded"</formula>
    </cfRule>
  </conditionalFormatting>
  <conditionalFormatting sqref="B59:I60">
    <cfRule type="expression" dxfId="4086" priority="511">
      <formula>mgmt_host_overlay_addressing_chosen&lt;&gt;"Static"</formula>
    </cfRule>
  </conditionalFormatting>
  <conditionalFormatting sqref="B61:I62">
    <cfRule type="expression" dxfId="4085" priority="510">
      <formula>mgmt_nsxt_federation_result="Excluded"</formula>
    </cfRule>
  </conditionalFormatting>
  <conditionalFormatting sqref="B64:I107">
    <cfRule type="expression" dxfId="4084" priority="492">
      <formula>mgmt_stretched_cluster_result="Excluded"</formula>
    </cfRule>
  </conditionalFormatting>
  <conditionalFormatting sqref="B83:I99">
    <cfRule type="expression" dxfId="4083" priority="495" stopIfTrue="1">
      <formula>AND((spr_mo_result="False"),(spr_mw_result="False"))</formula>
    </cfRule>
  </conditionalFormatting>
  <conditionalFormatting sqref="B106:I107">
    <cfRule type="expression" dxfId="4082" priority="500">
      <formula>OR((mgmt_stretched_cluster_result="Excluded"),(mgmt_host_overlay_addressing_chosen&lt;&gt;"Static"))</formula>
    </cfRule>
  </conditionalFormatting>
  <conditionalFormatting sqref="B109:I171">
    <cfRule type="expression" dxfId="4081" priority="300">
      <formula>wld_domain_result="Excluded"</formula>
    </cfRule>
  </conditionalFormatting>
  <conditionalFormatting sqref="B110:I111 B221:I222 B281:I282 B341:I342 B401:I402 B461:I462 B520:I521 B580:I581">
    <cfRule type="expression" dxfId="4080" priority="388">
      <formula>wld_host_dns_zone_chosen&lt;&gt;"Multiple"</formula>
    </cfRule>
  </conditionalFormatting>
  <conditionalFormatting sqref="B114:I114">
    <cfRule type="expression" dxfId="4079" priority="284">
      <formula>wld_compute_hosts_per_rack1_calculated&lt;1</formula>
    </cfRule>
  </conditionalFormatting>
  <conditionalFormatting sqref="B115:I115">
    <cfRule type="expression" dxfId="4078" priority="285">
      <formula>wld_compute_hosts_per_rack1_calculated&lt;2</formula>
    </cfRule>
  </conditionalFormatting>
  <conditionalFormatting sqref="B116:I116">
    <cfRule type="expression" dxfId="4077" priority="286">
      <formula>wld_compute_hosts_per_rack1_calculated&lt;3</formula>
    </cfRule>
  </conditionalFormatting>
  <conditionalFormatting sqref="B117:I117">
    <cfRule type="expression" dxfId="4076" priority="287">
      <formula>wld_compute_hosts_per_rack1_calculated&lt;4</formula>
    </cfRule>
  </conditionalFormatting>
  <conditionalFormatting sqref="B118:I118">
    <cfRule type="expression" dxfId="4075" priority="288">
      <formula>wld_compute_hosts_per_rack1_calculated&lt;5</formula>
    </cfRule>
  </conditionalFormatting>
  <conditionalFormatting sqref="B119:I119">
    <cfRule type="expression" dxfId="4074" priority="289">
      <formula>wld_compute_hosts_per_rack1_calculated&lt;6</formula>
    </cfRule>
  </conditionalFormatting>
  <conditionalFormatting sqref="B120:I120">
    <cfRule type="expression" dxfId="4073" priority="290">
      <formula>wld_compute_hosts_per_rack1_calculated&lt;7</formula>
    </cfRule>
  </conditionalFormatting>
  <conditionalFormatting sqref="B121:I121">
    <cfRule type="expression" dxfId="4072" priority="291">
      <formula>wld_compute_hosts_per_rack1_calculated&lt;8</formula>
    </cfRule>
  </conditionalFormatting>
  <conditionalFormatting sqref="B122:I122">
    <cfRule type="expression" dxfId="4071" priority="292">
      <formula>wld_compute_hosts_per_rack1_calculated&lt;9</formula>
    </cfRule>
  </conditionalFormatting>
  <conditionalFormatting sqref="B123:I123">
    <cfRule type="expression" dxfId="4070" priority="293">
      <formula>wld_compute_hosts_per_rack1_calculated&lt;10</formula>
    </cfRule>
  </conditionalFormatting>
  <conditionalFormatting sqref="B124:I124">
    <cfRule type="expression" dxfId="4069" priority="294">
      <formula>wld_compute_hosts_per_rack1_calculated&lt;11</formula>
    </cfRule>
  </conditionalFormatting>
  <conditionalFormatting sqref="B125:I125">
    <cfRule type="expression" dxfId="4068" priority="295">
      <formula>wld_compute_hosts_per_rack1_calculated&lt;12</formula>
    </cfRule>
  </conditionalFormatting>
  <conditionalFormatting sqref="B126:I126">
    <cfRule type="expression" dxfId="4067" priority="296">
      <formula>wld_compute_hosts_per_rack1_calculated&lt;13</formula>
    </cfRule>
  </conditionalFormatting>
  <conditionalFormatting sqref="B127:I127">
    <cfRule type="expression" dxfId="4066" priority="297">
      <formula>wld_compute_hosts_per_rack1_calculated&lt;14</formula>
    </cfRule>
  </conditionalFormatting>
  <conditionalFormatting sqref="B128:I128">
    <cfRule type="expression" dxfId="4065" priority="298">
      <formula>wld_compute_hosts_per_rack1_calculated&lt;15</formula>
    </cfRule>
  </conditionalFormatting>
  <conditionalFormatting sqref="B129:I129">
    <cfRule type="expression" dxfId="4064" priority="299">
      <formula>wld_compute_hosts_per_rack1_calculated&lt;16</formula>
    </cfRule>
  </conditionalFormatting>
  <conditionalFormatting sqref="B147:I157 B259:I264 B319:I324 B379:I384 B439:I444 B499:I504 B558:I563 B618:I623">
    <cfRule type="expression" dxfId="4063" priority="14">
      <formula>OR((wld_domain_result="Excluded"),(wld_bgp_result="Excluded"))</formula>
    </cfRule>
  </conditionalFormatting>
  <conditionalFormatting sqref="B147:I157">
    <cfRule type="expression" dxfId="4062" priority="465">
      <formula>AND(wld_multirack_result="Included",wld_dedicated_edge_cluster_model_result="Excluded",AND(wld_dedicated_edge_cluster_chosen_first&lt;&gt;1,wld_dedicated_edge_cluster_chosen_second&lt;&gt;1))</formula>
    </cfRule>
  </conditionalFormatting>
  <conditionalFormatting sqref="B151:I152 B156:I157">
    <cfRule type="expression" dxfId="4061" priority="32">
      <formula>wld_multirack_result="Included"</formula>
    </cfRule>
  </conditionalFormatting>
  <conditionalFormatting sqref="B153:I155">
    <cfRule type="expression" dxfId="4060" priority="3">
      <formula>AND(wld_multirack_result="Included",wld_dedicated_edge_cluster_model_chosen&lt;&gt;"Availbility (4 Node)")</formula>
    </cfRule>
  </conditionalFormatting>
  <conditionalFormatting sqref="B156:I157">
    <cfRule type="expression" dxfId="4059" priority="33">
      <formula>OR(wld_multirack_result="Included",AND(wld_dedicated_edge_cluster_chosen_first=1,wld_dedicated_edge_cluster_chosen_second=1))</formula>
    </cfRule>
  </conditionalFormatting>
  <conditionalFormatting sqref="B162:I163">
    <cfRule type="expression" dxfId="4058" priority="471">
      <formula>OR((wld_principal_storage_chosen="VMFS on FC"),(wld_principal_storage_chosen="vVOLS on FC"))</formula>
    </cfRule>
  </conditionalFormatting>
  <conditionalFormatting sqref="B164:I165">
    <cfRule type="expression" dxfId="4057" priority="470">
      <formula>OR(wld_domain_result="Excluded",wld_host_overlay_addressing_chosen&lt;&gt;"Static")</formula>
    </cfRule>
  </conditionalFormatting>
  <conditionalFormatting sqref="B166:I167">
    <cfRule type="expression" dxfId="4056" priority="469">
      <formula>OR((wld_domain_result="Excluded"),(wld_secondary_storage_result="Excluded"))</formula>
    </cfRule>
  </conditionalFormatting>
  <conditionalFormatting sqref="B168:I169">
    <cfRule type="expression" dxfId="4055" priority="2">
      <formula>wld_bgp_result="Excluded"</formula>
    </cfRule>
    <cfRule type="expression" dxfId="4054" priority="34">
      <formula>OR(wld_domain_result="Excluded",AND(wld_multirack_result="Included",AND(wld_dedicated_edge_cluster_chosen_first&lt;&gt;1,wld_dedicated_edge_cluster_chosen_second&lt;&gt;1)))</formula>
    </cfRule>
    <cfRule type="expression" dxfId="4053" priority="1">
      <formula>wld_multirack_result="Excluded"</formula>
    </cfRule>
  </conditionalFormatting>
  <conditionalFormatting sqref="B170:I171">
    <cfRule type="expression" dxfId="4052" priority="468">
      <formula>OR((wld_domain_result="Excluded"),(wld_nsxt_federation_result="Excluded"))</formula>
    </cfRule>
  </conditionalFormatting>
  <conditionalFormatting sqref="B192:I208 B130:I146">
    <cfRule type="expression" dxfId="4051" priority="458">
      <formula>AND((spr_wo_result="False"),(spr_mw_result="False"))</formula>
    </cfRule>
  </conditionalFormatting>
  <conditionalFormatting sqref="B215:I216">
    <cfRule type="expression" dxfId="4050" priority="450">
      <formula>OR((wld_domain_result="Excluded"),(wld_stretched_cluster_result="Excluded"),(wld_host_overlay_addressing_chosen&lt;&gt;"Static"))</formula>
    </cfRule>
  </conditionalFormatting>
  <conditionalFormatting sqref="B220:I278 B280:I338 B340:I398 B400:I458 B460:I517 B519:I577 B579:I637">
    <cfRule type="expression" dxfId="4049" priority="13">
      <formula>OR(wld_domain_result="Excluded",wld_compute_hosts_per_rack_chosen="Exclude")</formula>
    </cfRule>
    <cfRule type="expression" dxfId="4048" priority="12">
      <formula>wld_multirack_result="Excluded"</formula>
    </cfRule>
  </conditionalFormatting>
  <conditionalFormatting sqref="B225:I225">
    <cfRule type="expression" dxfId="4047" priority="268" stopIfTrue="1">
      <formula>wld_compute_hosts_per_rack2_calculated&lt;1</formula>
    </cfRule>
  </conditionalFormatting>
  <conditionalFormatting sqref="B226:I226">
    <cfRule type="expression" dxfId="4046" priority="269">
      <formula>wld_compute_hosts_per_rack2_calculated&lt;2</formula>
    </cfRule>
  </conditionalFormatting>
  <conditionalFormatting sqref="B227:I227">
    <cfRule type="expression" dxfId="4045" priority="270">
      <formula>wld_compute_hosts_per_rack2_calculated&lt;3</formula>
    </cfRule>
  </conditionalFormatting>
  <conditionalFormatting sqref="B228:I228">
    <cfRule type="expression" dxfId="4044" priority="271">
      <formula>wld_compute_hosts_per_rack2_calculated&lt;4</formula>
    </cfRule>
  </conditionalFormatting>
  <conditionalFormatting sqref="B229:I229">
    <cfRule type="expression" dxfId="4043" priority="272">
      <formula>wld_compute_hosts_per_rack2_calculated&lt;5</formula>
    </cfRule>
  </conditionalFormatting>
  <conditionalFormatting sqref="B230:I230">
    <cfRule type="expression" dxfId="4042" priority="273">
      <formula>wld_compute_hosts_per_rack2_calculated&lt;6</formula>
    </cfRule>
  </conditionalFormatting>
  <conditionalFormatting sqref="B231:I231">
    <cfRule type="expression" dxfId="4041" priority="274">
      <formula>wld_compute_hosts_per_rack2_calculated&lt;7</formula>
    </cfRule>
  </conditionalFormatting>
  <conditionalFormatting sqref="B232:I232">
    <cfRule type="expression" dxfId="4040" priority="275">
      <formula>wld_compute_hosts_per_rack2_calculated&lt;8</formula>
    </cfRule>
  </conditionalFormatting>
  <conditionalFormatting sqref="B233:I233">
    <cfRule type="expression" dxfId="4039" priority="276">
      <formula>wld_compute_hosts_per_rack2_calculated&lt;9</formula>
    </cfRule>
  </conditionalFormatting>
  <conditionalFormatting sqref="B234:I234">
    <cfRule type="expression" dxfId="4038" priority="277">
      <formula>wld_compute_hosts_per_rack2_calculated&lt;10</formula>
    </cfRule>
  </conditionalFormatting>
  <conditionalFormatting sqref="B235:I235">
    <cfRule type="expression" dxfId="4037" priority="278">
      <formula>wld_compute_hosts_per_rack2_calculated&lt;11</formula>
    </cfRule>
  </conditionalFormatting>
  <conditionalFormatting sqref="B236:I236">
    <cfRule type="expression" dxfId="4036" priority="279">
      <formula>wld_compute_hosts_per_rack2_calculated&lt;12</formula>
    </cfRule>
  </conditionalFormatting>
  <conditionalFormatting sqref="B237:I237">
    <cfRule type="expression" dxfId="4035" priority="280">
      <formula>wld_compute_hosts_per_rack2_calculated&lt;13</formula>
    </cfRule>
  </conditionalFormatting>
  <conditionalFormatting sqref="B238:I238">
    <cfRule type="expression" dxfId="4034" priority="281">
      <formula>wld_compute_hosts_per_rack2_calculated&lt;14</formula>
    </cfRule>
  </conditionalFormatting>
  <conditionalFormatting sqref="B239:I239">
    <cfRule type="expression" dxfId="4033" priority="282">
      <formula>wld_compute_hosts_per_rack2_calculated&lt;15</formula>
    </cfRule>
  </conditionalFormatting>
  <conditionalFormatting sqref="B240:I240">
    <cfRule type="expression" dxfId="4032" priority="283">
      <formula>wld_compute_hosts_per_rack2_calculated&lt;16</formula>
    </cfRule>
  </conditionalFormatting>
  <conditionalFormatting sqref="B242:I242">
    <cfRule type="expression" dxfId="4031" priority="252">
      <formula>wld_compute_hosts_per_rack2_calculated&lt;1</formula>
    </cfRule>
  </conditionalFormatting>
  <conditionalFormatting sqref="B243:I243">
    <cfRule type="expression" dxfId="4030" priority="253">
      <formula>wld_compute_hosts_per_rack2_calculated&lt;2</formula>
    </cfRule>
  </conditionalFormatting>
  <conditionalFormatting sqref="B244:I244">
    <cfRule type="expression" dxfId="4029" priority="254">
      <formula>wld_compute_hosts_per_rack2_calculated&lt;3</formula>
    </cfRule>
  </conditionalFormatting>
  <conditionalFormatting sqref="B245:I245">
    <cfRule type="expression" dxfId="4028" priority="255">
      <formula>wld_compute_hosts_per_rack2_calculated&lt;4</formula>
    </cfRule>
  </conditionalFormatting>
  <conditionalFormatting sqref="B246:I246">
    <cfRule type="expression" dxfId="4027" priority="256">
      <formula>wld_compute_hosts_per_rack2_calculated&lt;5</formula>
    </cfRule>
  </conditionalFormatting>
  <conditionalFormatting sqref="B247:I247">
    <cfRule type="expression" dxfId="4026" priority="257">
      <formula>wld_compute_hosts_per_rack2_calculated&lt;6</formula>
    </cfRule>
  </conditionalFormatting>
  <conditionalFormatting sqref="B248:I248">
    <cfRule type="expression" dxfId="4025" priority="258">
      <formula>wld_compute_hosts_per_rack2_calculated&lt;7</formula>
    </cfRule>
  </conditionalFormatting>
  <conditionalFormatting sqref="B249:I249">
    <cfRule type="expression" dxfId="4024" priority="259">
      <formula>wld_compute_hosts_per_rack2_calculated&lt;8</formula>
    </cfRule>
  </conditionalFormatting>
  <conditionalFormatting sqref="B250:I250">
    <cfRule type="expression" dxfId="4023" priority="260">
      <formula>wld_compute_hosts_per_rack2_calculated&lt;9</formula>
    </cfRule>
  </conditionalFormatting>
  <conditionalFormatting sqref="B251:I251">
    <cfRule type="expression" dxfId="4022" priority="261">
      <formula>wld_compute_hosts_per_rack2_calculated&lt;10</formula>
    </cfRule>
  </conditionalFormatting>
  <conditionalFormatting sqref="B252:I252">
    <cfRule type="expression" dxfId="4021" priority="262">
      <formula>wld_compute_hosts_per_rack2_calculated&lt;11</formula>
    </cfRule>
  </conditionalFormatting>
  <conditionalFormatting sqref="B253:I253">
    <cfRule type="expression" dxfId="4020" priority="263">
      <formula>wld_compute_hosts_per_rack2_calculated&lt;12</formula>
    </cfRule>
  </conditionalFormatting>
  <conditionalFormatting sqref="B254:I254">
    <cfRule type="expression" dxfId="4019" priority="264">
      <formula>wld_compute_hosts_per_rack2_calculated&lt;13</formula>
    </cfRule>
  </conditionalFormatting>
  <conditionalFormatting sqref="B255:I255">
    <cfRule type="expression" dxfId="4018" priority="265">
      <formula>wld_compute_hosts_per_rack2_calculated&lt;14</formula>
    </cfRule>
  </conditionalFormatting>
  <conditionalFormatting sqref="B256:I256">
    <cfRule type="expression" dxfId="4017" priority="266">
      <formula>wld_compute_hosts_per_rack2_calculated&lt;15</formula>
    </cfRule>
  </conditionalFormatting>
  <conditionalFormatting sqref="B257:I257">
    <cfRule type="expression" dxfId="4016" priority="267">
      <formula>wld_compute_hosts_per_rack2_calculated&lt;16</formula>
    </cfRule>
  </conditionalFormatting>
  <conditionalFormatting sqref="B258:I264">
    <cfRule type="expression" dxfId="4015" priority="537">
      <formula>AND(wld_dedicated_edge_cluster_chosen_first&lt;&gt;2,wld_dedicated_edge_cluster_chosen_second&lt;&gt;2)</formula>
    </cfRule>
  </conditionalFormatting>
  <conditionalFormatting sqref="B262:I264">
    <cfRule type="expression" dxfId="4014" priority="10">
      <formula>wld_dedicated_edge_cluster_model_chosen&lt;&gt;"Availbility (4 Node)"</formula>
    </cfRule>
  </conditionalFormatting>
  <conditionalFormatting sqref="B275:I276">
    <cfRule type="expression" dxfId="4013" priority="35">
      <formula>AND(wld_dedicated_edge_cluster_chosen_first&lt;&gt;2,wld_dedicated_edge_cluster_chosen_second&lt;&gt;2)</formula>
    </cfRule>
  </conditionalFormatting>
  <conditionalFormatting sqref="B280:I282 B319:I334 B284:I300 B302:I317">
    <cfRule type="expression" dxfId="4012" priority="472" stopIfTrue="1">
      <formula>wld_multi_rack_count_chosen&lt;2</formula>
    </cfRule>
  </conditionalFormatting>
  <conditionalFormatting sqref="B285:I285">
    <cfRule type="expression" dxfId="4011" priority="220">
      <formula>wld_compute_hosts_per_rack3_calculated&lt;1</formula>
    </cfRule>
  </conditionalFormatting>
  <conditionalFormatting sqref="B286:I286">
    <cfRule type="expression" dxfId="4010" priority="221">
      <formula>wld_compute_hosts_per_rack3_calculated&lt;2</formula>
    </cfRule>
  </conditionalFormatting>
  <conditionalFormatting sqref="B287:I287">
    <cfRule type="expression" dxfId="4009" priority="222">
      <formula>wld_compute_hosts_per_rack3_calculated&lt;3</formula>
    </cfRule>
  </conditionalFormatting>
  <conditionalFormatting sqref="B288:I288">
    <cfRule type="expression" dxfId="4008" priority="223">
      <formula>wld_compute_hosts_per_rack3_calculated&lt;4</formula>
    </cfRule>
  </conditionalFormatting>
  <conditionalFormatting sqref="B289:I289">
    <cfRule type="expression" dxfId="4007" priority="224">
      <formula>wld_compute_hosts_per_rack3_calculated&lt;5</formula>
    </cfRule>
  </conditionalFormatting>
  <conditionalFormatting sqref="B290:I290">
    <cfRule type="expression" dxfId="4006" priority="225">
      <formula>wld_compute_hosts_per_rack3_calculated&lt;6</formula>
    </cfRule>
  </conditionalFormatting>
  <conditionalFormatting sqref="B291:I291">
    <cfRule type="expression" dxfId="4005" priority="226">
      <formula>wld_compute_hosts_per_rack3_calculated&lt;7</formula>
    </cfRule>
  </conditionalFormatting>
  <conditionalFormatting sqref="B292:I292">
    <cfRule type="expression" dxfId="4004" priority="227">
      <formula>wld_compute_hosts_per_rack3_calculated&lt;8</formula>
    </cfRule>
  </conditionalFormatting>
  <conditionalFormatting sqref="B293:I293">
    <cfRule type="expression" dxfId="4003" priority="228">
      <formula>wld_compute_hosts_per_rack3_calculated&lt;9</formula>
    </cfRule>
  </conditionalFormatting>
  <conditionalFormatting sqref="B294:I294">
    <cfRule type="expression" dxfId="4002" priority="229">
      <formula>wld_compute_hosts_per_rack3_calculated&lt;10</formula>
    </cfRule>
  </conditionalFormatting>
  <conditionalFormatting sqref="B295:I295">
    <cfRule type="expression" dxfId="4001" priority="230">
      <formula>wld_compute_hosts_per_rack3_calculated&lt;11</formula>
    </cfRule>
  </conditionalFormatting>
  <conditionalFormatting sqref="B296:I296">
    <cfRule type="expression" dxfId="4000" priority="231">
      <formula>wld_compute_hosts_per_rack3_calculated&lt;12</formula>
    </cfRule>
  </conditionalFormatting>
  <conditionalFormatting sqref="B297:I297">
    <cfRule type="expression" dxfId="3999" priority="232">
      <formula>wld_compute_hosts_per_rack3_calculated&lt;13</formula>
    </cfRule>
  </conditionalFormatting>
  <conditionalFormatting sqref="B298:I298">
    <cfRule type="expression" dxfId="3998" priority="233">
      <formula>wld_compute_hosts_per_rack3_calculated&lt;14</formula>
    </cfRule>
  </conditionalFormatting>
  <conditionalFormatting sqref="B299:I299">
    <cfRule type="expression" dxfId="3997" priority="234">
      <formula>wld_compute_hosts_per_rack3_calculated&lt;15</formula>
    </cfRule>
  </conditionalFormatting>
  <conditionalFormatting sqref="B300:I300">
    <cfRule type="expression" dxfId="3996" priority="235">
      <formula>wld_compute_hosts_per_rack3_calculated&lt;16</formula>
    </cfRule>
  </conditionalFormatting>
  <conditionalFormatting sqref="B301:I317 B241:I257 B361:I377 B421:I437 B481:I497 B540:I556 B600:I616">
    <cfRule type="expression" dxfId="3995" priority="540">
      <formula>spr_result="Excluded"</formula>
    </cfRule>
  </conditionalFormatting>
  <conditionalFormatting sqref="B302:I302">
    <cfRule type="expression" dxfId="3994" priority="204">
      <formula>wld_compute_hosts_per_rack3_calculated&lt;1</formula>
    </cfRule>
  </conditionalFormatting>
  <conditionalFormatting sqref="B303:I303">
    <cfRule type="expression" dxfId="3993" priority="205">
      <formula>wld_compute_hosts_per_rack3_calculated&lt;2</formula>
    </cfRule>
  </conditionalFormatting>
  <conditionalFormatting sqref="B304:I304">
    <cfRule type="expression" dxfId="3992" priority="206">
      <formula>wld_compute_hosts_per_rack3_calculated&lt;3</formula>
    </cfRule>
  </conditionalFormatting>
  <conditionalFormatting sqref="B305:I305">
    <cfRule type="expression" dxfId="3991" priority="207">
      <formula>wld_compute_hosts_per_rack3_calculated&lt;4</formula>
    </cfRule>
  </conditionalFormatting>
  <conditionalFormatting sqref="B306:I306">
    <cfRule type="expression" dxfId="3990" priority="208">
      <formula>wld_compute_hosts_per_rack3_calculated&lt;5</formula>
    </cfRule>
  </conditionalFormatting>
  <conditionalFormatting sqref="B307:I307">
    <cfRule type="expression" dxfId="3989" priority="209">
      <formula>wld_compute_hosts_per_rack3_calculated&lt;6</formula>
    </cfRule>
  </conditionalFormatting>
  <conditionalFormatting sqref="B308:I308">
    <cfRule type="expression" dxfId="3988" priority="210">
      <formula>wld_compute_hosts_per_rack3_calculated&lt;7</formula>
    </cfRule>
  </conditionalFormatting>
  <conditionalFormatting sqref="B309:I309">
    <cfRule type="expression" dxfId="3987" priority="211">
      <formula>wld_compute_hosts_per_rack3_calculated&lt;8</formula>
    </cfRule>
  </conditionalFormatting>
  <conditionalFormatting sqref="B310:I310">
    <cfRule type="expression" dxfId="3986" priority="212">
      <formula>wld_compute_hosts_per_rack3_calculated&lt;9</formula>
    </cfRule>
  </conditionalFormatting>
  <conditionalFormatting sqref="B311:I311">
    <cfRule type="expression" dxfId="3985" priority="213">
      <formula>wld_compute_hosts_per_rack3_calculated&lt;10</formula>
    </cfRule>
  </conditionalFormatting>
  <conditionalFormatting sqref="B312:I312">
    <cfRule type="expression" dxfId="3984" priority="214">
      <formula>wld_compute_hosts_per_rack3_calculated&lt;11</formula>
    </cfRule>
  </conditionalFormatting>
  <conditionalFormatting sqref="B313:I313">
    <cfRule type="expression" dxfId="3983" priority="215">
      <formula>wld_compute_hosts_per_rack3_calculated&lt;12</formula>
    </cfRule>
  </conditionalFormatting>
  <conditionalFormatting sqref="B314:I314">
    <cfRule type="expression" dxfId="3982" priority="216">
      <formula>wld_compute_hosts_per_rack3_calculated&lt;13</formula>
    </cfRule>
  </conditionalFormatting>
  <conditionalFormatting sqref="B315:I315">
    <cfRule type="expression" dxfId="3981" priority="217">
      <formula>wld_compute_hosts_per_rack3_calculated&lt;14</formula>
    </cfRule>
  </conditionalFormatting>
  <conditionalFormatting sqref="B316:I316">
    <cfRule type="expression" dxfId="3980" priority="218">
      <formula>wld_compute_hosts_per_rack3_calculated&lt;15</formula>
    </cfRule>
  </conditionalFormatting>
  <conditionalFormatting sqref="B317:I317">
    <cfRule type="expression" dxfId="3979" priority="219">
      <formula>wld_compute_hosts_per_rack3_calculated&lt;16</formula>
    </cfRule>
  </conditionalFormatting>
  <conditionalFormatting sqref="B318:I324">
    <cfRule type="expression" dxfId="3978" priority="382">
      <formula>AND(wld_dedicated_edge_cluster_chosen_first&lt;&gt;3,wld_dedicated_edge_cluster_chosen_second&lt;&gt;3)</formula>
    </cfRule>
  </conditionalFormatting>
  <conditionalFormatting sqref="B322:I324">
    <cfRule type="expression" dxfId="3977" priority="9">
      <formula>wld_dedicated_edge_cluster_model_chosen&lt;&gt;"Availbility (4 Node)"</formula>
    </cfRule>
  </conditionalFormatting>
  <conditionalFormatting sqref="B335:I336">
    <cfRule type="expression" dxfId="3976" priority="37">
      <formula>AND(wld_dedicated_edge_cluster_chosen_first&lt;&gt;3,wld_dedicated_edge_cluster_chosen_second&lt;&gt;3)</formula>
    </cfRule>
  </conditionalFormatting>
  <conditionalFormatting sqref="B335:I338">
    <cfRule type="expression" dxfId="3975" priority="376" stopIfTrue="1">
      <formula>wld_multi_rack_count_chosen&lt;2</formula>
    </cfRule>
  </conditionalFormatting>
  <conditionalFormatting sqref="B340:I342 B344:I360 B362:I377 B379:I398">
    <cfRule type="expression" dxfId="3974" priority="23">
      <formula>wld_multi_rack_count_chosen&lt;3</formula>
    </cfRule>
  </conditionalFormatting>
  <conditionalFormatting sqref="B345:I345">
    <cfRule type="expression" dxfId="3973" priority="187">
      <formula>wld_compute_hosts_per_rack4_calculated&lt;1</formula>
    </cfRule>
  </conditionalFormatting>
  <conditionalFormatting sqref="B346:I346">
    <cfRule type="expression" dxfId="3972" priority="189">
      <formula>wld_compute_hosts_per_rack4_calculated&lt;2</formula>
    </cfRule>
  </conditionalFormatting>
  <conditionalFormatting sqref="B347:I347">
    <cfRule type="expression" dxfId="3971" priority="190">
      <formula>wld_compute_hosts_per_rack4_calculated&lt;3</formula>
    </cfRule>
  </conditionalFormatting>
  <conditionalFormatting sqref="B348:I348">
    <cfRule type="expression" dxfId="3970" priority="191">
      <formula>wld_compute_hosts_per_rack4_calculated&lt;4</formula>
    </cfRule>
  </conditionalFormatting>
  <conditionalFormatting sqref="B349:I349">
    <cfRule type="expression" dxfId="3969" priority="192">
      <formula>wld_compute_hosts_per_rack4_calculated&lt;5</formula>
    </cfRule>
  </conditionalFormatting>
  <conditionalFormatting sqref="B350:I350">
    <cfRule type="expression" dxfId="3968" priority="193">
      <formula>wld_compute_hosts_per_rack4_calculated&lt;6</formula>
    </cfRule>
  </conditionalFormatting>
  <conditionalFormatting sqref="B351:I351">
    <cfRule type="expression" dxfId="3967" priority="194">
      <formula>wld_compute_hosts_per_rack4_calculated&lt;7</formula>
    </cfRule>
  </conditionalFormatting>
  <conditionalFormatting sqref="B352:I352">
    <cfRule type="expression" dxfId="3966" priority="195">
      <formula>wld_compute_hosts_per_rack4_calculated&lt;8</formula>
    </cfRule>
  </conditionalFormatting>
  <conditionalFormatting sqref="B353:I353">
    <cfRule type="expression" dxfId="3965" priority="196">
      <formula>wld_compute_hosts_per_rack4_calculated&lt;9</formula>
    </cfRule>
  </conditionalFormatting>
  <conditionalFormatting sqref="B354:I354">
    <cfRule type="expression" dxfId="3964" priority="197">
      <formula>wld_compute_hosts_per_rack4_calculated&lt;10</formula>
    </cfRule>
  </conditionalFormatting>
  <conditionalFormatting sqref="B355:I355">
    <cfRule type="expression" dxfId="3963" priority="198">
      <formula>wld_compute_hosts_per_rack4_calculated&lt;11</formula>
    </cfRule>
  </conditionalFormatting>
  <conditionalFormatting sqref="B356:I356">
    <cfRule type="expression" dxfId="3962" priority="199">
      <formula>wld_compute_hosts_per_rack4_calculated&lt;12</formula>
    </cfRule>
  </conditionalFormatting>
  <conditionalFormatting sqref="B357:I357">
    <cfRule type="expression" dxfId="3961" priority="200">
      <formula>wld_compute_hosts_per_rack4_calculated&lt;13</formula>
    </cfRule>
  </conditionalFormatting>
  <conditionalFormatting sqref="B358:I358">
    <cfRule type="expression" dxfId="3960" priority="201">
      <formula>wld_compute_hosts_per_rack4_calculated&lt;14</formula>
    </cfRule>
  </conditionalFormatting>
  <conditionalFormatting sqref="B359:I359">
    <cfRule type="expression" dxfId="3959" priority="202">
      <formula>wld_compute_hosts_per_rack4_calculated&lt;15</formula>
    </cfRule>
  </conditionalFormatting>
  <conditionalFormatting sqref="B360:I360">
    <cfRule type="expression" dxfId="3958" priority="203">
      <formula>wld_compute_hosts_per_rack4_calculated&lt;16</formula>
    </cfRule>
  </conditionalFormatting>
  <conditionalFormatting sqref="B362:I362">
    <cfRule type="expression" dxfId="3957" priority="171">
      <formula>wld_compute_hosts_per_rack4_calculated&lt;1</formula>
    </cfRule>
  </conditionalFormatting>
  <conditionalFormatting sqref="B363:I363">
    <cfRule type="expression" dxfId="3956" priority="172">
      <formula>wld_compute_hosts_per_rack4_calculated&lt;2</formula>
    </cfRule>
  </conditionalFormatting>
  <conditionalFormatting sqref="B364:I364">
    <cfRule type="expression" dxfId="3955" priority="173">
      <formula>wld_compute_hosts_per_rack4_calculated&lt;3</formula>
    </cfRule>
  </conditionalFormatting>
  <conditionalFormatting sqref="B365:I365">
    <cfRule type="expression" dxfId="3954" priority="174">
      <formula>wld_compute_hosts_per_rack4_calculated&lt;4</formula>
    </cfRule>
  </conditionalFormatting>
  <conditionalFormatting sqref="B366:I366">
    <cfRule type="expression" dxfId="3953" priority="175">
      <formula>wld_compute_hosts_per_rack4_calculated&lt;5</formula>
    </cfRule>
  </conditionalFormatting>
  <conditionalFormatting sqref="B367:I367">
    <cfRule type="expression" dxfId="3952" priority="176">
      <formula>wld_compute_hosts_per_rack4_calculated&lt;6</formula>
    </cfRule>
  </conditionalFormatting>
  <conditionalFormatting sqref="B368:I368">
    <cfRule type="expression" dxfId="3951" priority="177">
      <formula>wld_compute_hosts_per_rack4_calculated&lt;7</formula>
    </cfRule>
  </conditionalFormatting>
  <conditionalFormatting sqref="B369:I369">
    <cfRule type="expression" dxfId="3950" priority="178">
      <formula>wld_compute_hosts_per_rack4_calculated&lt;8</formula>
    </cfRule>
  </conditionalFormatting>
  <conditionalFormatting sqref="B370:I370">
    <cfRule type="expression" dxfId="3949" priority="179">
      <formula>wld_compute_hosts_per_rack4_calculated&lt;9</formula>
    </cfRule>
  </conditionalFormatting>
  <conditionalFormatting sqref="B371:I371">
    <cfRule type="expression" dxfId="3948" priority="180">
      <formula>wld_compute_hosts_per_rack4_calculated&lt;10</formula>
    </cfRule>
  </conditionalFormatting>
  <conditionalFormatting sqref="B372:I372">
    <cfRule type="expression" dxfId="3947" priority="181">
      <formula>wld_compute_hosts_per_rack4_calculated&lt;11</formula>
    </cfRule>
  </conditionalFormatting>
  <conditionalFormatting sqref="B373:I373">
    <cfRule type="expression" dxfId="3946" priority="182">
      <formula>wld_compute_hosts_per_rack4_calculated&lt;12</formula>
    </cfRule>
  </conditionalFormatting>
  <conditionalFormatting sqref="B374:I374">
    <cfRule type="expression" dxfId="3945" priority="183">
      <formula>wld_compute_hosts_per_rack4_calculated&lt;13</formula>
    </cfRule>
  </conditionalFormatting>
  <conditionalFormatting sqref="B375:I375">
    <cfRule type="expression" dxfId="3944" priority="184">
      <formula>wld_compute_hosts_per_rack4_calculated&lt;14</formula>
    </cfRule>
  </conditionalFormatting>
  <conditionalFormatting sqref="B376:I376">
    <cfRule type="expression" dxfId="3943" priority="185">
      <formula>wld_compute_hosts_per_rack4_calculated&lt;15</formula>
    </cfRule>
  </conditionalFormatting>
  <conditionalFormatting sqref="B377:I377">
    <cfRule type="expression" dxfId="3942" priority="186">
      <formula>wld_compute_hosts_per_rack4_calculated&lt;16</formula>
    </cfRule>
  </conditionalFormatting>
  <conditionalFormatting sqref="B378:I384">
    <cfRule type="expression" dxfId="3941" priority="22">
      <formula>AND(wld_dedicated_edge_cluster_chosen_first&lt;&gt;4,wld_dedicated_edge_cluster_chosen_second&lt;&gt;4)</formula>
    </cfRule>
  </conditionalFormatting>
  <conditionalFormatting sqref="B382:I384">
    <cfRule type="expression" dxfId="3940" priority="8">
      <formula>wld_dedicated_edge_cluster_model_chosen&lt;&gt;"Availbility (4 Node)"</formula>
    </cfRule>
  </conditionalFormatting>
  <conditionalFormatting sqref="B393:I394 B333:I334 B273:I274 B453:I454 B512:I513 B572:I573 B632:I633">
    <cfRule type="expression" dxfId="3939" priority="1031">
      <formula>wld_secondary_storage_result="Excluded"</formula>
    </cfRule>
  </conditionalFormatting>
  <conditionalFormatting sqref="B395:I396">
    <cfRule type="expression" dxfId="3938" priority="38">
      <formula>AND(wld_dedicated_edge_cluster_chosen_first&lt;&gt;4,wld_dedicated_edge_cluster_chosen_second&lt;&gt;4)</formula>
    </cfRule>
  </conditionalFormatting>
  <conditionalFormatting sqref="B397:I398 B337:I338 B277:I278 B457:I458 B516:I517 B576:I577 B636:I637">
    <cfRule type="expression" dxfId="3937" priority="1035">
      <formula>wld_nsxt_federation_result="Excluded"</formula>
    </cfRule>
  </conditionalFormatting>
  <conditionalFormatting sqref="B400:I420 B422:I437 B439:I454 B457:I458">
    <cfRule type="expression" dxfId="3936" priority="381">
      <formula>wld_multi_rack_count_chosen&lt;4</formula>
    </cfRule>
  </conditionalFormatting>
  <conditionalFormatting sqref="B405:I405">
    <cfRule type="expression" dxfId="3935" priority="155">
      <formula>wld_compute_hosts_per_rack5_calculated&lt;1</formula>
    </cfRule>
  </conditionalFormatting>
  <conditionalFormatting sqref="B406:I406">
    <cfRule type="expression" dxfId="3934" priority="156">
      <formula>wld_compute_hosts_per_rack5_calculated&lt;2</formula>
    </cfRule>
  </conditionalFormatting>
  <conditionalFormatting sqref="B407:I407">
    <cfRule type="expression" dxfId="3933" priority="157">
      <formula>wld_compute_hosts_per_rack5_calculated&lt;3</formula>
    </cfRule>
  </conditionalFormatting>
  <conditionalFormatting sqref="B408:I408">
    <cfRule type="expression" dxfId="3932" priority="158">
      <formula>wld_compute_hosts_per_rack5_calculated&lt;4</formula>
    </cfRule>
  </conditionalFormatting>
  <conditionalFormatting sqref="B409:I409">
    <cfRule type="expression" dxfId="3931" priority="159">
      <formula>wld_compute_hosts_per_rack5_calculated&lt;5</formula>
    </cfRule>
  </conditionalFormatting>
  <conditionalFormatting sqref="B410:I410">
    <cfRule type="expression" dxfId="3930" priority="160">
      <formula>wld_compute_hosts_per_rack5_calculated&lt;6</formula>
    </cfRule>
  </conditionalFormatting>
  <conditionalFormatting sqref="B411:I411">
    <cfRule type="expression" dxfId="3929" priority="161">
      <formula>wld_compute_hosts_per_rack5_calculated&lt;7</formula>
    </cfRule>
  </conditionalFormatting>
  <conditionalFormatting sqref="B412:I412">
    <cfRule type="expression" dxfId="3928" priority="162">
      <formula>wld_compute_hosts_per_rack5_calculated&lt;8</formula>
    </cfRule>
  </conditionalFormatting>
  <conditionalFormatting sqref="B413:I413">
    <cfRule type="expression" dxfId="3927" priority="163">
      <formula>wld_compute_hosts_per_rack5_calculated&lt;9</formula>
    </cfRule>
  </conditionalFormatting>
  <conditionalFormatting sqref="B414:I414">
    <cfRule type="expression" dxfId="3926" priority="164">
      <formula>wld_compute_hosts_per_rack5_calculated&lt;10</formula>
    </cfRule>
  </conditionalFormatting>
  <conditionalFormatting sqref="B415:I415">
    <cfRule type="expression" dxfId="3925" priority="165">
      <formula>wld_compute_hosts_per_rack5_calculated&lt;11</formula>
    </cfRule>
  </conditionalFormatting>
  <conditionalFormatting sqref="B416:I416">
    <cfRule type="expression" dxfId="3924" priority="166">
      <formula>wld_compute_hosts_per_rack5_calculated&lt;12</formula>
    </cfRule>
  </conditionalFormatting>
  <conditionalFormatting sqref="B417:I417">
    <cfRule type="expression" dxfId="3923" priority="167">
      <formula>wld_compute_hosts_per_rack5_calculated&lt;13</formula>
    </cfRule>
  </conditionalFormatting>
  <conditionalFormatting sqref="B418:I418">
    <cfRule type="expression" dxfId="3922" priority="168">
      <formula>wld_compute_hosts_per_rack5_calculated&lt;14</formula>
    </cfRule>
  </conditionalFormatting>
  <conditionalFormatting sqref="B419:I419">
    <cfRule type="expression" dxfId="3921" priority="169">
      <formula>wld_compute_hosts_per_rack5_calculated&lt;15</formula>
    </cfRule>
  </conditionalFormatting>
  <conditionalFormatting sqref="B420:I420">
    <cfRule type="expression" dxfId="3920" priority="170">
      <formula>wld_compute_hosts_per_rack5_calculated&lt;16</formula>
    </cfRule>
  </conditionalFormatting>
  <conditionalFormatting sqref="B422:I422">
    <cfRule type="expression" dxfId="3919" priority="139">
      <formula>wld_compute_hosts_per_rack5_calculated&lt;1</formula>
    </cfRule>
  </conditionalFormatting>
  <conditionalFormatting sqref="B423:I423">
    <cfRule type="expression" dxfId="3918" priority="140">
      <formula>wld_compute_hosts_per_rack5_calculated&lt;2</formula>
    </cfRule>
  </conditionalFormatting>
  <conditionalFormatting sqref="B424:I424">
    <cfRule type="expression" dxfId="3917" priority="141">
      <formula>wld_compute_hosts_per_rack5_calculated&lt;3</formula>
    </cfRule>
  </conditionalFormatting>
  <conditionalFormatting sqref="B425:I425">
    <cfRule type="expression" dxfId="3916" priority="142">
      <formula>wld_compute_hosts_per_rack5_calculated&lt;4</formula>
    </cfRule>
  </conditionalFormatting>
  <conditionalFormatting sqref="B426:I426">
    <cfRule type="expression" dxfId="3915" priority="143">
      <formula>wld_compute_hosts_per_rack5_calculated&lt;5</formula>
    </cfRule>
  </conditionalFormatting>
  <conditionalFormatting sqref="B427:I427">
    <cfRule type="expression" dxfId="3914" priority="144">
      <formula>wld_compute_hosts_per_rack5_calculated&lt;6</formula>
    </cfRule>
  </conditionalFormatting>
  <conditionalFormatting sqref="B428:I428">
    <cfRule type="expression" dxfId="3913" priority="145">
      <formula>wld_compute_hosts_per_rack5_calculated&lt;7</formula>
    </cfRule>
  </conditionalFormatting>
  <conditionalFormatting sqref="B429:I429">
    <cfRule type="expression" dxfId="3912" priority="146">
      <formula>wld_compute_hosts_per_rack5_calculated&lt;8</formula>
    </cfRule>
  </conditionalFormatting>
  <conditionalFormatting sqref="B430:I430">
    <cfRule type="expression" dxfId="3911" priority="147">
      <formula>wld_compute_hosts_per_rack5_calculated&lt;9</formula>
    </cfRule>
  </conditionalFormatting>
  <conditionalFormatting sqref="B431:I431">
    <cfRule type="expression" dxfId="3910" priority="148">
      <formula>wld_compute_hosts_per_rack5_calculated&lt;10</formula>
    </cfRule>
  </conditionalFormatting>
  <conditionalFormatting sqref="B432:I432">
    <cfRule type="expression" dxfId="3909" priority="149">
      <formula>wld_compute_hosts_per_rack5_calculated&lt;11</formula>
    </cfRule>
  </conditionalFormatting>
  <conditionalFormatting sqref="B433:I433">
    <cfRule type="expression" dxfId="3908" priority="150">
      <formula>wld_compute_hosts_per_rack5_calculated&lt;12</formula>
    </cfRule>
  </conditionalFormatting>
  <conditionalFormatting sqref="B434:I434">
    <cfRule type="expression" dxfId="3907" priority="151">
      <formula>wld_compute_hosts_per_rack5_calculated&lt;13</formula>
    </cfRule>
  </conditionalFormatting>
  <conditionalFormatting sqref="B435:I435">
    <cfRule type="expression" dxfId="3906" priority="152">
      <formula>wld_compute_hosts_per_rack5_calculated&lt;14</formula>
    </cfRule>
  </conditionalFormatting>
  <conditionalFormatting sqref="B436:I436">
    <cfRule type="expression" dxfId="3905" priority="153">
      <formula>wld_compute_hosts_per_rack5_calculated&lt;15</formula>
    </cfRule>
  </conditionalFormatting>
  <conditionalFormatting sqref="B437:I437">
    <cfRule type="expression" dxfId="3904" priority="154">
      <formula>wld_compute_hosts_per_rack5_calculated&lt;16</formula>
    </cfRule>
  </conditionalFormatting>
  <conditionalFormatting sqref="B438:I444">
    <cfRule type="expression" dxfId="3903" priority="25">
      <formula>AND(wld_dedicated_edge_cluster_chosen_first&lt;&gt;5,wld_dedicated_edge_cluster_chosen_second&lt;&gt;5)</formula>
    </cfRule>
  </conditionalFormatting>
  <conditionalFormatting sqref="B442:I444">
    <cfRule type="expression" dxfId="3902" priority="7">
      <formula>wld_dedicated_edge_cluster_model_chosen&lt;&gt;"Availbility (4 Node)"</formula>
    </cfRule>
  </conditionalFormatting>
  <conditionalFormatting sqref="B455:I456">
    <cfRule type="expression" dxfId="3901" priority="39">
      <formula>AND(wld_dedicated_edge_cluster_chosen_first&lt;&gt;5,wld_dedicated_edge_cluster_chosen_second&lt;&gt;5)</formula>
    </cfRule>
    <cfRule type="expression" dxfId="3900" priority="363">
      <formula>wld_multi_rack_count_chosen&lt;3</formula>
    </cfRule>
  </conditionalFormatting>
  <conditionalFormatting sqref="B460:I480 B482:I497 B499:I517">
    <cfRule type="expression" dxfId="3899" priority="19">
      <formula>wld_multi_rack_count_chosen&lt;5</formula>
    </cfRule>
  </conditionalFormatting>
  <conditionalFormatting sqref="B465:I465">
    <cfRule type="expression" dxfId="3898" priority="123">
      <formula>wld_compute_hosts_per_rack6_calculated&lt;1</formula>
    </cfRule>
  </conditionalFormatting>
  <conditionalFormatting sqref="B466:I466">
    <cfRule type="expression" dxfId="3897" priority="124">
      <formula>wld_compute_hosts_per_rack6_calculated&lt;2</formula>
    </cfRule>
  </conditionalFormatting>
  <conditionalFormatting sqref="B467:I467">
    <cfRule type="expression" dxfId="3896" priority="125">
      <formula>wld_compute_hosts_per_rack6_calculated&lt;3</formula>
    </cfRule>
  </conditionalFormatting>
  <conditionalFormatting sqref="B468:I468">
    <cfRule type="expression" dxfId="3895" priority="126">
      <formula>wld_compute_hosts_per_rack6_calculated&lt;4</formula>
    </cfRule>
  </conditionalFormatting>
  <conditionalFormatting sqref="B469:I469">
    <cfRule type="expression" dxfId="3894" priority="127">
      <formula>wld_compute_hosts_per_rack6_calculated&lt;5</formula>
    </cfRule>
  </conditionalFormatting>
  <conditionalFormatting sqref="B470:I470">
    <cfRule type="expression" dxfId="3893" priority="128">
      <formula>wld_compute_hosts_per_rack6_calculated&lt;6</formula>
    </cfRule>
  </conditionalFormatting>
  <conditionalFormatting sqref="B471:I471">
    <cfRule type="expression" dxfId="3892" priority="129">
      <formula>wld_compute_hosts_per_rack6_calculated&lt;7</formula>
    </cfRule>
  </conditionalFormatting>
  <conditionalFormatting sqref="B472:I472">
    <cfRule type="expression" dxfId="3891" priority="130">
      <formula>wld_compute_hosts_per_rack6_calculated&lt;8</formula>
    </cfRule>
  </conditionalFormatting>
  <conditionalFormatting sqref="B473:I473">
    <cfRule type="expression" dxfId="3890" priority="131">
      <formula>wld_compute_hosts_per_rack6_calculated&lt;9</formula>
    </cfRule>
  </conditionalFormatting>
  <conditionalFormatting sqref="B474:I474">
    <cfRule type="expression" dxfId="3889" priority="132">
      <formula>wld_compute_hosts_per_rack6_calculated&lt;10</formula>
    </cfRule>
  </conditionalFormatting>
  <conditionalFormatting sqref="B475:I475">
    <cfRule type="expression" dxfId="3888" priority="133">
      <formula>wld_compute_hosts_per_rack6_calculated&lt;11</formula>
    </cfRule>
  </conditionalFormatting>
  <conditionalFormatting sqref="B476:I476">
    <cfRule type="expression" dxfId="3887" priority="134">
      <formula>wld_compute_hosts_per_rack6_calculated&lt;12</formula>
    </cfRule>
  </conditionalFormatting>
  <conditionalFormatting sqref="B477:I477">
    <cfRule type="expression" dxfId="3886" priority="135">
      <formula>wld_compute_hosts_per_rack6_calculated&lt;13</formula>
    </cfRule>
  </conditionalFormatting>
  <conditionalFormatting sqref="B478:I478">
    <cfRule type="expression" dxfId="3885" priority="136">
      <formula>wld_compute_hosts_per_rack6_calculated&lt;14</formula>
    </cfRule>
  </conditionalFormatting>
  <conditionalFormatting sqref="B479:I479">
    <cfRule type="expression" dxfId="3884" priority="137">
      <formula>wld_compute_hosts_per_rack6_calculated&lt;15</formula>
    </cfRule>
  </conditionalFormatting>
  <conditionalFormatting sqref="B480:I480">
    <cfRule type="expression" dxfId="3883" priority="138">
      <formula>wld_compute_hosts_per_rack6_calculated&lt;16</formula>
    </cfRule>
  </conditionalFormatting>
  <conditionalFormatting sqref="B482:I482">
    <cfRule type="expression" dxfId="3882" priority="107">
      <formula>wld_compute_hosts_per_rack6_calculated&lt;1</formula>
    </cfRule>
  </conditionalFormatting>
  <conditionalFormatting sqref="B483:I483">
    <cfRule type="expression" dxfId="3881" priority="108">
      <formula>wld_compute_hosts_per_rack6_calculated&lt;2</formula>
    </cfRule>
  </conditionalFormatting>
  <conditionalFormatting sqref="B484:I484">
    <cfRule type="expression" dxfId="3880" priority="109">
      <formula>wld_compute_hosts_per_rack6_calculated&lt;3</formula>
    </cfRule>
  </conditionalFormatting>
  <conditionalFormatting sqref="B485:I485">
    <cfRule type="expression" dxfId="3879" priority="110">
      <formula>wld_compute_hosts_per_rack6_calculated&lt;4</formula>
    </cfRule>
  </conditionalFormatting>
  <conditionalFormatting sqref="B486:I486">
    <cfRule type="expression" dxfId="3878" priority="111">
      <formula>wld_compute_hosts_per_rack6_calculated&lt;5</formula>
    </cfRule>
  </conditionalFormatting>
  <conditionalFormatting sqref="B487:I487">
    <cfRule type="expression" dxfId="3877" priority="112">
      <formula>wld_compute_hosts_per_rack6_calculated&lt;6</formula>
    </cfRule>
  </conditionalFormatting>
  <conditionalFormatting sqref="B488:I488">
    <cfRule type="expression" dxfId="3876" priority="113">
      <formula>wld_compute_hosts_per_rack6_calculated&lt;7</formula>
    </cfRule>
  </conditionalFormatting>
  <conditionalFormatting sqref="B489:I489">
    <cfRule type="expression" dxfId="3875" priority="114">
      <formula>wld_compute_hosts_per_rack6_calculated&lt;8</formula>
    </cfRule>
  </conditionalFormatting>
  <conditionalFormatting sqref="B490:I490">
    <cfRule type="expression" dxfId="3874" priority="115">
      <formula>wld_compute_hosts_per_rack6_calculated&lt;9</formula>
    </cfRule>
  </conditionalFormatting>
  <conditionalFormatting sqref="B491:I491">
    <cfRule type="expression" dxfId="3873" priority="116">
      <formula>wld_compute_hosts_per_rack6_calculated&lt;10</formula>
    </cfRule>
  </conditionalFormatting>
  <conditionalFormatting sqref="B492:I492">
    <cfRule type="expression" dxfId="3872" priority="117">
      <formula>wld_compute_hosts_per_rack6_calculated&lt;11</formula>
    </cfRule>
  </conditionalFormatting>
  <conditionalFormatting sqref="B493:I493">
    <cfRule type="expression" dxfId="3871" priority="118">
      <formula>wld_compute_hosts_per_rack6_calculated&lt;12</formula>
    </cfRule>
  </conditionalFormatting>
  <conditionalFormatting sqref="B494:I494">
    <cfRule type="expression" dxfId="3870" priority="119">
      <formula>wld_compute_hosts_per_rack6_calculated&lt;13</formula>
    </cfRule>
  </conditionalFormatting>
  <conditionalFormatting sqref="B495:I495">
    <cfRule type="expression" dxfId="3869" priority="120">
      <formula>wld_compute_hosts_per_rack6_calculated&lt;14</formula>
    </cfRule>
  </conditionalFormatting>
  <conditionalFormatting sqref="B496:I496">
    <cfRule type="expression" dxfId="3868" priority="121">
      <formula>wld_compute_hosts_per_rack6_calculated&lt;15</formula>
    </cfRule>
  </conditionalFormatting>
  <conditionalFormatting sqref="B497:I497">
    <cfRule type="expression" dxfId="3867" priority="122">
      <formula>wld_compute_hosts_per_rack6_calculated&lt;16</formula>
    </cfRule>
  </conditionalFormatting>
  <conditionalFormatting sqref="B498:I504">
    <cfRule type="expression" dxfId="3866" priority="18">
      <formula>AND(wld_dedicated_edge_cluster_chosen_first&lt;&gt;6,wld_dedicated_edge_cluster_chosen_second&lt;&gt;6)</formula>
    </cfRule>
  </conditionalFormatting>
  <conditionalFormatting sqref="B502:I504">
    <cfRule type="expression" dxfId="3865" priority="6">
      <formula>wld_dedicated_edge_cluster_model_chosen&lt;&gt;"Availbility (4 Node)"</formula>
    </cfRule>
  </conditionalFormatting>
  <conditionalFormatting sqref="B514:I515">
    <cfRule type="expression" dxfId="3864" priority="36">
      <formula>AND(wld_dedicated_edge_cluster_chosen_first&lt;&gt;6,wld_dedicated_edge_cluster_chosen_second&lt;&gt;6)</formula>
    </cfRule>
  </conditionalFormatting>
  <conditionalFormatting sqref="B519:I539 B541:I556 B558:I577">
    <cfRule type="expression" dxfId="3863" priority="17">
      <formula>wld_multi_rack_count_chosen&lt;6</formula>
    </cfRule>
  </conditionalFormatting>
  <conditionalFormatting sqref="B524:I524">
    <cfRule type="expression" dxfId="3862" priority="91">
      <formula>wld_compute_hosts_per_rack7_calculated&lt;1</formula>
    </cfRule>
  </conditionalFormatting>
  <conditionalFormatting sqref="B525:I525">
    <cfRule type="expression" dxfId="3861" priority="92">
      <formula>wld_compute_hosts_per_rack7_calculated&lt;2</formula>
    </cfRule>
  </conditionalFormatting>
  <conditionalFormatting sqref="B526:I526">
    <cfRule type="expression" dxfId="3860" priority="93">
      <formula>wld_compute_hosts_per_rack7_calculated&lt;3</formula>
    </cfRule>
  </conditionalFormatting>
  <conditionalFormatting sqref="B527:I527">
    <cfRule type="expression" dxfId="3859" priority="94">
      <formula>wld_compute_hosts_per_rack7_calculated&lt;4</formula>
    </cfRule>
  </conditionalFormatting>
  <conditionalFormatting sqref="B528:I528">
    <cfRule type="expression" dxfId="3858" priority="95">
      <formula>wld_compute_hosts_per_rack7_calculated&lt;5</formula>
    </cfRule>
  </conditionalFormatting>
  <conditionalFormatting sqref="B529:I529">
    <cfRule type="expression" dxfId="3857" priority="96">
      <formula>wld_compute_hosts_per_rack7_calculated&lt;6</formula>
    </cfRule>
  </conditionalFormatting>
  <conditionalFormatting sqref="B530:I530">
    <cfRule type="expression" dxfId="3856" priority="97">
      <formula>wld_compute_hosts_per_rack7_calculated&lt;7</formula>
    </cfRule>
  </conditionalFormatting>
  <conditionalFormatting sqref="B531:I531">
    <cfRule type="expression" dxfId="3855" priority="98">
      <formula>wld_compute_hosts_per_rack7_calculated&lt;8</formula>
    </cfRule>
  </conditionalFormatting>
  <conditionalFormatting sqref="B532:I532">
    <cfRule type="expression" dxfId="3854" priority="99">
      <formula>wld_compute_hosts_per_rack7_calculated&lt;9</formula>
    </cfRule>
  </conditionalFormatting>
  <conditionalFormatting sqref="B533:I533">
    <cfRule type="expression" dxfId="3853" priority="100">
      <formula>wld_compute_hosts_per_rack7_calculated&lt;10</formula>
    </cfRule>
  </conditionalFormatting>
  <conditionalFormatting sqref="B534:I534">
    <cfRule type="expression" dxfId="3852" priority="101">
      <formula>wld_compute_hosts_per_rack7_calculated&lt;11</formula>
    </cfRule>
  </conditionalFormatting>
  <conditionalFormatting sqref="B535:I535">
    <cfRule type="expression" dxfId="3851" priority="102">
      <formula>wld_compute_hosts_per_rack7_calculated&lt;12</formula>
    </cfRule>
  </conditionalFormatting>
  <conditionalFormatting sqref="B536:I536">
    <cfRule type="expression" dxfId="3850" priority="103">
      <formula>wld_compute_hosts_per_rack7_calculated&lt;13</formula>
    </cfRule>
  </conditionalFormatting>
  <conditionalFormatting sqref="B537:I537">
    <cfRule type="expression" dxfId="3849" priority="104">
      <formula>wld_compute_hosts_per_rack7_calculated&lt;14</formula>
    </cfRule>
  </conditionalFormatting>
  <conditionalFormatting sqref="B538:I538">
    <cfRule type="expression" dxfId="3848" priority="105">
      <formula>wld_compute_hosts_per_rack7_calculated&lt;15</formula>
    </cfRule>
  </conditionalFormatting>
  <conditionalFormatting sqref="B539:I539">
    <cfRule type="expression" dxfId="3847" priority="106">
      <formula>wld_compute_hosts_per_rack7_calculated&lt;16</formula>
    </cfRule>
  </conditionalFormatting>
  <conditionalFormatting sqref="B541:I541">
    <cfRule type="expression" dxfId="3846" priority="75">
      <formula>wld_compute_hosts_per_rack7_calculated&lt;1</formula>
    </cfRule>
  </conditionalFormatting>
  <conditionalFormatting sqref="B542:I542">
    <cfRule type="expression" dxfId="3845" priority="76">
      <formula>wld_compute_hosts_per_rack7_calculated&lt;2</formula>
    </cfRule>
  </conditionalFormatting>
  <conditionalFormatting sqref="B543:I543">
    <cfRule type="expression" dxfId="3844" priority="77">
      <formula>wld_compute_hosts_per_rack7_calculated&lt;3</formula>
    </cfRule>
  </conditionalFormatting>
  <conditionalFormatting sqref="B544:I544">
    <cfRule type="expression" dxfId="3843" priority="78">
      <formula>wld_compute_hosts_per_rack7_calculated&lt;4</formula>
    </cfRule>
  </conditionalFormatting>
  <conditionalFormatting sqref="B545:I545">
    <cfRule type="expression" dxfId="3842" priority="79">
      <formula>wld_compute_hosts_per_rack7_calculated&lt;5</formula>
    </cfRule>
  </conditionalFormatting>
  <conditionalFormatting sqref="B546:I546">
    <cfRule type="expression" dxfId="3841" priority="80">
      <formula>wld_compute_hosts_per_rack7_calculated&lt;6</formula>
    </cfRule>
  </conditionalFormatting>
  <conditionalFormatting sqref="B547:I547">
    <cfRule type="expression" dxfId="3840" priority="81">
      <formula>wld_compute_hosts_per_rack7_calculated&lt;7</formula>
    </cfRule>
  </conditionalFormatting>
  <conditionalFormatting sqref="B548:I548">
    <cfRule type="expression" dxfId="3839" priority="82">
      <formula>wld_compute_hosts_per_rack7_calculated&lt;8</formula>
    </cfRule>
  </conditionalFormatting>
  <conditionalFormatting sqref="B549:I549">
    <cfRule type="expression" dxfId="3838" priority="83">
      <formula>wld_compute_hosts_per_rack7_calculated&lt;9</formula>
    </cfRule>
  </conditionalFormatting>
  <conditionalFormatting sqref="B550:I550">
    <cfRule type="expression" dxfId="3837" priority="84">
      <formula>wld_compute_hosts_per_rack7_calculated&lt;10</formula>
    </cfRule>
  </conditionalFormatting>
  <conditionalFormatting sqref="B551:I551">
    <cfRule type="expression" dxfId="3836" priority="85">
      <formula>wld_compute_hosts_per_rack7_calculated&lt;11</formula>
    </cfRule>
  </conditionalFormatting>
  <conditionalFormatting sqref="B552:I552">
    <cfRule type="expression" dxfId="3835" priority="86">
      <formula>wld_compute_hosts_per_rack7_calculated&lt;12</formula>
    </cfRule>
  </conditionalFormatting>
  <conditionalFormatting sqref="B553:I553">
    <cfRule type="expression" dxfId="3834" priority="87">
      <formula>wld_compute_hosts_per_rack7_calculated&lt;13</formula>
    </cfRule>
  </conditionalFormatting>
  <conditionalFormatting sqref="B554:I554">
    <cfRule type="expression" dxfId="3833" priority="88">
      <formula>wld_compute_hosts_per_rack7_calculated&lt;14</formula>
    </cfRule>
  </conditionalFormatting>
  <conditionalFormatting sqref="B555:I555">
    <cfRule type="expression" dxfId="3832" priority="89">
      <formula>wld_compute_hosts_per_rack7_calculated&lt;15</formula>
    </cfRule>
  </conditionalFormatting>
  <conditionalFormatting sqref="B556:I556">
    <cfRule type="expression" dxfId="3831" priority="90">
      <formula>wld_compute_hosts_per_rack7_calculated&lt;16</formula>
    </cfRule>
  </conditionalFormatting>
  <conditionalFormatting sqref="B557:I563">
    <cfRule type="expression" dxfId="3830" priority="16">
      <formula>AND(wld_dedicated_edge_cluster_chosen_first&lt;&gt;7,wld_dedicated_edge_cluster_chosen_second&lt;&gt;7)</formula>
    </cfRule>
  </conditionalFormatting>
  <conditionalFormatting sqref="B561:I563">
    <cfRule type="expression" dxfId="3829" priority="5">
      <formula>wld_dedicated_edge_cluster_model_chosen&lt;&gt;"Availbility (4 Node)"</formula>
    </cfRule>
  </conditionalFormatting>
  <conditionalFormatting sqref="B574:I575">
    <cfRule type="expression" dxfId="3828" priority="40">
      <formula>AND(wld_dedicated_edge_cluster_chosen_first&lt;&gt;7,wld_dedicated_edge_cluster_chosen_second&lt;&gt;7)</formula>
    </cfRule>
  </conditionalFormatting>
  <conditionalFormatting sqref="B579:I599 B618:I637">
    <cfRule type="expression" dxfId="3827" priority="11">
      <formula>wld_multi_rack_count_chosen&lt;7</formula>
    </cfRule>
  </conditionalFormatting>
  <conditionalFormatting sqref="B584:I584">
    <cfRule type="expression" dxfId="3826" priority="59">
      <formula>wld_compute_hosts_per_rack8_calculated&lt;1</formula>
    </cfRule>
  </conditionalFormatting>
  <conditionalFormatting sqref="B585:I585">
    <cfRule type="expression" dxfId="3825" priority="60">
      <formula>wld_compute_hosts_per_rack8_calculated&lt;2</formula>
    </cfRule>
  </conditionalFormatting>
  <conditionalFormatting sqref="B586:I586">
    <cfRule type="expression" dxfId="3824" priority="61">
      <formula>wld_compute_hosts_per_rack8_calculated&lt;3</formula>
    </cfRule>
  </conditionalFormatting>
  <conditionalFormatting sqref="B587:I587">
    <cfRule type="expression" dxfId="3823" priority="62">
      <formula>wld_compute_hosts_per_rack8_calculated&lt;4</formula>
    </cfRule>
  </conditionalFormatting>
  <conditionalFormatting sqref="B588:I588">
    <cfRule type="expression" dxfId="3822" priority="63">
      <formula>wld_compute_hosts_per_rack8_calculated&lt;5</formula>
    </cfRule>
  </conditionalFormatting>
  <conditionalFormatting sqref="B589:I589">
    <cfRule type="expression" dxfId="3821" priority="64">
      <formula>wld_compute_hosts_per_rack8_calculated&lt;6</formula>
    </cfRule>
  </conditionalFormatting>
  <conditionalFormatting sqref="B590:I590">
    <cfRule type="expression" dxfId="3820" priority="65">
      <formula>wld_compute_hosts_per_rack8_calculated&lt;7</formula>
    </cfRule>
  </conditionalFormatting>
  <conditionalFormatting sqref="B591:I591">
    <cfRule type="expression" dxfId="3819" priority="66">
      <formula>wld_compute_hosts_per_rack8_calculated&lt;8</formula>
    </cfRule>
  </conditionalFormatting>
  <conditionalFormatting sqref="B592:I592">
    <cfRule type="expression" dxfId="3818" priority="67">
      <formula>wld_compute_hosts_per_rack8_calculated&lt;9</formula>
    </cfRule>
  </conditionalFormatting>
  <conditionalFormatting sqref="B593:I593">
    <cfRule type="expression" dxfId="3817" priority="68">
      <formula>wld_compute_hosts_per_rack8_calculated&lt;10</formula>
    </cfRule>
  </conditionalFormatting>
  <conditionalFormatting sqref="B594:I594">
    <cfRule type="expression" dxfId="3816" priority="69">
      <formula>wld_compute_hosts_per_rack8_calculated&lt;11</formula>
    </cfRule>
  </conditionalFormatting>
  <conditionalFormatting sqref="B595:I595">
    <cfRule type="expression" dxfId="3815" priority="70">
      <formula>wld_compute_hosts_per_rack8_calculated&lt;12</formula>
    </cfRule>
  </conditionalFormatting>
  <conditionalFormatting sqref="B596:I596">
    <cfRule type="expression" dxfId="3814" priority="71">
      <formula>wld_compute_hosts_per_rack8_calculated&lt;13</formula>
    </cfRule>
  </conditionalFormatting>
  <conditionalFormatting sqref="B597:I597">
    <cfRule type="expression" dxfId="3813" priority="72">
      <formula>wld_compute_hosts_per_rack8_calculated&lt;14</formula>
    </cfRule>
  </conditionalFormatting>
  <conditionalFormatting sqref="B598:I598">
    <cfRule type="expression" dxfId="3812" priority="73">
      <formula>wld_compute_hosts_per_rack8_calculated&lt;15</formula>
    </cfRule>
  </conditionalFormatting>
  <conditionalFormatting sqref="B599:I599">
    <cfRule type="expression" dxfId="3811" priority="74">
      <formula>wld_compute_hosts_per_rack8_calculated&lt;16</formula>
    </cfRule>
  </conditionalFormatting>
  <conditionalFormatting sqref="B601:I601">
    <cfRule type="expression" dxfId="3810" priority="42">
      <formula>wld_compute_hosts_per_rack8_calculated&lt;1</formula>
    </cfRule>
  </conditionalFormatting>
  <conditionalFormatting sqref="B601:I616">
    <cfRule type="expression" dxfId="3809" priority="58">
      <formula>wld_multi_rack_count_chosen&lt;7</formula>
    </cfRule>
  </conditionalFormatting>
  <conditionalFormatting sqref="B602:I602">
    <cfRule type="expression" dxfId="3808" priority="43">
      <formula>wld_compute_hosts_per_rack8_calculated&lt;2</formula>
    </cfRule>
  </conditionalFormatting>
  <conditionalFormatting sqref="B603:I603">
    <cfRule type="expression" dxfId="3807" priority="44">
      <formula>wld_compute_hosts_per_rack8_calculated&lt;3</formula>
    </cfRule>
  </conditionalFormatting>
  <conditionalFormatting sqref="B604:I604">
    <cfRule type="expression" dxfId="3806" priority="45">
      <formula>wld_compute_hosts_per_rack8_calculated&lt;4</formula>
    </cfRule>
  </conditionalFormatting>
  <conditionalFormatting sqref="B605:I605">
    <cfRule type="expression" dxfId="3805" priority="46">
      <formula>wld_compute_hosts_per_rack8_calculated&lt;5</formula>
    </cfRule>
  </conditionalFormatting>
  <conditionalFormatting sqref="B606:I606">
    <cfRule type="expression" dxfId="3804" priority="47">
      <formula>wld_compute_hosts_per_rack8_calculated&lt;6</formula>
    </cfRule>
  </conditionalFormatting>
  <conditionalFormatting sqref="B607:I607">
    <cfRule type="expression" dxfId="3803" priority="48">
      <formula>wld_compute_hosts_per_rack8_calculated&lt;7</formula>
    </cfRule>
  </conditionalFormatting>
  <conditionalFormatting sqref="B608:I608">
    <cfRule type="expression" dxfId="3802" priority="49">
      <formula>wld_compute_hosts_per_rack8_calculated&lt;8</formula>
    </cfRule>
  </conditionalFormatting>
  <conditionalFormatting sqref="B609:I609">
    <cfRule type="expression" dxfId="3801" priority="50">
      <formula>wld_compute_hosts_per_rack8_calculated&lt;9</formula>
    </cfRule>
  </conditionalFormatting>
  <conditionalFormatting sqref="B610:I610">
    <cfRule type="expression" dxfId="3800" priority="51">
      <formula>wld_compute_hosts_per_rack8_calculated&lt;10</formula>
    </cfRule>
  </conditionalFormatting>
  <conditionalFormatting sqref="B611:I611">
    <cfRule type="expression" dxfId="3799" priority="52">
      <formula>wld_compute_hosts_per_rack8_calculated&lt;11</formula>
    </cfRule>
  </conditionalFormatting>
  <conditionalFormatting sqref="B612:I612">
    <cfRule type="expression" dxfId="3798" priority="53">
      <formula>wld_compute_hosts_per_rack8_calculated&lt;12</formula>
    </cfRule>
  </conditionalFormatting>
  <conditionalFormatting sqref="B613:I613">
    <cfRule type="expression" dxfId="3797" priority="54">
      <formula>wld_compute_hosts_per_rack8_calculated&lt;13</formula>
    </cfRule>
  </conditionalFormatting>
  <conditionalFormatting sqref="B614:I614">
    <cfRule type="expression" dxfId="3796" priority="55">
      <formula>wld_compute_hosts_per_rack8_calculated&lt;14</formula>
    </cfRule>
  </conditionalFormatting>
  <conditionalFormatting sqref="B615:I615">
    <cfRule type="expression" dxfId="3795" priority="56">
      <formula>wld_compute_hosts_per_rack8_calculated&lt;15</formula>
    </cfRule>
  </conditionalFormatting>
  <conditionalFormatting sqref="B616:I616">
    <cfRule type="expression" dxfId="3794" priority="57">
      <formula>wld_compute_hosts_per_rack8_calculated&lt;16</formula>
    </cfRule>
  </conditionalFormatting>
  <conditionalFormatting sqref="B617:I623">
    <cfRule type="expression" dxfId="3793" priority="15">
      <formula>AND(wld_dedicated_edge_cluster_chosen_first&lt;&gt;8,wld_dedicated_edge_cluster_chosen_second&lt;&gt;8)</formula>
    </cfRule>
  </conditionalFormatting>
  <conditionalFormatting sqref="B621:I623">
    <cfRule type="expression" dxfId="3792" priority="4">
      <formula>wld_dedicated_edge_cluster_model_chosen&lt;&gt;"Availbility (4 Node)"</formula>
    </cfRule>
  </conditionalFormatting>
  <conditionalFormatting sqref="B634:I635">
    <cfRule type="expression" dxfId="3791" priority="41">
      <formula>AND(wld_dedicated_edge_cluster_chosen_first&lt;&gt;8,wld_dedicated_edge_cluster_chosen_second&lt;&gt;8)</formula>
    </cfRule>
  </conditionalFormatting>
  <conditionalFormatting sqref="C131:C146">
    <cfRule type="expression" dxfId="3790" priority="480">
      <formula>wld_domain_result="Excluded"</formula>
    </cfRule>
  </conditionalFormatting>
  <conditionalFormatting sqref="C242:C257">
    <cfRule type="expression" dxfId="3789" priority="539">
      <formula>input_wld_az1_rack2_host1_function="Edge"</formula>
    </cfRule>
  </conditionalFormatting>
  <conditionalFormatting sqref="C282">
    <cfRule type="expression" dxfId="3788" priority="406">
      <formula>wld_host_dns_zone_chosen="Single"</formula>
    </cfRule>
  </conditionalFormatting>
  <conditionalFormatting sqref="C342">
    <cfRule type="expression" dxfId="3787" priority="407">
      <formula>wld_host_dns_zone_chosen="Single"</formula>
    </cfRule>
  </conditionalFormatting>
  <conditionalFormatting sqref="D43 F322:F324 F382:F384 F561:F563 F621:F623">
    <cfRule type="containsBlanks" dxfId="3786" priority="572">
      <formula>LEN(TRIM(D43))=0</formula>
    </cfRule>
  </conditionalFormatting>
  <conditionalFormatting sqref="D48">
    <cfRule type="notContainsBlanks" dxfId="3785" priority="507">
      <formula>LEN(TRIM(D48))&gt;0</formula>
    </cfRule>
    <cfRule type="containsBlanks" dxfId="3784" priority="508">
      <formula>LEN(TRIM(D48))=0</formula>
    </cfRule>
  </conditionalFormatting>
  <conditionalFormatting sqref="D67:D82 F160:F169">
    <cfRule type="notContainsBlanks" dxfId="3783" priority="493">
      <formula>LEN(TRIM(D67))&gt;0</formula>
    </cfRule>
  </conditionalFormatting>
  <conditionalFormatting sqref="D69:D70">
    <cfRule type="notContainsBlanks" dxfId="3782" priority="505">
      <formula>LEN(TRIM(D69))&gt;0</formula>
    </cfRule>
  </conditionalFormatting>
  <conditionalFormatting sqref="D84:D99">
    <cfRule type="notContainsBlanks" dxfId="3781" priority="496">
      <formula>LEN(TRIM(D84))&gt;0</formula>
    </cfRule>
  </conditionalFormatting>
  <conditionalFormatting sqref="D114:D129">
    <cfRule type="containsBlanks" dxfId="3780" priority="301">
      <formula>LEN(TRIM(D114))=0</formula>
    </cfRule>
  </conditionalFormatting>
  <conditionalFormatting sqref="D131:D146 F131:F146">
    <cfRule type="notContainsBlanks" dxfId="3779" priority="487">
      <formula>LEN(TRIM(D131))&gt;0</formula>
    </cfRule>
    <cfRule type="containsBlanks" dxfId="3778" priority="486">
      <formula>LEN(TRIM(D131))=0</formula>
    </cfRule>
  </conditionalFormatting>
  <conditionalFormatting sqref="D148">
    <cfRule type="notContainsBlanks" dxfId="3777" priority="478">
      <formula>LEN(TRIM(D148))&gt;0</formula>
    </cfRule>
  </conditionalFormatting>
  <conditionalFormatting sqref="D148:D169">
    <cfRule type="containsBlanks" dxfId="3776" priority="479">
      <formula>LEN(TRIM(D148))=0</formula>
    </cfRule>
  </conditionalFormatting>
  <conditionalFormatting sqref="D153">
    <cfRule type="containsBlanks" dxfId="3775" priority="477">
      <formula>LEN(TRIM(D153))=0</formula>
    </cfRule>
    <cfRule type="notContainsBlanks" dxfId="3774" priority="476">
      <formula>LEN(TRIM(D153))&gt;0</formula>
    </cfRule>
  </conditionalFormatting>
  <conditionalFormatting sqref="D170:D171">
    <cfRule type="containsBlanks" dxfId="3773" priority="475">
      <formula>LEN(TRIM(D170))=0</formula>
    </cfRule>
  </conditionalFormatting>
  <conditionalFormatting sqref="D176:D191 D193:D208">
    <cfRule type="containsBlanks" dxfId="3772" priority="481">
      <formula>LEN(TRIM(D176))=0</formula>
    </cfRule>
  </conditionalFormatting>
  <conditionalFormatting sqref="D193:D207 E199:I199 E202:I202 E205:I205 D208:I208">
    <cfRule type="expression" dxfId="3771" priority="447">
      <formula>OR((wld_domain_result="Excluded"),(wld_stretched_cluster_result="Excluded"))</formula>
    </cfRule>
  </conditionalFormatting>
  <conditionalFormatting sqref="D193:D208 D176:D191">
    <cfRule type="notContainsBlanks" dxfId="3770" priority="463">
      <formula>LEN(TRIM(D176))&gt;0</formula>
    </cfRule>
  </conditionalFormatting>
  <conditionalFormatting sqref="D225:D240 F225:F240 D242:D257 F242:F257 F267:F272 F275:F278 D285:D300 F285:F300 D302:D317 F302:F317 D345:D360 F345:F360 D362:D377 F362:F377 D405:D420 F405:F420 D422:D437 F422:F437 D465:D480 F465:F480 D482:D497 F482:F497 D524:D539 F524:F539 D541:D556 F541:F556 D584:D599 F584:F599 D601:D616 F601:F616 F566:F577 F626:F637">
    <cfRule type="containsBlanks" dxfId="3769" priority="1092">
      <formula>LEN(TRIM(D225))=0</formula>
    </cfRule>
  </conditionalFormatting>
  <conditionalFormatting sqref="D259">
    <cfRule type="notContainsBlanks" dxfId="3768" priority="545">
      <formula>LEN(TRIM(D259))&gt;0</formula>
    </cfRule>
    <cfRule type="containsBlanks" dxfId="3767" priority="546">
      <formula>LEN(TRIM(D259))=0</formula>
    </cfRule>
  </conditionalFormatting>
  <conditionalFormatting sqref="D259:D264">
    <cfRule type="containsBlanks" dxfId="3766" priority="544">
      <formula>LEN(TRIM(D259))=0</formula>
    </cfRule>
  </conditionalFormatting>
  <conditionalFormatting sqref="D262">
    <cfRule type="notContainsBlanks" dxfId="3765" priority="30">
      <formula>LEN(TRIM(D262))&gt;0</formula>
    </cfRule>
    <cfRule type="containsBlanks" dxfId="3764" priority="31">
      <formula>LEN(TRIM(D262))=0</formula>
    </cfRule>
  </conditionalFormatting>
  <conditionalFormatting sqref="D262:D264">
    <cfRule type="containsBlanks" dxfId="3763" priority="29">
      <formula>LEN(TRIM(D262))=0</formula>
    </cfRule>
  </conditionalFormatting>
  <conditionalFormatting sqref="D319">
    <cfRule type="containsBlanks" dxfId="3762" priority="586">
      <formula>LEN(TRIM(D319))=0</formula>
    </cfRule>
    <cfRule type="notContainsBlanks" dxfId="3761" priority="552">
      <formula>LEN(TRIM(D319))&gt;0</formula>
    </cfRule>
  </conditionalFormatting>
  <conditionalFormatting sqref="D319:D324">
    <cfRule type="containsBlanks" dxfId="3760" priority="551">
      <formula>LEN(TRIM(D319))=0</formula>
    </cfRule>
  </conditionalFormatting>
  <conditionalFormatting sqref="D322">
    <cfRule type="containsBlanks" dxfId="3759" priority="548">
      <formula>LEN(TRIM(D322))=0</formula>
    </cfRule>
    <cfRule type="notContainsBlanks" dxfId="3758" priority="549">
      <formula>LEN(TRIM(D322))&gt;0</formula>
    </cfRule>
  </conditionalFormatting>
  <conditionalFormatting sqref="D379">
    <cfRule type="notContainsBlanks" dxfId="3757" priority="558">
      <formula>LEN(TRIM(D379))&gt;0</formula>
    </cfRule>
    <cfRule type="containsBlanks" dxfId="3756" priority="700">
      <formula>LEN(TRIM(D379))=0</formula>
    </cfRule>
  </conditionalFormatting>
  <conditionalFormatting sqref="D379:D384">
    <cfRule type="containsBlanks" dxfId="3755" priority="554">
      <formula>LEN(TRIM(D379))=0</formula>
    </cfRule>
  </conditionalFormatting>
  <conditionalFormatting sqref="D382">
    <cfRule type="notContainsBlanks" dxfId="3754" priority="538">
      <formula>LEN(TRIM(D382))&gt;0</formula>
    </cfRule>
  </conditionalFormatting>
  <conditionalFormatting sqref="D439">
    <cfRule type="notContainsBlanks" dxfId="3753" priority="564">
      <formula>LEN(TRIM(D439))&gt;0</formula>
    </cfRule>
    <cfRule type="containsBlanks" dxfId="3752" priority="750">
      <formula>LEN(TRIM(D439))=0</formula>
    </cfRule>
  </conditionalFormatting>
  <conditionalFormatting sqref="D439:D444">
    <cfRule type="containsBlanks" dxfId="3751" priority="561">
      <formula>LEN(TRIM(D439))=0</formula>
    </cfRule>
  </conditionalFormatting>
  <conditionalFormatting sqref="D442">
    <cfRule type="notContainsBlanks" dxfId="3750" priority="560">
      <formula>LEN(TRIM(D442))&gt;0</formula>
    </cfRule>
  </conditionalFormatting>
  <conditionalFormatting sqref="D499">
    <cfRule type="notContainsBlanks" dxfId="3749" priority="570">
      <formula>LEN(TRIM(D499))&gt;0</formula>
    </cfRule>
    <cfRule type="containsBlanks" dxfId="3748" priority="749">
      <formula>LEN(TRIM(D499))=0</formula>
    </cfRule>
  </conditionalFormatting>
  <conditionalFormatting sqref="D499:D503">
    <cfRule type="containsBlanks" dxfId="3747" priority="513">
      <formula>LEN(TRIM(D499))=0</formula>
    </cfRule>
  </conditionalFormatting>
  <conditionalFormatting sqref="D502">
    <cfRule type="notContainsBlanks" dxfId="3746" priority="509">
      <formula>LEN(TRIM(D502))&gt;0</formula>
    </cfRule>
  </conditionalFormatting>
  <conditionalFormatting sqref="D502:D504">
    <cfRule type="containsBlanks" dxfId="3745" priority="24">
      <formula>LEN(TRIM(D502))=0</formula>
    </cfRule>
  </conditionalFormatting>
  <conditionalFormatting sqref="D558">
    <cfRule type="notContainsBlanks" dxfId="3744" priority="576">
      <formula>LEN(TRIM(D558))&gt;0</formula>
    </cfRule>
    <cfRule type="containsBlanks" dxfId="3743" priority="717">
      <formula>LEN(TRIM(D558))=0</formula>
    </cfRule>
  </conditionalFormatting>
  <conditionalFormatting sqref="D558:D563">
    <cfRule type="containsBlanks" dxfId="3742" priority="533">
      <formula>LEN(TRIM(D558))=0</formula>
    </cfRule>
  </conditionalFormatting>
  <conditionalFormatting sqref="D561">
    <cfRule type="notContainsBlanks" dxfId="3741" priority="519">
      <formula>LEN(TRIM(D561))&gt;0</formula>
    </cfRule>
  </conditionalFormatting>
  <conditionalFormatting sqref="D618">
    <cfRule type="notContainsBlanks" dxfId="3740" priority="582">
      <formula>LEN(TRIM(D618))&gt;0</formula>
    </cfRule>
    <cfRule type="containsBlanks" dxfId="3739" priority="701">
      <formula>LEN(TRIM(D618))=0</formula>
    </cfRule>
  </conditionalFormatting>
  <conditionalFormatting sqref="D618:D623 D9:D24 D26:D41 F160:F171">
    <cfRule type="containsBlanks" dxfId="3738" priority="578">
      <formula>LEN(TRIM(D9))=0</formula>
    </cfRule>
  </conditionalFormatting>
  <conditionalFormatting sqref="D621">
    <cfRule type="notContainsBlanks" dxfId="3737" priority="534">
      <formula>LEN(TRIM(D621))&gt;0</formula>
    </cfRule>
    <cfRule type="containsBlanks" dxfId="3736" priority="532">
      <formula>LEN(TRIM(D621))=0</formula>
    </cfRule>
  </conditionalFormatting>
  <conditionalFormatting sqref="E111">
    <cfRule type="containsBlanks" dxfId="3735" priority="491">
      <formula>LEN(TRIM(E111))=0</formula>
    </cfRule>
    <cfRule type="notContainsBlanks" dxfId="3734" priority="490" stopIfTrue="1">
      <formula>LEN(TRIM(E111))&gt;0</formula>
    </cfRule>
  </conditionalFormatting>
  <conditionalFormatting sqref="E194:E208 B197:C208 B173:I175 B193:B196 C193:C208 B209:I214">
    <cfRule type="expression" dxfId="3733" priority="449">
      <formula>OR((wld_domain_result="Excluded"),(wld_stretched_cluster_result="Excluded"))</formula>
    </cfRule>
  </conditionalFormatting>
  <conditionalFormatting sqref="E194:E208">
    <cfRule type="expression" dxfId="3732" priority="457" stopIfTrue="1">
      <formula>OR((wld_domain_result="Excluded"),(wld_stretched_cluster_result="Excluded"))</formula>
    </cfRule>
  </conditionalFormatting>
  <conditionalFormatting sqref="E222">
    <cfRule type="containsBlanks" dxfId="3731" priority="1094">
      <formula>LEN(TRIM(E222))=0</formula>
    </cfRule>
    <cfRule type="notContainsBlanks" dxfId="3730" priority="1093" stopIfTrue="1">
      <formula>LEN(TRIM(E222))&gt;0</formula>
    </cfRule>
  </conditionalFormatting>
  <conditionalFormatting sqref="E282">
    <cfRule type="containsBlanks" dxfId="3729" priority="1085">
      <formula>LEN(TRIM(E282))=0</formula>
    </cfRule>
    <cfRule type="notContainsBlanks" dxfId="3728" priority="1084" stopIfTrue="1">
      <formula>LEN(TRIM(E282))&gt;0</formula>
    </cfRule>
  </conditionalFormatting>
  <conditionalFormatting sqref="E342">
    <cfRule type="containsBlanks" dxfId="3727" priority="1075">
      <formula>LEN(TRIM(E342))=0</formula>
    </cfRule>
    <cfRule type="notContainsBlanks" dxfId="3726" priority="1074" stopIfTrue="1">
      <formula>LEN(TRIM(E342))&gt;0</formula>
    </cfRule>
  </conditionalFormatting>
  <conditionalFormatting sqref="E402">
    <cfRule type="notContainsBlanks" dxfId="3725" priority="1064" stopIfTrue="1">
      <formula>LEN(TRIM(E402))&gt;0</formula>
    </cfRule>
    <cfRule type="containsBlanks" dxfId="3724" priority="1065">
      <formula>LEN(TRIM(E402))=0</formula>
    </cfRule>
  </conditionalFormatting>
  <conditionalFormatting sqref="E462">
    <cfRule type="containsBlanks" dxfId="3723" priority="1056">
      <formula>LEN(TRIM(E462))=0</formula>
    </cfRule>
    <cfRule type="notContainsBlanks" dxfId="3722" priority="1055" stopIfTrue="1">
      <formula>LEN(TRIM(E462))&gt;0</formula>
    </cfRule>
  </conditionalFormatting>
  <conditionalFormatting sqref="E521">
    <cfRule type="containsBlanks" dxfId="3721" priority="1083">
      <formula>LEN(TRIM(E521))=0</formula>
    </cfRule>
    <cfRule type="notContainsBlanks" dxfId="3720" priority="1047" stopIfTrue="1">
      <formula>LEN(TRIM(E521))&gt;0</formula>
    </cfRule>
  </conditionalFormatting>
  <conditionalFormatting sqref="E581">
    <cfRule type="containsBlanks" dxfId="3719" priority="1046">
      <formula>LEN(TRIM(E581))=0</formula>
    </cfRule>
    <cfRule type="notContainsBlanks" dxfId="3718" priority="1038" stopIfTrue="1">
      <formula>LEN(TRIM(E581))&gt;0</formula>
    </cfRule>
  </conditionalFormatting>
  <conditionalFormatting sqref="E193:I196">
    <cfRule type="expression" dxfId="3717" priority="451">
      <formula>OR((wld_domain_result="Excluded"),(wld_stretched_cluster_result="Excluded"))</formula>
    </cfRule>
  </conditionalFormatting>
  <conditionalFormatting sqref="E197:I198">
    <cfRule type="expression" dxfId="3716" priority="445" stopIfTrue="1">
      <formula>OR((wld_domain_result="Excluded"),(wld_stretched_cluster_result="Excluded"))</formula>
    </cfRule>
  </conditionalFormatting>
  <conditionalFormatting sqref="E200:I201">
    <cfRule type="expression" dxfId="3715" priority="444" stopIfTrue="1">
      <formula>OR((wld_domain_result="Excluded"),(wld_stretched_cluster_result="Excluded"))</formula>
    </cfRule>
  </conditionalFormatting>
  <conditionalFormatting sqref="E203:I204">
    <cfRule type="expression" dxfId="3714" priority="443" stopIfTrue="1">
      <formula>OR((wld_domain_result="Excluded"),(wld_stretched_cluster_result="Excluded"))</formula>
    </cfRule>
  </conditionalFormatting>
  <conditionalFormatting sqref="F9:F24 F26:F41 D26:D41 D9:D24">
    <cfRule type="notContainsBlanks" dxfId="3713" priority="521">
      <formula>LEN(TRIM(D9))&gt;0</formula>
    </cfRule>
  </conditionalFormatting>
  <conditionalFormatting sqref="F26:F41 F9:F24">
    <cfRule type="containsBlanks" dxfId="3712" priority="520">
      <formula>LEN(TRIM(F9))=0</formula>
    </cfRule>
  </conditionalFormatting>
  <conditionalFormatting sqref="F43:F52">
    <cfRule type="containsBlanks" dxfId="3711" priority="517">
      <formula>LEN(TRIM(F43))=0</formula>
    </cfRule>
    <cfRule type="notContainsBlanks" dxfId="3710" priority="516">
      <formula>LEN(TRIM(F43))&gt;0</formula>
    </cfRule>
    <cfRule type="containsBlanks" dxfId="3709" priority="515" stopIfTrue="1">
      <formula>LEN(TRIM(F43))=0</formula>
    </cfRule>
  </conditionalFormatting>
  <conditionalFormatting sqref="F55:F62 D48 D43 F43:F52 F387:F398">
    <cfRule type="notContainsBlanks" dxfId="3708" priority="514" stopIfTrue="1">
      <formula>LEN(TRIM(D43))&gt;0</formula>
    </cfRule>
  </conditionalFormatting>
  <conditionalFormatting sqref="F55:F62">
    <cfRule type="containsBlanks" dxfId="3707" priority="512" stopIfTrue="1">
      <formula>LEN(TRIM(F55))=0</formula>
    </cfRule>
  </conditionalFormatting>
  <conditionalFormatting sqref="F67:F82 F84:F100 D84:D107 D67:D82">
    <cfRule type="containsBlanks" dxfId="3706" priority="503">
      <formula>LEN(TRIM(D67))=0</formula>
    </cfRule>
  </conditionalFormatting>
  <conditionalFormatting sqref="F84:F99 F67:F82">
    <cfRule type="notContainsBlanks" dxfId="3705" priority="502">
      <formula>LEN(TRIM(F67))&gt;0</formula>
    </cfRule>
  </conditionalFormatting>
  <conditionalFormatting sqref="F102:F107">
    <cfRule type="notContainsBlanks" dxfId="3704" priority="499">
      <formula>LEN(TRIM(F102))&gt;0</formula>
    </cfRule>
    <cfRule type="containsBlanks" dxfId="3703" priority="504">
      <formula>LEN(TRIM(F102))=0</formula>
    </cfRule>
  </conditionalFormatting>
  <conditionalFormatting sqref="F106:F107">
    <cfRule type="expression" dxfId="3702" priority="497">
      <formula>OR((mgmt_stretched_cluster_result="Excluded"),(mgmt_host_overlay_addressing_chosen&lt;&gt;"Static"))</formula>
    </cfRule>
  </conditionalFormatting>
  <conditionalFormatting sqref="F114:F129 D114:D129">
    <cfRule type="notContainsBlanks" dxfId="3701" priority="473">
      <formula>LEN(TRIM(D114))&gt;0</formula>
    </cfRule>
  </conditionalFormatting>
  <conditionalFormatting sqref="F114:F129">
    <cfRule type="containsBlanks" dxfId="3700" priority="302">
      <formula>LEN(TRIM(F114))=0</formula>
    </cfRule>
  </conditionalFormatting>
  <conditionalFormatting sqref="F148:F158">
    <cfRule type="notContainsBlanks" dxfId="3699" priority="474">
      <formula>LEN(TRIM(F148))&gt;0</formula>
    </cfRule>
    <cfRule type="containsBlanks" dxfId="3698" priority="482">
      <formula>LEN(TRIM(F148))=0</formula>
    </cfRule>
  </conditionalFormatting>
  <conditionalFormatting sqref="F176:F191 F193:F208">
    <cfRule type="containsBlanks" dxfId="3697" priority="462">
      <formula>LEN(TRIM(F176))=0</formula>
    </cfRule>
  </conditionalFormatting>
  <conditionalFormatting sqref="F193:F208 F176:F191">
    <cfRule type="notContainsBlanks" dxfId="3696" priority="459">
      <formula>LEN(TRIM(F176))&gt;0</formula>
    </cfRule>
  </conditionalFormatting>
  <conditionalFormatting sqref="F211:F214">
    <cfRule type="containsBlanks" dxfId="3695" priority="456">
      <formula>LEN(TRIM(F211))=0</formula>
    </cfRule>
    <cfRule type="expression" dxfId="3694" priority="455" stopIfTrue="1">
      <formula>OR((wld_domain_result="Excluded"),(wld_stretched_cluster_result="Excluded"))</formula>
    </cfRule>
  </conditionalFormatting>
  <conditionalFormatting sqref="F211:F216">
    <cfRule type="notContainsBlanks" dxfId="3693" priority="461">
      <formula>LEN(TRIM(F211))&gt;0</formula>
    </cfRule>
  </conditionalFormatting>
  <conditionalFormatting sqref="F215:F216">
    <cfRule type="containsBlanks" dxfId="3692" priority="464">
      <formula>LEN(TRIM(F215))=0</formula>
    </cfRule>
  </conditionalFormatting>
  <conditionalFormatting sqref="F217:F218">
    <cfRule type="containsBlanks" dxfId="3691" priority="453">
      <formula>LEN(TRIM(F217))=0</formula>
    </cfRule>
    <cfRule type="notContainsBlanks" dxfId="3690" priority="454">
      <formula>LEN(TRIM(F217))&gt;0</formula>
    </cfRule>
    <cfRule type="expression" dxfId="3689" priority="452" stopIfTrue="1">
      <formula>OR((wld_domain_result="Excluded"),(wld_stretched_cluster_result="Excluded"),(wld_secondary_storage_result="Excluded"))</formula>
    </cfRule>
  </conditionalFormatting>
  <conditionalFormatting sqref="F259:F264">
    <cfRule type="notContainsBlanks" dxfId="3688" priority="542">
      <formula>LEN(TRIM(F259))&gt;0</formula>
    </cfRule>
    <cfRule type="containsBlanks" dxfId="3687" priority="543">
      <formula>LEN(TRIM(F259))=0</formula>
    </cfRule>
  </conditionalFormatting>
  <conditionalFormatting sqref="F262:F264">
    <cfRule type="notContainsBlanks" dxfId="3686" priority="27">
      <formula>LEN(TRIM(F262))&gt;0</formula>
    </cfRule>
    <cfRule type="containsBlanks" dxfId="3685" priority="28">
      <formula>LEN(TRIM(F262))=0</formula>
    </cfRule>
  </conditionalFormatting>
  <conditionalFormatting sqref="F273:F274">
    <cfRule type="containsBlanks" dxfId="3684" priority="1087">
      <formula>LEN(TRIM(F273))=0</formula>
    </cfRule>
    <cfRule type="notContainsBlanks" dxfId="3683" priority="1088">
      <formula>LEN(TRIM(F273))&gt;0</formula>
    </cfRule>
  </conditionalFormatting>
  <conditionalFormatting sqref="F275:F278 D242:D257 F242:F257 D302:D317 F302:F317 D362:D377 F362:F377 D422:D437 F422:F437 D482:D497 F482:F497 D541:D556 F541:F556 D601:D616 F601:F616 D285:D300 F285:F300 D405:D420 F405:F420 D225:D240 F225:F240 D345:D360 F345:F360 D465:D480 F465:F480 D524:D539 F524:F539 D584:D599 F584:F599 F267:F272">
    <cfRule type="notContainsBlanks" dxfId="3682" priority="1091" stopIfTrue="1">
      <formula>LEN(TRIM(D225))&gt;0</formula>
    </cfRule>
  </conditionalFormatting>
  <conditionalFormatting sqref="F319:F324">
    <cfRule type="containsBlanks" dxfId="3681" priority="550">
      <formula>LEN(TRIM(F319))=0</formula>
    </cfRule>
    <cfRule type="notContainsBlanks" dxfId="3680" priority="536">
      <formula>LEN(TRIM(F319))&gt;0</formula>
    </cfRule>
  </conditionalFormatting>
  <conditionalFormatting sqref="F327:F332 F335:F338">
    <cfRule type="containsBlanks" dxfId="3679" priority="1082">
      <formula>LEN(TRIM(F327))=0</formula>
    </cfRule>
  </conditionalFormatting>
  <conditionalFormatting sqref="F333:F334">
    <cfRule type="notContainsBlanks" dxfId="3678" priority="1078">
      <formula>LEN(TRIM(F333))&gt;0</formula>
    </cfRule>
    <cfRule type="containsBlanks" dxfId="3677" priority="1077">
      <formula>LEN(TRIM(F333))=0</formula>
    </cfRule>
  </conditionalFormatting>
  <conditionalFormatting sqref="F335:F338 F327:F332">
    <cfRule type="notContainsBlanks" dxfId="3676" priority="1081" stopIfTrue="1">
      <formula>LEN(TRIM(F327))&gt;0</formula>
    </cfRule>
  </conditionalFormatting>
  <conditionalFormatting sqref="F379:F384">
    <cfRule type="containsBlanks" dxfId="3675" priority="556">
      <formula>LEN(TRIM(F379))=0</formula>
    </cfRule>
    <cfRule type="notContainsBlanks" dxfId="3674" priority="555">
      <formula>LEN(TRIM(F379))&gt;0</formula>
    </cfRule>
  </conditionalFormatting>
  <conditionalFormatting sqref="F382:F384 F322:F324 D43 F499:F503 F561:F563 F621:F623">
    <cfRule type="notContainsBlanks" dxfId="3673" priority="566">
      <formula>LEN(TRIM(D43))&gt;0</formula>
    </cfRule>
  </conditionalFormatting>
  <conditionalFormatting sqref="F387:F398">
    <cfRule type="containsBlanks" dxfId="3672" priority="1068">
      <formula>LEN(TRIM(F387))=0</formula>
    </cfRule>
  </conditionalFormatting>
  <conditionalFormatting sqref="F439:F444">
    <cfRule type="containsBlanks" dxfId="3671" priority="562">
      <formula>LEN(TRIM(F439))=0</formula>
    </cfRule>
    <cfRule type="notContainsBlanks" dxfId="3670" priority="535">
      <formula>LEN(TRIM(F439))&gt;0</formula>
    </cfRule>
  </conditionalFormatting>
  <conditionalFormatting sqref="F447:F452 F457:F458">
    <cfRule type="containsBlanks" dxfId="3669" priority="1071">
      <formula>LEN(TRIM(F447))=0</formula>
    </cfRule>
  </conditionalFormatting>
  <conditionalFormatting sqref="F453:F454">
    <cfRule type="containsBlanks" dxfId="3668" priority="1059">
      <formula>LEN(TRIM(F453))=0</formula>
    </cfRule>
    <cfRule type="notContainsBlanks" dxfId="3667" priority="1067">
      <formula>LEN(TRIM(F453))&gt;0</formula>
    </cfRule>
  </conditionalFormatting>
  <conditionalFormatting sqref="F455:F456">
    <cfRule type="notContainsBlanks" dxfId="3666" priority="364" stopIfTrue="1">
      <formula>LEN(TRIM(F455))&gt;0</formula>
    </cfRule>
    <cfRule type="containsBlanks" dxfId="3665" priority="365">
      <formula>LEN(TRIM(F455))=0</formula>
    </cfRule>
  </conditionalFormatting>
  <conditionalFormatting sqref="F457:F458 F447:F452">
    <cfRule type="notContainsBlanks" dxfId="3664" priority="1063" stopIfTrue="1">
      <formula>LEN(TRIM(F447))&gt;0</formula>
    </cfRule>
  </conditionalFormatting>
  <conditionalFormatting sqref="F499:F503">
    <cfRule type="containsBlanks" dxfId="3663" priority="568">
      <formula>LEN(TRIM(F499))=0</formula>
    </cfRule>
  </conditionalFormatting>
  <conditionalFormatting sqref="F502:F504">
    <cfRule type="notContainsBlanks" dxfId="3662" priority="20">
      <formula>LEN(TRIM(F502))&gt;0</formula>
    </cfRule>
    <cfRule type="containsBlanks" dxfId="3661" priority="21">
      <formula>LEN(TRIM(F502))=0</formula>
    </cfRule>
  </conditionalFormatting>
  <conditionalFormatting sqref="F506:F511 F514:F517">
    <cfRule type="containsBlanks" dxfId="3660" priority="1062">
      <formula>LEN(TRIM(F506))=0</formula>
    </cfRule>
  </conditionalFormatting>
  <conditionalFormatting sqref="F512:F513">
    <cfRule type="notContainsBlanks" dxfId="3659" priority="1058">
      <formula>LEN(TRIM(F512))&gt;0</formula>
    </cfRule>
    <cfRule type="containsBlanks" dxfId="3658" priority="1050">
      <formula>LEN(TRIM(F512))=0</formula>
    </cfRule>
  </conditionalFormatting>
  <conditionalFormatting sqref="F514:F517 F506:F511">
    <cfRule type="notContainsBlanks" dxfId="3657" priority="1054" stopIfTrue="1">
      <formula>LEN(TRIM(F506))&gt;0</formula>
    </cfRule>
  </conditionalFormatting>
  <conditionalFormatting sqref="F558:F563">
    <cfRule type="containsBlanks" dxfId="3656" priority="574">
      <formula>LEN(TRIM(F558))=0</formula>
    </cfRule>
    <cfRule type="notContainsBlanks" dxfId="3655" priority="573">
      <formula>LEN(TRIM(F558))&gt;0</formula>
    </cfRule>
  </conditionalFormatting>
  <conditionalFormatting sqref="F572:F573">
    <cfRule type="notContainsBlanks" dxfId="3654" priority="1041">
      <formula>LEN(TRIM(F572))&gt;0</formula>
    </cfRule>
  </conditionalFormatting>
  <conditionalFormatting sqref="F574:F577 F566:F571">
    <cfRule type="notContainsBlanks" dxfId="3653" priority="1053" stopIfTrue="1">
      <formula>LEN(TRIM(F566))&gt;0</formula>
    </cfRule>
  </conditionalFormatting>
  <conditionalFormatting sqref="F618:F623">
    <cfRule type="containsBlanks" dxfId="3652" priority="580">
      <formula>LEN(TRIM(F618))=0</formula>
    </cfRule>
    <cfRule type="notContainsBlanks" dxfId="3651" priority="579">
      <formula>LEN(TRIM(F618))&gt;0</formula>
    </cfRule>
  </conditionalFormatting>
  <conditionalFormatting sqref="F626:F633">
    <cfRule type="notContainsBlanks" dxfId="3650" priority="1032">
      <formula>LEN(TRIM(F626))&gt;0</formula>
    </cfRule>
  </conditionalFormatting>
  <conditionalFormatting sqref="F634:F637">
    <cfRule type="notContainsBlanks" dxfId="3649" priority="1044">
      <formula>LEN(TRIM(F634))&gt;0</formula>
    </cfRule>
  </conditionalFormatting>
  <pageMargins left="0.7" right="0.7" top="0.75" bottom="0.75" header="0.3" footer="0.3"/>
  <pageSetup paperSize="9" orientation="portrait" horizontalDpi="0" verticalDpi="0"/>
  <ignoredErrors>
    <ignoredError sqref="D84:D99"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B7747-23D3-2F4F-BFFD-9DFE9F15FFEF}">
  <sheetPr codeName="Sheet3">
    <tabColor theme="5" tint="0.39997558519241921"/>
  </sheetPr>
  <dimension ref="A1:J671"/>
  <sheetViews>
    <sheetView showGridLines="0" zoomScaleNormal="100" workbookViewId="0">
      <pane ySplit="4" topLeftCell="A5" activePane="bottomLeft" state="frozen"/>
      <selection pane="bottomLeft"/>
    </sheetView>
  </sheetViews>
  <sheetFormatPr baseColWidth="10" defaultColWidth="10.83203125" defaultRowHeight="16"/>
  <cols>
    <col min="1" max="1" width="2.83203125" style="3" customWidth="1"/>
    <col min="2" max="2" width="74.83203125" style="3" customWidth="1"/>
    <col min="3" max="3" width="100.33203125" style="3" customWidth="1"/>
    <col min="4" max="4" width="90.83203125" style="3" customWidth="1"/>
    <col min="5" max="5" width="84.5" style="3" bestFit="1" customWidth="1"/>
    <col min="6" max="6" width="10.83203125" style="3" customWidth="1"/>
    <col min="7" max="9" width="10.83203125" style="3"/>
    <col min="10" max="10" width="12.33203125" style="3" customWidth="1"/>
    <col min="11" max="16384" width="10.83203125" style="3"/>
  </cols>
  <sheetData>
    <row r="1" spans="1:10">
      <c r="A1" s="6"/>
    </row>
    <row r="2" spans="1:10" ht="54" customHeight="1">
      <c r="B2" s="470" t="s">
        <v>4514</v>
      </c>
      <c r="C2" s="470"/>
      <c r="D2" s="470"/>
      <c r="E2" s="470"/>
      <c r="F2" s="9"/>
      <c r="G2" s="9"/>
      <c r="H2" s="9"/>
      <c r="I2" s="9"/>
    </row>
    <row r="3" spans="1:10" ht="20" customHeight="1">
      <c r="B3" s="471" t="s">
        <v>733</v>
      </c>
      <c r="C3" s="471"/>
      <c r="D3" s="471"/>
      <c r="E3" s="471"/>
      <c r="F3" s="10"/>
      <c r="G3" s="10"/>
      <c r="H3" s="10"/>
      <c r="I3" s="10"/>
    </row>
    <row r="5" spans="1:10" ht="20" customHeight="1"/>
    <row r="6" spans="1:10" s="4" customFormat="1" ht="34" customHeight="1">
      <c r="B6" s="344" t="s">
        <v>734</v>
      </c>
      <c r="C6" s="344"/>
      <c r="D6" s="344"/>
      <c r="E6" s="344"/>
      <c r="F6" s="3"/>
      <c r="G6" s="3"/>
      <c r="H6" s="3"/>
      <c r="I6" s="3"/>
      <c r="J6" s="3"/>
    </row>
    <row r="7" spans="1:10" ht="20" customHeight="1">
      <c r="B7" s="8" t="s">
        <v>735</v>
      </c>
      <c r="C7" s="8" t="s">
        <v>554</v>
      </c>
      <c r="D7" s="20" t="s">
        <v>555</v>
      </c>
      <c r="E7" s="8" t="s">
        <v>222</v>
      </c>
    </row>
    <row r="8" spans="1:10" ht="20" customHeight="1">
      <c r="B8" s="21" t="s">
        <v>736</v>
      </c>
      <c r="C8" s="22" t="s">
        <v>737</v>
      </c>
      <c r="D8" s="14"/>
      <c r="E8" s="18" t="s">
        <v>738</v>
      </c>
    </row>
    <row r="9" spans="1:10" ht="20" customHeight="1">
      <c r="B9" s="21" t="s">
        <v>739</v>
      </c>
      <c r="C9" s="22" t="s">
        <v>740</v>
      </c>
      <c r="D9" s="14"/>
      <c r="E9" s="18" t="s">
        <v>741</v>
      </c>
    </row>
    <row r="10" spans="1:10" ht="20" customHeight="1">
      <c r="B10" s="21" t="s">
        <v>742</v>
      </c>
      <c r="C10" s="22" t="s">
        <v>743</v>
      </c>
      <c r="D10" s="14"/>
      <c r="E10" s="18" t="s">
        <v>744</v>
      </c>
    </row>
    <row r="11" spans="1:10" ht="20" customHeight="1">
      <c r="B11" s="21" t="s">
        <v>745</v>
      </c>
      <c r="C11" s="22" t="s">
        <v>746</v>
      </c>
      <c r="D11" s="14"/>
      <c r="E11" s="18"/>
    </row>
    <row r="12" spans="1:10" ht="20" customHeight="1">
      <c r="B12" s="21" t="s">
        <v>747</v>
      </c>
      <c r="C12" s="49" t="s">
        <v>4099</v>
      </c>
      <c r="D12" s="14"/>
      <c r="E12" s="18"/>
    </row>
    <row r="13" spans="1:10" ht="20" customHeight="1">
      <c r="B13" s="21" t="s">
        <v>748</v>
      </c>
      <c r="C13" s="22" t="s">
        <v>4099</v>
      </c>
      <c r="D13" s="14"/>
      <c r="E13" s="18"/>
    </row>
    <row r="14" spans="1:10" ht="16" customHeight="1"/>
    <row r="15" spans="1:10" s="4" customFormat="1" ht="34" customHeight="1">
      <c r="B15" s="344" t="s">
        <v>749</v>
      </c>
      <c r="C15" s="344"/>
      <c r="D15" s="344"/>
      <c r="E15" s="344"/>
    </row>
    <row r="16" spans="1:10" ht="20" customHeight="1">
      <c r="B16" s="8" t="s">
        <v>735</v>
      </c>
      <c r="C16" s="8" t="s">
        <v>554</v>
      </c>
      <c r="D16" s="20" t="s">
        <v>555</v>
      </c>
      <c r="E16" s="8" t="s">
        <v>222</v>
      </c>
    </row>
    <row r="17" spans="2:10" ht="20" customHeight="1">
      <c r="B17" s="21" t="s">
        <v>750</v>
      </c>
      <c r="C17" s="22" t="s">
        <v>452</v>
      </c>
      <c r="D17" s="14"/>
      <c r="E17" s="18"/>
    </row>
    <row r="18" spans="2:10" ht="20" customHeight="1">
      <c r="B18" s="21" t="s">
        <v>751</v>
      </c>
      <c r="C18" s="22" t="s">
        <v>452</v>
      </c>
      <c r="D18" s="14"/>
      <c r="E18" s="18"/>
    </row>
    <row r="19" spans="2:10" ht="20" customHeight="1">
      <c r="B19" s="21" t="s">
        <v>752</v>
      </c>
      <c r="C19" s="22" t="s">
        <v>452</v>
      </c>
      <c r="D19" s="14"/>
      <c r="E19" s="18"/>
    </row>
    <row r="20" spans="2:10" ht="20" customHeight="1">
      <c r="B20" s="21" t="s">
        <v>4598</v>
      </c>
      <c r="C20" s="22" t="s">
        <v>452</v>
      </c>
      <c r="D20" s="14"/>
      <c r="E20" s="18"/>
    </row>
    <row r="21" spans="2:10" ht="20" customHeight="1">
      <c r="B21" s="21" t="s">
        <v>753</v>
      </c>
      <c r="C21" s="22" t="s">
        <v>452</v>
      </c>
      <c r="D21" s="14"/>
      <c r="E21" s="18"/>
    </row>
    <row r="22" spans="2:10" ht="20" customHeight="1">
      <c r="B22" s="21" t="s">
        <v>4670</v>
      </c>
      <c r="C22" s="22" t="s">
        <v>452</v>
      </c>
      <c r="D22" s="38"/>
      <c r="E22" s="18" t="s">
        <v>3375</v>
      </c>
    </row>
    <row r="23" spans="2:10" ht="20" customHeight="1">
      <c r="B23" s="21" t="s">
        <v>717</v>
      </c>
      <c r="C23" s="22" t="s">
        <v>452</v>
      </c>
      <c r="D23" s="38"/>
      <c r="E23" s="18"/>
    </row>
    <row r="24" spans="2:10" ht="16" customHeight="1"/>
    <row r="25" spans="2:10" s="4" customFormat="1" ht="34" customHeight="1">
      <c r="B25" s="344" t="s">
        <v>754</v>
      </c>
      <c r="C25" s="344"/>
      <c r="D25" s="344"/>
      <c r="E25" s="344"/>
      <c r="F25" s="3"/>
      <c r="G25" s="3"/>
      <c r="H25" s="3"/>
      <c r="I25" s="3"/>
      <c r="J25" s="3"/>
    </row>
    <row r="26" spans="2:10" ht="20" customHeight="1">
      <c r="B26" s="8" t="s">
        <v>735</v>
      </c>
      <c r="C26" s="8" t="s">
        <v>554</v>
      </c>
      <c r="D26" s="20" t="s">
        <v>555</v>
      </c>
      <c r="E26" s="8" t="s">
        <v>222</v>
      </c>
    </row>
    <row r="27" spans="2:10" customFormat="1" ht="20" customHeight="1">
      <c r="B27" s="472" t="s">
        <v>639</v>
      </c>
      <c r="C27" s="472"/>
      <c r="D27" s="472"/>
      <c r="E27" s="472"/>
    </row>
    <row r="28" spans="2:10" ht="20" customHeight="1">
      <c r="B28" s="21" t="s">
        <v>755</v>
      </c>
      <c r="C28" s="22" t="s">
        <v>4098</v>
      </c>
      <c r="D28" s="293"/>
      <c r="E28" s="18" t="s">
        <v>4157</v>
      </c>
    </row>
    <row r="29" spans="2:10" customFormat="1" ht="20" customHeight="1">
      <c r="B29" s="472" t="s">
        <v>1802</v>
      </c>
      <c r="C29" s="472"/>
      <c r="D29" s="472"/>
      <c r="E29" s="472"/>
    </row>
    <row r="30" spans="2:10" ht="20" customHeight="1">
      <c r="B30" s="52" t="s">
        <v>756</v>
      </c>
      <c r="C30" s="22" t="s">
        <v>4098</v>
      </c>
      <c r="D30" s="14"/>
      <c r="E30" s="18" t="s">
        <v>4157</v>
      </c>
    </row>
    <row r="31" spans="2:10" ht="20" customHeight="1">
      <c r="B31" s="52" t="s">
        <v>757</v>
      </c>
      <c r="C31" s="22" t="s">
        <v>4098</v>
      </c>
      <c r="D31" s="14"/>
      <c r="E31" s="18" t="s">
        <v>4157</v>
      </c>
    </row>
    <row r="32" spans="2:10" customFormat="1" ht="20" customHeight="1">
      <c r="B32" s="472" t="s">
        <v>4598</v>
      </c>
      <c r="C32" s="472"/>
      <c r="D32" s="472"/>
      <c r="E32" s="472"/>
    </row>
    <row r="33" spans="2:5" ht="20" customHeight="1">
      <c r="B33" s="52" t="s">
        <v>758</v>
      </c>
      <c r="C33" s="22" t="s">
        <v>4099</v>
      </c>
      <c r="D33" s="14"/>
      <c r="E33" s="18" t="s">
        <v>4158</v>
      </c>
    </row>
    <row r="34" spans="2:5" ht="20" customHeight="1">
      <c r="B34" s="52" t="s">
        <v>759</v>
      </c>
      <c r="C34" s="22" t="s">
        <v>4099</v>
      </c>
      <c r="D34" s="14"/>
      <c r="E34" s="18" t="s">
        <v>4158</v>
      </c>
    </row>
    <row r="35" spans="2:5" ht="20" customHeight="1">
      <c r="B35" s="52" t="s">
        <v>760</v>
      </c>
      <c r="C35" s="22" t="s">
        <v>4099</v>
      </c>
      <c r="D35" s="14"/>
      <c r="E35" s="18" t="s">
        <v>4158</v>
      </c>
    </row>
    <row r="36" spans="2:5" ht="20" customHeight="1">
      <c r="B36" s="52" t="s">
        <v>761</v>
      </c>
      <c r="C36" s="22" t="s">
        <v>4099</v>
      </c>
      <c r="D36" s="14"/>
      <c r="E36" s="18" t="s">
        <v>4158</v>
      </c>
    </row>
    <row r="37" spans="2:5" ht="20" customHeight="1">
      <c r="B37" s="52" t="s">
        <v>762</v>
      </c>
      <c r="C37" s="22" t="s">
        <v>4099</v>
      </c>
      <c r="D37" s="14"/>
      <c r="E37" s="18" t="s">
        <v>4158</v>
      </c>
    </row>
    <row r="38" spans="2:5" ht="20" customHeight="1">
      <c r="B38" s="52" t="s">
        <v>763</v>
      </c>
      <c r="C38" s="22" t="s">
        <v>4099</v>
      </c>
      <c r="D38" s="14"/>
      <c r="E38" s="18" t="s">
        <v>4158</v>
      </c>
    </row>
    <row r="39" spans="2:5" ht="20" customHeight="1">
      <c r="B39" s="52" t="s">
        <v>764</v>
      </c>
      <c r="C39" s="22" t="s">
        <v>4099</v>
      </c>
      <c r="D39" s="14"/>
      <c r="E39" s="18" t="s">
        <v>4158</v>
      </c>
    </row>
    <row r="40" spans="2:5" ht="20" customHeight="1">
      <c r="B40" s="52" t="s">
        <v>765</v>
      </c>
      <c r="C40" s="22" t="s">
        <v>4099</v>
      </c>
      <c r="D40" s="14"/>
      <c r="E40" s="18" t="s">
        <v>4158</v>
      </c>
    </row>
    <row r="41" spans="2:5" ht="20" customHeight="1">
      <c r="B41" s="52" t="s">
        <v>766</v>
      </c>
      <c r="C41" s="22" t="s">
        <v>4099</v>
      </c>
      <c r="D41" s="14"/>
      <c r="E41" s="18" t="s">
        <v>4158</v>
      </c>
    </row>
    <row r="42" spans="2:5" customFormat="1" ht="20" customHeight="1">
      <c r="B42" s="472" t="s">
        <v>353</v>
      </c>
      <c r="C42" s="472"/>
      <c r="D42" s="472"/>
      <c r="E42" s="472"/>
    </row>
    <row r="43" spans="2:5" ht="20" customHeight="1">
      <c r="B43" s="52" t="s">
        <v>757</v>
      </c>
      <c r="C43" s="22" t="s">
        <v>4099</v>
      </c>
      <c r="D43" s="14"/>
      <c r="E43" s="18" t="s">
        <v>4159</v>
      </c>
    </row>
    <row r="44" spans="2:5" ht="20" customHeight="1">
      <c r="B44" s="52" t="s">
        <v>767</v>
      </c>
      <c r="C44" s="22" t="s">
        <v>4099</v>
      </c>
      <c r="D44" s="14"/>
      <c r="E44" s="18" t="s">
        <v>4159</v>
      </c>
    </row>
    <row r="45" spans="2:5" ht="20" customHeight="1">
      <c r="B45" s="52" t="s">
        <v>768</v>
      </c>
      <c r="C45" s="22" t="s">
        <v>4099</v>
      </c>
      <c r="D45" s="14"/>
      <c r="E45" s="18" t="s">
        <v>4159</v>
      </c>
    </row>
    <row r="46" spans="2:5" ht="20" customHeight="1">
      <c r="B46" s="21" t="s">
        <v>4519</v>
      </c>
      <c r="C46" s="22" t="s">
        <v>769</v>
      </c>
      <c r="D46" s="14"/>
      <c r="E46" s="18"/>
    </row>
    <row r="47" spans="2:5" ht="20" customHeight="1">
      <c r="B47" s="52" t="s">
        <v>4520</v>
      </c>
      <c r="C47" s="22" t="s">
        <v>4099</v>
      </c>
      <c r="D47" s="14"/>
      <c r="E47" s="18"/>
    </row>
    <row r="48" spans="2:5" ht="20" customHeight="1">
      <c r="B48" s="472" t="s">
        <v>4234</v>
      </c>
      <c r="C48" s="472"/>
      <c r="D48" s="472"/>
      <c r="E48" s="472"/>
    </row>
    <row r="49" spans="2:7" customFormat="1" ht="20" customHeight="1">
      <c r="B49" s="21" t="s">
        <v>745</v>
      </c>
      <c r="C49" s="22" t="s">
        <v>4099</v>
      </c>
      <c r="D49" s="14"/>
      <c r="E49" s="18" t="s">
        <v>4159</v>
      </c>
    </row>
    <row r="50" spans="2:7" ht="20" customHeight="1">
      <c r="B50" s="21" t="s">
        <v>4527</v>
      </c>
      <c r="C50" s="22"/>
      <c r="D50" s="14"/>
      <c r="E50" s="18"/>
    </row>
    <row r="51" spans="2:7" ht="20" customHeight="1">
      <c r="B51" s="21" t="s">
        <v>4528</v>
      </c>
      <c r="C51" s="22"/>
      <c r="D51" s="14"/>
      <c r="E51" s="18"/>
    </row>
    <row r="52" spans="2:7" customFormat="1" ht="20" customHeight="1">
      <c r="B52" s="21" t="s">
        <v>4529</v>
      </c>
      <c r="C52" s="22"/>
      <c r="D52" s="14"/>
      <c r="E52" s="18"/>
    </row>
    <row r="53" spans="2:7" ht="20" customHeight="1">
      <c r="B53" s="21" t="s">
        <v>4530</v>
      </c>
      <c r="C53" s="22"/>
      <c r="D53" s="14"/>
      <c r="E53" s="18"/>
    </row>
    <row r="54" spans="2:7" ht="20" customHeight="1">
      <c r="B54" s="472" t="s">
        <v>331</v>
      </c>
      <c r="C54" s="472"/>
      <c r="D54" s="472"/>
      <c r="E54" s="472"/>
    </row>
    <row r="55" spans="2:7" customFormat="1" ht="20" customHeight="1">
      <c r="B55" s="21" t="s">
        <v>770</v>
      </c>
      <c r="C55" s="22" t="s">
        <v>771</v>
      </c>
      <c r="D55" s="14"/>
      <c r="E55" s="18"/>
    </row>
    <row r="56" spans="2:7" ht="20" customHeight="1">
      <c r="B56" s="52" t="s">
        <v>772</v>
      </c>
      <c r="C56" s="22" t="s">
        <v>4098</v>
      </c>
      <c r="D56" s="14"/>
      <c r="E56" s="18" t="s">
        <v>4157</v>
      </c>
    </row>
    <row r="57" spans="2:7" ht="20" customHeight="1">
      <c r="B57" s="472" t="s">
        <v>328</v>
      </c>
      <c r="C57" s="472"/>
      <c r="D57" s="472"/>
      <c r="E57" s="472"/>
    </row>
    <row r="58" spans="2:7" customFormat="1" ht="20" customHeight="1">
      <c r="B58" s="21" t="s">
        <v>773</v>
      </c>
      <c r="C58" s="22" t="s">
        <v>774</v>
      </c>
      <c r="D58" s="14"/>
      <c r="E58" s="18"/>
    </row>
    <row r="59" spans="2:7" ht="20" customHeight="1">
      <c r="B59" s="52" t="s">
        <v>775</v>
      </c>
      <c r="C59" s="232" t="s">
        <v>4098</v>
      </c>
      <c r="D59" s="14"/>
      <c r="E59" s="18" t="s">
        <v>4157</v>
      </c>
    </row>
    <row r="60" spans="2:7" ht="20" customHeight="1">
      <c r="B60" s="472" t="s">
        <v>622</v>
      </c>
      <c r="C60" s="472"/>
      <c r="D60" s="472"/>
      <c r="E60" s="472"/>
    </row>
    <row r="61" spans="2:7" s="4" customFormat="1" ht="20" customHeight="1">
      <c r="B61" s="21" t="s">
        <v>776</v>
      </c>
      <c r="C61" s="22" t="s">
        <v>874</v>
      </c>
      <c r="D61" s="14"/>
      <c r="E61" s="18"/>
    </row>
    <row r="62" spans="2:7" customFormat="1" ht="20" customHeight="1">
      <c r="B62" s="52" t="s">
        <v>777</v>
      </c>
      <c r="C62" s="22" t="s">
        <v>4098</v>
      </c>
      <c r="D62" s="14"/>
      <c r="E62" s="18" t="s">
        <v>4157</v>
      </c>
    </row>
    <row r="63" spans="2:7" ht="20" customHeight="1">
      <c r="B63" s="472" t="s">
        <v>687</v>
      </c>
      <c r="C63" s="472"/>
      <c r="D63" s="472"/>
      <c r="E63" s="472"/>
      <c r="G63"/>
    </row>
    <row r="64" spans="2:7" ht="20" customHeight="1">
      <c r="B64" s="52" t="s">
        <v>778</v>
      </c>
      <c r="C64" s="22" t="s">
        <v>4098</v>
      </c>
      <c r="D64" s="132"/>
      <c r="E64" s="18" t="s">
        <v>4157</v>
      </c>
    </row>
    <row r="65" spans="2:5" ht="20" customHeight="1">
      <c r="B65" s="52" t="s">
        <v>779</v>
      </c>
      <c r="C65" s="22" t="s">
        <v>4098</v>
      </c>
      <c r="D65" s="132"/>
      <c r="E65" s="18" t="s">
        <v>4157</v>
      </c>
    </row>
    <row r="66" spans="2:5" ht="16" customHeight="1"/>
    <row r="67" spans="2:5" customFormat="1" ht="34" customHeight="1">
      <c r="B67" s="344" t="s">
        <v>780</v>
      </c>
      <c r="C67" s="344"/>
      <c r="D67" s="344"/>
      <c r="E67" s="344"/>
    </row>
    <row r="68" spans="2:5" ht="20" customHeight="1">
      <c r="B68" s="472" t="s">
        <v>353</v>
      </c>
      <c r="C68" s="472"/>
      <c r="D68" s="472"/>
      <c r="E68" s="472"/>
    </row>
    <row r="69" spans="2:5" ht="20" customHeight="1">
      <c r="B69" s="8" t="s">
        <v>735</v>
      </c>
      <c r="C69" s="8" t="s">
        <v>554</v>
      </c>
      <c r="D69" s="20" t="s">
        <v>555</v>
      </c>
      <c r="E69" s="8" t="s">
        <v>222</v>
      </c>
    </row>
    <row r="70" spans="2:5" ht="20" customHeight="1">
      <c r="B70" s="21" t="s">
        <v>782</v>
      </c>
      <c r="C70" s="22" t="str">
        <f>CONCATENATE(this_instance,"-m01")</f>
        <v>sfo-m01</v>
      </c>
      <c r="D70" s="14"/>
      <c r="E70" s="18"/>
    </row>
    <row r="71" spans="2:5" ht="20" customHeight="1">
      <c r="B71" s="21" t="s">
        <v>784</v>
      </c>
      <c r="C71" s="22" t="s">
        <v>785</v>
      </c>
      <c r="D71" s="14"/>
      <c r="E71" s="18"/>
    </row>
    <row r="72" spans="2:5" ht="20" customHeight="1">
      <c r="B72" s="472" t="s">
        <v>786</v>
      </c>
      <c r="C72" s="472"/>
      <c r="D72" s="472"/>
      <c r="E72" s="472"/>
    </row>
    <row r="73" spans="2:5" ht="20" customHeight="1">
      <c r="B73" s="8" t="s">
        <v>735</v>
      </c>
      <c r="C73" s="8" t="s">
        <v>554</v>
      </c>
      <c r="D73" s="20" t="s">
        <v>555</v>
      </c>
      <c r="E73" s="8" t="s">
        <v>222</v>
      </c>
    </row>
    <row r="74" spans="2:5" ht="20" customHeight="1">
      <c r="B74" s="21" t="s">
        <v>787</v>
      </c>
      <c r="C74" s="22" t="s">
        <v>788</v>
      </c>
      <c r="D74" s="14"/>
      <c r="E74" s="18"/>
    </row>
    <row r="75" spans="2:5" ht="20" customHeight="1">
      <c r="B75" s="21" t="s">
        <v>789</v>
      </c>
      <c r="C75" s="22" t="s">
        <v>790</v>
      </c>
      <c r="D75" s="14"/>
      <c r="E75" s="18"/>
    </row>
    <row r="76" spans="2:5" ht="20" customHeight="1">
      <c r="B76" s="472" t="s">
        <v>791</v>
      </c>
      <c r="C76" s="472"/>
      <c r="D76" s="472"/>
      <c r="E76" s="472"/>
    </row>
    <row r="77" spans="2:5" ht="20" customHeight="1">
      <c r="B77" s="8" t="s">
        <v>735</v>
      </c>
      <c r="C77" s="8" t="s">
        <v>554</v>
      </c>
      <c r="D77" s="20" t="s">
        <v>555</v>
      </c>
      <c r="E77" s="8" t="s">
        <v>222</v>
      </c>
    </row>
    <row r="78" spans="2:5" ht="20" customHeight="1">
      <c r="B78" s="21" t="s">
        <v>4451</v>
      </c>
      <c r="C78" s="22" t="s">
        <v>4450</v>
      </c>
      <c r="D78" s="14"/>
      <c r="E78" s="18"/>
    </row>
    <row r="79" spans="2:5" ht="20" customHeight="1">
      <c r="B79" s="21" t="s">
        <v>792</v>
      </c>
      <c r="C79" s="22" t="str">
        <f>CONCATENATE(this_instance,"-m01-cl01-vds01")</f>
        <v>sfo-m01-cl01-vds01</v>
      </c>
      <c r="D79" s="14"/>
      <c r="E79" s="18"/>
    </row>
    <row r="80" spans="2:5" ht="20" customHeight="1">
      <c r="B80" s="21" t="s">
        <v>793</v>
      </c>
      <c r="C80" s="22" t="s">
        <v>794</v>
      </c>
      <c r="D80" s="14"/>
      <c r="E80" s="18"/>
    </row>
    <row r="81" spans="2:5" ht="20" customHeight="1">
      <c r="B81" s="21" t="s">
        <v>795</v>
      </c>
      <c r="C81" s="22" t="s">
        <v>796</v>
      </c>
      <c r="D81" s="14"/>
      <c r="E81" s="18"/>
    </row>
    <row r="82" spans="2:5" ht="20" customHeight="1">
      <c r="B82" s="21" t="s">
        <v>801</v>
      </c>
      <c r="C82" s="22" t="s">
        <v>802</v>
      </c>
      <c r="D82" s="14" t="s">
        <v>802</v>
      </c>
      <c r="E82" s="18" t="str">
        <f>IF(input_mgmt_cl01_vds_profile="Profile-2","vSAN and optionally NSX Overlay will be configured on "&amp; this_instance&amp;"-m01-cl01-vds02",IF(input_mgmt_cl01_vds_profile="Profile-3"," NSX Overlay will be cofigured on VDS02",IF(input_mgmt_cl01_vds_profile="Profile-1","Choose Profile-2 or 3 if using Secondary vSphere Distributed Switch","")))</f>
        <v>Choose Profile-2 or 3 if using Secondary vSphere Distributed Switch</v>
      </c>
    </row>
    <row r="83" spans="2:5" ht="20" customHeight="1">
      <c r="B83" s="21" t="s">
        <v>797</v>
      </c>
      <c r="C83" s="22" t="str">
        <f>CONCATENATE(this_instance,"-m01-cl01-vds02")</f>
        <v>sfo-m01-cl01-vds02</v>
      </c>
      <c r="D83" s="38"/>
      <c r="E83" s="18"/>
    </row>
    <row r="84" spans="2:5" ht="20" customHeight="1">
      <c r="B84" s="21" t="s">
        <v>798</v>
      </c>
      <c r="C84" s="22" t="s">
        <v>799</v>
      </c>
      <c r="D84" s="38"/>
      <c r="E84" s="18"/>
    </row>
    <row r="85" spans="2:5" ht="20" customHeight="1">
      <c r="B85" s="21" t="s">
        <v>800</v>
      </c>
      <c r="C85" s="22" t="s">
        <v>796</v>
      </c>
      <c r="D85" s="38"/>
      <c r="E85" s="18"/>
    </row>
    <row r="86" spans="2:5" ht="20" customHeight="1">
      <c r="B86" s="21" t="s">
        <v>3184</v>
      </c>
      <c r="C86" s="22" t="str">
        <f>CONCATENATE(this_instance,"-m01-cl01-vds01-pg-vm-mgmt")</f>
        <v>sfo-m01-cl01-vds01-pg-vm-mgmt</v>
      </c>
      <c r="D86" s="82"/>
      <c r="E86" s="18"/>
    </row>
    <row r="87" spans="2:5" ht="20" customHeight="1">
      <c r="B87" s="21" t="s">
        <v>4235</v>
      </c>
      <c r="C87" s="22" t="str">
        <f>CONCATENATE(this_instance,"-m01-cl01-vds01-pg-esxi-mgmt")</f>
        <v>sfo-m01-cl01-vds01-pg-esxi-mgmt</v>
      </c>
      <c r="D87" s="14"/>
    </row>
    <row r="88" spans="2:5" ht="20" customHeight="1">
      <c r="B88" s="21" t="s">
        <v>803</v>
      </c>
      <c r="C88" s="22" t="str">
        <f>CONCATENATE(this_instance,"-m01-cl01-vds01-pg-vmotion")</f>
        <v>sfo-m01-cl01-vds01-pg-vmotion</v>
      </c>
      <c r="D88" s="14"/>
      <c r="E88" s="18"/>
    </row>
    <row r="89" spans="2:5" ht="20" customHeight="1">
      <c r="B89" s="21" t="s">
        <v>804</v>
      </c>
      <c r="C89" s="22" t="str">
        <f>CONCATENATE(this_instance,"-m01-cl01-vds01-pg-vsan")</f>
        <v>sfo-m01-cl01-vds01-pg-vsan</v>
      </c>
      <c r="D89" s="14"/>
      <c r="E89" s="18"/>
    </row>
    <row r="90" spans="2:5" ht="20" customHeight="1">
      <c r="B90" s="21" t="s">
        <v>808</v>
      </c>
      <c r="C90" s="22" t="str">
        <f>CONCATENATE(this_instance,"-m01-cl01-vds01-pg-uplink01")</f>
        <v>sfo-m01-cl01-vds01-pg-uplink01</v>
      </c>
      <c r="D90" s="18" t="str">
        <f>IF(ISBLANK(input_mgmt_cl01_vds01_name),"",(CONCATENATE(input_mgmt_cl01_vds01_name,"-pg-uplink01")))</f>
        <v/>
      </c>
      <c r="E90" s="18"/>
    </row>
    <row r="91" spans="2:5" ht="20" customHeight="1">
      <c r="B91" s="21" t="s">
        <v>809</v>
      </c>
      <c r="C91" s="22" t="str">
        <f>CONCATENATE(this_instance,"-m01-cl01-vds01-pg-uplink02")</f>
        <v>sfo-m01-cl01-vds01-pg-uplink02</v>
      </c>
      <c r="D91" s="18" t="str">
        <f>IF(ISBLANK(input_mgmt_cl01_vds01_name),"",(CONCATENATE(input_mgmt_cl01_vds01_name,"-pg-uplink02")))</f>
        <v/>
      </c>
      <c r="E91" s="18"/>
    </row>
    <row r="92" spans="2:5" ht="20" customHeight="1">
      <c r="B92" s="21" t="s">
        <v>810</v>
      </c>
      <c r="C92" s="22" t="str">
        <f>CONCATENATE(this_instance,"-m01-ec01")</f>
        <v>sfo-m01-ec01</v>
      </c>
      <c r="D92" s="14"/>
      <c r="E92" s="18"/>
    </row>
    <row r="93" spans="2:5" ht="20" customHeight="1">
      <c r="B93" s="21" t="s">
        <v>811</v>
      </c>
      <c r="C93" s="22" t="s">
        <v>3980</v>
      </c>
      <c r="D93" s="14"/>
      <c r="E93" s="18"/>
    </row>
    <row r="94" spans="2:5" ht="20" customHeight="1">
      <c r="B94" s="21" t="s">
        <v>812</v>
      </c>
      <c r="C94" s="22" t="str">
        <f>CONCATENATE(this_instance,"-m01-seg01")</f>
        <v>sfo-m01-seg01</v>
      </c>
      <c r="D94" s="14"/>
      <c r="E94" s="18"/>
    </row>
    <row r="95" spans="2:5" ht="20" customHeight="1">
      <c r="B95" s="21" t="s">
        <v>813</v>
      </c>
      <c r="C95" s="22" t="str">
        <f>IF(this_instance="sfo",CONCATENATE(prefix_portable_component,"-m01-seg01"),CONCATENATE(prefix_portable_component,"-m01-seg02"))</f>
        <v>xint-m01-seg01</v>
      </c>
      <c r="D95" s="14"/>
      <c r="E95" s="18"/>
    </row>
    <row r="96" spans="2:5" ht="20" customHeight="1">
      <c r="B96" s="21" t="s">
        <v>814</v>
      </c>
      <c r="C96" s="22" t="str">
        <f>CONCATENATE(this_instance,"-m01-ec01-t0-gw01")</f>
        <v>sfo-m01-ec01-t0-gw01</v>
      </c>
      <c r="D96" s="14"/>
      <c r="E96" s="18"/>
    </row>
    <row r="97" spans="2:5" ht="20" customHeight="1">
      <c r="B97" s="21" t="s">
        <v>815</v>
      </c>
      <c r="C97" s="22" t="str">
        <f>CONCATENATE(this_instance,"-m01-ec01-t1-gw01")</f>
        <v>sfo-m01-ec01-t1-gw01</v>
      </c>
      <c r="D97" s="14"/>
      <c r="E97" s="18"/>
    </row>
    <row r="98" spans="2:5" customFormat="1" ht="20" customHeight="1">
      <c r="B98" s="473" t="s">
        <v>4093</v>
      </c>
      <c r="C98" s="474"/>
      <c r="D98" s="474"/>
      <c r="E98" s="475"/>
    </row>
    <row r="99" spans="2:5" ht="20" customHeight="1">
      <c r="B99" s="21" t="s">
        <v>817</v>
      </c>
      <c r="C99" s="22" t="s">
        <v>818</v>
      </c>
      <c r="D99" s="14"/>
      <c r="E99" s="94" t="s">
        <v>819</v>
      </c>
    </row>
    <row r="100" spans="2:5" ht="20" customHeight="1">
      <c r="B100" s="21" t="s">
        <v>820</v>
      </c>
      <c r="C100" s="22" t="s">
        <v>821</v>
      </c>
      <c r="D100" s="14"/>
      <c r="E100" s="94" t="s">
        <v>822</v>
      </c>
    </row>
    <row r="101" spans="2:5" ht="20" customHeight="1">
      <c r="B101" s="21" t="s">
        <v>823</v>
      </c>
      <c r="C101" s="22" t="s">
        <v>824</v>
      </c>
      <c r="D101" s="14"/>
      <c r="E101" s="94" t="s">
        <v>822</v>
      </c>
    </row>
    <row r="102" spans="2:5" ht="20" customHeight="1">
      <c r="B102" s="21" t="s">
        <v>825</v>
      </c>
      <c r="C102" s="22" t="str">
        <f>CONCATENATE(sample_mgmt_sddc_domain,"-anti-affinity-rule-nsx-global-managers")</f>
        <v>sfo-m01-anti-affinity-rule-nsx-global-managers</v>
      </c>
      <c r="D102" s="14"/>
      <c r="E102" s="18"/>
    </row>
    <row r="103" spans="2:5" customFormat="1" ht="20" customHeight="1">
      <c r="B103" s="21" t="s">
        <v>826</v>
      </c>
      <c r="C103" s="22" t="s">
        <v>827</v>
      </c>
      <c r="D103" s="14"/>
      <c r="E103" s="18" t="s">
        <v>828</v>
      </c>
    </row>
    <row r="104" spans="2:5" ht="20" customHeight="1">
      <c r="B104" s="21" t="s">
        <v>829</v>
      </c>
      <c r="C104" s="22" t="str">
        <f>CONCATENATE(this_instance,"-m01-nsx-gm01")</f>
        <v>sfo-m01-nsx-gm01</v>
      </c>
      <c r="D104" s="14"/>
      <c r="E104" s="18"/>
    </row>
    <row r="105" spans="2:5" ht="20" customHeight="1">
      <c r="B105" s="21" t="s">
        <v>830</v>
      </c>
      <c r="C105" s="22" t="str">
        <f>CONCATENATE(this_instance,"-m01")</f>
        <v>sfo-m01</v>
      </c>
      <c r="D105" s="14"/>
      <c r="E105" s="18"/>
    </row>
    <row r="106" spans="2:5" customFormat="1" ht="20" customHeight="1">
      <c r="B106" s="21" t="s">
        <v>831</v>
      </c>
      <c r="C106" s="22" t="str">
        <f>CONCATENATE(prefix_portable_component,"-m01-ec01-t1-gw01")</f>
        <v>xint-m01-ec01-t1-gw01</v>
      </c>
      <c r="D106" s="14"/>
      <c r="E106" s="94"/>
    </row>
    <row r="107" spans="2:5" ht="20" customHeight="1">
      <c r="B107" s="21" t="s">
        <v>832</v>
      </c>
      <c r="C107" s="22" t="s">
        <v>833</v>
      </c>
      <c r="D107" s="14"/>
      <c r="E107" s="94" t="s">
        <v>834</v>
      </c>
    </row>
    <row r="108" spans="2:5" ht="20" customHeight="1">
      <c r="B108" s="21" t="s">
        <v>835</v>
      </c>
      <c r="C108" s="22" t="str">
        <f>IF(mgmt_domain_chosen="First Domain",CONCATENATE(this_instance,"-m01-nsx-gm01.",this_instance,".",sample_parent_dns_zone),CONCATENATE(other_instance,"-m01-nsx-gm01.",other_instance,".",sample_parent_dns_zone))</f>
        <v>sfo-m01-nsx-gm01.sfo.rainpole.io</v>
      </c>
      <c r="D108" s="14"/>
      <c r="E108" s="94" t="s">
        <v>836</v>
      </c>
    </row>
    <row r="109" spans="2:5" ht="20" customHeight="1">
      <c r="B109" s="21" t="s">
        <v>837</v>
      </c>
      <c r="C109" s="22" t="str">
        <f>IF(mgmt_domain_chosen="First Domain",CONCATENATE(this_instance,"-m01-ec01-t0-gw01"),CONCATENATE(other_instance,"-m01-ec01-t0-gw01"))</f>
        <v>sfo-m01-ec01-t0-gw01</v>
      </c>
      <c r="D109" s="14"/>
      <c r="E109" s="94" t="s">
        <v>836</v>
      </c>
    </row>
    <row r="110" spans="2:5" customFormat="1" ht="20" customHeight="1">
      <c r="B110" s="476" t="s">
        <v>4270</v>
      </c>
      <c r="C110" s="477"/>
      <c r="D110" s="477"/>
      <c r="E110" s="478"/>
    </row>
    <row r="111" spans="2:5" ht="20" customHeight="1">
      <c r="B111" s="8" t="s">
        <v>735</v>
      </c>
      <c r="C111" s="8" t="s">
        <v>554</v>
      </c>
      <c r="D111" s="20" t="s">
        <v>555</v>
      </c>
      <c r="E111" s="8" t="s">
        <v>222</v>
      </c>
    </row>
    <row r="112" spans="2:5" ht="20" customHeight="1">
      <c r="B112" s="21" t="s">
        <v>4266</v>
      </c>
      <c r="C112" s="22" t="s">
        <v>4267</v>
      </c>
      <c r="D112" s="14"/>
      <c r="E112" s="94"/>
    </row>
    <row r="113" spans="2:5" ht="20" customHeight="1">
      <c r="B113" s="21" t="s">
        <v>4271</v>
      </c>
      <c r="C113" s="22" t="s">
        <v>4272</v>
      </c>
      <c r="D113" s="14"/>
      <c r="E113" s="94"/>
    </row>
    <row r="114" spans="2:5" ht="20" customHeight="1">
      <c r="B114" s="479" t="s">
        <v>931</v>
      </c>
      <c r="C114" s="480"/>
      <c r="D114" s="480"/>
      <c r="E114" s="481"/>
    </row>
    <row r="115" spans="2:5" ht="20" customHeight="1">
      <c r="B115" s="8" t="s">
        <v>735</v>
      </c>
      <c r="C115" s="8" t="s">
        <v>554</v>
      </c>
      <c r="D115" s="20" t="s">
        <v>555</v>
      </c>
      <c r="E115" s="8" t="s">
        <v>222</v>
      </c>
    </row>
    <row r="116" spans="2:5" customFormat="1" ht="20" customHeight="1">
      <c r="B116" s="21" t="s">
        <v>839</v>
      </c>
      <c r="C116" s="22" t="str">
        <f>CONCATENATE(this_instance,"-m01-cl01-ds-vsan01")</f>
        <v>sfo-m01-cl01-ds-vsan01</v>
      </c>
      <c r="D116" s="14"/>
      <c r="E116" s="18"/>
    </row>
    <row r="117" spans="2:5" ht="20" customHeight="1">
      <c r="B117" s="21" t="str">
        <f>IF(wld_principal_storage_chosen="vSAN-ESA","Storage Policy", "vSAN: Failures to Tolerate (FTT)")</f>
        <v>Storage Policy</v>
      </c>
      <c r="C117" s="202">
        <v>1</v>
      </c>
      <c r="D117" s="14">
        <v>1</v>
      </c>
      <c r="E117" s="18"/>
    </row>
    <row r="118" spans="2:5" ht="20" customHeight="1">
      <c r="B118" s="21" t="s">
        <v>840</v>
      </c>
      <c r="C118" s="22" t="s">
        <v>935</v>
      </c>
      <c r="D118" s="14"/>
      <c r="E118" s="18"/>
    </row>
    <row r="119" spans="2:5" customFormat="1" ht="20" customHeight="1">
      <c r="B119" s="472" t="s">
        <v>841</v>
      </c>
      <c r="C119" s="472"/>
      <c r="D119" s="472"/>
      <c r="E119" s="472"/>
    </row>
    <row r="120" spans="2:5" ht="20" customHeight="1">
      <c r="B120" s="8" t="s">
        <v>735</v>
      </c>
      <c r="C120" s="8" t="s">
        <v>554</v>
      </c>
      <c r="D120" s="20" t="s">
        <v>555</v>
      </c>
      <c r="E120" s="8" t="s">
        <v>222</v>
      </c>
    </row>
    <row r="121" spans="2:5" ht="20" customHeight="1">
      <c r="B121" s="21" t="s">
        <v>842</v>
      </c>
      <c r="C121" s="22" t="str">
        <f>CONCATENATE(this_instance,"-m01-dc01")</f>
        <v>sfo-m01-dc01</v>
      </c>
      <c r="D121" s="14"/>
      <c r="E121" s="18"/>
    </row>
    <row r="122" spans="2:5" ht="20" customHeight="1">
      <c r="B122" s="472" t="s">
        <v>843</v>
      </c>
      <c r="C122" s="472"/>
      <c r="D122" s="472"/>
      <c r="E122" s="472"/>
    </row>
    <row r="123" spans="2:5" ht="20" customHeight="1">
      <c r="B123" s="8" t="s">
        <v>735</v>
      </c>
      <c r="C123" s="8" t="s">
        <v>554</v>
      </c>
      <c r="D123" s="20" t="s">
        <v>555</v>
      </c>
      <c r="E123" s="8" t="s">
        <v>222</v>
      </c>
    </row>
    <row r="124" spans="2:5" ht="20" customHeight="1">
      <c r="B124" s="21" t="s">
        <v>844</v>
      </c>
      <c r="C124" s="22" t="str">
        <f>CONCATENATE(this_instance,"-m01-cl01")</f>
        <v>sfo-m01-cl01</v>
      </c>
      <c r="D124" s="14"/>
      <c r="E124" s="18"/>
    </row>
    <row r="125" spans="2:5" ht="20" customHeight="1">
      <c r="B125" s="21" t="s">
        <v>845</v>
      </c>
      <c r="C125" s="22" t="s">
        <v>452</v>
      </c>
      <c r="D125" s="14"/>
      <c r="E125" s="18"/>
    </row>
    <row r="126" spans="2:5" ht="20" customHeight="1">
      <c r="B126" s="87" t="s">
        <v>846</v>
      </c>
      <c r="C126" s="87"/>
      <c r="D126" s="87"/>
      <c r="E126" s="87"/>
    </row>
    <row r="127" spans="2:5" ht="20" customHeight="1">
      <c r="B127" s="8" t="s">
        <v>735</v>
      </c>
      <c r="C127" s="8" t="s">
        <v>554</v>
      </c>
      <c r="D127" s="20" t="s">
        <v>555</v>
      </c>
      <c r="E127" s="8" t="s">
        <v>222</v>
      </c>
    </row>
    <row r="128" spans="2:5" ht="20" customHeight="1">
      <c r="B128" s="21" t="s">
        <v>847</v>
      </c>
      <c r="C128" s="22" t="str">
        <f>CONCATENATE(this_instance,"-m01-cl01-rp-sddc-mgmt")</f>
        <v>sfo-m01-cl01-rp-sddc-mgmt</v>
      </c>
      <c r="D128" s="14"/>
      <c r="E128" s="18"/>
    </row>
    <row r="129" spans="2:5" ht="20" customHeight="1">
      <c r="B129" s="21" t="s">
        <v>848</v>
      </c>
      <c r="C129" s="22" t="str">
        <f>CONCATENATE(this_instance,"-m01-cl01-rp-sddc-edge")</f>
        <v>sfo-m01-cl01-rp-sddc-edge</v>
      </c>
      <c r="D129" s="14"/>
      <c r="E129" s="18"/>
    </row>
    <row r="130" spans="2:5" customFormat="1" ht="20" customHeight="1">
      <c r="B130" s="21" t="s">
        <v>849</v>
      </c>
      <c r="C130" s="22" t="str">
        <f>CONCATENATE(this_instance,"-m01-cl01-rp-user-edge")</f>
        <v>sfo-m01-cl01-rp-user-edge</v>
      </c>
      <c r="D130" s="14"/>
      <c r="E130" s="18"/>
    </row>
    <row r="131" spans="2:5" ht="20" customHeight="1">
      <c r="B131" s="21" t="s">
        <v>850</v>
      </c>
      <c r="C131" s="22" t="str">
        <f>CONCATENATE(this_instance,"-m01-cl01-rp-user-vm")</f>
        <v>sfo-m01-cl01-rp-user-vm</v>
      </c>
      <c r="D131" s="14"/>
      <c r="E131" s="18"/>
    </row>
    <row r="132" spans="2:5" ht="20" customHeight="1">
      <c r="B132" s="472" t="s">
        <v>851</v>
      </c>
      <c r="C132" s="472"/>
      <c r="D132" s="472"/>
      <c r="E132" s="472"/>
    </row>
    <row r="133" spans="2:5" ht="20" customHeight="1">
      <c r="B133" s="8" t="s">
        <v>735</v>
      </c>
      <c r="C133" s="8" t="s">
        <v>554</v>
      </c>
      <c r="D133" s="20" t="s">
        <v>555</v>
      </c>
      <c r="E133" s="8" t="s">
        <v>222</v>
      </c>
    </row>
    <row r="134" spans="2:5" ht="20" customHeight="1">
      <c r="B134" s="21" t="s">
        <v>852</v>
      </c>
      <c r="C134" s="22" t="str">
        <f>CONCATENATE(this_instance,"-m01-cl01_primary-az-vmgroup")</f>
        <v>sfo-m01-cl01_primary-az-vmgroup</v>
      </c>
      <c r="D134" s="14"/>
      <c r="E134" s="18"/>
    </row>
    <row r="135" spans="2:5" ht="20" customHeight="1">
      <c r="B135" s="472" t="s">
        <v>639</v>
      </c>
      <c r="C135" s="472"/>
      <c r="D135" s="472"/>
      <c r="E135" s="472"/>
    </row>
    <row r="136" spans="2:5" ht="20" customHeight="1">
      <c r="B136" s="8" t="s">
        <v>735</v>
      </c>
      <c r="C136" s="8" t="s">
        <v>554</v>
      </c>
      <c r="D136" s="20" t="s">
        <v>555</v>
      </c>
      <c r="E136" s="8" t="s">
        <v>222</v>
      </c>
    </row>
    <row r="137" spans="2:5" ht="20" customHeight="1">
      <c r="B137" s="21" t="s">
        <v>853</v>
      </c>
      <c r="C137" s="248" t="s">
        <v>790</v>
      </c>
      <c r="D137" s="197"/>
      <c r="E137" s="72"/>
    </row>
    <row r="138" spans="2:5" ht="20" customHeight="1">
      <c r="B138" s="21" t="s">
        <v>854</v>
      </c>
      <c r="C138" s="22" t="s">
        <v>855</v>
      </c>
      <c r="D138" s="197"/>
      <c r="E138" s="72"/>
    </row>
    <row r="139" spans="2:5" ht="20" customHeight="1">
      <c r="B139" s="21" t="s">
        <v>4948</v>
      </c>
      <c r="C139" s="22" t="s">
        <v>4949</v>
      </c>
      <c r="D139" s="197"/>
      <c r="E139" s="72"/>
    </row>
    <row r="140" spans="2:5" ht="20" customHeight="1">
      <c r="B140" s="21" t="s">
        <v>857</v>
      </c>
      <c r="C140" s="22" t="s">
        <v>858</v>
      </c>
      <c r="D140" s="197"/>
      <c r="E140" s="72"/>
    </row>
    <row r="141" spans="2:5" customFormat="1" ht="20" customHeight="1">
      <c r="B141" s="21" t="s">
        <v>4947</v>
      </c>
      <c r="C141" s="22" t="s">
        <v>4950</v>
      </c>
      <c r="D141" s="197"/>
      <c r="E141" s="72"/>
    </row>
    <row r="142" spans="2:5" ht="20" customHeight="1">
      <c r="B142" s="21" t="s">
        <v>860</v>
      </c>
      <c r="C142" s="22" t="s">
        <v>861</v>
      </c>
      <c r="D142" s="197"/>
      <c r="E142" s="72"/>
    </row>
    <row r="143" spans="2:5" ht="20" customHeight="1">
      <c r="B143" s="21" t="s">
        <v>4946</v>
      </c>
      <c r="C143" s="22" t="s">
        <v>4951</v>
      </c>
      <c r="D143" s="197"/>
      <c r="E143" s="72"/>
    </row>
    <row r="144" spans="2:5" ht="20" customHeight="1">
      <c r="B144" s="21" t="s">
        <v>863</v>
      </c>
      <c r="C144" s="22" t="s">
        <v>864</v>
      </c>
      <c r="D144" s="197"/>
      <c r="E144" s="72"/>
    </row>
    <row r="145" spans="2:5" ht="20" customHeight="1">
      <c r="B145" s="21" t="s">
        <v>4945</v>
      </c>
      <c r="C145" s="22" t="s">
        <v>4952</v>
      </c>
      <c r="D145" s="197"/>
      <c r="E145" s="72"/>
    </row>
    <row r="146" spans="2:5" ht="20" customHeight="1">
      <c r="B146" s="467" t="s">
        <v>328</v>
      </c>
      <c r="C146" s="468"/>
      <c r="D146" s="468"/>
      <c r="E146" s="469"/>
    </row>
    <row r="147" spans="2:5" ht="20" customHeight="1">
      <c r="B147" s="8" t="s">
        <v>735</v>
      </c>
      <c r="C147" s="8" t="s">
        <v>554</v>
      </c>
      <c r="D147" s="20" t="s">
        <v>555</v>
      </c>
      <c r="E147" s="8" t="s">
        <v>222</v>
      </c>
    </row>
    <row r="148" spans="2:5" ht="20" customHeight="1">
      <c r="B148" s="21" t="s">
        <v>866</v>
      </c>
      <c r="C148" s="22" t="s">
        <v>867</v>
      </c>
      <c r="D148" s="14"/>
      <c r="E148" s="18"/>
    </row>
    <row r="149" spans="2:5" s="4" customFormat="1" ht="20" customHeight="1">
      <c r="B149" s="21" t="s">
        <v>868</v>
      </c>
      <c r="C149" s="22" t="s">
        <v>869</v>
      </c>
      <c r="D149" s="14"/>
      <c r="E149" s="18"/>
    </row>
    <row r="150" spans="2:5" customFormat="1" ht="20" customHeight="1">
      <c r="B150" s="21" t="s">
        <v>870</v>
      </c>
      <c r="C150" s="22" t="s">
        <v>871</v>
      </c>
      <c r="D150" s="14"/>
      <c r="E150" s="18"/>
    </row>
    <row r="151" spans="2:5" ht="20" customHeight="1">
      <c r="B151" s="21" t="s">
        <v>872</v>
      </c>
      <c r="C151" s="22">
        <v>2048</v>
      </c>
      <c r="D151" s="14"/>
      <c r="E151" s="18"/>
    </row>
    <row r="152" spans="2:5" ht="20" customHeight="1">
      <c r="B152" s="21" t="s">
        <v>873</v>
      </c>
      <c r="C152" s="22" t="s">
        <v>874</v>
      </c>
      <c r="D152" s="170"/>
      <c r="E152" s="18"/>
    </row>
    <row r="153" spans="2:5" ht="20" customHeight="1">
      <c r="B153" s="21" t="s">
        <v>875</v>
      </c>
      <c r="C153" s="22" t="s">
        <v>876</v>
      </c>
      <c r="D153" s="14"/>
      <c r="E153" s="18"/>
    </row>
    <row r="154" spans="2:5" ht="20" customHeight="1">
      <c r="B154" s="21" t="s">
        <v>877</v>
      </c>
      <c r="C154" s="22" t="s">
        <v>291</v>
      </c>
      <c r="D154" s="14"/>
      <c r="E154" s="18"/>
    </row>
    <row r="155" spans="2:5" ht="20" customHeight="1">
      <c r="B155" s="21" t="s">
        <v>878</v>
      </c>
      <c r="C155" s="22" t="s">
        <v>879</v>
      </c>
      <c r="D155" s="14"/>
      <c r="E155" s="18"/>
    </row>
    <row r="156" spans="2:5" ht="20" customHeight="1">
      <c r="B156" s="21" t="s">
        <v>880</v>
      </c>
      <c r="C156" s="22" t="s">
        <v>881</v>
      </c>
      <c r="D156" s="14"/>
      <c r="E156" s="18"/>
    </row>
    <row r="157" spans="2:5" s="4" customFormat="1" ht="20" customHeight="1">
      <c r="B157" s="472" t="s">
        <v>882</v>
      </c>
      <c r="C157" s="472"/>
      <c r="D157" s="472"/>
      <c r="E157" s="472"/>
    </row>
    <row r="158" spans="2:5" ht="20" customHeight="1">
      <c r="B158" s="8" t="s">
        <v>735</v>
      </c>
      <c r="C158" s="8" t="s">
        <v>554</v>
      </c>
      <c r="D158" s="20" t="s">
        <v>555</v>
      </c>
      <c r="E158" s="8" t="s">
        <v>222</v>
      </c>
    </row>
    <row r="159" spans="2:5" ht="20" customHeight="1">
      <c r="B159" s="21" t="s">
        <v>883</v>
      </c>
      <c r="C159" s="22">
        <v>22</v>
      </c>
      <c r="D159" s="14"/>
      <c r="E159" s="18"/>
    </row>
    <row r="160" spans="2:5" ht="20" customHeight="1">
      <c r="B160" s="21" t="s">
        <v>884</v>
      </c>
      <c r="C160" s="22" t="s">
        <v>885</v>
      </c>
      <c r="D160" s="14"/>
      <c r="E160" s="18"/>
    </row>
    <row r="161" spans="2:5" ht="20" customHeight="1">
      <c r="B161" s="21" t="s">
        <v>886</v>
      </c>
      <c r="C161" s="22" t="s">
        <v>887</v>
      </c>
      <c r="D161" s="14"/>
      <c r="E161" s="18"/>
    </row>
    <row r="162" spans="2:5" ht="20" customHeight="1">
      <c r="B162" s="21" t="s">
        <v>888</v>
      </c>
      <c r="C162" s="22" t="s">
        <v>889</v>
      </c>
      <c r="D162" s="14"/>
      <c r="E162" s="18"/>
    </row>
    <row r="163" spans="2:5" ht="20" customHeight="1">
      <c r="B163" s="21" t="s">
        <v>890</v>
      </c>
      <c r="C163" s="22" t="s">
        <v>4098</v>
      </c>
      <c r="D163" s="14"/>
      <c r="E163" s="18"/>
    </row>
    <row r="164" spans="2:5" ht="20" customHeight="1">
      <c r="B164" s="472" t="s">
        <v>4531</v>
      </c>
      <c r="C164" s="472"/>
      <c r="D164" s="472"/>
      <c r="E164" s="472"/>
    </row>
    <row r="165" spans="2:5" ht="20" customHeight="1">
      <c r="B165" s="8" t="s">
        <v>735</v>
      </c>
      <c r="C165" s="8" t="s">
        <v>554</v>
      </c>
      <c r="D165" s="20" t="s">
        <v>555</v>
      </c>
      <c r="E165" s="8" t="s">
        <v>222</v>
      </c>
    </row>
    <row r="166" spans="2:5" ht="20" customHeight="1">
      <c r="B166" s="21" t="s">
        <v>247</v>
      </c>
      <c r="C166" s="22" t="s">
        <v>4535</v>
      </c>
      <c r="D166" s="14" t="s">
        <v>4535</v>
      </c>
      <c r="E166" s="18"/>
    </row>
    <row r="167" spans="2:5" ht="20" customHeight="1">
      <c r="B167" s="21" t="s">
        <v>4533</v>
      </c>
      <c r="C167" s="22" t="s">
        <v>4537</v>
      </c>
      <c r="D167" s="14"/>
      <c r="E167" s="18"/>
    </row>
    <row r="168" spans="2:5" ht="20" customHeight="1">
      <c r="B168" s="21" t="s">
        <v>883</v>
      </c>
      <c r="C168" s="22">
        <v>443</v>
      </c>
      <c r="D168" s="14"/>
      <c r="E168" s="18"/>
    </row>
    <row r="169" spans="2:5" ht="20" customHeight="1">
      <c r="B169" s="21" t="s">
        <v>4536</v>
      </c>
      <c r="C169" s="22" t="s">
        <v>935</v>
      </c>
      <c r="D169" s="14" t="s">
        <v>935</v>
      </c>
      <c r="E169" s="18"/>
    </row>
    <row r="170" spans="2:5" ht="20" customHeight="1">
      <c r="B170" s="472" t="s">
        <v>4534</v>
      </c>
      <c r="C170" s="472"/>
      <c r="D170" s="472"/>
      <c r="E170" s="472"/>
    </row>
    <row r="171" spans="2:5" ht="20" customHeight="1">
      <c r="B171" s="8" t="s">
        <v>735</v>
      </c>
      <c r="C171" s="8" t="s">
        <v>554</v>
      </c>
      <c r="D171" s="20" t="s">
        <v>555</v>
      </c>
      <c r="E171" s="8" t="s">
        <v>222</v>
      </c>
    </row>
    <row r="172" spans="2:5" customFormat="1" ht="20" customHeight="1">
      <c r="B172" s="21" t="s">
        <v>1686</v>
      </c>
      <c r="C172" s="22" t="s">
        <v>4538</v>
      </c>
      <c r="D172" s="14"/>
      <c r="E172" s="18"/>
    </row>
    <row r="173" spans="2:5" ht="20" customHeight="1">
      <c r="B173" s="21" t="s">
        <v>883</v>
      </c>
      <c r="C173" s="22">
        <v>443</v>
      </c>
      <c r="D173" s="14"/>
      <c r="E173" s="18"/>
    </row>
    <row r="174" spans="2:5" ht="16" customHeight="1"/>
    <row r="175" spans="2:5" ht="34" customHeight="1">
      <c r="B175" s="344" t="s">
        <v>891</v>
      </c>
      <c r="C175" s="344"/>
      <c r="D175" s="344"/>
      <c r="E175" s="344"/>
    </row>
    <row r="176" spans="2:5" ht="20" customHeight="1">
      <c r="B176" s="472" t="s">
        <v>353</v>
      </c>
      <c r="C176" s="472"/>
      <c r="D176" s="472"/>
      <c r="E176" s="472"/>
    </row>
    <row r="177" spans="2:5" ht="20" customHeight="1">
      <c r="B177" s="8" t="s">
        <v>735</v>
      </c>
      <c r="C177" s="8" t="s">
        <v>554</v>
      </c>
      <c r="D177" s="20" t="s">
        <v>555</v>
      </c>
      <c r="E177" s="8" t="s">
        <v>222</v>
      </c>
    </row>
    <row r="178" spans="2:5" ht="20" customHeight="1">
      <c r="B178" s="21" t="s">
        <v>892</v>
      </c>
      <c r="C178" s="22" t="s">
        <v>893</v>
      </c>
      <c r="D178" s="14"/>
      <c r="E178" s="18" t="s">
        <v>894</v>
      </c>
    </row>
    <row r="179" spans="2:5" ht="20" customHeight="1">
      <c r="B179" s="21" t="s">
        <v>895</v>
      </c>
      <c r="C179" s="22" t="s">
        <v>896</v>
      </c>
      <c r="D179" s="14"/>
      <c r="E179" s="18" t="s">
        <v>894</v>
      </c>
    </row>
    <row r="180" spans="2:5" ht="20" customHeight="1">
      <c r="B180" s="21" t="s">
        <v>897</v>
      </c>
      <c r="C180" s="22" t="s">
        <v>898</v>
      </c>
      <c r="D180" s="14"/>
      <c r="E180" s="18" t="s">
        <v>894</v>
      </c>
    </row>
    <row r="181" spans="2:5" ht="20" customHeight="1">
      <c r="B181" s="21" t="s">
        <v>899</v>
      </c>
      <c r="C181" s="22" t="s">
        <v>900</v>
      </c>
      <c r="D181" s="14"/>
      <c r="E181" s="18" t="s">
        <v>894</v>
      </c>
    </row>
    <row r="182" spans="2:5" ht="20" customHeight="1">
      <c r="B182" s="21" t="s">
        <v>901</v>
      </c>
      <c r="C182" s="22" t="s">
        <v>902</v>
      </c>
      <c r="D182" s="14"/>
      <c r="E182" s="18" t="s">
        <v>903</v>
      </c>
    </row>
    <row r="183" spans="2:5" customFormat="1" ht="30" customHeight="1">
      <c r="B183" s="427" t="s">
        <v>904</v>
      </c>
      <c r="C183" s="428"/>
      <c r="D183" s="428"/>
      <c r="E183" s="426"/>
    </row>
    <row r="184" spans="2:5" ht="20" customHeight="1">
      <c r="B184" s="8" t="s">
        <v>735</v>
      </c>
      <c r="C184" s="8" t="s">
        <v>554</v>
      </c>
      <c r="D184" s="20" t="s">
        <v>555</v>
      </c>
      <c r="E184" s="8" t="s">
        <v>222</v>
      </c>
    </row>
    <row r="185" spans="2:5" ht="20" customHeight="1">
      <c r="B185" s="21" t="s">
        <v>905</v>
      </c>
      <c r="C185" s="22" t="str">
        <f>CONCATENATE(other_instance,"-m01")</f>
        <v>lax-m01</v>
      </c>
      <c r="D185" s="14"/>
      <c r="E185" s="18"/>
    </row>
    <row r="186" spans="2:5" customFormat="1" ht="20" customHeight="1">
      <c r="B186" s="21" t="s">
        <v>839</v>
      </c>
      <c r="C186" s="22" t="str">
        <f>CONCATENATE(other_instance,"-m01-cl01-ds-vsan01")</f>
        <v>lax-m01-cl01-ds-vsan01</v>
      </c>
      <c r="D186" s="14"/>
      <c r="E186" s="18"/>
    </row>
    <row r="187" spans="2:5" ht="20" customHeight="1">
      <c r="B187" s="21" t="s">
        <v>906</v>
      </c>
      <c r="C187" s="22" t="str">
        <f>CONCATENATE(other_instance,"-m01-cl01")</f>
        <v>lax-m01-cl01</v>
      </c>
      <c r="D187" s="14"/>
      <c r="E187" s="18"/>
    </row>
    <row r="188" spans="2:5" ht="20" customHeight="1">
      <c r="B188" s="21" t="s">
        <v>687</v>
      </c>
      <c r="C188" s="22" t="str">
        <f>CONCATENATE(sample_mgmt_witness_sddc_domain,,"-fd-mgmt")</f>
        <v>lax-m01-fd-mgmt</v>
      </c>
      <c r="D188" s="14"/>
      <c r="E188" s="18"/>
    </row>
    <row r="189" spans="2:5" customFormat="1" ht="20" customHeight="1">
      <c r="B189" s="21" t="s">
        <v>3184</v>
      </c>
      <c r="C189" s="22" t="str">
        <f>CONCATENATE(other_instance,"01-m01-cl01-vds01-pg-mgmt")</f>
        <v>lax01-m01-cl01-vds01-pg-mgmt</v>
      </c>
      <c r="D189" s="14"/>
      <c r="E189" s="18"/>
    </row>
    <row r="190" spans="2:5" ht="16" customHeight="1"/>
    <row r="191" spans="2:5" ht="34" customHeight="1">
      <c r="B191" s="427" t="s">
        <v>907</v>
      </c>
      <c r="C191" s="428"/>
      <c r="D191" s="428"/>
      <c r="E191" s="426"/>
    </row>
    <row r="192" spans="2:5" ht="20" customHeight="1">
      <c r="B192" s="87" t="s">
        <v>908</v>
      </c>
      <c r="C192" s="87"/>
      <c r="D192" s="87"/>
      <c r="E192" s="87"/>
    </row>
    <row r="193" spans="2:5" ht="20" customHeight="1">
      <c r="B193" s="8" t="s">
        <v>735</v>
      </c>
      <c r="C193" s="8" t="s">
        <v>554</v>
      </c>
      <c r="D193" s="20" t="s">
        <v>555</v>
      </c>
      <c r="E193" s="8" t="s">
        <v>222</v>
      </c>
    </row>
    <row r="194" spans="2:5" ht="20" customHeight="1">
      <c r="B194" s="21" t="s">
        <v>637</v>
      </c>
      <c r="C194" s="22" t="str">
        <f>sample_mgmt_vc_hostname</f>
        <v>sfo-m01-vc01</v>
      </c>
      <c r="D194" s="14"/>
      <c r="E194" s="72"/>
    </row>
    <row r="195" spans="2:5" ht="20" customHeight="1">
      <c r="B195" s="21" t="s">
        <v>906</v>
      </c>
      <c r="C195" s="22" t="s">
        <v>909</v>
      </c>
      <c r="D195" s="14"/>
      <c r="E195" s="18"/>
    </row>
    <row r="196" spans="2:5" ht="20" customHeight="1">
      <c r="B196" s="21" t="s">
        <v>910</v>
      </c>
      <c r="C196" s="22" t="s">
        <v>911</v>
      </c>
      <c r="D196" s="14"/>
      <c r="E196" s="18"/>
    </row>
    <row r="197" spans="2:5" ht="20" customHeight="1">
      <c r="B197" s="21" t="s">
        <v>912</v>
      </c>
      <c r="C197" s="22" t="str">
        <f>CONCATENATE(sample_wld_cl01_cluster,"-image")</f>
        <v>sfo-w01-cl01-image</v>
      </c>
      <c r="D197" s="14"/>
      <c r="E197" s="18"/>
    </row>
    <row r="198" spans="2:5" ht="20" customHeight="1">
      <c r="B198" s="467" t="s">
        <v>353</v>
      </c>
      <c r="C198" s="468"/>
      <c r="D198" s="468"/>
      <c r="E198" s="469"/>
    </row>
    <row r="199" spans="2:5" ht="20" customHeight="1">
      <c r="B199" s="8" t="s">
        <v>735</v>
      </c>
      <c r="C199" s="8" t="s">
        <v>554</v>
      </c>
      <c r="D199" s="20" t="s">
        <v>555</v>
      </c>
      <c r="E199" s="8" t="s">
        <v>222</v>
      </c>
    </row>
    <row r="200" spans="2:5" ht="20" customHeight="1">
      <c r="B200" s="21" t="s">
        <v>913</v>
      </c>
      <c r="C200" s="22" t="str">
        <f>CONCATENATE(this_instance,"-w0",wld_domain_number_chosen)</f>
        <v>sfo-w01</v>
      </c>
      <c r="D200" s="14"/>
      <c r="E200" s="18"/>
    </row>
    <row r="201" spans="2:5" ht="20" customHeight="1">
      <c r="B201" s="21" t="s">
        <v>914</v>
      </c>
      <c r="C201" s="22" t="s">
        <v>291</v>
      </c>
      <c r="D201" s="14"/>
      <c r="E201" s="18"/>
    </row>
    <row r="202" spans="2:5" ht="20" customHeight="1">
      <c r="B202" s="21" t="s">
        <v>915</v>
      </c>
      <c r="C202" s="22" t="str">
        <f>CONCATENATE(this_instance,"-w0",wld_domain_number_chosen,".local")</f>
        <v>sfo-w01.local</v>
      </c>
      <c r="D202" s="14"/>
      <c r="E202" s="18"/>
    </row>
    <row r="203" spans="2:5" ht="20" customHeight="1">
      <c r="B203" s="21" t="s">
        <v>916</v>
      </c>
      <c r="C203" s="22" t="s">
        <v>4098</v>
      </c>
      <c r="D203" s="104"/>
      <c r="E203" s="18"/>
    </row>
    <row r="204" spans="2:5" ht="20" customHeight="1">
      <c r="B204" s="21" t="s">
        <v>892</v>
      </c>
      <c r="C204" s="22" t="s">
        <v>893</v>
      </c>
      <c r="D204" s="14"/>
      <c r="E204" s="18" t="s">
        <v>894</v>
      </c>
    </row>
    <row r="205" spans="2:5" ht="20" customHeight="1">
      <c r="B205" s="21" t="s">
        <v>895</v>
      </c>
      <c r="C205" s="22" t="s">
        <v>896</v>
      </c>
      <c r="D205" s="14"/>
      <c r="E205" s="18" t="s">
        <v>894</v>
      </c>
    </row>
    <row r="206" spans="2:5" ht="20" customHeight="1">
      <c r="B206" s="21" t="s">
        <v>897</v>
      </c>
      <c r="C206" s="22" t="s">
        <v>898</v>
      </c>
      <c r="D206" s="14"/>
      <c r="E206" s="18" t="s">
        <v>894</v>
      </c>
    </row>
    <row r="207" spans="2:5" ht="20" customHeight="1">
      <c r="B207" s="21" t="s">
        <v>899</v>
      </c>
      <c r="C207" s="22" t="s">
        <v>900</v>
      </c>
      <c r="D207" s="14"/>
      <c r="E207" s="18" t="s">
        <v>894</v>
      </c>
    </row>
    <row r="208" spans="2:5" ht="20" customHeight="1">
      <c r="B208" s="21" t="s">
        <v>917</v>
      </c>
      <c r="C208" s="22" t="s">
        <v>902</v>
      </c>
      <c r="D208" s="14"/>
      <c r="E208" s="18" t="s">
        <v>918</v>
      </c>
    </row>
    <row r="209" spans="2:5" ht="20" customHeight="1">
      <c r="B209" s="467" t="s">
        <v>841</v>
      </c>
      <c r="C209" s="468"/>
      <c r="D209" s="468"/>
      <c r="E209" s="469"/>
    </row>
    <row r="210" spans="2:5" ht="20" customHeight="1">
      <c r="B210" s="8" t="s">
        <v>735</v>
      </c>
      <c r="C210" s="8" t="s">
        <v>554</v>
      </c>
      <c r="D210" s="20" t="s">
        <v>555</v>
      </c>
      <c r="E210" s="8" t="s">
        <v>222</v>
      </c>
    </row>
    <row r="211" spans="2:5" ht="20" customHeight="1">
      <c r="B211" s="21" t="s">
        <v>842</v>
      </c>
      <c r="C211" s="22" t="str">
        <f>CONCATENATE(this_instance,"-w0",wld_domain_number_chosen,"-DC")</f>
        <v>sfo-w01-DC</v>
      </c>
      <c r="D211" s="14"/>
      <c r="E211" s="18" t="s">
        <v>919</v>
      </c>
    </row>
    <row r="212" spans="2:5" ht="20" customHeight="1">
      <c r="B212" s="467" t="s">
        <v>843</v>
      </c>
      <c r="C212" s="468"/>
      <c r="D212" s="468"/>
      <c r="E212" s="469"/>
    </row>
    <row r="213" spans="2:5" ht="20" customHeight="1">
      <c r="B213" s="8" t="s">
        <v>735</v>
      </c>
      <c r="C213" s="8" t="s">
        <v>554</v>
      </c>
      <c r="D213" s="20" t="s">
        <v>555</v>
      </c>
      <c r="E213" s="8" t="s">
        <v>222</v>
      </c>
    </row>
    <row r="214" spans="2:5" ht="20" customHeight="1">
      <c r="B214" s="21" t="s">
        <v>920</v>
      </c>
      <c r="C214" s="22" t="str">
        <f>CONCATENATE(this_instance,"-w0",wld_domain_number_chosen,"-cl01")</f>
        <v>sfo-w01-cl01</v>
      </c>
      <c r="D214" s="14"/>
      <c r="E214" s="18"/>
    </row>
    <row r="215" spans="2:5" ht="20" customHeight="1">
      <c r="B215" s="21" t="s">
        <v>845</v>
      </c>
      <c r="C215" s="22" t="s">
        <v>452</v>
      </c>
      <c r="D215" s="14"/>
      <c r="E215" s="18"/>
    </row>
    <row r="216" spans="2:5" ht="20" customHeight="1">
      <c r="B216" s="467" t="s">
        <v>3476</v>
      </c>
      <c r="C216" s="468"/>
      <c r="D216" s="468"/>
      <c r="E216" s="469"/>
    </row>
    <row r="217" spans="2:5" customFormat="1" ht="20" customHeight="1">
      <c r="B217" s="8" t="s">
        <v>735</v>
      </c>
      <c r="C217" s="8" t="s">
        <v>554</v>
      </c>
      <c r="D217" s="20" t="s">
        <v>555</v>
      </c>
      <c r="E217" s="8" t="s">
        <v>222</v>
      </c>
    </row>
    <row r="218" spans="2:5" ht="20" customHeight="1">
      <c r="B218" s="21" t="s">
        <v>3476</v>
      </c>
      <c r="C218" s="22" t="s">
        <v>348</v>
      </c>
      <c r="D218" s="14" t="s">
        <v>348</v>
      </c>
      <c r="E218" s="18" t="str">
        <f>IF(input_wld_cl01_vds_profile="Custom","Use the UI in SDDC Manager to define the Virtual Distributed Switch Configuration","")</f>
        <v/>
      </c>
    </row>
    <row r="219" spans="2:5" ht="20" customHeight="1">
      <c r="B219" s="21" t="s">
        <v>3477</v>
      </c>
      <c r="C219" s="22" t="str">
        <f>CONCATENATE(sample_wld_cl01_cluster,"-vds01")</f>
        <v>sfo-w01-cl01-vds01</v>
      </c>
      <c r="D219" s="14"/>
      <c r="E219" s="18"/>
    </row>
    <row r="220" spans="2:5" ht="20" customHeight="1">
      <c r="B220" s="21" t="s">
        <v>793</v>
      </c>
      <c r="C220" s="22" t="s">
        <v>794</v>
      </c>
      <c r="D220" s="18" t="s">
        <v>794</v>
      </c>
      <c r="E220" s="18"/>
    </row>
    <row r="221" spans="2:5" ht="20" customHeight="1">
      <c r="B221" s="21" t="s">
        <v>3481</v>
      </c>
      <c r="C221" s="22">
        <v>9000</v>
      </c>
      <c r="D221" s="14"/>
      <c r="E221" s="18"/>
    </row>
    <row r="222" spans="2:5" ht="20" customHeight="1">
      <c r="B222" s="21" t="s">
        <v>1270</v>
      </c>
      <c r="C222" s="22" t="str">
        <f>CONCATENATE(sample_wld_cl01_cluster,"-vds02")</f>
        <v>sfo-w01-cl01-vds02</v>
      </c>
      <c r="D222" s="14"/>
      <c r="E222" s="18" t="str">
        <f>IF(AND(input_wld_cl01_vds02_name="",input_wld_cl01_vds_profile="NSX Traffic Separation"),"Please input Name for Secondary vSphere Distributed vSwitch",IF(AND(input_wld_cl01_vds02_name="",input_wld_cl01_vds_profile="Storage Traffic and NSX Traffic Separation"),"Please input Name for Secondary vSphere Distributed vSwitch",IF(input_wld_cl01_vds_profile="NSX Traffic Separation","NSX Overlay will be configured on "&amp;input_wld_cl01_vds02_name,IF(AND(input_wld_cl01_vds01_name="",input_wld_cl01_vds_profile="Storage Traffic Separation"),"Please input Name for Secondary vSphere Distributed vSwitch",IF(input_wld_cl01_vds_profile="Storage Traffic Separation","vSAN will be configured on "&amp;input_wld_cl01_vds02_name,IF(input_wld_cl01_vds_profile="Storage Traffic and NSX Traffic Separation","vSAN will be configured on "&amp;input_wld_cl01_vds02_name,""))))))</f>
        <v/>
      </c>
    </row>
    <row r="223" spans="2:5" ht="20" customHeight="1">
      <c r="B223" s="21" t="s">
        <v>1273</v>
      </c>
      <c r="C223" s="22" t="s">
        <v>799</v>
      </c>
      <c r="D223" s="18" t="str">
        <f>IF(input_wld_cl01_vds_profile="Default","",IF(wld_cl01_vds_profile="Custom","",IF(wld_cl01_vds_profile="Storage Traffic Separation","vmnic2,vmnic3",IF(wld_cl01_vds_profile="NSX Traffic Separation","vmnic2,vmnic3",IF(wld_cl01_vds_profile="Storage Traffic and NSX Traffic Separation","vmnic2,vmnic3",)))))</f>
        <v/>
      </c>
      <c r="E223" s="18"/>
    </row>
    <row r="224" spans="2:5" ht="20" customHeight="1">
      <c r="B224" s="21" t="s">
        <v>1276</v>
      </c>
      <c r="C224" s="22">
        <v>9000</v>
      </c>
      <c r="D224" s="18" t="str">
        <f>IF(input_wld_cl01_vds_profile="Storage Traffic Separation","9000",IF(input_wld_cl01_vds_profile="custom","",IF(input_wld_cl01_vds_profile="NSX Traffic Separation","9000",IF(input_wld_cl01_vds_profile="Storage Traffic and NSX Traffic Separation","9000",""))))</f>
        <v/>
      </c>
      <c r="E224" s="18"/>
    </row>
    <row r="225" spans="2:5" ht="20" customHeight="1">
      <c r="B225" s="21" t="s">
        <v>3478</v>
      </c>
      <c r="C225" s="22" t="str">
        <f>CONCATENATE(sample_wld_cl01_cluster,"-vds03")</f>
        <v>sfo-w01-cl01-vds03</v>
      </c>
      <c r="D225" s="14"/>
      <c r="E225" s="18" t="str">
        <f>IF(AND(input_wld_cl01_vds03_name="",input_wld_cl01_vds_profile="Storage Traffic and NSX Traffic Separation"),"Plese input Name for Tertiary vSphere Distributed vSwitch",IF(input_wld_cl01_vds_profile="Storage Traffic and NSX Traffic Separation","NSX Overlay will be configured on "&amp;input_wld_cl01_vds03_name,""))</f>
        <v/>
      </c>
    </row>
    <row r="226" spans="2:5" ht="20" customHeight="1">
      <c r="B226" s="21" t="s">
        <v>3479</v>
      </c>
      <c r="C226" s="22" t="s">
        <v>3480</v>
      </c>
      <c r="D226" s="18" t="str">
        <f>IF(input_wld_cl01_vds_profile="Default","",IF(wld_cl01_vds_profile="Custom","",IF(wld_cl01_vds_profile="Storage Traffic Separation","",IF(wld_cl01_vds_profile="NSX Traffic Separation","",IF(wld_cl01_vds_profile="Storage Traffic and NSX Traffic Separation","vmnic4,vmnic5",)))))</f>
        <v/>
      </c>
      <c r="E226" s="18"/>
    </row>
    <row r="227" spans="2:5" ht="20" customHeight="1">
      <c r="B227" s="21" t="s">
        <v>3482</v>
      </c>
      <c r="C227" s="22">
        <v>9000</v>
      </c>
      <c r="D227" s="18" t="str">
        <f>IF(input_wld_cl01_vds_profile="Storage Traffic and NSX Traffic Separation","9000","")</f>
        <v/>
      </c>
      <c r="E227" s="18"/>
    </row>
    <row r="228" spans="2:5" ht="20" customHeight="1">
      <c r="B228" s="21" t="s">
        <v>3184</v>
      </c>
      <c r="C228" s="22" t="str">
        <f>CONCATENATE(sample_wld_cl01_vds01_name,"-pg-vm-mgmt")</f>
        <v>sfo-w01-cl01-vds01-pg-vm-mgmt</v>
      </c>
      <c r="D228" s="14"/>
      <c r="E228" s="18"/>
    </row>
    <row r="229" spans="2:5" ht="20" customHeight="1">
      <c r="B229" s="21" t="s">
        <v>4235</v>
      </c>
      <c r="C229" s="22" t="str">
        <f>CONCATENATE(sample_wld_cl01_vds01_name,"-pg-esxi-mgmt")</f>
        <v>sfo-w01-cl01-vds01-pg-esxi-mgmt</v>
      </c>
      <c r="D229" s="14"/>
      <c r="E229" s="18" t="str">
        <f>IF(input_wld_cl01_vds_profile="Storage Traffic Separation",input_wld_cl01_az1_mgmt_pg&amp;" will be created on "&amp;input_wld_cl01_vds01_name,IF(input_wld_cl01_vds_profile="NSX Traffic Separation",input_wld_cl01_az1_mgmt_pg &amp;" will be created on "&amp;input_wld_cl01_vds01_name,IF(input_wld_cl01_vds_profile="Storage Traffic and NSX Traffic Separation",input_wld_cl01_az1_mgmt_pg&amp;" will be created on "&amp;input_wld_cl01_vds01_name,IF(input_wld_cl01_vds_profile="Custom","",""))))</f>
        <v/>
      </c>
    </row>
    <row r="230" spans="2:5" ht="20" customHeight="1">
      <c r="B230" s="21" t="s">
        <v>803</v>
      </c>
      <c r="C230" s="22" t="str">
        <f>CONCATENATE(sample_wld_cl01_vds01_name,"-pg-vmotion")</f>
        <v>sfo-w01-cl01-vds01-pg-vmotion</v>
      </c>
      <c r="D230" s="14"/>
      <c r="E230" s="18" t="str">
        <f>IF(input_wld_cl01_vds_profile="Storage Traffic Separation",input_wld_cl01_az1_vmotion_pg&amp;" will be created on "&amp;input_wld_cl01_vds01_name,IF(input_wld_cl01_vds_profile="NSX Traffic Separation",input_wld_cl01_az1_vmotion_pg&amp;" will be created on "&amp;input_wld_cl01_vds01_name,IF(input_wld_cl01_vds_profile="Storage Traffic and NSX Traffic Separation",input_wld_cl01_az1_vmotion_pg&amp;" will be created on "&amp;input_wld_cl01_vds01_name,IF(input_wld_cl01_vds_profile="Custom","",""))))</f>
        <v/>
      </c>
    </row>
    <row r="231" spans="2:5" ht="20" customHeight="1">
      <c r="B231" s="21" t="s">
        <v>804</v>
      </c>
      <c r="C231" s="22" t="str">
        <f>CONCATENATE(sample_wld_cl01_vds01_name,"-pg-vsan")</f>
        <v>sfo-w01-cl01-vds01-pg-vsan</v>
      </c>
      <c r="D231" s="14"/>
      <c r="E231" s="18" t="str">
        <f>IF(input_wld_cl01_vds_profile="Storage Traffic Separation",input_wld_cl01_az1_principal_storage_pg&amp;" will be created on "&amp;input_wld_cl01_vds02_name,IF(input_wld_cl01_vds_profile="NSX Traffic Separation",input_wld_cl01_az1_principal_storage_pg&amp;" will be created on " &amp;input_wld_cl01_vds01_name,IF(input_wld_cl01_vds_profile="Storage Traffic and NSX Traffic Separation",input_wld_cl01_az1_principal_storage_pg&amp;" will be created on "&amp;input_wld_cl01_vds02_name,IF(input_wld_cl01_vds_profile="Custom","",""))))</f>
        <v/>
      </c>
    </row>
    <row r="232" spans="2:5" customFormat="1" ht="20" customHeight="1">
      <c r="B232" s="21" t="s">
        <v>808</v>
      </c>
      <c r="C232" s="25" t="str">
        <f>CONCATENATE(sample_wld_sddc_domain,"-cl01-vds01","-pg-uplink01")</f>
        <v>sfo-w01-cl01-vds01-pg-uplink01</v>
      </c>
      <c r="D232" s="14"/>
      <c r="E232" s="18"/>
    </row>
    <row r="233" spans="2:5" ht="20" customHeight="1">
      <c r="B233" s="21" t="s">
        <v>809</v>
      </c>
      <c r="C233" s="25" t="str">
        <f>CONCATENATE(sample_wld_sddc_domain,"-cl01-vds01","-pg-uplink02")</f>
        <v>sfo-w01-cl01-vds01-pg-uplink02</v>
      </c>
      <c r="D233" s="14"/>
      <c r="E233" s="18"/>
    </row>
    <row r="234" spans="2:5" ht="20" customHeight="1">
      <c r="B234" s="467" t="s">
        <v>4092</v>
      </c>
      <c r="C234" s="468"/>
      <c r="D234" s="468"/>
      <c r="E234" s="469"/>
    </row>
    <row r="235" spans="2:5" ht="20" customHeight="1">
      <c r="B235" s="8" t="s">
        <v>735</v>
      </c>
      <c r="C235" s="8" t="s">
        <v>554</v>
      </c>
      <c r="D235" s="20" t="s">
        <v>555</v>
      </c>
      <c r="E235" s="8" t="s">
        <v>222</v>
      </c>
    </row>
    <row r="236" spans="2:5" customFormat="1" ht="20" customHeight="1">
      <c r="B236" s="21" t="s">
        <v>922</v>
      </c>
      <c r="C236" s="25" t="str">
        <f>CONCATENATE(this_instance,"-w0",wld_domain_number_chosen,"-ecp01")</f>
        <v>sfo-w01-ecp01</v>
      </c>
      <c r="D236" s="14"/>
      <c r="E236" s="18"/>
    </row>
    <row r="237" spans="2:5" ht="20" customHeight="1">
      <c r="B237" s="21" t="s">
        <v>810</v>
      </c>
      <c r="C237" s="22" t="str">
        <f>CONCATENATE(this_instance,"-w0",wld_domain_number_chosen,"-ec01")</f>
        <v>sfo-w01-ec01</v>
      </c>
      <c r="D237" s="14"/>
      <c r="E237" s="18"/>
    </row>
    <row r="238" spans="2:5" ht="20" customHeight="1">
      <c r="B238" s="21" t="s">
        <v>811</v>
      </c>
      <c r="C238" s="22" t="s">
        <v>348</v>
      </c>
      <c r="D238" s="14" t="s">
        <v>348</v>
      </c>
      <c r="E238" s="18"/>
    </row>
    <row r="239" spans="2:5" ht="20" customHeight="1">
      <c r="B239" s="21" t="s">
        <v>923</v>
      </c>
      <c r="C239" s="22" t="s">
        <v>345</v>
      </c>
      <c r="D239" s="14"/>
      <c r="E239" s="18"/>
    </row>
    <row r="240" spans="2:5" customFormat="1" ht="20" customHeight="1">
      <c r="B240" s="21" t="s">
        <v>814</v>
      </c>
      <c r="C240" s="25" t="str">
        <f>CONCATENATE(this_instance,"-w0",wld_domain_number_chosen,"-ec01-t0-gw01")</f>
        <v>sfo-w01-ec01-t0-gw01</v>
      </c>
      <c r="D240" s="14"/>
      <c r="E240" s="18"/>
    </row>
    <row r="241" spans="2:5" ht="20" customHeight="1">
      <c r="B241" s="21" t="s">
        <v>815</v>
      </c>
      <c r="C241" s="25" t="str">
        <f>CONCATENATE(this_instance,"-w0",wld_domain_number_chosen,"-ec01-t1-gw01")</f>
        <v>sfo-w01-ec01-t1-gw01</v>
      </c>
      <c r="D241" s="14"/>
      <c r="E241" s="18"/>
    </row>
    <row r="242" spans="2:5" ht="20" customHeight="1">
      <c r="B242" s="467" t="s">
        <v>4093</v>
      </c>
      <c r="C242" s="468"/>
      <c r="D242" s="468"/>
      <c r="E242" s="469"/>
    </row>
    <row r="243" spans="2:5" ht="20" customHeight="1">
      <c r="B243" s="8" t="s">
        <v>735</v>
      </c>
      <c r="C243" s="8" t="s">
        <v>554</v>
      </c>
      <c r="D243" s="20" t="s">
        <v>555</v>
      </c>
      <c r="E243" s="8" t="s">
        <v>222</v>
      </c>
    </row>
    <row r="244" spans="2:5" s="4" customFormat="1" ht="20" customHeight="1">
      <c r="B244" s="21" t="s">
        <v>816</v>
      </c>
      <c r="C244" s="25" t="str">
        <f>CONCATENATE(this_instance,"-w0",wld_domain_number_chosen,"-pl01-rtep")</f>
        <v>sfo-w01-pl01-rtep</v>
      </c>
      <c r="D244" s="14"/>
      <c r="E244" s="18"/>
    </row>
    <row r="245" spans="2:5" customFormat="1" ht="20" customHeight="1">
      <c r="B245" s="21" t="s">
        <v>817</v>
      </c>
      <c r="C245" s="22" t="s">
        <v>818</v>
      </c>
      <c r="D245" s="14"/>
      <c r="E245" s="18" t="s">
        <v>924</v>
      </c>
    </row>
    <row r="246" spans="2:5" ht="20" customHeight="1">
      <c r="B246" s="21" t="s">
        <v>820</v>
      </c>
      <c r="C246" s="25" t="s">
        <v>925</v>
      </c>
      <c r="D246" s="14"/>
      <c r="E246" s="94" t="s">
        <v>822</v>
      </c>
    </row>
    <row r="247" spans="2:5" ht="20" customHeight="1">
      <c r="B247" s="21" t="s">
        <v>823</v>
      </c>
      <c r="C247" s="25" t="s">
        <v>926</v>
      </c>
      <c r="D247" s="14"/>
      <c r="E247" s="94" t="s">
        <v>822</v>
      </c>
    </row>
    <row r="248" spans="2:5" ht="20" customHeight="1">
      <c r="B248" s="21" t="s">
        <v>825</v>
      </c>
      <c r="C248" s="22" t="str">
        <f>CONCATENATE(sample_wld_sddc_domain,"-anti-affinity-rule-nsx-global-managers")</f>
        <v>sfo-w01-anti-affinity-rule-nsx-global-managers</v>
      </c>
      <c r="D248" s="14"/>
      <c r="E248" s="94"/>
    </row>
    <row r="249" spans="2:5" ht="20" customHeight="1">
      <c r="B249" s="21" t="s">
        <v>927</v>
      </c>
      <c r="C249" s="25" t="s">
        <v>928</v>
      </c>
      <c r="D249" s="14"/>
      <c r="E249" s="18" t="s">
        <v>929</v>
      </c>
    </row>
    <row r="250" spans="2:5" ht="20" customHeight="1">
      <c r="B250" s="21" t="s">
        <v>829</v>
      </c>
      <c r="C250" s="25" t="str">
        <f>CONCATENATE(this_instance,"-w0",wld_domain_number_chosen,"-nsx-gm01")</f>
        <v>sfo-w01-nsx-gm01</v>
      </c>
      <c r="D250" s="14"/>
      <c r="E250" s="18"/>
    </row>
    <row r="251" spans="2:5" ht="20" customHeight="1">
      <c r="B251" s="21" t="s">
        <v>830</v>
      </c>
      <c r="C251" s="25" t="str">
        <f>CONCATENATE(this_instance,"-w0",wld_domain_number_chosen,)</f>
        <v>sfo-w01</v>
      </c>
      <c r="D251" s="14"/>
      <c r="E251" s="18"/>
    </row>
    <row r="252" spans="2:5" s="4" customFormat="1" ht="20" customHeight="1">
      <c r="B252" s="21" t="s">
        <v>831</v>
      </c>
      <c r="C252" s="25" t="str">
        <f>CONCATENATE(prefix_portable_component,"-w0",wld_domain_number_chosen,"-ec01-t1-gw01")</f>
        <v>xint-w01-ec01-t1-gw01</v>
      </c>
      <c r="D252" s="14"/>
      <c r="E252" s="18"/>
    </row>
    <row r="253" spans="2:5" ht="20" customHeight="1">
      <c r="B253" s="21" t="s">
        <v>832</v>
      </c>
      <c r="C253" s="22" t="s">
        <v>930</v>
      </c>
      <c r="D253" s="14"/>
      <c r="E253" s="94" t="s">
        <v>834</v>
      </c>
    </row>
    <row r="254" spans="2:5" ht="20" customHeight="1">
      <c r="B254" s="21" t="s">
        <v>835</v>
      </c>
      <c r="C254" s="22" t="str">
        <f>IF(mgmt_domain_chosen="First Domain",CONCATENATE(this_instance,"-w01-nsx-gm01.",this_instance,".",sample_parent_dns_zone),CONCATENATE(other_instance,"-w01-nsx-gm01.",other_instance,".",sample_parent_dns_zone))</f>
        <v>sfo-w01-nsx-gm01.sfo.rainpole.io</v>
      </c>
      <c r="D254" s="14"/>
      <c r="E254" s="94" t="s">
        <v>836</v>
      </c>
    </row>
    <row r="255" spans="2:5" ht="20" customHeight="1">
      <c r="B255" s="21" t="s">
        <v>837</v>
      </c>
      <c r="C255" s="22" t="str">
        <f>IF(mgmt_domain_chosen="First Domain",CONCATENATE(this_instance,"-w01-ec01-t0-gw01"),CONCATENATE(other_instance,"-w01-ec01-t0-gw01"))</f>
        <v>sfo-w01-ec01-t0-gw01</v>
      </c>
      <c r="D255" s="14"/>
      <c r="E255" s="94" t="s">
        <v>836</v>
      </c>
    </row>
    <row r="256" spans="2:5" ht="20" customHeight="1">
      <c r="B256" s="476" t="s">
        <v>4270</v>
      </c>
      <c r="C256" s="477"/>
      <c r="D256" s="477"/>
      <c r="E256" s="478"/>
    </row>
    <row r="257" spans="2:5" ht="20" customHeight="1">
      <c r="B257" s="8" t="s">
        <v>735</v>
      </c>
      <c r="C257" s="8" t="s">
        <v>554</v>
      </c>
      <c r="D257" s="20" t="s">
        <v>555</v>
      </c>
      <c r="E257" s="8" t="s">
        <v>222</v>
      </c>
    </row>
    <row r="258" spans="2:5" ht="20" customHeight="1">
      <c r="B258" s="21" t="s">
        <v>4266</v>
      </c>
      <c r="C258" s="22" t="str">
        <f>CONCATENATE(this_instance,"-w0",wld_domain_number_chosen,"-avilb01")</f>
        <v>sfo-w01-avilb01</v>
      </c>
      <c r="D258" s="14"/>
      <c r="E258" s="94"/>
    </row>
    <row r="259" spans="2:5" ht="20" customHeight="1">
      <c r="B259" s="21" t="s">
        <v>4271</v>
      </c>
      <c r="C259" s="22" t="s">
        <v>4272</v>
      </c>
      <c r="D259" s="14"/>
      <c r="E259" s="94"/>
    </row>
    <row r="260" spans="2:5" s="4" customFormat="1" ht="20" customHeight="1">
      <c r="B260" s="467" t="s">
        <v>931</v>
      </c>
      <c r="C260" s="468"/>
      <c r="D260" s="468"/>
      <c r="E260" s="469"/>
    </row>
    <row r="261" spans="2:5" customFormat="1" ht="20" customHeight="1">
      <c r="B261" s="8" t="s">
        <v>735</v>
      </c>
      <c r="C261" s="8" t="s">
        <v>554</v>
      </c>
      <c r="D261" s="8" t="s">
        <v>555</v>
      </c>
      <c r="E261" s="8" t="s">
        <v>222</v>
      </c>
    </row>
    <row r="262" spans="2:5" ht="20" customHeight="1">
      <c r="B262" s="21" t="s">
        <v>932</v>
      </c>
      <c r="C262" s="22" t="str">
        <f>CONCATENATE(sample_wld_sddc_domain,"-",sample_wld_cl01_cluster,"-vsan01")</f>
        <v>sfo-w01-sfo-w01-cl01-vsan01</v>
      </c>
      <c r="D262" s="18" t="str">
        <f>IF(OR((wld_sddc_domain="Value Missing"),(wld_cl01_cluster="Value Missing")),"",CONCATENATE(wld_sddc_domain,"-",wld_cl01_cluster,"-vsan01"))</f>
        <v/>
      </c>
      <c r="E262" s="18" t="s">
        <v>919</v>
      </c>
    </row>
    <row r="263" spans="2:5" ht="20" customHeight="1">
      <c r="B263" s="21" t="str">
        <f>IF(wld_principal_storage_chosen="vSAN-ESA","Storage Policy", "vSAN: Failures to Tolerate (FTT)")</f>
        <v>Storage Policy</v>
      </c>
      <c r="C263" s="22">
        <v>1</v>
      </c>
      <c r="D263" s="14">
        <v>1</v>
      </c>
      <c r="E263" s="18"/>
    </row>
    <row r="264" spans="2:5" ht="20" customHeight="1">
      <c r="B264" s="21" t="s">
        <v>934</v>
      </c>
      <c r="C264" s="22" t="s">
        <v>935</v>
      </c>
      <c r="D264" s="14"/>
      <c r="E264" s="18"/>
    </row>
    <row r="265" spans="2:5" ht="20" customHeight="1">
      <c r="B265" s="96" t="s">
        <v>936</v>
      </c>
      <c r="C265" s="22" t="str">
        <f>CONCATENATE(this_instance,"-w0",wld_domain_number_chosen,"-cl01-ds-vmfs01")</f>
        <v>sfo-w01-cl01-ds-vmfs01</v>
      </c>
      <c r="D265" s="14"/>
      <c r="E265" s="18"/>
    </row>
    <row r="266" spans="2:5" ht="20" customHeight="1">
      <c r="B266" s="55" t="s">
        <v>937</v>
      </c>
      <c r="C266" s="22" t="str">
        <f>CONCATENATE(this_instance,"-w0",wld_domain_number_chosen,"-cl01-ds-vvols01")</f>
        <v>sfo-w01-cl01-ds-vvols01</v>
      </c>
      <c r="D266" s="14"/>
      <c r="E266" s="18"/>
    </row>
    <row r="267" spans="2:5" ht="20" customHeight="1">
      <c r="B267" s="52" t="s">
        <v>938</v>
      </c>
      <c r="C267" s="22" t="str">
        <f>CONCATENATE(this_instance,"-vvols-array")</f>
        <v>sfo-vvols-array</v>
      </c>
      <c r="D267" s="14"/>
      <c r="E267" s="18" t="s">
        <v>939</v>
      </c>
    </row>
    <row r="268" spans="2:5" ht="20" customHeight="1">
      <c r="B268" s="55" t="s">
        <v>940</v>
      </c>
      <c r="C268" s="22" t="str">
        <f>CONCATENATE("https://vvols-array.",sample_child_dns_zone,":8443/version.xml")</f>
        <v>https://vvols-array.sfo.rainpole.io:8443/version.xml</v>
      </c>
      <c r="D268" s="14"/>
      <c r="E268" s="18"/>
    </row>
    <row r="269" spans="2:5" ht="20" customHeight="1">
      <c r="B269" s="55" t="s">
        <v>941</v>
      </c>
      <c r="C269" s="22" t="s">
        <v>942</v>
      </c>
      <c r="D269" s="14"/>
      <c r="E269" s="18"/>
    </row>
    <row r="270" spans="2:5" ht="20" customHeight="1">
      <c r="B270" s="55" t="s">
        <v>943</v>
      </c>
      <c r="C270" s="22" t="s">
        <v>4098</v>
      </c>
      <c r="D270" s="14"/>
      <c r="E270" s="18"/>
    </row>
    <row r="271" spans="2:5" ht="20" customHeight="1">
      <c r="B271" s="55" t="s">
        <v>944</v>
      </c>
      <c r="C271" s="22" t="str">
        <f>CONCATENATE(this_instance,"-w0",wld_domain_number_chosen,"-container")</f>
        <v>sfo-w01-container</v>
      </c>
      <c r="D271" s="14"/>
      <c r="E271" s="18"/>
    </row>
    <row r="272" spans="2:5" ht="20" customHeight="1">
      <c r="B272" s="55" t="s">
        <v>945</v>
      </c>
      <c r="C272" s="22" t="str">
        <f>CONCATENATE(this_instance,"-w0",wld_domain_number_chosen,"-cl01-ds-nfs01")</f>
        <v>sfo-w01-cl01-ds-nfs01</v>
      </c>
      <c r="D272" s="14"/>
      <c r="E272" s="18"/>
    </row>
    <row r="273" spans="2:5" ht="20" customHeight="1">
      <c r="B273" s="55" t="s">
        <v>946</v>
      </c>
      <c r="C273" s="22" t="str">
        <f>CONCATENATE(this_instance,"-w0",wld_domain_number_chosen,"-cl01-ds-nfs01-share")</f>
        <v>sfo-w01-cl01-ds-nfs01-share</v>
      </c>
      <c r="D273" s="14"/>
      <c r="E273" s="18"/>
    </row>
    <row r="274" spans="2:5" ht="20" customHeight="1">
      <c r="B274" s="55" t="s">
        <v>947</v>
      </c>
      <c r="C274" s="22" t="str">
        <f>CONCATENATE(prefix_wld_az1_cidr,"15.4")</f>
        <v>10.13.15.4</v>
      </c>
      <c r="D274" s="14"/>
      <c r="E274" s="18"/>
    </row>
    <row r="275" spans="2:5" ht="20" customHeight="1">
      <c r="B275" s="467" t="s">
        <v>948</v>
      </c>
      <c r="C275" s="468"/>
      <c r="D275" s="468"/>
      <c r="E275" s="469"/>
    </row>
    <row r="276" spans="2:5" ht="20" customHeight="1">
      <c r="B276" s="8" t="s">
        <v>735</v>
      </c>
      <c r="C276" s="8" t="s">
        <v>554</v>
      </c>
      <c r="D276" s="20" t="s">
        <v>555</v>
      </c>
      <c r="E276" s="8" t="s">
        <v>222</v>
      </c>
    </row>
    <row r="277" spans="2:5" ht="20" customHeight="1">
      <c r="B277" s="21" t="s">
        <v>949</v>
      </c>
      <c r="C277" s="25" t="str">
        <f>CONCATENATE(this_instance,"-w0",wld_domain_number_chosen,"-ns01")</f>
        <v>sfo-w01-ns01</v>
      </c>
      <c r="D277" s="14"/>
      <c r="E277" s="18"/>
    </row>
    <row r="278" spans="2:5" ht="20" customHeight="1">
      <c r="B278" s="21" t="s">
        <v>950</v>
      </c>
      <c r="C278" s="25" t="str">
        <f>CONCATENATE(this_instance,"-w0",wld_domain_number_chosen,"-tkc01")</f>
        <v>sfo-w01-tkc01</v>
      </c>
      <c r="D278" s="14"/>
      <c r="E278" s="18"/>
    </row>
    <row r="279" spans="2:5" ht="20" customHeight="1">
      <c r="B279" s="467" t="s">
        <v>846</v>
      </c>
      <c r="C279" s="468"/>
      <c r="D279" s="468"/>
      <c r="E279" s="469"/>
    </row>
    <row r="280" spans="2:5" ht="20" customHeight="1">
      <c r="B280" s="8" t="s">
        <v>735</v>
      </c>
      <c r="C280" s="8" t="s">
        <v>554</v>
      </c>
      <c r="D280" s="20" t="s">
        <v>555</v>
      </c>
      <c r="E280" s="8" t="s">
        <v>222</v>
      </c>
    </row>
    <row r="281" spans="2:5" ht="20" customHeight="1">
      <c r="B281" s="21" t="s">
        <v>951</v>
      </c>
      <c r="C281" s="22" t="str">
        <f>CONCATENATE(this_instance,"-w0",wld_domain_number_chosen,"-cl01-rp-user-vm")</f>
        <v>sfo-w01-cl01-rp-user-vm</v>
      </c>
      <c r="D281" s="18" t="str">
        <f>IF(wld_cl01_cluster="Value Missing","",CONCATENATE(wld_cl01_cluster,"-rp-user-vm"))</f>
        <v/>
      </c>
      <c r="E281" s="18" t="s">
        <v>919</v>
      </c>
    </row>
    <row r="282" spans="2:5" ht="16" customHeight="1"/>
    <row r="283" spans="2:5" ht="34" customHeight="1">
      <c r="B283" s="427" t="s">
        <v>952</v>
      </c>
      <c r="C283" s="428"/>
      <c r="D283" s="428"/>
      <c r="E283" s="426"/>
    </row>
    <row r="284" spans="2:5" ht="20" customHeight="1">
      <c r="B284" s="467" t="s">
        <v>353</v>
      </c>
      <c r="C284" s="468"/>
      <c r="D284" s="468"/>
      <c r="E284" s="469"/>
    </row>
    <row r="285" spans="2:5" ht="20" customHeight="1">
      <c r="B285" s="8" t="s">
        <v>735</v>
      </c>
      <c r="C285" s="8" t="s">
        <v>554</v>
      </c>
      <c r="D285" s="20" t="s">
        <v>555</v>
      </c>
      <c r="E285" s="8" t="s">
        <v>222</v>
      </c>
    </row>
    <row r="286" spans="2:5" ht="20" customHeight="1">
      <c r="B286" s="21" t="s">
        <v>892</v>
      </c>
      <c r="C286" s="22" t="s">
        <v>893</v>
      </c>
      <c r="D286" s="14"/>
      <c r="E286" s="18" t="s">
        <v>894</v>
      </c>
    </row>
    <row r="287" spans="2:5" ht="20" customHeight="1">
      <c r="B287" s="21" t="s">
        <v>895</v>
      </c>
      <c r="C287" s="22" t="s">
        <v>896</v>
      </c>
      <c r="D287" s="14"/>
      <c r="E287" s="18" t="s">
        <v>894</v>
      </c>
    </row>
    <row r="288" spans="2:5" ht="20" customHeight="1">
      <c r="B288" s="21" t="s">
        <v>897</v>
      </c>
      <c r="C288" s="22" t="s">
        <v>898</v>
      </c>
      <c r="D288" s="14"/>
      <c r="E288" s="18" t="s">
        <v>894</v>
      </c>
    </row>
    <row r="289" spans="2:5" ht="20" customHeight="1">
      <c r="B289" s="21" t="s">
        <v>899</v>
      </c>
      <c r="C289" s="22" t="s">
        <v>900</v>
      </c>
      <c r="D289" s="14"/>
      <c r="E289" s="18" t="s">
        <v>894</v>
      </c>
    </row>
    <row r="290" spans="2:5" ht="30" customHeight="1">
      <c r="B290" s="427" t="s">
        <v>953</v>
      </c>
      <c r="C290" s="428"/>
      <c r="D290" s="428"/>
      <c r="E290" s="426"/>
    </row>
    <row r="291" spans="2:5" ht="20" customHeight="1">
      <c r="B291" s="8" t="s">
        <v>735</v>
      </c>
      <c r="C291" s="8" t="s">
        <v>554</v>
      </c>
      <c r="D291" s="20" t="s">
        <v>555</v>
      </c>
      <c r="E291" s="8" t="s">
        <v>222</v>
      </c>
    </row>
    <row r="292" spans="2:5" ht="20" customHeight="1">
      <c r="B292" s="21" t="s">
        <v>905</v>
      </c>
      <c r="C292" s="22" t="str">
        <f>CONCATENATE(other_instance,"-m01")</f>
        <v>lax-m01</v>
      </c>
      <c r="D292" s="14"/>
      <c r="E292" s="18"/>
    </row>
    <row r="293" spans="2:5" ht="20" customHeight="1">
      <c r="B293" s="21" t="s">
        <v>839</v>
      </c>
      <c r="C293" s="22" t="str">
        <f>CONCATENATE(other_instance,"-m01-cl01-ds-vsan01")</f>
        <v>lax-m01-cl01-ds-vsan01</v>
      </c>
      <c r="D293" s="14"/>
      <c r="E293" s="18"/>
    </row>
    <row r="294" spans="2:5" ht="20" customHeight="1">
      <c r="B294" s="21" t="s">
        <v>906</v>
      </c>
      <c r="C294" s="22" t="str">
        <f>CONCATENATE(other_instance,"-m01-cl01")</f>
        <v>lax-m01-cl01</v>
      </c>
      <c r="D294" s="14"/>
      <c r="E294" s="18"/>
    </row>
    <row r="295" spans="2:5" ht="20" customHeight="1">
      <c r="B295" s="21" t="s">
        <v>687</v>
      </c>
      <c r="C295" s="22" t="str">
        <f>CONCATENATE(C70,"-fd-mgmt")</f>
        <v>sfo-m01-fd-mgmt</v>
      </c>
      <c r="D295" s="14"/>
      <c r="E295" s="18"/>
    </row>
    <row r="296" spans="2:5" ht="20" customHeight="1">
      <c r="B296" s="21" t="s">
        <v>3184</v>
      </c>
      <c r="C296" s="22" t="str">
        <f>CONCATENATE(other_instance,"01-m01-cl01-vds01-pg-vm-mgmt")</f>
        <v>lax01-m01-cl01-vds01-pg-vm-mgmt</v>
      </c>
      <c r="D296" s="14"/>
      <c r="E296" s="18"/>
    </row>
    <row r="297" spans="2:5" ht="16" customHeight="1"/>
    <row r="298" spans="2:5" ht="34" customHeight="1">
      <c r="B298" s="427" t="s">
        <v>4277</v>
      </c>
      <c r="C298" s="428"/>
      <c r="D298" s="428"/>
      <c r="E298" s="426"/>
    </row>
    <row r="299" spans="2:5" ht="20" customHeight="1">
      <c r="B299" s="467" t="s">
        <v>843</v>
      </c>
      <c r="C299" s="468"/>
      <c r="D299" s="468"/>
      <c r="E299" s="469"/>
    </row>
    <row r="300" spans="2:5" ht="20" customHeight="1">
      <c r="B300" s="8" t="s">
        <v>735</v>
      </c>
      <c r="C300" s="8" t="s">
        <v>554</v>
      </c>
      <c r="D300" s="20" t="s">
        <v>555</v>
      </c>
      <c r="E300" s="8" t="s">
        <v>222</v>
      </c>
    </row>
    <row r="301" spans="2:5" ht="20" customHeight="1">
      <c r="B301" s="21" t="s">
        <v>920</v>
      </c>
      <c r="C301" s="22" t="str">
        <f>CONCATENATE(this_instance,"-w0",wld_domain_number_chosen,"-cl02")</f>
        <v>sfo-w01-cl02</v>
      </c>
      <c r="D301" s="14"/>
      <c r="E301" s="18"/>
    </row>
    <row r="302" spans="2:5" ht="20" customHeight="1">
      <c r="B302" s="21" t="s">
        <v>845</v>
      </c>
      <c r="C302" s="22" t="s">
        <v>452</v>
      </c>
      <c r="D302" s="14"/>
      <c r="E302" s="18"/>
    </row>
    <row r="303" spans="2:5" ht="20" customHeight="1">
      <c r="B303" s="467" t="s">
        <v>931</v>
      </c>
      <c r="C303" s="468"/>
      <c r="D303" s="468"/>
      <c r="E303" s="469"/>
    </row>
    <row r="304" spans="2:5" ht="20" customHeight="1">
      <c r="B304" s="8" t="s">
        <v>735</v>
      </c>
      <c r="C304" s="8" t="s">
        <v>554</v>
      </c>
      <c r="D304" s="8" t="s">
        <v>555</v>
      </c>
      <c r="E304" s="8" t="s">
        <v>222</v>
      </c>
    </row>
    <row r="305" spans="2:5" ht="20" customHeight="1">
      <c r="B305" s="21" t="s">
        <v>932</v>
      </c>
      <c r="C305" s="202" t="str">
        <f>CONCATENATE(sample_wld_sddc_domain,"-",sample_wld_cl02_cluster,"-vsan01")</f>
        <v>sfo-w01-sfo-w01-cl02-vsan01</v>
      </c>
      <c r="D305" s="18" t="str" cm="1">
        <f t="array" ref="D305">IF(OR((wld_sddc_domain="Value Missing"),(wld_vc_hostname="Value Missing"),(wld_cl01_cluster="Value Missing")),"",CONCATENATE(wld_sddc_domain,"-",wld_vc_hostname,"-",wld_cl02_cluster,"-vsan01"))</f>
        <v/>
      </c>
      <c r="E305" s="18" t="s">
        <v>919</v>
      </c>
    </row>
    <row r="306" spans="2:5" ht="20" customHeight="1">
      <c r="B306" s="21" t="str">
        <f>IF(wld_principal_storage_chosen="vSAN-ESA","Storage Policy", "vSAN: Failures to Tolerate (FTT)")</f>
        <v>Storage Policy</v>
      </c>
      <c r="C306" s="202">
        <v>1</v>
      </c>
      <c r="D306" s="197"/>
      <c r="E306" s="72"/>
    </row>
    <row r="307" spans="2:5" ht="20" customHeight="1">
      <c r="B307" s="21" t="s">
        <v>934</v>
      </c>
      <c r="C307" s="202" t="s">
        <v>935</v>
      </c>
      <c r="D307" s="14"/>
      <c r="E307" s="18"/>
    </row>
    <row r="308" spans="2:5" ht="20" customHeight="1">
      <c r="B308" s="18" t="s">
        <v>945</v>
      </c>
      <c r="C308" s="202" t="str">
        <f>CONCATENATE(this_instance,"-w0",wld_domain_number_chosen,"-cl02-ds-nfs01")</f>
        <v>sfo-w01-cl02-ds-nfs01</v>
      </c>
      <c r="D308" s="14"/>
      <c r="E308" s="18"/>
    </row>
    <row r="309" spans="2:5" ht="20" customHeight="1">
      <c r="B309" s="18" t="s">
        <v>946</v>
      </c>
      <c r="C309" s="202" t="str">
        <f>CONCATENATE(this_instance,"-w0",wld_domain_number_chosen,"-cl02-ds-nfs01-share")</f>
        <v>sfo-w01-cl02-ds-nfs01-share</v>
      </c>
      <c r="D309" s="14"/>
      <c r="E309" s="18"/>
    </row>
    <row r="310" spans="2:5" ht="20" customHeight="1">
      <c r="B310" s="199" t="s">
        <v>947</v>
      </c>
      <c r="C310" s="203" t="str">
        <f>CONCATENATE(prefix_wld_az1_cidr,"15.5")</f>
        <v>10.13.15.5</v>
      </c>
      <c r="D310" s="14"/>
      <c r="E310" s="18"/>
    </row>
    <row r="311" spans="2:5" ht="20" customHeight="1">
      <c r="B311" s="467" t="s">
        <v>3476</v>
      </c>
      <c r="C311" s="468"/>
      <c r="D311" s="468"/>
      <c r="E311" s="469"/>
    </row>
    <row r="312" spans="2:5" ht="20" customHeight="1">
      <c r="B312" s="8" t="s">
        <v>735</v>
      </c>
      <c r="C312" s="8" t="s">
        <v>554</v>
      </c>
      <c r="D312" s="20" t="s">
        <v>555</v>
      </c>
      <c r="E312" s="8" t="s">
        <v>222</v>
      </c>
    </row>
    <row r="313" spans="2:5" ht="20" customHeight="1">
      <c r="B313" s="21" t="s">
        <v>3476</v>
      </c>
      <c r="C313" s="22" t="s">
        <v>348</v>
      </c>
      <c r="D313" s="14" t="s">
        <v>348</v>
      </c>
      <c r="E313" s="18" t="str">
        <f>IF(input_wld_cl02_vds_profile="Custom","Use the UI in SDDC Manager to define the Virtual Distributed Switch Configuration","")</f>
        <v/>
      </c>
    </row>
    <row r="314" spans="2:5" ht="20" customHeight="1">
      <c r="B314" s="21" t="s">
        <v>3477</v>
      </c>
      <c r="C314" s="22" t="str">
        <f>CONCATENATE(sample_wld_cl02_cluster,"-vds01")</f>
        <v>sfo-w01-cl02-vds01</v>
      </c>
      <c r="D314" s="14"/>
      <c r="E314" s="18"/>
    </row>
    <row r="315" spans="2:5" ht="20" customHeight="1">
      <c r="B315" s="21" t="s">
        <v>793</v>
      </c>
      <c r="C315" s="22" t="s">
        <v>794</v>
      </c>
      <c r="D315" s="18" t="str">
        <f>IF(input_wld_cl02_vds_profile="Default","vmnic0,vmnic1",IF(input_wld_cl02_vds_profile="Custom","",IF(input_wld_cl02_vds_profile="Storage Traffic Separation","vmnic0,vmnic1",IF(input_wld_cl02_vds_profile="NSX Traffic Separation","vmnic0,vmnic1",IF(input_wld_cl02_vds_profile="Storage Traffic and NSX Traffic Separation","vmnic0,vmnic1",)))))</f>
        <v>vmnic0,vmnic1</v>
      </c>
      <c r="E315" s="18"/>
    </row>
    <row r="316" spans="2:5" ht="20" customHeight="1">
      <c r="B316" s="21" t="s">
        <v>3481</v>
      </c>
      <c r="C316" s="22">
        <v>9000</v>
      </c>
      <c r="D316" s="18" t="str">
        <f>IF(input_wld_cl02_vds_profile="Storage Traffic Separation","9000",IF(input_wld_cl02_vds_profile="custom","",IF(input_wld_cl02_vds_profile="NSX Traffic Separation","9000",IF(input_wld_cl02_vds_profile="Storage Traffic and NSX Traffic Separation","9000",""))))</f>
        <v/>
      </c>
      <c r="E316" s="18"/>
    </row>
    <row r="317" spans="2:5" ht="20" customHeight="1">
      <c r="B317" s="21" t="s">
        <v>1270</v>
      </c>
      <c r="C317" s="22" t="str">
        <f>CONCATENATE(sample_wld_cl02_cluster,"-vds02")</f>
        <v>sfo-w01-cl02-vds02</v>
      </c>
      <c r="D317" s="14"/>
      <c r="E317" s="18" t="str">
        <f>IF(AND(input_wld_cl02_vds02_name="",input_wld_cl02_vds_profile="NSX Traffic Separation"),"Plese input Name for Secondary vSphere Distributed vSwitch",IF(AND(input_wld_cl02_vds02_name="",input_wld_cl02_vds_profile="Storage Traffic and NSX Traffic Separation"),"Please input Name for Secondary vSphere Distributed vSwitch",IF(input_wld_cl02_vds_profile="NSX Traffic Separation","NSX Overlay will be configured on "&amp;input_wld_cl02_vds02_name,IF(AND(input_wld_cl02_vds02_name="",input_wld_cl02_vds_profile="Storage Traffic Separation"),"Please input Name for Secondary vSphere Distributed vSwitch",IF(input_wld_cl02_vds_profile="Storage Traffic Separation","vSAN will be configured on "&amp;input_wld_cl02_vds02_name,IF(input_wld_cl02_vds_profile="Storage Traffic and NSX Traffic Separation","vSAN will be configured on "&amp;input_wld_cl02_vds02_name,""))))))</f>
        <v/>
      </c>
    </row>
    <row r="318" spans="2:5" ht="20" customHeight="1">
      <c r="B318" s="21" t="s">
        <v>1273</v>
      </c>
      <c r="C318" s="22" t="s">
        <v>799</v>
      </c>
      <c r="D318" s="18" t="str">
        <f>IF(input_wld_cl02_vds_profile="Default","",IF(wld_cl01_vds_profile="Custom","",IF(input_wld_cl02_vds_profile="Storage Traffic Separation","vmnic2,vmnic3",IF(input_wld_cl02_vds_profile="NSX Traffic Separation","vmnic2,vmnic3",IF(input_wld_cl02_vds_profile="Storage Traffic and NSX Traffic Separation","vmnic2,vmnic3","")))))</f>
        <v/>
      </c>
      <c r="E318" s="18"/>
    </row>
    <row r="319" spans="2:5" ht="20" customHeight="1">
      <c r="B319" s="21" t="s">
        <v>1276</v>
      </c>
      <c r="C319" s="22">
        <v>9000</v>
      </c>
      <c r="D319" s="18" t="str">
        <f>IF(input_wld_cl02_vds_profile="Storage Traffic Separation","9000",IF(input_wld_cl02_vds_profile="custom","",IF(input_wld_cl02_vds_profile="NSX Traffic Separation","9000",IF(input_wld_cl02_vds_profile="Storage Traffic and NSX Traffic Separation","9000",""))))</f>
        <v/>
      </c>
      <c r="E319" s="18"/>
    </row>
    <row r="320" spans="2:5" ht="20" customHeight="1">
      <c r="B320" s="21" t="s">
        <v>3478</v>
      </c>
      <c r="C320" s="22" t="str">
        <f>CONCATENATE(sample_wld_cl02_cluster,"-vds03")</f>
        <v>sfo-w01-cl02-vds03</v>
      </c>
      <c r="D320" s="14"/>
      <c r="E320" s="18" t="str">
        <f>IF(AND(input_wld_cl02_vds03_name="",input_wld_cl02_vds_profile="Storage Traffic and NSX Traffic Separation"),"Please input Name for Tertiary vSphere Distributed vSwitch",IF(input_wld_cl02_vds_profile="Storage Traffic and NSX Traffic Separation","NSX Overlay will be configured on "&amp;input_wld_cl02_vds03_name,""))</f>
        <v/>
      </c>
    </row>
    <row r="321" spans="2:5" ht="20" customHeight="1">
      <c r="B321" s="21" t="s">
        <v>3479</v>
      </c>
      <c r="C321" s="22" t="s">
        <v>3480</v>
      </c>
      <c r="D321" s="18" t="str">
        <f>IF(input_wld_cl02_vds_profile="Default","",IF(wld_cl01_vds_profile="Custom","",IF(input_wld_cl02_vds_profile="Storage Traffic Separation","",IF(input_wld_cl02_vds_profile="NSX Traffic Separation","",IF(input_wld_cl02_vds_profile="Storage Traffic and NSX Traffic Separation","vmnic4,vmnic5","")))))</f>
        <v/>
      </c>
      <c r="E321" s="18"/>
    </row>
    <row r="322" spans="2:5" ht="20" customHeight="1">
      <c r="B322" s="21" t="s">
        <v>3482</v>
      </c>
      <c r="C322" s="22">
        <v>9000</v>
      </c>
      <c r="D322" s="18" t="str">
        <f>IF(input_wld_cl02_vds_profile="Storage Traffic and NSX Traffic Separation","9000","")</f>
        <v/>
      </c>
      <c r="E322" s="18"/>
    </row>
    <row r="323" spans="2:5" ht="20" customHeight="1">
      <c r="B323" s="21" t="s">
        <v>3184</v>
      </c>
      <c r="C323" s="22" t="str">
        <f>CONCATENATE(sample_wld_cl02_vds01_name,"-pg-vm-mgmt")</f>
        <v>sfo-w01-cl02-vds01-pg-vm-mgmt</v>
      </c>
      <c r="D323" s="14"/>
      <c r="E323" s="18" t="str">
        <f>IF(input_wld_cl02_vds_profile="Storage Traffic Separation",input_wld_cl02_az1_mgmt_vm_pg&amp;" will be created on "&amp; wld_cl02_vds01_name,IF(input_wld_cl02_vds_profile="NSX Traffic Separation",input_wld_cl02_az1_mgmt_pg&amp;" will be created on "&amp; wld_cl02_vds01_name,IF(input_wld_cl02_vds_profile="Storage Traffic and NSX Traffic Separation",input_wld_cl02_az1_mgmt_pg&amp;" will be created on "&amp;  wld_cl02_vds01_name,IF(input_wld_cl02_vds_profile="Custom","",""))))</f>
        <v/>
      </c>
    </row>
    <row r="324" spans="2:5" ht="20" customHeight="1">
      <c r="B324" s="21" t="s">
        <v>4235</v>
      </c>
      <c r="C324" s="22" t="str">
        <f>CONCATENATE(sample_wld_cl02_vds01_name,"-pg-esxi-mgmt")</f>
        <v>sfo-w01-cl02-vds01-pg-esxi-mgmt</v>
      </c>
      <c r="D324" s="14"/>
      <c r="E324" s="18" t="str">
        <f>IF(input_wld_cl02_vds_profile="Storage Traffic Separation",input_wld_cl02_az1_mgmt_pg&amp;" will be created on "&amp;wld_cl02_vds01_name,IF(input_wld_cl02_vds_profile="NSX Traffic Separation",input_wld_cl02_az1_mgmt_vm_pg&amp;" will be created on "&amp;wld_cl02_vds01_name,IF(input_wld_cl02_vds_profile="Storage Traffic and NSX Traffic Separation",input_wld_cl02_az1_mgmt_vm_pg&amp;" will be created on "&amp;wld_cl02_vds01_name,IF(input_wld_cl02_vds_profile="Custom","",""))))</f>
        <v/>
      </c>
    </row>
    <row r="325" spans="2:5" s="4" customFormat="1" ht="20" customHeight="1">
      <c r="B325" s="21" t="s">
        <v>803</v>
      </c>
      <c r="C325" s="22" t="str">
        <f>CONCATENATE(sample_wld_cl02_vds01_name,"-pg-vmotion")</f>
        <v>sfo-w01-cl02-vds01-pg-vmotion</v>
      </c>
      <c r="D325" s="14"/>
      <c r="E325" s="18" t="str">
        <f>IF(input_wld_cl02_vds_profile="Storage Traffic Separation",input_wld_cl02_az1_vmotion_pg&amp;" will be created on "&amp;wld_cl02_vds01_name,IF(input_wld_cl02_vds_profile="NSX Traffic Separation",input_wld_cl02_az1_vmotion_pg&amp;" will be created on "&amp;wld_cl02_vds01_name,IF(input_wld_cl02_vds_profile="Storage Traffic and NSX Traffic Separation",input_wld_cl02_az1_vmotion_pg&amp;" will be created on "&amp;wld_cl02_vds01_name,IF(input_wld_cl02_vds_profile="Custom","",""))))</f>
        <v/>
      </c>
    </row>
    <row r="326" spans="2:5" customFormat="1" ht="20" customHeight="1">
      <c r="B326" s="21" t="s">
        <v>804</v>
      </c>
      <c r="C326" s="22" t="str">
        <f>IF(input_wld_cl02_vds_profile="Storage Traffic and NSX Traffic Separation",CONCATENATE(sample_wld_cl02_vds02_name,"-pg-vsan"),IF(input_wld_cl02_vds_profile="Storage Traffic Separation",CONCATENATE(sample_wld_cl02_vds02_name,"-pg-vsan"),CONCATENATE(sample_wld_cl02_vds01_name,"-pg-vsan")))</f>
        <v>sfo-w01-cl02-vds01-pg-vsan</v>
      </c>
      <c r="D326" s="14"/>
      <c r="E326" s="18" t="str">
        <f>IF(input_wld_cl02_vds_profile="Storage Traffic Separation",input_wld_cl02_az1_principal_storage_pg&amp;" will be created on "&amp;input_wld_cl02_vds02_name,IF(input_wld_cl02_vds_profile="NSX Traffic Separation",input_wld_cl02_az1_principal_storage_pg&amp;" will be created on " &amp;input_wld_cl02_vds01_name,IF(input_wld_cl02_vds_profile="Storage Traffic and NSX Traffic Separation",input_wld_cl02_az1_principal_storage_pg&amp;" will be created on "&amp;input_wld_cl02_vds02_name,IF(input_wld_cl02_vds_profile="Custom","",""))))</f>
        <v/>
      </c>
    </row>
    <row r="327" spans="2:5" ht="20" customHeight="1">
      <c r="B327" s="21" t="s">
        <v>808</v>
      </c>
      <c r="C327" s="25" t="str">
        <f>IF(input_wld_cl02_vds_profile="Storage Traffic and NSX Traffic Separation",CONCATENATE(sample_wld_cl02_vds03_name,"-pg-uplink01"),IF(input_wld_cl02_vds_profile="NSX Traffic Separation",CONCATENATE(sample_wld_cl02_vds02_name,"-pg-uplink01"),CONCATENATE(sample_wld_cl02_vds01_name,"-pg-uplink01")))</f>
        <v>sfo-w01-cl02-vds01-pg-uplink01</v>
      </c>
      <c r="D327" s="14"/>
      <c r="E327" s="18"/>
    </row>
    <row r="328" spans="2:5" ht="20" customHeight="1">
      <c r="B328" s="21" t="s">
        <v>809</v>
      </c>
      <c r="C328" s="25" t="str">
        <f>IF(input_wld_cl02_vds_profile="Storage Traffic and NSX Traffic Separation",CONCATENATE(sample_wld_cl02_vds03_name,"-pg-uplink01"),IF(input_wld_cl02_vds_profile="NSX Traffic Separation",CONCATENATE(sample_wld_cl02_vds02_name,"-pg-uplink02"),CONCATENATE(sample_wld_cl02_vds01_name,"-pg-uplink02")))</f>
        <v>sfo-w01-cl02-vds01-pg-uplink02</v>
      </c>
      <c r="D328" s="14"/>
      <c r="E328" s="18"/>
    </row>
    <row r="329" spans="2:5" ht="16" customHeight="1"/>
    <row r="330" spans="2:5" ht="34" customHeight="1">
      <c r="B330" s="427" t="s">
        <v>4278</v>
      </c>
      <c r="C330" s="428"/>
      <c r="D330" s="428"/>
      <c r="E330" s="426"/>
    </row>
    <row r="331" spans="2:5" ht="20" customHeight="1">
      <c r="B331" s="467" t="s">
        <v>843</v>
      </c>
      <c r="C331" s="468"/>
      <c r="D331" s="468"/>
      <c r="E331" s="469"/>
    </row>
    <row r="332" spans="2:5" ht="20" customHeight="1">
      <c r="B332" s="8" t="s">
        <v>735</v>
      </c>
      <c r="C332" s="8" t="s">
        <v>554</v>
      </c>
      <c r="D332" s="20" t="s">
        <v>555</v>
      </c>
      <c r="E332" s="8" t="s">
        <v>222</v>
      </c>
    </row>
    <row r="333" spans="2:5" ht="20" customHeight="1">
      <c r="B333" s="21" t="s">
        <v>920</v>
      </c>
      <c r="C333" s="22" t="str">
        <f>CONCATENATE(this_instance,"-w0",wld_domain_number_chosen,"-cl03")</f>
        <v>sfo-w01-cl03</v>
      </c>
      <c r="D333" s="14"/>
      <c r="E333" s="18"/>
    </row>
    <row r="334" spans="2:5" ht="20" customHeight="1">
      <c r="B334" s="21" t="s">
        <v>845</v>
      </c>
      <c r="C334" s="22" t="s">
        <v>452</v>
      </c>
      <c r="D334" s="14"/>
      <c r="E334" s="18"/>
    </row>
    <row r="335" spans="2:5" ht="20" customHeight="1">
      <c r="B335" s="467" t="s">
        <v>931</v>
      </c>
      <c r="C335" s="468"/>
      <c r="D335" s="468"/>
      <c r="E335" s="469"/>
    </row>
    <row r="336" spans="2:5" ht="20" customHeight="1">
      <c r="B336" s="8" t="s">
        <v>735</v>
      </c>
      <c r="C336" s="8" t="s">
        <v>554</v>
      </c>
      <c r="D336" s="8" t="s">
        <v>555</v>
      </c>
      <c r="E336" s="8" t="s">
        <v>222</v>
      </c>
    </row>
    <row r="337" spans="2:5" ht="20" customHeight="1">
      <c r="B337" s="21" t="s">
        <v>932</v>
      </c>
      <c r="C337" s="22" t="str">
        <f>CONCATENATE(sample_wld_sddc_domain,"-",sample_wld_cl03_cluster,"-vsan01")</f>
        <v>sfo-w01-sfo-w01-cl03-vsan01</v>
      </c>
      <c r="D337" s="18" t="str">
        <f>IF(OR((wld_sddc_domain="Value Missing"),(wld_vc_hostname="Value Missing"),(wld_cl01_cluster="Value Missing")),"",CONCATENATE(wld_sddc_domain,"-",wld_vc_hostname,"-",wld_cl01_cluster,"-vsan01"))</f>
        <v/>
      </c>
      <c r="E337" s="18" t="s">
        <v>919</v>
      </c>
    </row>
    <row r="338" spans="2:5" ht="20" customHeight="1">
      <c r="B338" s="21" t="str">
        <f>IF(wld_principal_storage_chosen="vSAN-ESA","Storage Policy", "vSAN: Failures to Tolerate (FTT)")</f>
        <v>Storage Policy</v>
      </c>
      <c r="C338" s="22">
        <v>1</v>
      </c>
      <c r="D338" s="18"/>
      <c r="E338" s="21"/>
    </row>
    <row r="339" spans="2:5" ht="20" customHeight="1">
      <c r="B339" s="21" t="s">
        <v>934</v>
      </c>
      <c r="C339" s="21" t="s">
        <v>935</v>
      </c>
      <c r="D339" s="14"/>
      <c r="E339" s="18"/>
    </row>
    <row r="340" spans="2:5" ht="20" customHeight="1">
      <c r="B340" s="14" t="s">
        <v>945</v>
      </c>
      <c r="C340" s="18" t="str">
        <f>CONCATENATE(this_instance,"-w0",wld_domain_number_chosen,"-cl03-ds-nfs01")</f>
        <v>sfo-w01-cl03-ds-nfs01</v>
      </c>
      <c r="D340" s="14"/>
      <c r="E340" s="18"/>
    </row>
    <row r="341" spans="2:5" ht="20" customHeight="1">
      <c r="B341" s="18" t="s">
        <v>946</v>
      </c>
      <c r="C341" s="18" t="str">
        <f>CONCATENATE(this_instance,"-w0",wld_domain_number_chosen,"-cl03-ds-nfs01-share")</f>
        <v>sfo-w01-cl03-ds-nfs01-share</v>
      </c>
      <c r="D341" s="14"/>
      <c r="E341" s="18"/>
    </row>
    <row r="342" spans="2:5" ht="20" customHeight="1">
      <c r="B342" s="18" t="s">
        <v>947</v>
      </c>
      <c r="C342" s="18" t="str">
        <f>CONCATENATE(prefix_wld_az1_cidr,"15.6")</f>
        <v>10.13.15.6</v>
      </c>
      <c r="D342" s="14"/>
      <c r="E342" s="18"/>
    </row>
    <row r="343" spans="2:5" ht="20" customHeight="1">
      <c r="B343" s="467" t="s">
        <v>3476</v>
      </c>
      <c r="C343" s="468"/>
      <c r="D343" s="468"/>
      <c r="E343" s="469"/>
    </row>
    <row r="344" spans="2:5" s="4" customFormat="1" ht="20" customHeight="1">
      <c r="B344" s="8" t="s">
        <v>735</v>
      </c>
      <c r="C344" s="8" t="s">
        <v>554</v>
      </c>
      <c r="D344" s="20" t="s">
        <v>555</v>
      </c>
      <c r="E344" s="8" t="s">
        <v>222</v>
      </c>
    </row>
    <row r="345" spans="2:5" ht="20" customHeight="1">
      <c r="B345" s="21" t="s">
        <v>3476</v>
      </c>
      <c r="C345" s="22" t="s">
        <v>348</v>
      </c>
      <c r="D345" s="14" t="s">
        <v>348</v>
      </c>
      <c r="E345" s="18" t="str">
        <f>IF(input_wld_cl03_vds_profile="Custom","Use the UI in SDDC Manager to define the Virtual Distributed Switch Configuration","")</f>
        <v/>
      </c>
    </row>
    <row r="346" spans="2:5" ht="20" customHeight="1">
      <c r="B346" s="21" t="s">
        <v>3477</v>
      </c>
      <c r="C346" s="22" t="str">
        <f>CONCATENATE(sample_wld_cl03_cluster,"-vds01")</f>
        <v>sfo-w01-cl03-vds01</v>
      </c>
      <c r="D346" s="14"/>
      <c r="E346" s="18"/>
    </row>
    <row r="347" spans="2:5" ht="20" customHeight="1">
      <c r="B347" s="21" t="s">
        <v>793</v>
      </c>
      <c r="C347" s="22" t="s">
        <v>794</v>
      </c>
      <c r="D347" s="18" t="str">
        <f>IF(input_wld_cl03_vds_profile="Default","vmnic0,vmnic1",IF(input_wld_cl03_vds_profile="Custom","",IF(input_wld_cl03_vds_profile="Storage Traffic Separation","vmnic0,vmnic1",IF(input_wld_cl03_vds_profile="NSX Traffic Separation","vmnic0,vmnic1",IF(input_wld_cl03_vds_profile="Storage Traffic and NSX Traffic Separation","vmnic0,vmnic1",)))))</f>
        <v>vmnic0,vmnic1</v>
      </c>
      <c r="E347" s="18"/>
    </row>
    <row r="348" spans="2:5" ht="20" customHeight="1">
      <c r="B348" s="21" t="s">
        <v>3481</v>
      </c>
      <c r="C348" s="22">
        <v>9000</v>
      </c>
      <c r="D348" s="14"/>
      <c r="E348" s="18"/>
    </row>
    <row r="349" spans="2:5" s="4" customFormat="1" ht="20" customHeight="1">
      <c r="B349" s="21" t="s">
        <v>1270</v>
      </c>
      <c r="C349" s="22" t="str">
        <f>CONCATENATE(sample_wld_cl03_cluster,"-vds02")</f>
        <v>sfo-w01-cl03-vds02</v>
      </c>
      <c r="D349" s="14"/>
      <c r="E349" s="18" t="str">
        <f>IF(AND(input_wld_cl03_vds02_name="",input_wld_cl03_vds_profile="NSX Traffic Separation"),"Plese input Name for Secondary vSphere Distributed vSwitch",IF(AND(input_wld_cl03_vds02_name="",input_wld_cl03_vds_profile="Storage Traffic and NSX Traffic Separation"),"Please input Name for Secondary vSphere Distributed vSwitch",IF(input_wld_cl03_vds_profile="NSX Traffic Separation","NSX Overlay will be configured on "&amp;input_wld_cl03_vds02_name,IF(AND(input_wld_cl03_vds02_name="",input_wld_cl03_vds_profile="Storage Traffic Separation"),"Please input Name for Secondary vSphere Distributed vSwitch",IF(input_wld_cl03_vds_profile="Storage Traffic Separation","vSAN will be configured on "&amp;input_wld_cl03_vds02_name,IF(input_wld_cl03_vds_profile="Storage Traffic and NSX Traffic Separation","vSAN will be configured on "&amp;input_wld_cl03_vds02_name,""))))))</f>
        <v/>
      </c>
    </row>
    <row r="350" spans="2:5" ht="20" customHeight="1">
      <c r="B350" s="21" t="s">
        <v>1273</v>
      </c>
      <c r="C350" s="22" t="s">
        <v>799</v>
      </c>
      <c r="D350" s="18" t="str">
        <f>IF(input_wld_cl03_vds_profile="Default","",IF(input_wld_cl03_vds_profile="Custom","",IF(input_wld_cl03_vds_profile="Storage Traffic Separation","vmnic2,vmnic3",IF(input_wld_cl03_vds_profile="NSX Traffic Separation","vmnic2,vmnic3",IF(input_wld_cl03_vds_profile="Storage Traffic and NSX Traffic Separation","vmnic2,vmnic3",)))))</f>
        <v/>
      </c>
      <c r="E350" s="18"/>
    </row>
    <row r="351" spans="2:5" ht="20" customHeight="1">
      <c r="B351" s="21" t="s">
        <v>1276</v>
      </c>
      <c r="C351" s="22">
        <v>9000</v>
      </c>
      <c r="D351" s="18" t="str">
        <f>IF(input_wld_cl03_vds_profile="Storage Traffic Separation","9000",IF(input_wld_cl03_vds_profile="custom","",IF(input_wld_cl03_vds_profile="NSX Traffic Separation","9000",IF(input_wld_cl03_vds_profile="Storage Traffic and NSX Traffic Separation","9000",""))))</f>
        <v/>
      </c>
      <c r="E351" s="18"/>
    </row>
    <row r="352" spans="2:5" ht="20" customHeight="1">
      <c r="B352" s="21" t="s">
        <v>3478</v>
      </c>
      <c r="C352" s="22" t="str">
        <f>CONCATENATE(sample_wld_cl03_cluster,"-vds03")</f>
        <v>sfo-w01-cl03-vds03</v>
      </c>
      <c r="D352" s="14"/>
      <c r="E352" s="18" t="str">
        <f>IF(AND(input_wld_cl03_vds03_name="",input_wld_cl03_vds_profile="Storage Traffic and NSX Traffic Separation"),"Please input Name for Tertiary vSphere Distributed vSwitch",IF(input_wld_cl03_vds_profile="Storage Traffic and NSX Traffic Separation","NSX Overlay will be configured on "&amp;input_wld_cl03_vds03_name,""))</f>
        <v/>
      </c>
    </row>
    <row r="353" spans="2:5" ht="20" customHeight="1">
      <c r="B353" s="21" t="s">
        <v>3479</v>
      </c>
      <c r="C353" s="22" t="s">
        <v>3480</v>
      </c>
      <c r="D353" s="18" t="str">
        <f>IF(input_wld_cl03_vds_profile="Default","",IF(input_wld_cl03_vds_profile="Custom","",IF(input_wld_cl03_vds_profile="Storage Traffic Separation","",IF(input_wld_cl03_vds_profile="NSX Traffic Separation","",IF(input_wld_cl03_vds_profile="Storage Traffic and NSX Traffic Separation","vmnic4,vmnic5",)))))</f>
        <v/>
      </c>
      <c r="E353" s="18"/>
    </row>
    <row r="354" spans="2:5" ht="20" customHeight="1">
      <c r="B354" s="21" t="s">
        <v>3482</v>
      </c>
      <c r="C354" s="22">
        <v>9000</v>
      </c>
      <c r="D354" s="18" t="str">
        <f>IF(input_wld_cl03_vds_profile="Storage Traffic and NSX Traffic Separation","9000","")</f>
        <v/>
      </c>
      <c r="E354" s="18"/>
    </row>
    <row r="355" spans="2:5" ht="20" customHeight="1">
      <c r="B355" s="21" t="s">
        <v>3184</v>
      </c>
      <c r="C355" s="22" t="str">
        <f>CONCATENATE(sample_wld_cl03_vds01_name,"-pg-vm-mgmt")</f>
        <v>sfo-w01-cl03-vds01-pg-vm-mgmt</v>
      </c>
      <c r="D355" s="14"/>
      <c r="E355" s="18" t="str">
        <f>IF(input_wld_cl03_vds_profile="Storage Traffic Separation",input_wld_cl03_az1_mgmt_vm_pg&amp;" will be created on "&amp;wld_cl03_vds01_name,IF(input_wld_cl03_vds_profile="NSX Traffic Separation",input_wld_cl03_az1_mgmt_vm_pg&amp;" will be created on "&amp;wld_cl03_vds01_name,IF(input_wld_cl03_vds_profile="Storage Traffic and NSX Traffic Separation",input_wld_cl03_az1_mgmt_vm_pg&amp;" will be created on "&amp;wld_cl03_vds01_name,IF(input_wld_cl03_vds_profile="Custom","",""))))</f>
        <v/>
      </c>
    </row>
    <row r="356" spans="2:5" ht="20" customHeight="1">
      <c r="B356" s="21" t="s">
        <v>4235</v>
      </c>
      <c r="C356" s="22" t="str">
        <f>CONCATENATE(sample_wld_cl03_vds01_name,"-pg-esxi-mgmt")</f>
        <v>sfo-w01-cl03-vds01-pg-esxi-mgmt</v>
      </c>
      <c r="D356" s="14"/>
      <c r="E356" s="18" t="str">
        <f>IF(input_wld_cl03_vds_profile="Storage Traffic Separation",input_wld_cl03_az1_mgmt_pg&amp;" will be created on "&amp;wld_cl03_vds01_name,IF(input_wld_cl03_vds_profile="NSX Traffic Separation",input_wld_cl03_az1_mgmt_pg&amp;" will be created on "&amp;wld_cl03_vds01_name,IF(input_wld_cl03_vds_profile="Storage Traffic and NSX Traffic Separation",input_wld_cl03_az1_mgmt_pg&amp;" will be created on "&amp;wld_cl03_vds01_name,IF(input_wld_cl03_vds_profile="Custom","",""))))</f>
        <v/>
      </c>
    </row>
    <row r="357" spans="2:5" ht="20" customHeight="1">
      <c r="B357" s="21" t="s">
        <v>803</v>
      </c>
      <c r="C357" s="22" t="str">
        <f>CONCATENATE(sample_wld_cl03_vds01_name,"-pg-vmotion")</f>
        <v>sfo-w01-cl03-vds01-pg-vmotion</v>
      </c>
      <c r="D357" s="14"/>
      <c r="E357" s="18" t="str">
        <f>IF(input_wld_cl03_vds_profile="Storage Traffic Separation",input_wld_cl03_az1_vmotion_pg&amp;" will be created on "&amp;wld_cl03_vds01_name,IF(input_wld_cl03_vds_profile="NSX Traffic Separation",input_wld_cl03_az1_vmotion_pg&amp;" will be created on "&amp;wld_cl03_vds01_name,IF(input_wld_cl03_vds_profile="Storage Traffic and NSX Traffic Separation",input_wld_cl03_az1_vmotion_pg&amp;" will be created on "&amp;wld_cl03_vds01_name,IF(input_wld_cl03_vds_profile="Custom","",""))))</f>
        <v/>
      </c>
    </row>
    <row r="358" spans="2:5" ht="20" customHeight="1">
      <c r="B358" s="21" t="s">
        <v>804</v>
      </c>
      <c r="C358" s="22" t="str">
        <f>IF(input_wld_cl03_vds_profile="Storage Traffic and NSX Traffic Separation",CONCATENATE(sample_wld_cl03_vds02_name,"-pg-vsan"),IF(input_wld_cl03_vds_profile="Storage Traffic Separation",CONCATENATE(sample_wld_cl03_vds02_name,"-pg-vsan"),CONCATENATE(sample_wld_cl03_vds01_name,"-pg-vsan")))</f>
        <v>sfo-w01-cl03-vds01-pg-vsan</v>
      </c>
      <c r="D358" s="14"/>
      <c r="E358" s="18" t="str">
        <f>IF(input_wld_cl03_vds_profile="Storage Traffic Separation",input_wld_cl03_az1_principal_storage_pg&amp;" will be created on "&amp;input_wld_cl03_vds02_name,IF(input_wld_cl03_vds_profile="NSX Traffic Separation",input_wld_cl03_az1_principal_storage_pg&amp;" will be created on " &amp;input_wld_cl03_vds02_name,IF(input_wld_cl03_vds_profile="Storage Traffic and NSX Traffic Separation",input_wld_cl03_az1_principal_storage_pg&amp;" will be created on "&amp;input_wld_cl03_vds02_name,IF(input_wld_cl03_vds_profile="Custom","",""))))</f>
        <v/>
      </c>
    </row>
    <row r="359" spans="2:5" ht="20" customHeight="1">
      <c r="B359" s="21" t="s">
        <v>808</v>
      </c>
      <c r="C359" s="25" t="str">
        <f>IF(input_wld_cl03_vds_profile="Storage Traffic and NSX Traffic Separation",CONCATENATE(sample_wld_cl03_vds03_name,"-pg-uplink01"),IF(input_wld_cl03_vds_profile="NSX Traffic Separation",CONCATENATE(sample_wld_cl03_vds02_name,"-pg-uplink01"),CONCATENATE(sample_wld_cl03_vds01_name,"-pg-uplink01")))</f>
        <v>sfo-w01-cl03-vds01-pg-uplink01</v>
      </c>
      <c r="D359" s="14"/>
      <c r="E359" s="18"/>
    </row>
    <row r="360" spans="2:5" ht="20" customHeight="1">
      <c r="B360" s="21" t="s">
        <v>809</v>
      </c>
      <c r="C360" s="25" t="str">
        <f>IF(input_wld_cl03_vds_profile="Storage Traffic and NSX Traffic Separation",CONCATENATE(sample_wld_cl03_vds03_name,"-pg-uplink01"),IF(input_wld_cl03_vds_profile="NSX Traffic Separation",CONCATENATE(sample_wld_cl03_vds02_name,"-pg-uplink02"),CONCATENATE(sample_wld_cl03_vds01_name,"-pg-uplink02")))</f>
        <v>sfo-w01-cl03-vds01-pg-uplink02</v>
      </c>
      <c r="D360" s="14"/>
      <c r="E360" s="18"/>
    </row>
    <row r="361" spans="2:5" s="4" customFormat="1" ht="16" customHeight="1">
      <c r="B361" s="3"/>
      <c r="C361" s="3"/>
      <c r="D361" s="3"/>
      <c r="E361" s="3"/>
    </row>
    <row r="362" spans="2:5" customFormat="1" ht="34" customHeight="1">
      <c r="B362" s="427" t="s">
        <v>3332</v>
      </c>
      <c r="C362" s="428"/>
      <c r="D362" s="428"/>
      <c r="E362" s="426"/>
    </row>
    <row r="363" spans="2:5" ht="20" customHeight="1">
      <c r="B363" s="467" t="s">
        <v>3329</v>
      </c>
      <c r="C363" s="468"/>
      <c r="D363" s="468"/>
      <c r="E363" s="469"/>
    </row>
    <row r="364" spans="2:5" ht="20" customHeight="1">
      <c r="B364" s="8" t="s">
        <v>735</v>
      </c>
      <c r="C364" s="8" t="s">
        <v>554</v>
      </c>
      <c r="D364" s="20" t="s">
        <v>555</v>
      </c>
      <c r="E364" s="8" t="s">
        <v>222</v>
      </c>
    </row>
    <row r="365" spans="2:5" ht="20" customHeight="1">
      <c r="B365" s="52" t="s">
        <v>954</v>
      </c>
      <c r="C365" s="22" t="s">
        <v>4098</v>
      </c>
      <c r="D365" s="14"/>
      <c r="E365" s="18"/>
    </row>
    <row r="366" spans="2:5" ht="20" customHeight="1">
      <c r="B366" s="52" t="s">
        <v>955</v>
      </c>
      <c r="C366" s="22" t="s">
        <v>4098</v>
      </c>
      <c r="D366" s="14"/>
      <c r="E366" s="18"/>
    </row>
    <row r="367" spans="2:5" ht="20" customHeight="1">
      <c r="B367" s="21" t="s">
        <v>3333</v>
      </c>
      <c r="C367" s="22" t="str">
        <f>IF(mgmt_domain_chosen="First Domain",CONCATENATE(prefix_portable_component,"-m01-fd-vrslcm"),CONCATENATE(prefix_portable_component,"-m02-fd-vrslcm"))</f>
        <v>xint-m01-fd-vrslcm</v>
      </c>
      <c r="D367" s="14"/>
      <c r="E367" s="18"/>
    </row>
    <row r="368" spans="2:5" ht="20" customHeight="1">
      <c r="B368" s="21" t="s">
        <v>956</v>
      </c>
      <c r="C368" s="22" t="str">
        <f>C121</f>
        <v>sfo-m01-dc01</v>
      </c>
      <c r="D368" s="14"/>
      <c r="E368" s="18"/>
    </row>
    <row r="369" spans="2:5" ht="20" customHeight="1">
      <c r="B369" s="21" t="s">
        <v>957</v>
      </c>
      <c r="C369" s="22" t="str">
        <f>CONCATENATE(prefix_portable_component,"-env")</f>
        <v>xint-env</v>
      </c>
      <c r="D369" s="14"/>
      <c r="E369" s="18"/>
    </row>
    <row r="370" spans="2:5" ht="20" customHeight="1">
      <c r="B370" s="21" t="s">
        <v>958</v>
      </c>
      <c r="C370" s="22" t="str">
        <f>IF(mgmt_domain_chosen="First Domain",CONCATENATE(prefix_portable_component,"-m01-dc01"),CONCATENATE(prefix_portable_component,"-m02-dc01"))</f>
        <v>xint-m01-dc01</v>
      </c>
      <c r="D370" s="14"/>
      <c r="E370" s="18"/>
    </row>
    <row r="371" spans="2:5" ht="20" customHeight="1">
      <c r="B371" s="21" t="s">
        <v>959</v>
      </c>
      <c r="C371" s="22" t="str">
        <f>IF(mgmt_domain_chosen="First Domain","San Francisco, California, US","Los Angeles, California, US")</f>
        <v>San Francisco, California, US</v>
      </c>
      <c r="D371" s="14"/>
      <c r="E371" s="18"/>
    </row>
    <row r="372" spans="2:5" ht="20" customHeight="1">
      <c r="B372" s="21" t="s">
        <v>960</v>
      </c>
      <c r="C372" s="22" t="str">
        <f>CONCATENATE(prefix_portable_component,"-env-admin")</f>
        <v>xint-env-admin</v>
      </c>
      <c r="D372" s="14"/>
      <c r="E372" s="18"/>
    </row>
    <row r="373" spans="2:5" ht="20" customHeight="1">
      <c r="B373" s="21" t="s">
        <v>961</v>
      </c>
      <c r="C373" s="22" t="s">
        <v>4098</v>
      </c>
      <c r="D373" s="14"/>
      <c r="E373" s="18"/>
    </row>
    <row r="374" spans="2:5" ht="20" customHeight="1">
      <c r="B374" s="21" t="s">
        <v>962</v>
      </c>
      <c r="C374" s="22" t="s">
        <v>746</v>
      </c>
      <c r="D374" s="14"/>
      <c r="E374" s="18"/>
    </row>
    <row r="375" spans="2:5" ht="20" customHeight="1">
      <c r="B375" s="21" t="s">
        <v>963</v>
      </c>
      <c r="C375" s="22" t="s">
        <v>4098</v>
      </c>
      <c r="D375" s="14"/>
      <c r="E375" s="18"/>
    </row>
    <row r="376" spans="2:5" ht="20" customHeight="1">
      <c r="B376" s="21" t="s">
        <v>964</v>
      </c>
      <c r="C376" s="22" t="str">
        <f>CONCATENATE(prefix_portable_component,"-vrslcm01.",sample_region_ad_parent_fqdn)</f>
        <v>xint-vrslcm01.rainpole.io</v>
      </c>
      <c r="D376" s="14"/>
      <c r="E376" s="18" t="s">
        <v>4857</v>
      </c>
    </row>
    <row r="377" spans="2:5" ht="20" customHeight="1">
      <c r="B377" s="21" t="s">
        <v>3568</v>
      </c>
      <c r="C377" s="22" t="s">
        <v>874</v>
      </c>
      <c r="D377" s="14"/>
      <c r="E377" s="18" t="s">
        <v>4857</v>
      </c>
    </row>
    <row r="378" spans="2:5" ht="20" customHeight="1">
      <c r="B378" s="21" t="s">
        <v>3569</v>
      </c>
      <c r="C378" s="22" t="s">
        <v>4098</v>
      </c>
      <c r="D378" s="14"/>
      <c r="E378" s="18" t="s">
        <v>4857</v>
      </c>
    </row>
    <row r="379" spans="2:5" ht="16" customHeight="1"/>
    <row r="380" spans="2:5" ht="34" customHeight="1">
      <c r="B380" s="427" t="s">
        <v>965</v>
      </c>
      <c r="C380" s="428"/>
      <c r="D380" s="428"/>
      <c r="E380" s="426"/>
    </row>
    <row r="381" spans="2:5" ht="20" customHeight="1">
      <c r="B381" s="467" t="s">
        <v>35</v>
      </c>
      <c r="C381" s="468"/>
      <c r="D381" s="468"/>
      <c r="E381" s="469"/>
    </row>
    <row r="382" spans="2:5" ht="20" customHeight="1">
      <c r="B382" s="8" t="s">
        <v>735</v>
      </c>
      <c r="C382" s="8" t="s">
        <v>554</v>
      </c>
      <c r="D382" s="20" t="s">
        <v>555</v>
      </c>
      <c r="E382" s="8" t="s">
        <v>222</v>
      </c>
    </row>
    <row r="383" spans="2:5" ht="20" customHeight="1">
      <c r="B383" s="21" t="s">
        <v>966</v>
      </c>
      <c r="C383" s="22" t="str">
        <f>CONCATENATE(prefix_portable_component,"-idm01.",sample_parent_dns_zone)</f>
        <v>xint-idm01.rainpole.io</v>
      </c>
      <c r="D383" s="14"/>
      <c r="E383" s="18"/>
    </row>
    <row r="384" spans="2:5" s="4" customFormat="1" ht="20" customHeight="1">
      <c r="B384" s="21" t="s">
        <v>967</v>
      </c>
      <c r="C384" s="22" t="str">
        <f>CONCATENATE(prefix_portable_component,"-m01-fd-idm")</f>
        <v>xint-m01-fd-idm</v>
      </c>
      <c r="D384" s="14"/>
      <c r="E384" s="18"/>
    </row>
    <row r="385" spans="2:5" customFormat="1" ht="20" customHeight="1">
      <c r="B385" s="21" t="s">
        <v>968</v>
      </c>
      <c r="C385" s="22" t="s">
        <v>969</v>
      </c>
      <c r="D385" s="14"/>
      <c r="E385" s="18"/>
    </row>
    <row r="386" spans="2:5" ht="20" customHeight="1">
      <c r="B386" s="21" t="s">
        <v>970</v>
      </c>
      <c r="C386" s="22" t="s">
        <v>4098</v>
      </c>
      <c r="D386" s="14"/>
      <c r="E386" s="18"/>
    </row>
    <row r="387" spans="2:5" ht="20" customHeight="1">
      <c r="B387" s="21" t="s">
        <v>971</v>
      </c>
      <c r="C387" s="22" t="s">
        <v>746</v>
      </c>
      <c r="D387" s="14"/>
      <c r="E387" s="18"/>
    </row>
    <row r="388" spans="2:5" ht="20" customHeight="1">
      <c r="B388" s="21" t="s">
        <v>972</v>
      </c>
      <c r="C388" s="22" t="str">
        <f>CONCATENATE(prefix_portable_component,"-idm-admin")</f>
        <v>xint-idm-admin</v>
      </c>
      <c r="D388" s="14"/>
      <c r="E388" s="18"/>
    </row>
    <row r="389" spans="2:5" ht="20" customHeight="1">
      <c r="B389" s="21" t="s">
        <v>973</v>
      </c>
      <c r="C389" s="22" t="s">
        <v>4098</v>
      </c>
      <c r="D389" s="14"/>
      <c r="E389" s="18"/>
    </row>
    <row r="390" spans="2:5" ht="20" customHeight="1">
      <c r="B390" s="21" t="s">
        <v>974</v>
      </c>
      <c r="C390" s="22" t="s">
        <v>746</v>
      </c>
      <c r="D390" s="14"/>
      <c r="E390" s="18"/>
    </row>
    <row r="391" spans="2:5" ht="20" customHeight="1">
      <c r="B391" s="21" t="s">
        <v>975</v>
      </c>
      <c r="C391" s="22" t="str">
        <f>CONCATENATE(prefix_portable_component,"-idm-configadmin")</f>
        <v>xint-idm-configadmin</v>
      </c>
      <c r="D391" s="14"/>
      <c r="E391" s="18"/>
    </row>
    <row r="392" spans="2:5" ht="20" customHeight="1">
      <c r="B392" s="21" t="s">
        <v>976</v>
      </c>
      <c r="C392" s="22" t="s">
        <v>4098</v>
      </c>
      <c r="D392" s="14"/>
      <c r="E392" s="18"/>
    </row>
    <row r="393" spans="2:5" ht="20" customHeight="1">
      <c r="B393" s="21" t="s">
        <v>977</v>
      </c>
      <c r="C393" s="22" t="s">
        <v>978</v>
      </c>
      <c r="D393" s="14"/>
      <c r="E393" s="18"/>
    </row>
    <row r="394" spans="2:5" ht="20" customHeight="1">
      <c r="B394" s="21" t="s">
        <v>979</v>
      </c>
      <c r="C394" s="22" t="str">
        <f>CONCATENATE(prefix_portable_component,"-idm-root")</f>
        <v>xint-idm-root</v>
      </c>
      <c r="D394" s="14"/>
      <c r="E394" s="18"/>
    </row>
    <row r="395" spans="2:5" ht="20" customHeight="1">
      <c r="B395" s="21" t="s">
        <v>980</v>
      </c>
      <c r="C395" s="22" t="s">
        <v>4098</v>
      </c>
      <c r="D395" s="14"/>
      <c r="E395" s="18"/>
    </row>
    <row r="396" spans="2:5" ht="20" customHeight="1">
      <c r="B396" s="21" t="s">
        <v>981</v>
      </c>
      <c r="C396" s="22" t="s">
        <v>982</v>
      </c>
      <c r="D396" s="170"/>
      <c r="E396" s="18"/>
    </row>
    <row r="397" spans="2:5" ht="16" customHeight="1"/>
    <row r="398" spans="2:5" ht="34" customHeight="1">
      <c r="B398" s="427" t="s">
        <v>983</v>
      </c>
      <c r="C398" s="428"/>
      <c r="D398" s="428"/>
      <c r="E398" s="426"/>
    </row>
    <row r="399" spans="2:5" ht="20" customHeight="1">
      <c r="B399" s="8" t="s">
        <v>735</v>
      </c>
      <c r="C399" s="8" t="s">
        <v>554</v>
      </c>
      <c r="D399" s="20" t="s">
        <v>555</v>
      </c>
      <c r="E399" s="8" t="s">
        <v>222</v>
      </c>
    </row>
    <row r="400" spans="2:5" ht="20" customHeight="1">
      <c r="B400" s="21" t="s">
        <v>987</v>
      </c>
      <c r="C400" s="49" t="s">
        <v>988</v>
      </c>
      <c r="D400" s="14"/>
      <c r="E400" s="18"/>
    </row>
    <row r="401" spans="2:5" ht="20" customHeight="1">
      <c r="B401" s="21" t="s">
        <v>3458</v>
      </c>
      <c r="C401" s="22" t="s">
        <v>3457</v>
      </c>
      <c r="D401" s="14"/>
      <c r="E401" s="18"/>
    </row>
    <row r="402" spans="2:5" ht="16" customHeight="1"/>
    <row r="403" spans="2:5" ht="34" customHeight="1">
      <c r="B403" s="427" t="s">
        <v>989</v>
      </c>
      <c r="C403" s="428"/>
      <c r="D403" s="428"/>
      <c r="E403" s="426"/>
    </row>
    <row r="404" spans="2:5" ht="20" customHeight="1">
      <c r="B404" s="8" t="s">
        <v>735</v>
      </c>
      <c r="C404" s="8" t="s">
        <v>554</v>
      </c>
      <c r="D404" s="20" t="s">
        <v>555</v>
      </c>
      <c r="E404" s="8" t="s">
        <v>222</v>
      </c>
    </row>
    <row r="405" spans="2:5" ht="20" customHeight="1">
      <c r="B405" s="21" t="s">
        <v>990</v>
      </c>
      <c r="C405" s="25" t="str">
        <f>CONCATENATE(this_instance,"-",workload_descriptor,"-seg01-tanzu")</f>
        <v>sfo-w01-seg01-tanzu</v>
      </c>
      <c r="D405" s="14"/>
      <c r="E405" s="18"/>
    </row>
    <row r="406" spans="2:5" ht="20" customHeight="1">
      <c r="B406" s="21" t="s">
        <v>991</v>
      </c>
      <c r="C406" s="25" t="str">
        <f>IF(mgmt_consolidated_result="Included",CONCATENATE(sample_mgmt_tier0_name,"-prefixlist"),CONCATENATE(sample_wld_tier0_name,"-prefixlist"))</f>
        <v>sfo-w01-ec01-t0-gw01-prefixlist</v>
      </c>
      <c r="D406" s="14"/>
      <c r="E406" s="18"/>
    </row>
    <row r="407" spans="2:5" ht="20" customHeight="1">
      <c r="B407" s="21" t="s">
        <v>992</v>
      </c>
      <c r="C407" s="25" t="str">
        <f>IF(mgmt_consolidated_result="Included",CONCATENATE(sample_mgmt_tier0_name,"-routemap"),CONCATENATE(sample_wld_tier0_name,"-routemap"))</f>
        <v>sfo-w01-ec01-t0-gw01-routemap</v>
      </c>
      <c r="D407" s="14"/>
      <c r="E407" s="18"/>
    </row>
    <row r="408" spans="2:5" ht="20" customHeight="1">
      <c r="B408" s="21" t="s">
        <v>993</v>
      </c>
      <c r="C408" s="25" t="s">
        <v>994</v>
      </c>
      <c r="D408" s="14"/>
      <c r="E408" s="18"/>
    </row>
    <row r="409" spans="2:5" ht="20" customHeight="1">
      <c r="B409" s="21" t="s">
        <v>995</v>
      </c>
      <c r="C409" s="25" t="s">
        <v>996</v>
      </c>
      <c r="D409" s="14"/>
      <c r="E409" s="18"/>
    </row>
    <row r="410" spans="2:5" ht="20" customHeight="1">
      <c r="B410" s="21" t="s">
        <v>997</v>
      </c>
      <c r="C410" s="25" t="s">
        <v>998</v>
      </c>
      <c r="D410" s="14"/>
      <c r="E410" s="18"/>
    </row>
    <row r="411" spans="2:5" ht="20" customHeight="1">
      <c r="B411" s="21" t="s">
        <v>999</v>
      </c>
      <c r="C411" s="25" t="s">
        <v>948</v>
      </c>
      <c r="D411" s="14"/>
      <c r="E411" s="18"/>
    </row>
    <row r="412" spans="2:5" ht="20" customHeight="1">
      <c r="B412" s="21" t="s">
        <v>1000</v>
      </c>
      <c r="C412" s="25" t="s">
        <v>1001</v>
      </c>
      <c r="D412" s="14"/>
      <c r="E412" s="18"/>
    </row>
    <row r="413" spans="2:5" ht="20" customHeight="1">
      <c r="B413" s="21" t="s">
        <v>1002</v>
      </c>
      <c r="C413" s="25" t="s">
        <v>1003</v>
      </c>
      <c r="D413" s="14" t="s">
        <v>1003</v>
      </c>
      <c r="E413" s="18"/>
    </row>
    <row r="414" spans="2:5" ht="16" customHeight="1"/>
    <row r="415" spans="2:5" ht="34" customHeight="1">
      <c r="B415" s="427" t="s">
        <v>4490</v>
      </c>
      <c r="C415" s="428"/>
      <c r="D415" s="428"/>
      <c r="E415" s="426"/>
    </row>
    <row r="416" spans="2:5" ht="20" customHeight="1">
      <c r="B416" s="8" t="s">
        <v>735</v>
      </c>
      <c r="C416" s="8" t="s">
        <v>554</v>
      </c>
      <c r="D416" s="20" t="s">
        <v>555</v>
      </c>
      <c r="E416" s="8" t="s">
        <v>222</v>
      </c>
    </row>
    <row r="417" spans="2:5" ht="20" customHeight="1">
      <c r="B417" s="21" t="s">
        <v>4483</v>
      </c>
      <c r="C417" s="22" t="s">
        <v>1110</v>
      </c>
      <c r="D417" s="14"/>
      <c r="E417" s="18"/>
    </row>
    <row r="418" spans="2:5" ht="20" customHeight="1">
      <c r="B418" s="21" t="s">
        <v>4468</v>
      </c>
      <c r="C418" s="22" t="s">
        <v>4489</v>
      </c>
      <c r="D418" s="14"/>
      <c r="E418" s="18"/>
    </row>
    <row r="419" spans="2:5" ht="20" customHeight="1">
      <c r="B419" s="21" t="s">
        <v>4463</v>
      </c>
      <c r="C419" s="22" t="s">
        <v>4488</v>
      </c>
      <c r="D419" s="14"/>
      <c r="E419" s="18"/>
    </row>
    <row r="420" spans="2:5" ht="20" customHeight="1">
      <c r="B420" s="21" t="s">
        <v>4486</v>
      </c>
      <c r="C420" s="22" t="s">
        <v>4487</v>
      </c>
      <c r="D420" s="14"/>
      <c r="E420" s="18"/>
    </row>
    <row r="421" spans="2:5" ht="16" customHeight="1"/>
    <row r="422" spans="2:5" ht="30" customHeight="1">
      <c r="B422" s="427" t="s">
        <v>1018</v>
      </c>
      <c r="C422" s="428"/>
      <c r="D422" s="428"/>
      <c r="E422" s="426"/>
    </row>
    <row r="423" spans="2:5" ht="16" customHeight="1">
      <c r="B423" s="8" t="s">
        <v>735</v>
      </c>
      <c r="C423" s="8" t="s">
        <v>554</v>
      </c>
      <c r="D423" s="20" t="s">
        <v>555</v>
      </c>
      <c r="E423" s="8" t="s">
        <v>222</v>
      </c>
    </row>
    <row r="424" spans="2:5" ht="20" customHeight="1">
      <c r="B424" s="21" t="s">
        <v>3556</v>
      </c>
      <c r="C424" s="22" t="s">
        <v>3188</v>
      </c>
      <c r="D424" s="14"/>
      <c r="E424" s="18"/>
    </row>
    <row r="425" spans="2:5" ht="20" customHeight="1">
      <c r="B425" s="21" t="s">
        <v>3378</v>
      </c>
      <c r="C425" s="22" t="s">
        <v>1110</v>
      </c>
      <c r="D425" s="14"/>
      <c r="E425" s="18"/>
    </row>
    <row r="426" spans="2:5" ht="20" customHeight="1">
      <c r="B426" s="21" t="s">
        <v>1019</v>
      </c>
      <c r="C426" s="22" t="str">
        <f>CONCATENATE(this_instance,"-logs-admin")</f>
        <v>sfo-logs-admin</v>
      </c>
      <c r="D426" s="14"/>
      <c r="E426" s="18"/>
    </row>
    <row r="427" spans="2:5" ht="20" customHeight="1">
      <c r="B427" s="21" t="s">
        <v>1020</v>
      </c>
      <c r="C427" s="22" t="s">
        <v>4098</v>
      </c>
      <c r="D427" s="14"/>
      <c r="E427" s="18"/>
    </row>
    <row r="428" spans="2:5" ht="20" customHeight="1">
      <c r="B428" s="21" t="s">
        <v>1021</v>
      </c>
      <c r="C428" s="22" t="str">
        <f>CONCATENATE(this_instance,"-instance-env")</f>
        <v>sfo-instance-env</v>
      </c>
      <c r="D428" s="14"/>
      <c r="E428" s="18"/>
    </row>
    <row r="429" spans="2:5" ht="20" customHeight="1">
      <c r="B429" s="21" t="s">
        <v>1022</v>
      </c>
      <c r="C429" s="22" t="str">
        <f>CONCATENATE("administrator@",sample_parent_dns_zone)</f>
        <v>administrator@rainpole.io</v>
      </c>
      <c r="D429" s="170"/>
      <c r="E429" s="18"/>
    </row>
    <row r="430" spans="2:5" ht="20" customHeight="1">
      <c r="B430" s="21" t="s">
        <v>1023</v>
      </c>
      <c r="C430" s="22" t="s">
        <v>3580</v>
      </c>
      <c r="D430" s="14"/>
      <c r="E430" s="18"/>
    </row>
    <row r="431" spans="2:5" ht="20" customHeight="1">
      <c r="B431" s="21" t="s">
        <v>1024</v>
      </c>
      <c r="C431" s="22" t="str">
        <f>CONCATENATE("aria-operations-for-logs-no-reply@",sample_parent_dns_zone)</f>
        <v>aria-operations-for-logs-no-reply@rainpole.io</v>
      </c>
      <c r="D431" s="170"/>
      <c r="E431" s="18"/>
    </row>
    <row r="432" spans="2:5" ht="20" customHeight="1">
      <c r="B432" s="21" t="s">
        <v>1025</v>
      </c>
      <c r="C432" s="22" t="str">
        <f>CONCATENATE(prefix_mgmt_stretched_cidr,"1.4")</f>
        <v>1.4</v>
      </c>
      <c r="D432" s="14"/>
      <c r="E432" s="18"/>
    </row>
    <row r="433" spans="2:5" ht="20" customHeight="1">
      <c r="B433" s="21" t="s">
        <v>1026</v>
      </c>
      <c r="C433" s="22" t="s">
        <v>3516</v>
      </c>
      <c r="D433" s="14"/>
      <c r="E433" s="18"/>
    </row>
    <row r="434" spans="2:5" ht="20" customHeight="1">
      <c r="B434" s="21" t="s">
        <v>1027</v>
      </c>
      <c r="C434" s="22" t="s">
        <v>1028</v>
      </c>
      <c r="D434" s="14"/>
      <c r="E434" s="18"/>
    </row>
    <row r="435" spans="2:5" ht="20" customHeight="1">
      <c r="B435" s="21" t="s">
        <v>1029</v>
      </c>
      <c r="C435" s="22">
        <v>7</v>
      </c>
      <c r="D435" s="14"/>
      <c r="E435" s="18"/>
    </row>
    <row r="436" spans="2:5" ht="20" customHeight="1">
      <c r="B436" s="21" t="s">
        <v>3320</v>
      </c>
      <c r="C436" s="22" t="str">
        <f>this_instance</f>
        <v>sfo</v>
      </c>
      <c r="D436" s="14"/>
      <c r="E436" s="18" t="s">
        <v>1030</v>
      </c>
    </row>
    <row r="437" spans="2:5" ht="20" customHeight="1">
      <c r="B437" s="21" t="s">
        <v>3193</v>
      </c>
      <c r="C437" s="22" t="str">
        <f>CONCATENATE(other_instance,"-m01-vrli01.",other_instance,".",sample_region_ad_parent_fqdn)</f>
        <v>lax-m01-vrli01.lax.rainpole.io</v>
      </c>
      <c r="D437" s="14"/>
      <c r="E437" s="18" t="s">
        <v>1030</v>
      </c>
    </row>
    <row r="438" spans="2:5" ht="20" customHeight="1">
      <c r="B438" s="21" t="s">
        <v>3194</v>
      </c>
      <c r="C438" s="22" t="str">
        <f>other_instance</f>
        <v>lax</v>
      </c>
      <c r="D438" s="14"/>
      <c r="E438" s="18" t="s">
        <v>1030</v>
      </c>
    </row>
    <row r="439" spans="2:5" ht="20" customHeight="1">
      <c r="B439" s="21" t="s">
        <v>3632</v>
      </c>
      <c r="C439" s="22" t="s">
        <v>3634</v>
      </c>
      <c r="D439" s="14"/>
      <c r="E439" s="18" t="s">
        <v>3633</v>
      </c>
    </row>
    <row r="440" spans="2:5" s="106" customFormat="1" ht="16" customHeight="1">
      <c r="B440" s="3"/>
      <c r="C440" s="3"/>
      <c r="D440" s="3"/>
      <c r="E440" s="3"/>
    </row>
    <row r="441" spans="2:5" s="4" customFormat="1" ht="30" customHeight="1">
      <c r="B441" s="427" t="s">
        <v>1031</v>
      </c>
      <c r="C441" s="428"/>
      <c r="D441" s="428"/>
      <c r="E441" s="426"/>
    </row>
    <row r="442" spans="2:5" ht="16" customHeight="1">
      <c r="B442" s="8" t="s">
        <v>735</v>
      </c>
      <c r="C442" s="8" t="s">
        <v>554</v>
      </c>
      <c r="D442" s="20" t="s">
        <v>555</v>
      </c>
      <c r="E442" s="8" t="s">
        <v>222</v>
      </c>
    </row>
    <row r="443" spans="2:5" ht="20" customHeight="1">
      <c r="B443" s="21" t="s">
        <v>3579</v>
      </c>
      <c r="C443" s="22" t="s">
        <v>3392</v>
      </c>
      <c r="D443" s="14"/>
      <c r="E443" s="18"/>
    </row>
    <row r="444" spans="2:5" ht="20" customHeight="1">
      <c r="B444" s="21" t="s">
        <v>3578</v>
      </c>
      <c r="C444" s="22" t="s">
        <v>1110</v>
      </c>
      <c r="D444" s="14"/>
      <c r="E444" s="18"/>
    </row>
    <row r="445" spans="2:5" ht="20" customHeight="1">
      <c r="B445" s="21" t="s">
        <v>1032</v>
      </c>
      <c r="C445" s="22" t="s">
        <v>3207</v>
      </c>
      <c r="D445" s="14"/>
      <c r="E445" s="18"/>
    </row>
    <row r="446" spans="2:5" ht="20" customHeight="1">
      <c r="B446" s="21" t="s">
        <v>1033</v>
      </c>
      <c r="C446" s="22" t="str">
        <f>CONCATENATE("svc-",sample_xreg_vrops_virtual_hostname,"-",sample_mgmt_nsxt_hostname)</f>
        <v>svc-xint-ops01-sfo-m01-nsx01</v>
      </c>
      <c r="D446" s="14"/>
      <c r="E446" s="18"/>
    </row>
    <row r="447" spans="2:5" ht="20" customHeight="1">
      <c r="B447" s="21" t="s">
        <v>1034</v>
      </c>
      <c r="C447" s="22" t="str">
        <f>CONCATENATE("svc-",sample_xreg_vrops_virtual_hostname,"-",sample_wld_nsxt_hostname)</f>
        <v>svc-xint-ops01-sfo-w01-nsx01</v>
      </c>
      <c r="D447" s="14"/>
      <c r="E447" s="18"/>
    </row>
    <row r="448" spans="2:5" ht="20" customHeight="1">
      <c r="B448" s="21" t="s">
        <v>1005</v>
      </c>
      <c r="C448" s="22" t="s">
        <v>4602</v>
      </c>
      <c r="D448" s="14"/>
      <c r="E448" s="18"/>
    </row>
    <row r="449" spans="2:10" ht="20" customHeight="1">
      <c r="B449" s="21" t="s">
        <v>755</v>
      </c>
      <c r="C449" s="22" t="s">
        <v>4098</v>
      </c>
      <c r="D449" s="14"/>
      <c r="E449" s="18"/>
    </row>
    <row r="450" spans="2:10" ht="20" customHeight="1">
      <c r="B450" s="21" t="s">
        <v>3220</v>
      </c>
      <c r="C450" s="22" t="str">
        <f>CONCATENATE(prefix_portable_component,"-m01-fd-operations")</f>
        <v>xint-m01-fd-operations</v>
      </c>
      <c r="D450" s="14"/>
      <c r="E450" s="18"/>
    </row>
    <row r="451" spans="2:10" ht="20" customHeight="1">
      <c r="B451" s="21" t="s">
        <v>1035</v>
      </c>
      <c r="C451" s="22" t="s">
        <v>4654</v>
      </c>
      <c r="D451" s="14"/>
      <c r="E451" s="18"/>
    </row>
    <row r="452" spans="2:10" ht="20" customHeight="1">
      <c r="B452" s="21" t="s">
        <v>1015</v>
      </c>
      <c r="C452" s="22" t="s">
        <v>3622</v>
      </c>
      <c r="D452" s="14"/>
      <c r="E452" s="18"/>
    </row>
    <row r="453" spans="2:10" ht="20" customHeight="1">
      <c r="B453" s="21" t="s">
        <v>1017</v>
      </c>
      <c r="C453" s="22" t="str">
        <f>CONCATENATE("aria-operations-no-reply@",sample_parent_dns_zone)</f>
        <v>aria-operations-no-reply@rainpole.io</v>
      </c>
      <c r="D453" s="171"/>
      <c r="E453" s="18"/>
    </row>
    <row r="454" spans="2:10" ht="20" customHeight="1">
      <c r="B454" s="21" t="s">
        <v>1036</v>
      </c>
      <c r="C454" s="22" t="str">
        <f>CONCATENATE("administrator@",sample_parent_dns_zone)</f>
        <v>administrator@rainpole.io</v>
      </c>
      <c r="D454" s="171"/>
      <c r="E454" s="18"/>
    </row>
    <row r="455" spans="2:10" ht="20" customHeight="1">
      <c r="B455" s="21" t="s">
        <v>1037</v>
      </c>
      <c r="C455" s="22">
        <v>15</v>
      </c>
      <c r="D455" s="14"/>
      <c r="E455" s="18"/>
    </row>
    <row r="456" spans="2:10" ht="20" customHeight="1">
      <c r="B456" s="21" t="s">
        <v>1038</v>
      </c>
      <c r="C456" s="22">
        <v>3</v>
      </c>
      <c r="D456" s="14"/>
      <c r="E456" s="18"/>
    </row>
    <row r="457" spans="2:10" ht="20" customHeight="1">
      <c r="B457" s="21" t="s">
        <v>1039</v>
      </c>
      <c r="C457" s="22">
        <v>15</v>
      </c>
      <c r="D457" s="14"/>
      <c r="E457" s="18"/>
    </row>
    <row r="458" spans="2:10" ht="20" customHeight="1">
      <c r="B458" s="21" t="s">
        <v>1040</v>
      </c>
      <c r="C458" s="22" t="str">
        <f>IF(mgmt_domain_chosen="First Domain",CONCATENATE(this_instance,"-m01-vc01.",this_instance,".",sample_region_ad_parent_fqdn),CONCATENATE(other_instance,"-m01-vc01.",other_instance,".",sample_region_ad_parent_fqdn))</f>
        <v>sfo-m01-vc01.sfo.rainpole.io</v>
      </c>
      <c r="D458" s="14"/>
      <c r="E458" s="18"/>
    </row>
    <row r="459" spans="2:10" ht="20" customHeight="1">
      <c r="B459" s="21" t="s">
        <v>4858</v>
      </c>
      <c r="C459" s="22" t="str">
        <f>CONCATENATE(sample_xreg_vrops_virtual_hostname,".",sample_parent_dns_zone)</f>
        <v>xint-ops01.rainpole.io</v>
      </c>
      <c r="D459" s="14"/>
      <c r="E459" s="18"/>
    </row>
    <row r="460" spans="2:10" ht="20" customHeight="1">
      <c r="B460" s="21" t="s">
        <v>4859</v>
      </c>
      <c r="C460" s="22" t="str">
        <f>sample_xreg_vrops_nodea_hostname</f>
        <v>xint-ops01a</v>
      </c>
      <c r="D460" s="14"/>
      <c r="E460" s="18"/>
    </row>
    <row r="461" spans="2:10" ht="20" customHeight="1">
      <c r="B461" s="21" t="s">
        <v>4860</v>
      </c>
      <c r="C461" s="22" t="str">
        <f>CONCATENATE(sample_xreg_vrops_nodea_hostname,".",sample_parent_dns_zone)</f>
        <v>xint-ops01a.rainpole.io</v>
      </c>
      <c r="D461" s="14"/>
      <c r="E461" s="18"/>
    </row>
    <row r="462" spans="2:10" ht="20" customHeight="1">
      <c r="B462" s="21" t="s">
        <v>4861</v>
      </c>
      <c r="C462" s="22" t="str">
        <f>sample_xreg_vrops_nodeb_hostname</f>
        <v>xint-ops01b</v>
      </c>
      <c r="D462" s="14"/>
      <c r="E462" s="18"/>
    </row>
    <row r="463" spans="2:10" ht="20" customHeight="1">
      <c r="B463" s="21" t="s">
        <v>4862</v>
      </c>
      <c r="C463" s="22" t="str">
        <f>CONCATENATE(sample_xreg_vrops_nodeb_hostname,".",sample_parent_dns_zone)</f>
        <v>xint-ops01b.rainpole.io</v>
      </c>
      <c r="D463" s="14"/>
      <c r="E463" s="18"/>
    </row>
    <row r="464" spans="2:10" s="4" customFormat="1" ht="20" customHeight="1">
      <c r="B464" s="21" t="s">
        <v>4863</v>
      </c>
      <c r="C464" s="22" t="str">
        <f>sample_xreg_vrops_nodec_hostname</f>
        <v>xint-ops01c</v>
      </c>
      <c r="D464" s="14"/>
      <c r="E464" s="18"/>
      <c r="F464" s="3"/>
      <c r="G464" s="3"/>
      <c r="H464" s="3"/>
      <c r="I464" s="3"/>
      <c r="J464" s="3"/>
    </row>
    <row r="465" spans="2:10" ht="20" customHeight="1">
      <c r="B465" s="21" t="s">
        <v>4864</v>
      </c>
      <c r="C465" s="22" t="str">
        <f>CONCATENATE(sample_xreg_vrops_nodec_hostname,".",sample_parent_dns_zone)</f>
        <v>xint-ops01c.rainpole.io</v>
      </c>
      <c r="D465" s="14"/>
      <c r="E465" s="18"/>
    </row>
    <row r="466" spans="2:10" customFormat="1" ht="20" customHeight="1">
      <c r="B466" s="21" t="s">
        <v>4865</v>
      </c>
      <c r="C466" s="22" t="str">
        <f>IF(mgmt_domain_chosen="First Domain",CONCATENATE(this_instance,"-ops-pxy01a"),CONCATENATE(other_instance,"-ops-pxy01a"))</f>
        <v>sfo-ops-pxy01a</v>
      </c>
      <c r="D466" s="14"/>
      <c r="E466" s="18"/>
    </row>
    <row r="467" spans="2:10" ht="20" customHeight="1">
      <c r="B467" s="21" t="s">
        <v>4866</v>
      </c>
      <c r="C467" s="22" t="str">
        <f>IF(mgmt_domain_chosen="First Domain",CONCATENATE(this_instance,"-ops-pxy01a.",this_instance,".rainpole.io"),CONCATENATE(other_instance,"-ops-pxy01a.",other_instance,".rainpole.io"))</f>
        <v>sfo-ops-pxy01a.sfo.rainpole.io</v>
      </c>
      <c r="D467" s="14"/>
      <c r="E467" s="18"/>
    </row>
    <row r="468" spans="2:10" ht="20" customHeight="1">
      <c r="B468" s="21" t="s">
        <v>4867</v>
      </c>
      <c r="C468" s="22" t="str">
        <f>IF(mgmt_domain_chosen="First Domain",CONCATENATE(this_instance,"-ops-pxy01b"),CONCATENATE(other_instance,"-ops-pxy01b"))</f>
        <v>sfo-ops-pxy01b</v>
      </c>
      <c r="D468" s="14"/>
      <c r="E468" s="18"/>
    </row>
    <row r="469" spans="2:10" ht="20" customHeight="1">
      <c r="B469" s="21" t="s">
        <v>4868</v>
      </c>
      <c r="C469" s="22" t="str">
        <f>IF(mgmt_domain_chosen="First Domain",CONCATENATE(this_instance,"-ops-pxy01b.",this_instance,".rainpole.io"),CONCATENATE(other_instance,"-ops-pxy01b.",other_instance,".rainpole.io"))</f>
        <v>sfo-ops-pxy01b.sfo.rainpole.io</v>
      </c>
      <c r="D469" s="14"/>
      <c r="E469" s="18"/>
    </row>
    <row r="470" spans="2:10" ht="16" customHeight="1"/>
    <row r="471" spans="2:10" s="4" customFormat="1" ht="30" customHeight="1">
      <c r="B471" s="427" t="s">
        <v>3656</v>
      </c>
      <c r="C471" s="428"/>
      <c r="D471" s="428"/>
      <c r="E471" s="426"/>
      <c r="F471" s="3"/>
      <c r="G471" s="3"/>
      <c r="H471" s="3"/>
      <c r="I471" s="3"/>
      <c r="J471" s="3"/>
    </row>
    <row r="472" spans="2:10" ht="20" customHeight="1">
      <c r="B472" s="8" t="s">
        <v>735</v>
      </c>
      <c r="C472" s="8" t="s">
        <v>554</v>
      </c>
      <c r="D472" s="20" t="s">
        <v>555</v>
      </c>
      <c r="E472" s="8" t="s">
        <v>222</v>
      </c>
    </row>
    <row r="473" spans="2:10" customFormat="1" ht="20" customHeight="1">
      <c r="B473" s="21" t="s">
        <v>3660</v>
      </c>
      <c r="C473" s="22" t="s">
        <v>3662</v>
      </c>
      <c r="D473" s="119"/>
      <c r="E473" s="17"/>
    </row>
    <row r="474" spans="2:10" ht="20" customHeight="1">
      <c r="B474" s="21" t="s">
        <v>3661</v>
      </c>
      <c r="C474" s="22" t="s">
        <v>1110</v>
      </c>
      <c r="D474" s="119"/>
      <c r="E474" s="17"/>
    </row>
    <row r="475" spans="2:10" ht="20" customHeight="1">
      <c r="B475" s="21" t="s">
        <v>1032</v>
      </c>
      <c r="C475" s="22" t="s">
        <v>3387</v>
      </c>
      <c r="D475" s="119"/>
      <c r="E475" s="17"/>
    </row>
    <row r="476" spans="2:10" ht="20" customHeight="1">
      <c r="B476" s="21" t="s">
        <v>1083</v>
      </c>
      <c r="C476" s="22" t="str">
        <f>CONCATENATE(prefix_portable_component,"-m01-fd-networks")</f>
        <v>xint-m01-fd-networks</v>
      </c>
      <c r="D476" s="119"/>
      <c r="E476" s="17"/>
    </row>
    <row r="477" spans="2:10" ht="20" customHeight="1">
      <c r="B477" s="21" t="s">
        <v>1033</v>
      </c>
      <c r="C477" s="22" t="str">
        <f>CONCATENATE("svc-",sample_xreg_vrops_virtual_hostname,"-",sample_mgmt_nsxt_hostname)</f>
        <v>svc-xint-ops01-sfo-m01-nsx01</v>
      </c>
      <c r="D477" s="119"/>
      <c r="E477" s="17"/>
    </row>
    <row r="478" spans="2:10" ht="20" customHeight="1">
      <c r="B478" s="21" t="s">
        <v>1034</v>
      </c>
      <c r="C478" s="22" t="str">
        <f>CONCATENATE("svc-",sample_xreg_vrops_virtual_hostname,"-",sample_wld_nsxt_hostname)</f>
        <v>svc-xint-ops01-sfo-w01-nsx01</v>
      </c>
      <c r="D478" s="119"/>
      <c r="E478" s="17"/>
    </row>
    <row r="479" spans="2:10" ht="20" customHeight="1">
      <c r="B479" s="21" t="s">
        <v>3668</v>
      </c>
      <c r="C479" s="22" t="s">
        <v>4844</v>
      </c>
      <c r="D479" s="119"/>
      <c r="E479" s="17"/>
    </row>
    <row r="480" spans="2:10" ht="20" customHeight="1">
      <c r="B480" s="21" t="s">
        <v>1020</v>
      </c>
      <c r="C480" s="22" t="s">
        <v>4098</v>
      </c>
      <c r="D480" s="119"/>
      <c r="E480" s="17"/>
    </row>
    <row r="481" spans="2:5" customFormat="1" ht="20" customHeight="1">
      <c r="B481" s="21" t="s">
        <v>3664</v>
      </c>
      <c r="C481" s="22" t="s">
        <v>4845</v>
      </c>
      <c r="D481" s="119"/>
      <c r="E481" s="17"/>
    </row>
    <row r="482" spans="2:5" ht="20" customHeight="1">
      <c r="B482" s="21" t="s">
        <v>3665</v>
      </c>
      <c r="C482" s="22" t="s">
        <v>4098</v>
      </c>
      <c r="D482" s="119"/>
      <c r="E482" s="17"/>
    </row>
    <row r="483" spans="2:5" ht="20" customHeight="1">
      <c r="B483" s="21" t="s">
        <v>3666</v>
      </c>
      <c r="C483" s="22" t="s">
        <v>4846</v>
      </c>
      <c r="D483" s="119"/>
      <c r="E483" s="17"/>
    </row>
    <row r="484" spans="2:5" ht="20" customHeight="1">
      <c r="B484" s="21" t="s">
        <v>3667</v>
      </c>
      <c r="C484" s="22" t="s">
        <v>4098</v>
      </c>
      <c r="D484" s="119"/>
      <c r="E484" s="17"/>
    </row>
    <row r="485" spans="2:5" ht="20" customHeight="1">
      <c r="B485" s="21" t="s">
        <v>3680</v>
      </c>
      <c r="C485" s="22" t="s">
        <v>400</v>
      </c>
      <c r="D485" s="119"/>
      <c r="E485" s="17"/>
    </row>
    <row r="486" spans="2:5" ht="16" customHeight="1">
      <c r="B486" s="106"/>
      <c r="C486" s="106"/>
      <c r="E486" s="106"/>
    </row>
    <row r="487" spans="2:5" ht="30" customHeight="1">
      <c r="B487" s="427" t="s">
        <v>1004</v>
      </c>
      <c r="C487" s="428"/>
      <c r="D487" s="428"/>
      <c r="E487" s="426"/>
    </row>
    <row r="488" spans="2:5" ht="20" customHeight="1">
      <c r="B488" s="8" t="s">
        <v>735</v>
      </c>
      <c r="C488" s="8" t="s">
        <v>554</v>
      </c>
      <c r="D488" s="20" t="s">
        <v>555</v>
      </c>
      <c r="E488" s="8" t="s">
        <v>222</v>
      </c>
    </row>
    <row r="489" spans="2:5" ht="20" customHeight="1">
      <c r="B489" s="21" t="str">
        <f>automation_product_name&amp;" License Alias"</f>
        <v>VMware Aria Automation License Alias</v>
      </c>
      <c r="C489" s="22" t="str">
        <f>automation_product_name</f>
        <v>VMware Aria Automation</v>
      </c>
      <c r="D489" s="14"/>
      <c r="E489" s="18"/>
    </row>
    <row r="490" spans="2:5" ht="20" customHeight="1">
      <c r="B490" s="21" t="str">
        <f>automation_product_name&amp;" License"</f>
        <v>VMware Aria Automation License</v>
      </c>
      <c r="C490" s="22" t="s">
        <v>1110</v>
      </c>
      <c r="D490" s="14"/>
      <c r="E490" s="18"/>
    </row>
    <row r="491" spans="2:5" ht="20" customHeight="1">
      <c r="B491" s="21" t="s">
        <v>1005</v>
      </c>
      <c r="C491" s="22" t="s">
        <v>4622</v>
      </c>
      <c r="D491" s="14"/>
      <c r="E491" s="18"/>
    </row>
    <row r="492" spans="2:5" ht="20" customHeight="1">
      <c r="B492" s="21" t="s">
        <v>1006</v>
      </c>
      <c r="C492" s="22" t="s">
        <v>4098</v>
      </c>
      <c r="D492" s="14"/>
      <c r="E492" s="18"/>
    </row>
    <row r="493" spans="2:5" ht="20" customHeight="1">
      <c r="B493" s="21" t="str">
        <f>automation_product_name&amp;" VM Folder"</f>
        <v>VMware Aria Automation VM Folder</v>
      </c>
      <c r="C493" s="22" t="str">
        <f>CONCATENATE(prefix_portable_component,"-m01-fd-automation")</f>
        <v>xint-m01-fd-automation</v>
      </c>
      <c r="D493" s="14"/>
      <c r="E493" s="18"/>
    </row>
    <row r="494" spans="2:5" ht="20" customHeight="1">
      <c r="B494" s="21" t="str">
        <f>automation_product_name&amp;" Anti-Affinity Rule"</f>
        <v>VMware Aria Automation Anti-Affinity Rule</v>
      </c>
      <c r="C494" s="22" t="s">
        <v>3623</v>
      </c>
      <c r="D494" s="14"/>
      <c r="E494" s="18"/>
    </row>
    <row r="495" spans="2:5" ht="20" customHeight="1">
      <c r="B495" s="21" t="str">
        <f>"Workspace ONE Access to "&amp;automation_product_name&amp;" VM to VM Rule"</f>
        <v>Workspace ONE Access to VMware Aria Automation VM to VM Rule</v>
      </c>
      <c r="C495" s="22" t="s">
        <v>4613</v>
      </c>
      <c r="D495" s="14"/>
      <c r="E495" s="18"/>
    </row>
    <row r="496" spans="2:5" ht="20" customHeight="1">
      <c r="B496" s="21" t="s">
        <v>1007</v>
      </c>
      <c r="C496" s="22" t="str">
        <f>CONCATENATE(this_instance,"-vcf01.",this_instance,".rainpole.io")</f>
        <v>sfo-vcf01.sfo.rainpole.io</v>
      </c>
      <c r="D496" s="14"/>
      <c r="E496" s="18"/>
    </row>
    <row r="497" spans="2:10" ht="20" customHeight="1">
      <c r="B497" s="21" t="s">
        <v>1008</v>
      </c>
      <c r="C497" s="22" t="str">
        <f>IF(mgmt_consolidated_result="Included",sample_mgmt_sddc_domain,sample_wld_sddc_domain)</f>
        <v>sfo-w01</v>
      </c>
      <c r="D497" s="14"/>
      <c r="E497" s="18"/>
    </row>
    <row r="498" spans="2:10" customFormat="1" ht="20" customHeight="1">
      <c r="B498" s="21" t="str">
        <f>"Target Folder for "&amp;automation_product_name&amp;" Deployed Workload VMs"</f>
        <v>Target Folder for VMware Aria Automation Deployed Workload VMs</v>
      </c>
      <c r="C498" s="22" t="str">
        <f>CONCATENATE(this_instance,"-w0",wld_domain_number_chosen,"-fd-workload")</f>
        <v>sfo-w01-fd-workload</v>
      </c>
      <c r="D498" s="14"/>
      <c r="E498" s="18"/>
    </row>
    <row r="499" spans="2:10" ht="20" customHeight="1">
      <c r="B499" s="21" t="str">
        <f>"Target Resource Pool for "&amp;automation_product_name&amp;" Deployed Workload VMs"</f>
        <v>Target Resource Pool for VMware Aria Automation Deployed Workload VMs</v>
      </c>
      <c r="C499" s="22" t="str">
        <f>IF(mgmt_consolidated_result="Included",CONCATENATE(sample_mgmt_cl01_cluster,"-rp-workload"),CONCATENATE(sample_wld_cl01_cluster,"-rp-workload"))</f>
        <v>sfo-w01-cl01-rp-workload</v>
      </c>
      <c r="D499" s="14"/>
      <c r="E499" s="18"/>
    </row>
    <row r="500" spans="2:10" customFormat="1" ht="20" customHeight="1">
      <c r="B500" s="21" t="s">
        <v>1009</v>
      </c>
      <c r="C500" s="22" t="str">
        <f>IF(mgmt_consolidated_result="Included",CONCATENATE(sample_mgmt_sddc_domain,"-fd-ds-local"),CONCATENATE(sample_wld_sddc_domain,"-fd-ds-local"))</f>
        <v>sfo-w01-fd-ds-local</v>
      </c>
      <c r="D500" s="14"/>
      <c r="E500" s="18"/>
    </row>
    <row r="501" spans="2:10" ht="20" customHeight="1">
      <c r="B501" s="21" t="s">
        <v>1010</v>
      </c>
      <c r="C501" s="22" t="str">
        <f>IF(mgmt_consolidated_result="Included",CONCATENATE(sample_mgmt_sddc_domain,"-fd-ds-readonly"),CONCATENATE(sample_wld_sddc_domain,"-fd-ds-readonly"))</f>
        <v>sfo-w01-fd-ds-readonly</v>
      </c>
      <c r="D501" s="14"/>
      <c r="E501" s="18"/>
    </row>
    <row r="502" spans="2:10" ht="20" customHeight="1">
      <c r="B502" s="21" t="str">
        <f>automation_product_name&amp;" Organization Name"</f>
        <v>VMware Aria Automation Organization Name</v>
      </c>
      <c r="C502" s="22" t="s">
        <v>291</v>
      </c>
      <c r="D502" s="14"/>
      <c r="E502" s="18"/>
    </row>
    <row r="503" spans="2:10" ht="20" customHeight="1">
      <c r="B503" s="21" t="s">
        <v>1011</v>
      </c>
      <c r="C503" s="22" t="s">
        <v>1012</v>
      </c>
      <c r="D503" s="14"/>
      <c r="E503" s="18" t="s">
        <v>1013</v>
      </c>
    </row>
    <row r="504" spans="2:10" ht="20" customHeight="1">
      <c r="B504" s="21" t="str">
        <f>automation_product_name&amp;" Cloud Account Capability Tag"</f>
        <v>VMware Aria Automation Cloud Account Capability Tag</v>
      </c>
      <c r="C504" s="22" t="s">
        <v>1014</v>
      </c>
      <c r="D504" s="14"/>
      <c r="E504" s="18"/>
    </row>
    <row r="505" spans="2:10" ht="20" customHeight="1">
      <c r="B505" s="21" t="str">
        <f>automation_product_name&amp;" Region Capability Tag"</f>
        <v>VMware Aria Automation Region Capability Tag</v>
      </c>
      <c r="C505" s="22" t="s">
        <v>3521</v>
      </c>
      <c r="D505" s="14"/>
      <c r="E505" s="18"/>
    </row>
    <row r="506" spans="2:10" ht="20" customHeight="1">
      <c r="B506" s="21" t="s">
        <v>1015</v>
      </c>
      <c r="C506" s="22" t="s">
        <v>1016</v>
      </c>
      <c r="D506" s="14"/>
      <c r="E506" s="18"/>
    </row>
    <row r="507" spans="2:10" ht="20" customHeight="1">
      <c r="B507" s="21" t="s">
        <v>1017</v>
      </c>
      <c r="C507" s="22" t="str">
        <f>CONCATENATE("aria-automation-no-reply@",sample_parent_dns_zone)</f>
        <v>aria-automation-no-reply@rainpole.io</v>
      </c>
      <c r="D507" s="171"/>
      <c r="E507" s="18"/>
    </row>
    <row r="508" spans="2:10" ht="16" customHeight="1"/>
    <row r="509" spans="2:10" ht="30" customHeight="1">
      <c r="B509" s="427" t="s">
        <v>1041</v>
      </c>
      <c r="C509" s="428"/>
      <c r="D509" s="428"/>
      <c r="E509" s="426"/>
    </row>
    <row r="510" spans="2:10" s="4" customFormat="1" ht="20" customHeight="1">
      <c r="B510" s="8" t="s">
        <v>735</v>
      </c>
      <c r="C510" s="8" t="s">
        <v>554</v>
      </c>
      <c r="D510" s="20" t="s">
        <v>555</v>
      </c>
      <c r="E510" s="8" t="s">
        <v>222</v>
      </c>
      <c r="F510" s="3"/>
      <c r="G510" s="3"/>
      <c r="H510" s="3"/>
      <c r="I510" s="3"/>
      <c r="J510" s="3"/>
    </row>
    <row r="511" spans="2:10" ht="20" customHeight="1">
      <c r="B511" s="467" t="s">
        <v>1042</v>
      </c>
      <c r="C511" s="468"/>
      <c r="D511" s="468"/>
      <c r="E511" s="469"/>
    </row>
    <row r="512" spans="2:10" customFormat="1" ht="20" customHeight="1">
      <c r="B512" s="21" t="s">
        <v>1043</v>
      </c>
      <c r="C512" s="22" t="str">
        <f>CONCATENATE(other_instance,"-vcf01.",other_instance,".",sample_parent_dns_zone)</f>
        <v>lax-vcf01.lax.rainpole.io</v>
      </c>
      <c r="D512" s="14"/>
      <c r="E512" s="18"/>
    </row>
    <row r="513" spans="2:5" ht="20" customHeight="1">
      <c r="B513" s="21" t="s">
        <v>1044</v>
      </c>
      <c r="C513" s="22" t="s">
        <v>1045</v>
      </c>
      <c r="D513" s="14"/>
      <c r="E513" s="18"/>
    </row>
    <row r="514" spans="2:5" ht="20" customHeight="1">
      <c r="B514" s="21" t="s">
        <v>1046</v>
      </c>
      <c r="C514" s="22" t="s">
        <v>4098</v>
      </c>
      <c r="D514" s="14"/>
      <c r="E514" s="18"/>
    </row>
    <row r="515" spans="2:5" ht="20" customHeight="1">
      <c r="B515" s="21" t="s">
        <v>3208</v>
      </c>
      <c r="C515" s="22" t="s">
        <v>4847</v>
      </c>
      <c r="D515" s="14"/>
      <c r="E515" s="18"/>
    </row>
    <row r="516" spans="2:5" ht="20" customHeight="1">
      <c r="B516" s="21" t="s">
        <v>3209</v>
      </c>
      <c r="C516" s="22" t="s">
        <v>4098</v>
      </c>
      <c r="D516" s="14"/>
      <c r="E516" s="18"/>
    </row>
    <row r="517" spans="2:5" ht="20" customHeight="1">
      <c r="B517" s="21" t="s">
        <v>3210</v>
      </c>
      <c r="C517" s="22" t="s">
        <v>4848</v>
      </c>
      <c r="D517" s="14"/>
      <c r="E517" s="18"/>
    </row>
    <row r="518" spans="2:5" ht="20" customHeight="1">
      <c r="B518" s="21" t="s">
        <v>3211</v>
      </c>
      <c r="C518" s="22" t="s">
        <v>4098</v>
      </c>
      <c r="D518" s="14"/>
      <c r="E518" s="18"/>
    </row>
    <row r="519" spans="2:5" ht="16" customHeight="1"/>
    <row r="520" spans="2:5" customFormat="1" ht="30" customHeight="1">
      <c r="B520" s="427" t="s">
        <v>1047</v>
      </c>
      <c r="C520" s="428"/>
      <c r="D520" s="428"/>
      <c r="E520" s="426"/>
    </row>
    <row r="521" spans="2:5" ht="20" customHeight="1">
      <c r="B521" s="8" t="s">
        <v>735</v>
      </c>
      <c r="C521" s="8" t="s">
        <v>554</v>
      </c>
      <c r="D521" s="20" t="s">
        <v>555</v>
      </c>
      <c r="E521" s="8" t="s">
        <v>222</v>
      </c>
    </row>
    <row r="522" spans="2:5" ht="20" customHeight="1">
      <c r="B522" s="467" t="s">
        <v>1048</v>
      </c>
      <c r="C522" s="468"/>
      <c r="D522" s="468"/>
      <c r="E522" s="469"/>
    </row>
    <row r="523" spans="2:5" ht="20" customHeight="1">
      <c r="B523" s="21" t="s">
        <v>1049</v>
      </c>
      <c r="C523" s="22" t="str">
        <f>CONCATENATE(this_instance,"-m01-fd-vrms")</f>
        <v>sfo-m01-fd-vrms</v>
      </c>
      <c r="D523" s="14"/>
      <c r="E523" s="18"/>
    </row>
    <row r="524" spans="2:5" ht="20" customHeight="1">
      <c r="B524" s="21" t="s">
        <v>1050</v>
      </c>
      <c r="C524" s="22" t="s">
        <v>4098</v>
      </c>
      <c r="D524" s="14"/>
      <c r="E524" s="18"/>
    </row>
    <row r="525" spans="2:5" ht="20" customHeight="1">
      <c r="B525" s="21" t="s">
        <v>1051</v>
      </c>
      <c r="C525" s="22" t="s">
        <v>4098</v>
      </c>
      <c r="D525" s="14"/>
      <c r="E525" s="18"/>
    </row>
    <row r="526" spans="2:5" ht="20" customHeight="1">
      <c r="B526" s="21" t="s">
        <v>1052</v>
      </c>
      <c r="C526" s="22" t="str">
        <f>UPPER(sample_mgmt_sddc_domain)</f>
        <v>SFO-M01</v>
      </c>
      <c r="D526" s="14"/>
      <c r="E526" s="18"/>
    </row>
    <row r="527" spans="2:5" ht="20" customHeight="1">
      <c r="B527" s="21" t="s">
        <v>1022</v>
      </c>
      <c r="C527" s="22" t="str">
        <f>CONCATENATE("vrms-administrator@",sample_parent_dns_zone)</f>
        <v>vrms-administrator@rainpole.io</v>
      </c>
      <c r="D527" s="14"/>
      <c r="E527" s="18"/>
    </row>
    <row r="528" spans="2:5" customFormat="1" ht="20" customHeight="1">
      <c r="B528" s="21" t="s">
        <v>1053</v>
      </c>
      <c r="C528" s="22" t="str">
        <f>CONCATENATE(this_instance,"01-m01-cl01-vds01-pg-vrms")</f>
        <v>sfo01-m01-cl01-vds01-pg-vrms</v>
      </c>
      <c r="D528" s="14"/>
      <c r="E528" s="18"/>
    </row>
    <row r="529" spans="2:5" ht="20" customHeight="1">
      <c r="B529" s="21" t="s">
        <v>1054</v>
      </c>
      <c r="C529" s="22" t="s">
        <v>4098</v>
      </c>
      <c r="D529" s="14"/>
      <c r="E529" s="18"/>
    </row>
    <row r="530" spans="2:5" ht="20" customHeight="1">
      <c r="B530" s="467" t="s">
        <v>717</v>
      </c>
      <c r="C530" s="468"/>
      <c r="D530" s="468"/>
      <c r="E530" s="469"/>
    </row>
    <row r="531" spans="2:5" ht="20" customHeight="1">
      <c r="B531" s="21" t="s">
        <v>1049</v>
      </c>
      <c r="C531" s="22" t="str">
        <f>CONCATENATE(this_instance,"-m01-fd-srm")</f>
        <v>sfo-m01-fd-srm</v>
      </c>
      <c r="D531" s="14"/>
      <c r="E531" s="18"/>
    </row>
    <row r="532" spans="2:5" ht="20" customHeight="1">
      <c r="B532" s="21" t="s">
        <v>1050</v>
      </c>
      <c r="C532" s="22" t="s">
        <v>4098</v>
      </c>
      <c r="D532" s="14"/>
      <c r="E532" s="18"/>
    </row>
    <row r="533" spans="2:5" ht="20" customHeight="1">
      <c r="B533" s="21" t="s">
        <v>1051</v>
      </c>
      <c r="C533" s="22" t="s">
        <v>4098</v>
      </c>
      <c r="D533" s="14"/>
      <c r="E533" s="18"/>
    </row>
    <row r="534" spans="2:5" ht="20" customHeight="1">
      <c r="B534" s="21" t="s">
        <v>1055</v>
      </c>
      <c r="C534" s="22" t="s">
        <v>4098</v>
      </c>
      <c r="D534" s="14"/>
      <c r="E534" s="18"/>
    </row>
    <row r="535" spans="2:5" ht="20" customHeight="1">
      <c r="B535" s="21" t="s">
        <v>1052</v>
      </c>
      <c r="C535" s="22" t="str">
        <f>UPPER(sample_mgmt_sddc_domain)</f>
        <v>SFO-M01</v>
      </c>
      <c r="D535" s="14"/>
      <c r="E535" s="18"/>
    </row>
    <row r="536" spans="2:5" ht="20" customHeight="1">
      <c r="B536" s="21" t="s">
        <v>1022</v>
      </c>
      <c r="C536" s="22" t="str">
        <f>CONCATENATE("srm-administrator@",sample_parent_dns_zone)</f>
        <v>srm-administrator@rainpole.io</v>
      </c>
      <c r="D536" s="14"/>
      <c r="E536" s="18"/>
    </row>
    <row r="537" spans="2:5" ht="20" customHeight="1">
      <c r="B537" s="21" t="s">
        <v>1054</v>
      </c>
      <c r="C537" s="22" t="s">
        <v>4098</v>
      </c>
      <c r="D537" s="14"/>
      <c r="E537" s="18"/>
    </row>
    <row r="538" spans="2:5" ht="20" customHeight="1">
      <c r="B538" s="21" t="s">
        <v>1056</v>
      </c>
      <c r="C538" s="22">
        <v>15</v>
      </c>
      <c r="D538" s="14"/>
      <c r="E538" s="18"/>
    </row>
    <row r="539" spans="2:5" ht="20" customHeight="1">
      <c r="B539" s="21" t="s">
        <v>1057</v>
      </c>
      <c r="C539" s="22">
        <v>3</v>
      </c>
      <c r="D539" s="14"/>
      <c r="E539" s="18"/>
    </row>
    <row r="540" spans="2:5" ht="20" customHeight="1">
      <c r="B540" s="21" t="s">
        <v>1058</v>
      </c>
      <c r="C540" s="22">
        <v>1</v>
      </c>
      <c r="D540" s="14"/>
      <c r="E540" s="18"/>
    </row>
    <row r="541" spans="2:5" ht="20" customHeight="1">
      <c r="B541" s="21" t="s">
        <v>3755</v>
      </c>
      <c r="C541" s="22" t="s">
        <v>3753</v>
      </c>
      <c r="D541" s="14"/>
      <c r="E541" s="18"/>
    </row>
    <row r="542" spans="2:5" ht="20" customHeight="1">
      <c r="B542" s="21" t="s">
        <v>3756</v>
      </c>
      <c r="C542" s="22" t="s">
        <v>3754</v>
      </c>
      <c r="D542" s="14"/>
      <c r="E542" s="18"/>
    </row>
    <row r="543" spans="2:5" ht="20" customHeight="1">
      <c r="B543" s="21" t="s">
        <v>3398</v>
      </c>
      <c r="C543" s="22" t="s">
        <v>1061</v>
      </c>
      <c r="D543" s="14"/>
      <c r="E543" s="18"/>
    </row>
    <row r="544" spans="2:5" ht="20" customHeight="1">
      <c r="B544" s="21" t="s">
        <v>3399</v>
      </c>
      <c r="C544" s="22" t="s">
        <v>1062</v>
      </c>
      <c r="D544" s="14"/>
      <c r="E544" s="18"/>
    </row>
    <row r="545" spans="2:5" ht="20" customHeight="1">
      <c r="B545" s="21" t="s">
        <v>3252</v>
      </c>
      <c r="C545" s="22" t="s">
        <v>1063</v>
      </c>
      <c r="D545" s="14"/>
      <c r="E545" s="18"/>
    </row>
    <row r="546" spans="2:5" ht="20" customHeight="1">
      <c r="B546" s="21" t="s">
        <v>3253</v>
      </c>
      <c r="C546" s="22" t="s">
        <v>1064</v>
      </c>
      <c r="D546" s="14"/>
      <c r="E546" s="18"/>
    </row>
    <row r="547" spans="2:5" ht="20" customHeight="1">
      <c r="B547" s="467" t="s">
        <v>698</v>
      </c>
      <c r="C547" s="468"/>
      <c r="D547" s="468"/>
      <c r="E547" s="469"/>
    </row>
    <row r="548" spans="2:5" ht="20" customHeight="1">
      <c r="B548" s="21" t="s">
        <v>3321</v>
      </c>
      <c r="C548" s="22" t="s">
        <v>1065</v>
      </c>
      <c r="D548" s="14" t="s">
        <v>1065</v>
      </c>
      <c r="E548" s="18" t="s">
        <v>1066</v>
      </c>
    </row>
    <row r="549" spans="2:5" ht="20" customHeight="1">
      <c r="B549" s="467" t="s">
        <v>1042</v>
      </c>
      <c r="C549" s="468"/>
      <c r="D549" s="468"/>
      <c r="E549" s="469"/>
    </row>
    <row r="550" spans="2:5" ht="20" customHeight="1">
      <c r="B550" s="21" t="s">
        <v>1067</v>
      </c>
      <c r="C550" s="22" t="str">
        <f>CONCATENATE(other_instance,"-m01-vc01.",other_instance,".",sample_parent_dns_zone)</f>
        <v>lax-m01-vc01.lax.rainpole.io</v>
      </c>
      <c r="D550" s="14"/>
      <c r="E550" s="18"/>
    </row>
    <row r="551" spans="2:5" ht="20" customHeight="1">
      <c r="B551" s="21" t="s">
        <v>1068</v>
      </c>
      <c r="C551" s="22" t="s">
        <v>1045</v>
      </c>
      <c r="D551" s="14"/>
      <c r="E551" s="18"/>
    </row>
    <row r="552" spans="2:5" ht="20" customHeight="1">
      <c r="B552" s="21" t="s">
        <v>1069</v>
      </c>
      <c r="C552" s="22" t="s">
        <v>4098</v>
      </c>
      <c r="D552" s="14"/>
      <c r="E552" s="18"/>
    </row>
    <row r="553" spans="2:5" ht="20" customHeight="1">
      <c r="B553" s="21" t="s">
        <v>1070</v>
      </c>
      <c r="C553" s="22" t="str">
        <f>CONCATENATE(other_instance,"-m01")</f>
        <v>lax-m01</v>
      </c>
      <c r="D553" s="14"/>
      <c r="E553" s="18"/>
    </row>
    <row r="554" spans="2:5" ht="20" customHeight="1">
      <c r="B554" s="21" t="s">
        <v>1071</v>
      </c>
      <c r="C554" s="22" t="str">
        <f>CONCATENATE(other_instance,"-m01")</f>
        <v>lax-m01</v>
      </c>
      <c r="D554" s="14"/>
      <c r="E554" s="18"/>
    </row>
    <row r="555" spans="2:5" ht="20" customHeight="1">
      <c r="B555" s="21" t="s">
        <v>1072</v>
      </c>
      <c r="C555" s="22" t="str">
        <f>CONCATENATE(other_instance,"-m01-ec01")</f>
        <v>lax-m01-ec01</v>
      </c>
      <c r="D555" s="14"/>
      <c r="E555" s="18"/>
    </row>
    <row r="556" spans="2:5" ht="20" customHeight="1">
      <c r="B556" s="21" t="s">
        <v>1073</v>
      </c>
      <c r="C556" s="22" t="str">
        <f>CONCATENATE(other_instance,"-m01-cl01")</f>
        <v>lax-m01-cl01</v>
      </c>
      <c r="D556" s="14"/>
      <c r="E556" s="18"/>
    </row>
    <row r="557" spans="2:5" ht="20" customHeight="1">
      <c r="B557" s="21" t="s">
        <v>1074</v>
      </c>
      <c r="C557" s="22" t="str">
        <f>CONCATENATE(other_instance,"-m01-cl01-ds-vsan01")</f>
        <v>lax-m01-cl01-ds-vsan01</v>
      </c>
      <c r="D557" s="14"/>
      <c r="E557" s="18"/>
    </row>
    <row r="558" spans="2:5" ht="20" customHeight="1">
      <c r="B558" s="21" t="s">
        <v>1075</v>
      </c>
      <c r="C558" s="22" t="str">
        <f>CONCATENATE(prefix_other_region_az1_cidr,"16.0/24")</f>
        <v>10.21.16.0/24</v>
      </c>
      <c r="D558" s="14"/>
      <c r="E558" s="18"/>
    </row>
    <row r="559" spans="2:5" ht="20" customHeight="1">
      <c r="B559" s="21" t="s">
        <v>1076</v>
      </c>
      <c r="C559" s="22" t="s">
        <v>1077</v>
      </c>
      <c r="D559" s="14" t="s">
        <v>1077</v>
      </c>
      <c r="E559" s="18"/>
    </row>
    <row r="560" spans="2:5" ht="16" customHeight="1"/>
    <row r="561" spans="2:5" ht="30" customHeight="1">
      <c r="B561" s="427" t="s">
        <v>1078</v>
      </c>
      <c r="C561" s="428"/>
      <c r="D561" s="428"/>
      <c r="E561" s="426"/>
    </row>
    <row r="562" spans="2:5" ht="20" customHeight="1">
      <c r="B562" s="8" t="s">
        <v>735</v>
      </c>
      <c r="C562" s="8" t="s">
        <v>335</v>
      </c>
      <c r="D562" s="20" t="s">
        <v>555</v>
      </c>
      <c r="E562" s="8" t="s">
        <v>222</v>
      </c>
    </row>
    <row r="563" spans="2:5" ht="20" customHeight="1">
      <c r="B563" s="467" t="s">
        <v>1048</v>
      </c>
      <c r="C563" s="468"/>
      <c r="D563" s="468"/>
      <c r="E563" s="469"/>
    </row>
    <row r="564" spans="2:5" ht="20" customHeight="1">
      <c r="B564" s="21" t="s">
        <v>1049</v>
      </c>
      <c r="C564" s="22" t="str">
        <f>CONCATENATE(this_instance,"-w0",wld_domain_number_chosen,"-fd-vrms")</f>
        <v>sfo-w01-fd-vrms</v>
      </c>
      <c r="D564" s="14"/>
      <c r="E564" s="18"/>
    </row>
    <row r="565" spans="2:5" ht="20" customHeight="1">
      <c r="B565" s="21" t="s">
        <v>1050</v>
      </c>
      <c r="C565" s="22" t="s">
        <v>4098</v>
      </c>
      <c r="D565" s="14"/>
      <c r="E565" s="18"/>
    </row>
    <row r="566" spans="2:5" ht="20" customHeight="1">
      <c r="B566" s="21" t="s">
        <v>1051</v>
      </c>
      <c r="C566" s="22" t="s">
        <v>4098</v>
      </c>
      <c r="D566" s="14"/>
      <c r="E566" s="18"/>
    </row>
    <row r="567" spans="2:5" ht="20" customHeight="1">
      <c r="B567" s="21" t="s">
        <v>1052</v>
      </c>
      <c r="C567" s="22" t="str">
        <f>UPPER(sample_wld_sddc_domain)</f>
        <v>SFO-W01</v>
      </c>
      <c r="D567" s="14"/>
      <c r="E567" s="18"/>
    </row>
    <row r="568" spans="2:5" ht="20" customHeight="1">
      <c r="B568" s="21" t="s">
        <v>1022</v>
      </c>
      <c r="C568" s="22" t="str">
        <f>CONCATENATE("vrms-administrator@",sample_parent_dns_zone)</f>
        <v>vrms-administrator@rainpole.io</v>
      </c>
      <c r="D568" s="14"/>
      <c r="E568" s="18"/>
    </row>
    <row r="569" spans="2:5" ht="20" customHeight="1">
      <c r="B569" s="21" t="s">
        <v>1053</v>
      </c>
      <c r="C569" s="22" t="str">
        <f>CONCATENATE(this_instance,"01-w01-cl01-vds01-pg-vrms")</f>
        <v>sfo01-w01-cl01-vds01-pg-vrms</v>
      </c>
      <c r="D569" s="14"/>
      <c r="E569" s="18"/>
    </row>
    <row r="570" spans="2:5" ht="20" customHeight="1">
      <c r="B570" s="21" t="s">
        <v>1054</v>
      </c>
      <c r="C570" s="22" t="s">
        <v>4098</v>
      </c>
      <c r="D570" s="14"/>
      <c r="E570" s="18"/>
    </row>
    <row r="571" spans="2:5" ht="20" customHeight="1">
      <c r="B571" s="467" t="s">
        <v>717</v>
      </c>
      <c r="C571" s="468"/>
      <c r="D571" s="468"/>
      <c r="E571" s="469"/>
    </row>
    <row r="572" spans="2:5" ht="20" customHeight="1">
      <c r="B572" s="21" t="s">
        <v>1049</v>
      </c>
      <c r="C572" s="22" t="str">
        <f>CONCATENATE(this_instance,"-w0",wld_domain_number_chosen,"-fd-srm")</f>
        <v>sfo-w01-fd-srm</v>
      </c>
      <c r="D572" s="14"/>
      <c r="E572" s="18"/>
    </row>
    <row r="573" spans="2:5" ht="20" customHeight="1">
      <c r="B573" s="21" t="s">
        <v>1050</v>
      </c>
      <c r="C573" s="22" t="s">
        <v>4098</v>
      </c>
      <c r="D573" s="14"/>
      <c r="E573" s="18"/>
    </row>
    <row r="574" spans="2:5" ht="20" customHeight="1">
      <c r="B574" s="21" t="s">
        <v>1051</v>
      </c>
      <c r="C574" s="22" t="s">
        <v>4098</v>
      </c>
      <c r="D574" s="14"/>
      <c r="E574" s="18"/>
    </row>
    <row r="575" spans="2:5" ht="20" customHeight="1">
      <c r="B575" s="21" t="s">
        <v>1055</v>
      </c>
      <c r="C575" s="22" t="s">
        <v>4098</v>
      </c>
      <c r="D575" s="14"/>
      <c r="E575" s="18"/>
    </row>
    <row r="576" spans="2:5" ht="20" customHeight="1">
      <c r="B576" s="21" t="s">
        <v>1052</v>
      </c>
      <c r="C576" s="22" t="str">
        <f>UPPER(sample_wld_sddc_domain)</f>
        <v>SFO-W01</v>
      </c>
      <c r="D576" s="14"/>
      <c r="E576" s="18"/>
    </row>
    <row r="577" spans="2:5" ht="20" customHeight="1">
      <c r="B577" s="21" t="s">
        <v>1022</v>
      </c>
      <c r="C577" s="22" t="str">
        <f>CONCATENATE("srm-administrator@",sample_parent_dns_zone)</f>
        <v>srm-administrator@rainpole.io</v>
      </c>
      <c r="D577" s="14"/>
      <c r="E577" s="18"/>
    </row>
    <row r="578" spans="2:5" ht="20" customHeight="1">
      <c r="B578" s="21" t="s">
        <v>1054</v>
      </c>
      <c r="C578" s="22" t="s">
        <v>4098</v>
      </c>
      <c r="D578" s="14"/>
      <c r="E578" s="18"/>
    </row>
    <row r="579" spans="2:5" ht="20" customHeight="1">
      <c r="B579" s="467" t="s">
        <v>1042</v>
      </c>
      <c r="C579" s="468"/>
      <c r="D579" s="468"/>
      <c r="E579" s="469"/>
    </row>
    <row r="580" spans="2:5" ht="20" customHeight="1">
      <c r="B580" s="21" t="s">
        <v>1067</v>
      </c>
      <c r="C580" s="22" t="str">
        <f>CONCATENATE(other_instance,"-w01-vc01.",other_instance,".",sample_parent_dns_zone)</f>
        <v>lax-w01-vc01.lax.rainpole.io</v>
      </c>
      <c r="D580" s="14"/>
      <c r="E580" s="18"/>
    </row>
    <row r="581" spans="2:5" ht="20" customHeight="1">
      <c r="B581" s="21" t="s">
        <v>1068</v>
      </c>
      <c r="C581" s="22" t="s">
        <v>1045</v>
      </c>
      <c r="D581" s="14"/>
      <c r="E581" s="18"/>
    </row>
    <row r="582" spans="2:5" ht="20" customHeight="1">
      <c r="B582" s="21" t="s">
        <v>1069</v>
      </c>
      <c r="C582" s="22" t="s">
        <v>4098</v>
      </c>
      <c r="D582" s="14"/>
      <c r="E582" s="18"/>
    </row>
    <row r="583" spans="2:5" ht="20" customHeight="1">
      <c r="B583" s="21" t="s">
        <v>1075</v>
      </c>
      <c r="C583" s="22" t="str">
        <f>CONCATENATE(prefix_other_region_az1_cidr,"16.0/24")</f>
        <v>10.21.16.0/24</v>
      </c>
      <c r="D583" s="14"/>
      <c r="E583" s="18"/>
    </row>
    <row r="584" spans="2:5" ht="20" customHeight="1">
      <c r="B584" s="21" t="s">
        <v>1076</v>
      </c>
      <c r="C584" s="22" t="s">
        <v>1077</v>
      </c>
      <c r="D584" s="14"/>
      <c r="E584" s="18"/>
    </row>
    <row r="585" spans="2:5" ht="20" customHeight="1">
      <c r="B585" s="288"/>
      <c r="C585" s="287"/>
      <c r="D585" s="289"/>
      <c r="E585" s="287"/>
    </row>
    <row r="586" spans="2:5" ht="30" customHeight="1">
      <c r="B586" s="427" t="s">
        <v>59</v>
      </c>
      <c r="C586" s="428"/>
      <c r="D586" s="428"/>
      <c r="E586" s="426"/>
    </row>
    <row r="587" spans="2:5" s="287" customFormat="1" ht="20" customHeight="1">
      <c r="B587" s="8" t="s">
        <v>735</v>
      </c>
      <c r="C587" s="8" t="s">
        <v>554</v>
      </c>
      <c r="D587" s="20" t="s">
        <v>555</v>
      </c>
      <c r="E587" s="8" t="s">
        <v>222</v>
      </c>
    </row>
    <row r="588" spans="2:5" s="287" customFormat="1" ht="20" customHeight="1">
      <c r="B588" s="21" t="s">
        <v>984</v>
      </c>
      <c r="C588" s="22" t="str">
        <f>CONCATENATE(this_instance,"-m01-fd-hrm")</f>
        <v>sfo-m01-fd-hrm</v>
      </c>
      <c r="D588" s="119"/>
      <c r="E588" s="17"/>
    </row>
    <row r="589" spans="2:5" s="287" customFormat="1" ht="20" customHeight="1">
      <c r="B589" s="21" t="s">
        <v>1141</v>
      </c>
      <c r="C589" s="22" t="s">
        <v>4098</v>
      </c>
      <c r="D589" s="119"/>
      <c r="E589" s="17"/>
    </row>
    <row r="590" spans="2:5" s="287" customFormat="1" ht="20" customHeight="1">
      <c r="B590" s="21" t="s">
        <v>1142</v>
      </c>
      <c r="C590" s="22" t="s">
        <v>4098</v>
      </c>
      <c r="D590" s="119"/>
      <c r="E590" s="17"/>
    </row>
    <row r="591" spans="2:5" s="287" customFormat="1" ht="20" customHeight="1">
      <c r="B591" s="21" t="s">
        <v>3212</v>
      </c>
      <c r="C591" s="22" t="s">
        <v>1143</v>
      </c>
      <c r="D591" s="119"/>
      <c r="E591" s="17"/>
    </row>
    <row r="592" spans="2:5" s="287" customFormat="1" ht="20" customHeight="1">
      <c r="B592" s="21" t="s">
        <v>3213</v>
      </c>
      <c r="C592" s="22" t="s">
        <v>1144</v>
      </c>
      <c r="D592" s="119"/>
      <c r="E592" s="17"/>
    </row>
    <row r="593" spans="2:5" s="287" customFormat="1" ht="20" customHeight="1">
      <c r="B593" s="21" t="s">
        <v>3214</v>
      </c>
      <c r="C593" s="22" t="s">
        <v>1145</v>
      </c>
      <c r="D593" s="119"/>
      <c r="E593" s="17"/>
    </row>
    <row r="594" spans="2:5" s="287" customFormat="1" ht="20" customHeight="1">
      <c r="B594" s="21" t="s">
        <v>3215</v>
      </c>
      <c r="C594" s="22" t="s">
        <v>1146</v>
      </c>
      <c r="D594" s="119"/>
      <c r="E594" s="17"/>
    </row>
    <row r="595" spans="2:5" s="287" customFormat="1" ht="20" customHeight="1">
      <c r="B595" s="21" t="s">
        <v>1147</v>
      </c>
      <c r="C595" s="22" t="s">
        <v>874</v>
      </c>
      <c r="D595" s="119"/>
      <c r="E595" s="17"/>
    </row>
    <row r="596" spans="2:5" s="287" customFormat="1" ht="16" customHeight="1">
      <c r="B596" s="288"/>
      <c r="D596" s="289"/>
    </row>
    <row r="597" spans="2:5" s="287" customFormat="1" ht="30" customHeight="1">
      <c r="B597" s="427" t="s">
        <v>3531</v>
      </c>
      <c r="C597" s="428"/>
      <c r="D597" s="428"/>
      <c r="E597" s="426"/>
    </row>
    <row r="598" spans="2:5" s="287" customFormat="1" ht="20" customHeight="1">
      <c r="B598" s="8" t="s">
        <v>735</v>
      </c>
      <c r="C598" s="8" t="s">
        <v>554</v>
      </c>
      <c r="D598" s="20" t="s">
        <v>555</v>
      </c>
      <c r="E598" s="8" t="s">
        <v>222</v>
      </c>
    </row>
    <row r="599" spans="2:5" ht="20" customHeight="1">
      <c r="B599" s="21" t="s">
        <v>1084</v>
      </c>
      <c r="C599" s="22" t="s">
        <v>4323</v>
      </c>
      <c r="D599" s="119"/>
      <c r="E599" s="17"/>
    </row>
    <row r="600" spans="2:5" ht="20" customHeight="1">
      <c r="B600" s="21" t="s">
        <v>3546</v>
      </c>
      <c r="C600" s="22" t="s">
        <v>4322</v>
      </c>
      <c r="D600" s="119"/>
      <c r="E600" s="17"/>
    </row>
    <row r="601" spans="2:5" ht="20" customHeight="1">
      <c r="B601" s="21" t="s">
        <v>3547</v>
      </c>
      <c r="C601" s="22" t="s">
        <v>4098</v>
      </c>
      <c r="D601" s="119"/>
      <c r="E601" s="17"/>
    </row>
    <row r="602" spans="2:5" ht="20" customHeight="1">
      <c r="B602" s="21" t="s">
        <v>3534</v>
      </c>
      <c r="C602" s="22" t="str">
        <f>CONCATENATE(this_instance,"-m01-fd-cbr")</f>
        <v>sfo-m01-fd-cbr</v>
      </c>
      <c r="D602" s="119"/>
      <c r="E602" s="17"/>
    </row>
    <row r="603" spans="2:5" ht="20" customHeight="1">
      <c r="B603" s="21" t="s">
        <v>1089</v>
      </c>
      <c r="C603" s="22" t="s">
        <v>1090</v>
      </c>
      <c r="D603" s="119"/>
      <c r="E603" s="17"/>
    </row>
    <row r="604" spans="2:5" ht="20" customHeight="1">
      <c r="B604" s="21" t="s">
        <v>1091</v>
      </c>
      <c r="C604" s="22" t="s">
        <v>3445</v>
      </c>
      <c r="D604" s="119"/>
      <c r="E604" s="17"/>
    </row>
    <row r="605" spans="2:5" ht="20" customHeight="1">
      <c r="B605" s="21" t="s">
        <v>1093</v>
      </c>
      <c r="C605" s="22" t="s">
        <v>3760</v>
      </c>
      <c r="D605" s="119"/>
      <c r="E605" s="17"/>
    </row>
    <row r="606" spans="2:5" ht="20" customHeight="1">
      <c r="B606" s="21" t="s">
        <v>1095</v>
      </c>
      <c r="C606" s="22">
        <v>2</v>
      </c>
      <c r="D606" s="119"/>
      <c r="E606" s="17"/>
    </row>
    <row r="607" spans="2:5" ht="20" customHeight="1">
      <c r="B607" s="21" t="s">
        <v>1096</v>
      </c>
      <c r="C607" s="22" t="s">
        <v>1097</v>
      </c>
      <c r="D607" s="119"/>
      <c r="E607" s="17"/>
    </row>
    <row r="608" spans="2:5" ht="20" customHeight="1">
      <c r="B608" s="21" t="s">
        <v>1098</v>
      </c>
      <c r="C608" s="22" t="s">
        <v>1097</v>
      </c>
      <c r="D608" s="119"/>
      <c r="E608" s="17"/>
    </row>
    <row r="609" spans="2:5" ht="20" customHeight="1">
      <c r="B609" s="21" t="s">
        <v>1099</v>
      </c>
      <c r="C609" s="22" t="s">
        <v>1100</v>
      </c>
      <c r="D609" s="119"/>
      <c r="E609" s="17"/>
    </row>
    <row r="610" spans="2:5" ht="20" customHeight="1">
      <c r="B610" s="21" t="s">
        <v>1101</v>
      </c>
      <c r="C610" s="22" t="s">
        <v>1102</v>
      </c>
      <c r="D610" s="119"/>
      <c r="E610" s="17"/>
    </row>
    <row r="611" spans="2:5" ht="20" customHeight="1">
      <c r="B611" s="21" t="s">
        <v>1105</v>
      </c>
      <c r="C611" s="22" t="s">
        <v>1106</v>
      </c>
      <c r="D611" s="119"/>
      <c r="E611" s="17"/>
    </row>
    <row r="612" spans="2:5" ht="20" customHeight="1">
      <c r="B612" s="21" t="s">
        <v>1107</v>
      </c>
      <c r="C612" s="22" t="s">
        <v>1108</v>
      </c>
      <c r="D612" s="119"/>
      <c r="E612" s="17"/>
    </row>
    <row r="613" spans="2:5" ht="20" customHeight="1">
      <c r="B613" s="21" t="s">
        <v>1125</v>
      </c>
      <c r="C613" s="22" t="s">
        <v>1126</v>
      </c>
      <c r="D613" s="119"/>
      <c r="E613" s="17"/>
    </row>
    <row r="614" spans="2:5" ht="20" customHeight="1">
      <c r="B614" s="21" t="s">
        <v>1127</v>
      </c>
      <c r="C614" s="22" t="str">
        <f>CONCATENATE(this_instance,"-vcf01-instance")</f>
        <v>sfo-vcf01-instance</v>
      </c>
      <c r="D614" s="119"/>
      <c r="E614" s="17"/>
    </row>
    <row r="615" spans="2:5" ht="20" customHeight="1">
      <c r="B615" s="21" t="s">
        <v>1128</v>
      </c>
      <c r="C615" s="22" t="s">
        <v>986</v>
      </c>
      <c r="D615" s="119"/>
      <c r="E615" s="17"/>
    </row>
    <row r="616" spans="2:5" ht="20" customHeight="1">
      <c r="B616" s="21" t="s">
        <v>1129</v>
      </c>
      <c r="C616" s="22" t="s">
        <v>1130</v>
      </c>
      <c r="D616" s="119"/>
      <c r="E616" s="17"/>
    </row>
    <row r="617" spans="2:5" ht="20" customHeight="1">
      <c r="B617" s="21" t="s">
        <v>1131</v>
      </c>
      <c r="C617" s="22" t="s">
        <v>1132</v>
      </c>
      <c r="D617" s="119"/>
      <c r="E617" s="17"/>
    </row>
    <row r="618" spans="2:5" ht="20" customHeight="1">
      <c r="B618" s="21" t="s">
        <v>1133</v>
      </c>
      <c r="C618" s="22" t="s">
        <v>1097</v>
      </c>
      <c r="D618" s="119"/>
      <c r="E618" s="17"/>
    </row>
    <row r="619" spans="2:5" ht="20" customHeight="1">
      <c r="B619" s="21" t="s">
        <v>1134</v>
      </c>
      <c r="C619" s="22" t="str">
        <f>CONCATENATE(this_instance,"-cbr-cdp01")</f>
        <v>sfo-cbr-cdp01</v>
      </c>
      <c r="D619" s="119"/>
      <c r="E619" s="17"/>
    </row>
    <row r="620" spans="2:5" ht="20" customHeight="1">
      <c r="B620" s="21" t="s">
        <v>1135</v>
      </c>
      <c r="C620" s="22" t="str">
        <f>CONCATENATE(sample_mgmt_sddc_domain,"anti-affinity-rule-cbr")</f>
        <v>sfo-m01anti-affinity-rule-cbr</v>
      </c>
      <c r="D620" s="119"/>
      <c r="E620" s="17"/>
    </row>
    <row r="621" spans="2:5" ht="20" customHeight="1">
      <c r="B621" s="21" t="s">
        <v>1136</v>
      </c>
      <c r="C621" s="22" t="s">
        <v>1137</v>
      </c>
      <c r="D621" s="119"/>
      <c r="E621" s="17"/>
    </row>
    <row r="622" spans="2:5" ht="20" customHeight="1">
      <c r="B622" s="21" t="s">
        <v>1138</v>
      </c>
      <c r="C622" s="22" t="s">
        <v>874</v>
      </c>
      <c r="D622" s="119"/>
      <c r="E622" s="17"/>
    </row>
    <row r="623" spans="2:5" ht="20" customHeight="1">
      <c r="B623" s="21" t="s">
        <v>1139</v>
      </c>
      <c r="C623" s="22" t="s">
        <v>1097</v>
      </c>
      <c r="D623" s="119"/>
      <c r="E623" s="17"/>
    </row>
    <row r="624" spans="2:5" ht="20" customHeight="1">
      <c r="B624" s="21" t="s">
        <v>1140</v>
      </c>
      <c r="C624" s="22" t="s">
        <v>1097</v>
      </c>
      <c r="D624" s="119"/>
      <c r="E624" s="17"/>
    </row>
    <row r="625" spans="2:5" ht="16" customHeight="1"/>
    <row r="626" spans="2:5" ht="30" customHeight="1">
      <c r="B626" s="427" t="s">
        <v>3130</v>
      </c>
      <c r="C626" s="428"/>
      <c r="D626" s="428"/>
      <c r="E626" s="426"/>
    </row>
    <row r="627" spans="2:5" ht="20" customHeight="1">
      <c r="B627" s="8" t="s">
        <v>735</v>
      </c>
      <c r="C627" s="8" t="s">
        <v>554</v>
      </c>
      <c r="D627" s="20" t="s">
        <v>555</v>
      </c>
      <c r="E627" s="8" t="s">
        <v>222</v>
      </c>
    </row>
    <row r="628" spans="2:5" ht="20" customHeight="1">
      <c r="B628" s="21" t="s">
        <v>1085</v>
      </c>
      <c r="C628" s="22" t="s">
        <v>1086</v>
      </c>
      <c r="D628" s="119"/>
      <c r="E628" s="17"/>
    </row>
    <row r="629" spans="2:5" ht="20" customHeight="1">
      <c r="B629" s="21" t="s">
        <v>3131</v>
      </c>
      <c r="C629" s="22" t="str">
        <f>CONCATENATE(this_instance,"-m01-fd-ccm")</f>
        <v>sfo-m01-fd-ccm</v>
      </c>
      <c r="D629" s="119"/>
      <c r="E629" s="17"/>
    </row>
    <row r="630" spans="2:5" ht="20" customHeight="1">
      <c r="B630" s="21" t="s">
        <v>1087</v>
      </c>
      <c r="C630" s="22" t="str">
        <f>CONCATENATE(this_instance,"-w0",wld_domain_number_chosen,"-fd-hcx")</f>
        <v>sfo-w01-fd-hcx</v>
      </c>
      <c r="D630" s="119"/>
      <c r="E630" s="17"/>
    </row>
    <row r="631" spans="2:5" ht="20" customHeight="1">
      <c r="B631" s="21" t="s">
        <v>1088</v>
      </c>
      <c r="C631" s="22" t="str">
        <f>CONCATENATE(this_instance,"-w0",wld_domain_number_chosen,"-cl01-rp-hcx")</f>
        <v>sfo-w01-cl01-rp-hcx</v>
      </c>
      <c r="D631" s="119"/>
      <c r="E631" s="17"/>
    </row>
    <row r="632" spans="2:5" ht="20" customHeight="1">
      <c r="B632" s="21" t="s">
        <v>3133</v>
      </c>
      <c r="C632" s="22" t="s">
        <v>3132</v>
      </c>
      <c r="D632" s="119"/>
      <c r="E632" s="17"/>
    </row>
    <row r="633" spans="2:5" ht="20" customHeight="1">
      <c r="B633" s="21" t="s">
        <v>1091</v>
      </c>
      <c r="C633" s="22" t="s">
        <v>3445</v>
      </c>
      <c r="D633" s="119"/>
      <c r="E633" s="17"/>
    </row>
    <row r="634" spans="2:5" ht="20" customHeight="1">
      <c r="B634" s="21" t="s">
        <v>1093</v>
      </c>
      <c r="C634" s="22" t="s">
        <v>1094</v>
      </c>
      <c r="D634" s="119"/>
      <c r="E634" s="17"/>
    </row>
    <row r="635" spans="2:5" ht="20" customHeight="1">
      <c r="B635" s="21" t="s">
        <v>1095</v>
      </c>
      <c r="C635" s="22">
        <v>2</v>
      </c>
      <c r="D635" s="119"/>
      <c r="E635" s="17"/>
    </row>
    <row r="636" spans="2:5" ht="20" customHeight="1">
      <c r="B636" s="21" t="s">
        <v>1096</v>
      </c>
      <c r="C636" s="22" t="s">
        <v>1097</v>
      </c>
      <c r="D636" s="119"/>
      <c r="E636" s="17"/>
    </row>
    <row r="637" spans="2:5" ht="20" customHeight="1">
      <c r="B637" s="21" t="s">
        <v>1098</v>
      </c>
      <c r="C637" s="22" t="s">
        <v>1097</v>
      </c>
      <c r="D637" s="119"/>
      <c r="E637" s="17"/>
    </row>
    <row r="638" spans="2:5" ht="20" customHeight="1">
      <c r="B638" s="21" t="s">
        <v>1099</v>
      </c>
      <c r="C638" s="22" t="s">
        <v>1100</v>
      </c>
      <c r="D638" s="119"/>
      <c r="E638" s="17"/>
    </row>
    <row r="639" spans="2:5" ht="20" customHeight="1">
      <c r="B639" s="21" t="s">
        <v>1101</v>
      </c>
      <c r="C639" s="22" t="s">
        <v>1102</v>
      </c>
      <c r="D639" s="119"/>
      <c r="E639" s="17"/>
    </row>
    <row r="640" spans="2:5" ht="20" customHeight="1">
      <c r="B640" s="21" t="s">
        <v>1103</v>
      </c>
      <c r="C640" s="22" t="s">
        <v>1104</v>
      </c>
      <c r="D640" s="119"/>
      <c r="E640" s="17"/>
    </row>
    <row r="641" spans="2:5" ht="20" customHeight="1">
      <c r="B641" s="21" t="s">
        <v>1105</v>
      </c>
      <c r="C641" s="22" t="s">
        <v>1106</v>
      </c>
      <c r="D641" s="119"/>
      <c r="E641" s="17"/>
    </row>
    <row r="642" spans="2:5" ht="20" customHeight="1">
      <c r="B642" s="21" t="s">
        <v>1107</v>
      </c>
      <c r="C642" s="22" t="s">
        <v>1108</v>
      </c>
      <c r="D642" s="119"/>
      <c r="E642" s="17"/>
    </row>
    <row r="643" spans="2:5" ht="20" customHeight="1">
      <c r="B643" s="21" t="s">
        <v>1109</v>
      </c>
      <c r="C643" s="22" t="s">
        <v>1110</v>
      </c>
      <c r="D643" s="119"/>
      <c r="E643" s="17"/>
    </row>
    <row r="644" spans="2:5" ht="20" customHeight="1">
      <c r="B644" s="21" t="s">
        <v>1111</v>
      </c>
      <c r="C644" s="22" t="s">
        <v>1112</v>
      </c>
      <c r="D644" s="119"/>
      <c r="E644" s="17"/>
    </row>
    <row r="645" spans="2:5" ht="20" customHeight="1">
      <c r="B645" s="21" t="s">
        <v>1113</v>
      </c>
      <c r="C645" s="22" t="s">
        <v>4098</v>
      </c>
      <c r="D645" s="119"/>
      <c r="E645" s="17"/>
    </row>
    <row r="646" spans="2:5" ht="20" customHeight="1">
      <c r="B646" s="21" t="s">
        <v>1114</v>
      </c>
      <c r="C646" s="22" t="s">
        <v>4098</v>
      </c>
      <c r="D646" s="119"/>
      <c r="E646" s="17"/>
    </row>
    <row r="647" spans="2:5" ht="20" customHeight="1">
      <c r="B647" s="21" t="s">
        <v>1115</v>
      </c>
      <c r="C647" s="22" t="s">
        <v>1116</v>
      </c>
      <c r="D647" s="119"/>
      <c r="E647" s="17"/>
    </row>
    <row r="648" spans="2:5" ht="20" customHeight="1">
      <c r="B648" s="21" t="s">
        <v>1117</v>
      </c>
      <c r="C648" s="22" t="s">
        <v>1118</v>
      </c>
      <c r="D648" s="119"/>
      <c r="E648" s="17"/>
    </row>
    <row r="649" spans="2:5" ht="20" customHeight="1">
      <c r="B649" s="21" t="s">
        <v>1119</v>
      </c>
      <c r="C649" s="22" t="s">
        <v>1120</v>
      </c>
      <c r="D649" s="119"/>
      <c r="E649" s="17"/>
    </row>
    <row r="650" spans="2:5" ht="20" customHeight="1">
      <c r="B650" s="21" t="s">
        <v>1121</v>
      </c>
      <c r="C650" s="22" t="str">
        <f>CONCATENATE(this_instance,"-w0",wld_domain_number_chosen,"-compute-profile")</f>
        <v>sfo-w01-compute-profile</v>
      </c>
      <c r="D650" s="119"/>
      <c r="E650" s="17"/>
    </row>
    <row r="651" spans="2:5" ht="20" customHeight="1">
      <c r="B651" s="21" t="s">
        <v>1122</v>
      </c>
      <c r="C651" s="22" t="str">
        <f>CONCATENATE(this_instance,"-w0",wld_domain_number_chosen,"-service-mesh")</f>
        <v>sfo-w01-service-mesh</v>
      </c>
      <c r="D651" s="119"/>
      <c r="E651" s="17"/>
    </row>
    <row r="652" spans="2:5" ht="20" customHeight="1"/>
    <row r="653" spans="2:5" ht="20" customHeight="1"/>
    <row r="654" spans="2:5" ht="16" customHeight="1"/>
    <row r="655" spans="2:5" ht="16" customHeight="1"/>
    <row r="656" spans="2:5" ht="34" customHeight="1"/>
    <row r="657" ht="20" customHeight="1"/>
    <row r="658" ht="20" customHeight="1"/>
    <row r="659" ht="20" customHeight="1"/>
    <row r="660" ht="20" customHeight="1"/>
    <row r="661" ht="20" customHeight="1"/>
    <row r="662" ht="20" customHeight="1"/>
    <row r="663" ht="20" customHeight="1"/>
    <row r="664" ht="20" customHeight="1"/>
    <row r="665" ht="20" customHeight="1"/>
    <row r="666" ht="20" customHeight="1"/>
    <row r="667" ht="20" customHeight="1"/>
    <row r="668" ht="20" customHeight="1"/>
    <row r="669" ht="20" customHeight="1"/>
    <row r="670" ht="20" customHeight="1"/>
    <row r="671" ht="20" customHeight="1"/>
  </sheetData>
  <sheetProtection algorithmName="SHA-512" hashValue="dO4hQqBtNeGlvgi/rdSLGnCGsyeUC6uYHBWyuZdxXqmUhMv1PlHWXwK1FGsWYZFzT61oteivGT3zHwuYvyO7SA==" saltValue="v/4lth3uD7eTDp7hw+E6qQ==" spinCount="100000" sheet="1" selectLockedCells="1"/>
  <dataConsolidate/>
  <mergeCells count="79">
    <mergeCell ref="B415:E415"/>
    <mergeCell ref="B335:E335"/>
    <mergeCell ref="B343:E343"/>
    <mergeCell ref="B381:E381"/>
    <mergeCell ref="B283:E283"/>
    <mergeCell ref="B290:E290"/>
    <mergeCell ref="B299:E299"/>
    <mergeCell ref="B303:E303"/>
    <mergeCell ref="B311:E311"/>
    <mergeCell ref="B331:E331"/>
    <mergeCell ref="B242:E242"/>
    <mergeCell ref="B256:E256"/>
    <mergeCell ref="B579:E579"/>
    <mergeCell ref="B530:E530"/>
    <mergeCell ref="B547:E547"/>
    <mergeCell ref="B549:E549"/>
    <mergeCell ref="B563:E563"/>
    <mergeCell ref="B571:E571"/>
    <mergeCell ref="B561:E561"/>
    <mergeCell ref="B511:E511"/>
    <mergeCell ref="B522:E522"/>
    <mergeCell ref="B520:E520"/>
    <mergeCell ref="B279:E279"/>
    <mergeCell ref="B284:E284"/>
    <mergeCell ref="B363:E363"/>
    <mergeCell ref="B422:E422"/>
    <mergeCell ref="B68:E68"/>
    <mergeCell ref="B72:E72"/>
    <mergeCell ref="B76:E76"/>
    <mergeCell ref="B119:E119"/>
    <mergeCell ref="B122:E122"/>
    <mergeCell ref="B98:E98"/>
    <mergeCell ref="B110:E110"/>
    <mergeCell ref="B114:E114"/>
    <mergeCell ref="B234:E234"/>
    <mergeCell ref="B132:E132"/>
    <mergeCell ref="B135:E135"/>
    <mergeCell ref="B157:E157"/>
    <mergeCell ref="B176:E176"/>
    <mergeCell ref="B146:E146"/>
    <mergeCell ref="B164:E164"/>
    <mergeCell ref="B170:E170"/>
    <mergeCell ref="B183:E183"/>
    <mergeCell ref="B198:E198"/>
    <mergeCell ref="B209:E209"/>
    <mergeCell ref="B212:E212"/>
    <mergeCell ref="B216:E216"/>
    <mergeCell ref="B2:E2"/>
    <mergeCell ref="B3:E3"/>
    <mergeCell ref="B175:E175"/>
    <mergeCell ref="B15:E15"/>
    <mergeCell ref="B67:E67"/>
    <mergeCell ref="B6:E6"/>
    <mergeCell ref="B27:E27"/>
    <mergeCell ref="B29:E29"/>
    <mergeCell ref="B54:E54"/>
    <mergeCell ref="B63:E63"/>
    <mergeCell ref="B25:E25"/>
    <mergeCell ref="B60:E60"/>
    <mergeCell ref="B57:E57"/>
    <mergeCell ref="B32:E32"/>
    <mergeCell ref="B42:E42"/>
    <mergeCell ref="B48:E48"/>
    <mergeCell ref="B275:E275"/>
    <mergeCell ref="B597:E597"/>
    <mergeCell ref="B626:E626"/>
    <mergeCell ref="B586:E586"/>
    <mergeCell ref="B191:E191"/>
    <mergeCell ref="B509:E509"/>
    <mergeCell ref="B362:E362"/>
    <mergeCell ref="B380:E380"/>
    <mergeCell ref="B487:E487"/>
    <mergeCell ref="B441:E441"/>
    <mergeCell ref="B471:E471"/>
    <mergeCell ref="B398:E398"/>
    <mergeCell ref="B403:E403"/>
    <mergeCell ref="B298:E298"/>
    <mergeCell ref="B330:E330"/>
    <mergeCell ref="B260:E260"/>
  </mergeCells>
  <phoneticPr fontId="4" type="noConversion"/>
  <conditionalFormatting sqref="B98">
    <cfRule type="expression" dxfId="3648" priority="59">
      <formula>OR((mgmt_domain_result="Excluded"),(mgmt_nsxt_federation_result="Excluded"))</formula>
    </cfRule>
  </conditionalFormatting>
  <conditionalFormatting sqref="B146 B147:E156">
    <cfRule type="expression" dxfId="3647" priority="730">
      <formula>mgmt_signed_certs_result="Excluded"</formula>
    </cfRule>
  </conditionalFormatting>
  <conditionalFormatting sqref="B183 B184:E189">
    <cfRule type="expression" dxfId="3646" priority="726">
      <formula>OR((mgmt_domain_result="Excluded"),(mgmt_stretched_cluster_result="Excluded"))</formula>
    </cfRule>
  </conditionalFormatting>
  <conditionalFormatting sqref="B234">
    <cfRule type="expression" dxfId="3645" priority="219">
      <formula>wld_domain_result="Excluded"</formula>
    </cfRule>
  </conditionalFormatting>
  <conditionalFormatting sqref="B260 B261:E263">
    <cfRule type="expression" dxfId="3644" priority="714">
      <formula>OR((wld_domain_result="Excluded"),(wld_principal_storage_chosen="VMFS on FC"))</formula>
    </cfRule>
  </conditionalFormatting>
  <conditionalFormatting sqref="B275 B276:E278 B403:E413">
    <cfRule type="expression" dxfId="3643" priority="709">
      <formula>developer_ready_result="Excluded"</formula>
    </cfRule>
  </conditionalFormatting>
  <conditionalFormatting sqref="B279 B280:E280">
    <cfRule type="expression" dxfId="3642" priority="708">
      <formula>OR((wld_domain_result="Excluded"),AND((private_cloud_result="Excluded"),(wld_bgp_result="Excluded")))</formula>
    </cfRule>
  </conditionalFormatting>
  <conditionalFormatting sqref="B283:B284 B285:E289">
    <cfRule type="expression" dxfId="3641" priority="704">
      <formula>OR((wld_domain_result="Excluded"),(wld_stretched_cluster_result="Excluded"))</formula>
    </cfRule>
  </conditionalFormatting>
  <conditionalFormatting sqref="B290 B291:E296">
    <cfRule type="expression" dxfId="3640" priority="702">
      <formula>OR((wld_domain_result="Excluded"),(wld_stretched_cluster_result="Excluded"))</formula>
    </cfRule>
  </conditionalFormatting>
  <conditionalFormatting sqref="B298:B299">
    <cfRule type="expression" dxfId="3639" priority="149">
      <formula>wld_domain_result="Excluded"</formula>
    </cfRule>
  </conditionalFormatting>
  <conditionalFormatting sqref="B303 B304:E306">
    <cfRule type="expression" dxfId="3638" priority="189">
      <formula>OR((wld_domain_result="Excluded"),(wld_principal_storage_chosen="VMFS on FC"))</formula>
    </cfRule>
  </conditionalFormatting>
  <conditionalFormatting sqref="B311">
    <cfRule type="expression" dxfId="3637" priority="180">
      <formula>wld_domain_result="Excluded"</formula>
    </cfRule>
  </conditionalFormatting>
  <conditionalFormatting sqref="B330:B331">
    <cfRule type="expression" dxfId="3636" priority="156">
      <formula>wld_domain_result="Excluded"</formula>
    </cfRule>
  </conditionalFormatting>
  <conditionalFormatting sqref="B335">
    <cfRule type="expression" dxfId="3635" priority="165">
      <formula>OR((wld_domain_result="Excluded"),(wld_principal_storage_chosen="VMFS on FC"))</formula>
    </cfRule>
  </conditionalFormatting>
  <conditionalFormatting sqref="B343">
    <cfRule type="expression" dxfId="3634" priority="160">
      <formula>wld_domain_result="Excluded"</formula>
    </cfRule>
  </conditionalFormatting>
  <conditionalFormatting sqref="B380:B381 B382:E396">
    <cfRule type="expression" dxfId="3633" priority="696">
      <formula>vcf_aware_wsa_result="Excluded"</formula>
    </cfRule>
  </conditionalFormatting>
  <conditionalFormatting sqref="B422">
    <cfRule type="expression" dxfId="3632" priority="692">
      <formula>intelligent_logging_result="Excluded"</formula>
    </cfRule>
  </conditionalFormatting>
  <conditionalFormatting sqref="B487">
    <cfRule type="expression" dxfId="3631" priority="535">
      <formula>private_cloud_result="Excluded"</formula>
    </cfRule>
  </conditionalFormatting>
  <conditionalFormatting sqref="B509">
    <cfRule type="expression" dxfId="3630" priority="471">
      <formula>AND((OR((AND((spr_mo_result="False"),(spr_mw_result="False"))),(intelligent_operations_result="Excluded"))),(protected_mgmt_result="False"))</formula>
    </cfRule>
  </conditionalFormatting>
  <conditionalFormatting sqref="B511 B512:E514">
    <cfRule type="expression" dxfId="3629" priority="475">
      <formula>(protected_mgmt_result="False")</formula>
    </cfRule>
  </conditionalFormatting>
  <conditionalFormatting sqref="B520 B522 B523:E529 B530 B531:E546">
    <cfRule type="expression" dxfId="3628" priority="496">
      <formula>AND((spr_mo_result="False"),(spr_mw_result="False"))</formula>
    </cfRule>
  </conditionalFormatting>
  <conditionalFormatting sqref="B547 B548:E548 B549 B550:E559">
    <cfRule type="expression" dxfId="3627" priority="495">
      <formula>(protected_mgmt_result="False")</formula>
    </cfRule>
  </conditionalFormatting>
  <conditionalFormatting sqref="B561 B563 B564:E570 B571 B572:E578 B579 B580:E584">
    <cfRule type="expression" dxfId="3626" priority="494">
      <formula>AND((spr_wo_result="False"),(spr_mw_result="False"))</formula>
    </cfRule>
  </conditionalFormatting>
  <conditionalFormatting sqref="B442:C444 E442:E444 B443:E469 B441">
    <cfRule type="expression" dxfId="3625" priority="323">
      <formula>intelligent_operations_result="Excluded"</formula>
    </cfRule>
  </conditionalFormatting>
  <conditionalFormatting sqref="B15:E16 B17:C20 E17:E20">
    <cfRule type="expression" dxfId="3624" priority="754">
      <formula>AND((mgmt_domain_result="Excluded"),(wld_domain_result="Excluded"))</formula>
    </cfRule>
  </conditionalFormatting>
  <conditionalFormatting sqref="B21:E21">
    <cfRule type="expression" dxfId="3623" priority="650">
      <formula>developer_ready_result="Excluded"</formula>
    </cfRule>
  </conditionalFormatting>
  <conditionalFormatting sqref="B22:E22">
    <cfRule type="expression" dxfId="3622" priority="342">
      <formula>AND((private_cloud_result="Excluded"),(intelligent_logging_result="Excluded"),(intelligent_operations_result="Excluded"))</formula>
    </cfRule>
  </conditionalFormatting>
  <conditionalFormatting sqref="B23:E23">
    <cfRule type="expression" dxfId="3621" priority="448">
      <formula>(spr_result&lt;&gt;"Included")</formula>
    </cfRule>
  </conditionalFormatting>
  <conditionalFormatting sqref="B25:E41">
    <cfRule type="expression" dxfId="3620" priority="751">
      <formula>AND((mgmt_domain_result="Excluded"),(wld_domain_result="Excluded"))</formula>
    </cfRule>
  </conditionalFormatting>
  <conditionalFormatting sqref="B25:E65">
    <cfRule type="expression" dxfId="3619" priority="121">
      <formula>mgmt_domain_result="Excluded"</formula>
    </cfRule>
  </conditionalFormatting>
  <conditionalFormatting sqref="B39:E41">
    <cfRule type="expression" dxfId="3618" priority="2">
      <formula>AND((mgmt_nsxt_federation_result="Excluded"),(wld_nsxt_federation_result="Excluded"))</formula>
    </cfRule>
  </conditionalFormatting>
  <conditionalFormatting sqref="B46:E47">
    <cfRule type="expression" dxfId="3617" priority="16">
      <formula>mgmt_offline_depot_result="Included"</formula>
    </cfRule>
  </conditionalFormatting>
  <conditionalFormatting sqref="B48:E49">
    <cfRule type="expression" dxfId="3616" priority="18">
      <formula>AND(mgmt_avi_loadbalancer_result="Excluded",wld_avi_loadbalancer_result="Excluded")</formula>
    </cfRule>
  </conditionalFormatting>
  <conditionalFormatting sqref="B50:E51">
    <cfRule type="expression" dxfId="3615" priority="15">
      <formula>mgmt_offline_depot_result="Excluded"</formula>
    </cfRule>
  </conditionalFormatting>
  <conditionalFormatting sqref="B52:E53">
    <cfRule type="expression" dxfId="3614" priority="14">
      <formula>mgmt_internet_proxy_result="Excluded"</formula>
    </cfRule>
  </conditionalFormatting>
  <conditionalFormatting sqref="B57:E59">
    <cfRule type="expression" dxfId="3613" priority="303">
      <formula>mgmt_signed_certs_result="Excluded"</formula>
    </cfRule>
  </conditionalFormatting>
  <conditionalFormatting sqref="B60:E62">
    <cfRule type="expression" dxfId="3612" priority="291">
      <formula>AND((iam_result="Excluded"),(intelligent_operations_result="Excluded"),(intelligent_logging_result="Excluded"),(private_cloud_result="Excluded"))</formula>
    </cfRule>
  </conditionalFormatting>
  <conditionalFormatting sqref="B63:E65">
    <cfRule type="expression" dxfId="3611" priority="289">
      <formula>AND((mgmt_stretched_cluster_result="Excluded"),(wld_stretched_cluster_result="Excluded"))</formula>
    </cfRule>
  </conditionalFormatting>
  <conditionalFormatting sqref="B67:E173 B6:E13">
    <cfRule type="expression" dxfId="3610" priority="89">
      <formula>mgmt_domain_result="Excluded"</formula>
    </cfRule>
  </conditionalFormatting>
  <conditionalFormatting sqref="B71:E71">
    <cfRule type="expression" dxfId="3609" priority="745">
      <formula>OR((mgmt_domain_result="Excluded"),(mgmt_signed_certs_result="Excluded"))</formula>
    </cfRule>
    <cfRule type="expression" dxfId="3608" priority="29">
      <formula>mgmt_signed_certs_chosen&lt;&gt;"Microsoft CA"</formula>
    </cfRule>
  </conditionalFormatting>
  <conditionalFormatting sqref="B77:E81 B82">
    <cfRule type="expression" dxfId="3607" priority="742">
      <formula>mgmt_domain_result="Excluded"</formula>
    </cfRule>
  </conditionalFormatting>
  <conditionalFormatting sqref="B83:E85">
    <cfRule type="expression" dxfId="3606" priority="292">
      <formula>input_mgmt_cl01_vds_profile="Profile-1"</formula>
    </cfRule>
  </conditionalFormatting>
  <conditionalFormatting sqref="B90:E97">
    <cfRule type="expression" dxfId="3605" priority="84">
      <formula>OR((mgmt_domain_result="Excluded"),(mgmt_vns_result="Excluded"))</formula>
    </cfRule>
  </conditionalFormatting>
  <conditionalFormatting sqref="B99:E101 E246:E248">
    <cfRule type="expression" dxfId="3604" priority="735">
      <formula>OR((mgmt_domain_result="Excluded"),(mgmt_nsxt_federation_result="Excluded"))</formula>
    </cfRule>
  </conditionalFormatting>
  <conditionalFormatting sqref="B102:E105">
    <cfRule type="expression" dxfId="3603" priority="374">
      <formula>OR((mgmt_nsxt_federation_result="Excluded"),(mgmt_nsxt_federation_chosen="Connect Instance"))</formula>
    </cfRule>
  </conditionalFormatting>
  <conditionalFormatting sqref="B106:E106">
    <cfRule type="expression" dxfId="3602" priority="373">
      <formula>OR((mgmt_nsxt_federation_result="Excluded"),(mgmt_nsxt_federation_chosen&lt;&gt;"Active Global Manager"))</formula>
    </cfRule>
  </conditionalFormatting>
  <conditionalFormatting sqref="B107:E107">
    <cfRule type="expression" dxfId="3601" priority="86">
      <formula>OR((mgmt_nsxt_federation_result="Excluded"),(mgmt_nsxt_federation_chosen="Active Global Manager"),(mgmt_nsxt_federation_chosen="Connect Instance"))</formula>
    </cfRule>
  </conditionalFormatting>
  <conditionalFormatting sqref="B108:E109">
    <cfRule type="expression" dxfId="3600" priority="372">
      <formula>OR((mgmt_nsxt_federation_result="Excluded"),(mgmt_nsxt_federation_chosen="Active Global Manager"))</formula>
    </cfRule>
  </conditionalFormatting>
  <conditionalFormatting sqref="B110:E112">
    <cfRule type="expression" dxfId="3599" priority="57">
      <formula>mgmt_avi_loadbalancer_result="Excluded"</formula>
    </cfRule>
  </conditionalFormatting>
  <conditionalFormatting sqref="B111:E111">
    <cfRule type="expression" dxfId="3598" priority="54">
      <formula>mgmt_domain_result="Excluded"</formula>
    </cfRule>
  </conditionalFormatting>
  <conditionalFormatting sqref="B113:E113">
    <cfRule type="expression" dxfId="3597" priority="44">
      <formula>mgmt_avi_loadbalancer_result="Excluded"</formula>
    </cfRule>
  </conditionalFormatting>
  <conditionalFormatting sqref="B114:E114">
    <cfRule type="expression" dxfId="3596" priority="55">
      <formula>mgmt_domain_result="Excluded"</formula>
    </cfRule>
  </conditionalFormatting>
  <conditionalFormatting sqref="B117:E117">
    <cfRule type="expression" dxfId="3595" priority="119">
      <formula>mgmt_principal_storage_chosen&lt;&gt;"vSAN-OSA"</formula>
    </cfRule>
  </conditionalFormatting>
  <conditionalFormatting sqref="B118:E118">
    <cfRule type="expression" dxfId="3594" priority="319">
      <formula>(mgmt_principal_storage_chosen="vSAN-ESA")</formula>
    </cfRule>
  </conditionalFormatting>
  <conditionalFormatting sqref="B126:E131">
    <cfRule type="expression" dxfId="3593" priority="733">
      <formula>OR((mgmt_domain_result="Excluded"),(mgmt_consolidated_result="Excluded"))</formula>
    </cfRule>
  </conditionalFormatting>
  <conditionalFormatting sqref="B132:E132">
    <cfRule type="expression" dxfId="3592" priority="363">
      <formula>AND((mgmt_stretched_cluster_result="Excluded"),(wld_stretched_cluster_result="Excluded"))</formula>
    </cfRule>
  </conditionalFormatting>
  <conditionalFormatting sqref="B133:E134">
    <cfRule type="expression" dxfId="3591" priority="732">
      <formula>OR((mgmt_domain_result="Excluded"),(mgmt_stretched_cluster_result="Excluded"))</formula>
    </cfRule>
  </conditionalFormatting>
  <conditionalFormatting sqref="B138:E145">
    <cfRule type="expression" dxfId="3590" priority="731">
      <formula>esxi_thumbprint_validation="No"</formula>
    </cfRule>
  </conditionalFormatting>
  <conditionalFormatting sqref="B164:E169">
    <cfRule type="expression" dxfId="3589" priority="7">
      <formula>mgmt_internet_proxy_result="Excluded"</formula>
    </cfRule>
  </conditionalFormatting>
  <conditionalFormatting sqref="B165:E169">
    <cfRule type="expression" dxfId="3588" priority="13">
      <formula>mgmt_domain_result="Excluded"</formula>
    </cfRule>
  </conditionalFormatting>
  <conditionalFormatting sqref="B170:E173">
    <cfRule type="expression" dxfId="3587" priority="6">
      <formula>mgmt_offline_depot_result="Excluded"</formula>
    </cfRule>
  </conditionalFormatting>
  <conditionalFormatting sqref="B171:E173">
    <cfRule type="expression" dxfId="3586" priority="10">
      <formula>mgmt_domain_result="Excluded"</formula>
    </cfRule>
  </conditionalFormatting>
  <conditionalFormatting sqref="B175:E175 B177:E182">
    <cfRule type="expression" dxfId="3585" priority="728">
      <formula>OR((mgmt_domain_result="Excluded"),(mgmt_stretched_cluster_result="Excluded"))</formula>
    </cfRule>
  </conditionalFormatting>
  <conditionalFormatting sqref="B176:E176">
    <cfRule type="expression" dxfId="3584" priority="354">
      <formula>AND((mgmt_stretched_cluster_result="Excluded"),(wld_stretched_cluster_result="Excluded"))</formula>
    </cfRule>
  </conditionalFormatting>
  <conditionalFormatting sqref="B191:E274 B275 B276:E281">
    <cfRule type="expression" dxfId="3583" priority="114">
      <formula>wld_domain_result="Excluded"</formula>
    </cfRule>
  </conditionalFormatting>
  <conditionalFormatting sqref="B192:E197">
    <cfRule type="expression" dxfId="3582" priority="317">
      <formula>OR((wld_vlcm_model_result="Excluded"),(wld_vlcm_model_chosen="Baselines"))</formula>
    </cfRule>
  </conditionalFormatting>
  <conditionalFormatting sqref="B202:E203">
    <cfRule type="expression" dxfId="3581" priority="334">
      <formula>wld_domain_chosen&lt;&gt;"Create New SSO Domain"</formula>
    </cfRule>
  </conditionalFormatting>
  <conditionalFormatting sqref="B215:E215">
    <cfRule type="expression" dxfId="3580" priority="129">
      <formula>mgmt_domain_result="Excluded"</formula>
    </cfRule>
  </conditionalFormatting>
  <conditionalFormatting sqref="B219:E227">
    <cfRule type="expression" dxfId="3579" priority="283">
      <formula>input_wld_cl01_vds_profile="custom"</formula>
    </cfRule>
  </conditionalFormatting>
  <conditionalFormatting sqref="B222:E227">
    <cfRule type="expression" dxfId="3578" priority="286">
      <formula>input_wld_cl01_vds_profile="Default"</formula>
    </cfRule>
  </conditionalFormatting>
  <conditionalFormatting sqref="B225:E227">
    <cfRule type="expression" dxfId="3577" priority="285">
      <formula>input_wld_cl01_vds_profile="Storage Traffic Separation"</formula>
    </cfRule>
    <cfRule type="expression" dxfId="3576" priority="284">
      <formula>input_wld_cl01_vds_profile="NSX Traffic Separation"</formula>
    </cfRule>
  </conditionalFormatting>
  <conditionalFormatting sqref="B231:E233">
    <cfRule type="expression" dxfId="3575" priority="112">
      <formula>AND((wld_principal_storage_chosen&lt;&gt;"vSAN-ESA"),(wld_principal_storage_chosen&lt;&gt;"vSAN-OSA"))</formula>
    </cfRule>
  </conditionalFormatting>
  <conditionalFormatting sqref="B232:E233">
    <cfRule type="expression" dxfId="3574" priority="110">
      <formula>OR((wld_domain_result="Excluded"),(wld_host_overlay_addressing_chosen&lt;&gt;"Static"))</formula>
    </cfRule>
    <cfRule type="expression" dxfId="3573" priority="28">
      <formula>AND(wld_multi_rack_count_result&lt;&gt;"Excluded",wld_dedicated_edge_cluster_chosen_first&lt;&gt;1,wld_dedicated_edge_cluster_chosen_second&lt;&gt;1)</formula>
    </cfRule>
    <cfRule type="expression" dxfId="3572" priority="113">
      <formula>wld_multi_rack_count_chosen="Exclude"</formula>
    </cfRule>
  </conditionalFormatting>
  <conditionalFormatting sqref="B234:E241">
    <cfRule type="expression" dxfId="3571" priority="720">
      <formula>OR((wld_domain_result="Excluded"),(wld_bgp_result="Excluded"))</formula>
    </cfRule>
  </conditionalFormatting>
  <conditionalFormatting sqref="B242:E255">
    <cfRule type="expression" dxfId="3570" priority="719">
      <formula>OR((wld_domain_result="Excluded"),(wld_nsxt_federation_result="Excluded"))</formula>
    </cfRule>
  </conditionalFormatting>
  <conditionalFormatting sqref="B248:E251">
    <cfRule type="expression" dxfId="3569" priority="718">
      <formula>OR((wld_nsxt_federation_result="Excluded"),(wld_nsxt_federation_chosen="Connect Instance"))</formula>
    </cfRule>
  </conditionalFormatting>
  <conditionalFormatting sqref="B252:E252">
    <cfRule type="expression" dxfId="3568" priority="717">
      <formula>OR((wld_nsxt_federation_result="Excluded"),(wld_nsxt_federation_chosen&lt;&gt;"Active Global Manager"))</formula>
    </cfRule>
  </conditionalFormatting>
  <conditionalFormatting sqref="B253:E253">
    <cfRule type="expression" dxfId="3567" priority="716">
      <formula>OR((wld_nsxt_federation_result="Excluded"),(wld_nsxt_federation_chosen="Active Global Manager"),(wld_nsxt_federation_chosen="Connect Instance"))</formula>
    </cfRule>
  </conditionalFormatting>
  <conditionalFormatting sqref="B254:E255">
    <cfRule type="expression" dxfId="3566" priority="715">
      <formula>OR((wld_nsxt_federation_result="Excluded"),(wld_nsxt_federation_chosen="Active Global Manager"))</formula>
    </cfRule>
  </conditionalFormatting>
  <conditionalFormatting sqref="B256:E259">
    <cfRule type="expression" dxfId="3565" priority="33">
      <formula>OR((wld_avi_loadbalancer_result="Excluded"),(wld_principal_storage_chosen="VMFS on FC"))</formula>
    </cfRule>
  </conditionalFormatting>
  <conditionalFormatting sqref="B264:E264">
    <cfRule type="expression" dxfId="3563" priority="316">
      <formula>(wld_principal_storage_chosen&lt;&gt;"vSAN-OSA")</formula>
    </cfRule>
  </conditionalFormatting>
  <conditionalFormatting sqref="B265:E265">
    <cfRule type="expression" dxfId="3562" priority="648">
      <formula>OR((wld_domain_result="Excluded"),(wld_principal_storage_chosen&lt;&gt;"VMFS on FC"))</formula>
    </cfRule>
  </conditionalFormatting>
  <conditionalFormatting sqref="B266:E271">
    <cfRule type="expression" dxfId="3561" priority="712">
      <formula>OR((wld_domain_result="Excluded"),(wld_principal_storage_chosen="VSAN-ESA"),(wld_principal_storage_chosen="VSAN-OSA"),(wld_principal_storage_chosen="NFS"),(wld_principal_storage_chosen="VMFS on FC"))</formula>
    </cfRule>
  </conditionalFormatting>
  <conditionalFormatting sqref="B272:E274">
    <cfRule type="expression" dxfId="3560" priority="711">
      <formula>OR((wld_domain_result="Excluded"),(wld_principal_storage_chosen&lt;&gt;"NFS"))</formula>
    </cfRule>
  </conditionalFormatting>
  <conditionalFormatting sqref="B279:E281">
    <cfRule type="expression" dxfId="3559" priority="706">
      <formula>OR((wld_domain_result="Excluded"),(private_cloud_result="Excluded"))</formula>
    </cfRule>
  </conditionalFormatting>
  <conditionalFormatting sqref="B283:E296">
    <cfRule type="expression" dxfId="3558" priority="221">
      <formula>wld_multi_rack_count_result&lt;&gt;"Excluded"</formula>
    </cfRule>
  </conditionalFormatting>
  <conditionalFormatting sqref="B298:E328 B330:E360">
    <cfRule type="expression" dxfId="3557" priority="31">
      <formula>vcf_version&lt;&gt;"v5.2.x"</formula>
    </cfRule>
    <cfRule type="expression" dxfId="3556" priority="65">
      <formula>wld_multirack_result="Excluded"</formula>
    </cfRule>
  </conditionalFormatting>
  <conditionalFormatting sqref="B300:E301">
    <cfRule type="expression" dxfId="3555" priority="192">
      <formula>wld_domain_result="Excluded"</formula>
    </cfRule>
  </conditionalFormatting>
  <conditionalFormatting sqref="B302:E302">
    <cfRule type="expression" dxfId="3554" priority="126">
      <formula>mgmt_domain_result="Excluded"</formula>
    </cfRule>
  </conditionalFormatting>
  <conditionalFormatting sqref="B305:E306">
    <cfRule type="expression" dxfId="3553" priority="187">
      <formula>AND((wld_principal_storage_chosen&lt;&gt;"vSAN-ESA"),(wld_principal_storage_chosen&lt;&gt;"vSAN-OSA"))</formula>
    </cfRule>
  </conditionalFormatting>
  <conditionalFormatting sqref="B306:E306">
    <cfRule type="expression" dxfId="3552" priority="143">
      <formula>wld_principal_storage_chosen&lt;&gt;"vSAN-OSA"</formula>
    </cfRule>
  </conditionalFormatting>
  <conditionalFormatting sqref="B307:E307">
    <cfRule type="expression" dxfId="3551" priority="188">
      <formula>(wld_principal_storage_chosen&lt;&gt;"vSAN-OSA")</formula>
    </cfRule>
  </conditionalFormatting>
  <conditionalFormatting sqref="B308:E310">
    <cfRule type="expression" dxfId="3550" priority="136">
      <formula>OR((wld_domain_result="Excluded"),(wld_principal_storage_chosen&lt;&gt;"NFS"))</formula>
    </cfRule>
  </conditionalFormatting>
  <conditionalFormatting sqref="B312:E328 B191">
    <cfRule type="expression" dxfId="3549" priority="123">
      <formula>wld_domain_result="Excluded"</formula>
    </cfRule>
  </conditionalFormatting>
  <conditionalFormatting sqref="B314:E322">
    <cfRule type="expression" dxfId="3548" priority="175">
      <formula>input_wld_cl02_vds_profile="custom"</formula>
    </cfRule>
  </conditionalFormatting>
  <conditionalFormatting sqref="B317:E322">
    <cfRule type="expression" dxfId="3547" priority="178">
      <formula>input_wld_cl02_vds_profile="Default"</formula>
    </cfRule>
  </conditionalFormatting>
  <conditionalFormatting sqref="B320:E322">
    <cfRule type="expression" dxfId="3546" priority="176">
      <formula>input_wld_cl02_vds_profile="NSX Traffic Separation"</formula>
    </cfRule>
    <cfRule type="expression" dxfId="3545" priority="177">
      <formula>input_wld_cl02_vds_profile="Storage Traffic Separation"</formula>
    </cfRule>
  </conditionalFormatting>
  <conditionalFormatting sqref="B326:E328">
    <cfRule type="expression" dxfId="3544" priority="103">
      <formula>AND((wld_principal_storage_chosen&lt;&gt;"vSAN-ESA"),(wld_principal_storage_chosen&lt;&gt;"vSAN-OSA"))</formula>
    </cfRule>
  </conditionalFormatting>
  <conditionalFormatting sqref="B327:E328">
    <cfRule type="expression" dxfId="3543" priority="105" stopIfTrue="1">
      <formula>wld_multi_rack_count_chosen="Exclude"</formula>
    </cfRule>
    <cfRule type="expression" dxfId="3542" priority="101">
      <formula>OR((wld_domain_result="Excluded"),(wld_host_overlay_addressing_chosen&lt;&gt;"Static"))</formula>
    </cfRule>
  </conditionalFormatting>
  <conditionalFormatting sqref="B332:E333">
    <cfRule type="expression" dxfId="3541" priority="168">
      <formula>wld_domain_result="Excluded"</formula>
    </cfRule>
  </conditionalFormatting>
  <conditionalFormatting sqref="B334:E334">
    <cfRule type="expression" dxfId="3540" priority="124">
      <formula>mgmt_domain_result="Excluded"</formula>
    </cfRule>
  </conditionalFormatting>
  <conditionalFormatting sqref="B336:E338">
    <cfRule type="expression" dxfId="3539" priority="135">
      <formula>OR((wld_domain_result="Excluded"),(wld_principal_storage_chosen="VMFS on FC"))</formula>
    </cfRule>
  </conditionalFormatting>
  <conditionalFormatting sqref="B337:E338">
    <cfRule type="expression" dxfId="3538" priority="134">
      <formula>AND((wld_principal_storage_chosen&lt;&gt;"vSAN-ESA"),(wld_principal_storage_chosen&lt;&gt;"vSAN-OSA"))</formula>
    </cfRule>
  </conditionalFormatting>
  <conditionalFormatting sqref="B338:E338">
    <cfRule type="expression" dxfId="3537" priority="133">
      <formula>wld_principal_storage_chosen&lt;&gt;"vSAN-OSA"</formula>
    </cfRule>
  </conditionalFormatting>
  <conditionalFormatting sqref="B339:E339">
    <cfRule type="expression" dxfId="3536" priority="164">
      <formula>(wld_principal_storage_chosen&lt;&gt;"vSAN-OSA")</formula>
    </cfRule>
  </conditionalFormatting>
  <conditionalFormatting sqref="B340:E342">
    <cfRule type="expression" dxfId="3535" priority="148">
      <formula>OR((wld_domain_result="Excluded"),(wld_principal_storage_chosen&lt;&gt;"NFS"))</formula>
    </cfRule>
  </conditionalFormatting>
  <conditionalFormatting sqref="B346:E354">
    <cfRule type="expression" dxfId="3534" priority="66">
      <formula>input_wld_cl03_vds_profile="custom"</formula>
    </cfRule>
  </conditionalFormatting>
  <conditionalFormatting sqref="B349:E354">
    <cfRule type="expression" dxfId="3533" priority="159">
      <formula>input_wld_cl03_vds_profile="Default"</formula>
    </cfRule>
  </conditionalFormatting>
  <conditionalFormatting sqref="B352:E354">
    <cfRule type="expression" dxfId="3532" priority="157">
      <formula>input_wld_cl03_vds_profile="NSX Traffic Separation"</formula>
    </cfRule>
    <cfRule type="expression" dxfId="3531" priority="158">
      <formula>input_wld_cl03_vds_profile="Storage Traffic Separation"</formula>
    </cfRule>
  </conditionalFormatting>
  <conditionalFormatting sqref="B358:E360">
    <cfRule type="expression" dxfId="3530" priority="95">
      <formula>AND((wld_principal_storage_chosen&lt;&gt;"vSAN-ESA"),(wld_principal_storage_chosen&lt;&gt;"vSAN-OSA"))</formula>
    </cfRule>
  </conditionalFormatting>
  <conditionalFormatting sqref="B359:E360">
    <cfRule type="expression" dxfId="3529" priority="96">
      <formula>wld_multi_rack_count_chosen="Exclude"</formula>
    </cfRule>
    <cfRule type="expression" dxfId="3528" priority="94">
      <formula>OR((wld_domain_result="Excluded"),(wld_host_overlay_addressing_chosen&lt;&gt;"Static"))</formula>
    </cfRule>
  </conditionalFormatting>
  <conditionalFormatting sqref="B362:E378">
    <cfRule type="expression" dxfId="3527" priority="700">
      <formula>AND((vrslcm_result="Excluded"),(intelligent_operations_chosen&lt;&gt;"Connect Instance"))</formula>
    </cfRule>
  </conditionalFormatting>
  <conditionalFormatting sqref="B365:E375">
    <cfRule type="expression" dxfId="3526" priority="225">
      <formula>vrslcm_result="Excluded"</formula>
    </cfRule>
  </conditionalFormatting>
  <conditionalFormatting sqref="B376:E378">
    <cfRule type="expression" dxfId="3525" priority="697">
      <formula>intelligent_operations_chosen&lt;&gt;"Connect Instance"</formula>
    </cfRule>
  </conditionalFormatting>
  <conditionalFormatting sqref="B398:E401">
    <cfRule type="expression" dxfId="3524" priority="695">
      <formula>iam_result="Excluded"</formula>
    </cfRule>
  </conditionalFormatting>
  <conditionalFormatting sqref="B415:E420">
    <cfRule type="expression" dxfId="3523" priority="25">
      <formula>air_result="Excluded"</formula>
    </cfRule>
  </conditionalFormatting>
  <conditionalFormatting sqref="B423:E439">
    <cfRule type="expression" dxfId="3522" priority="345">
      <formula>intelligent_logging_result="Excluded"</formula>
    </cfRule>
  </conditionalFormatting>
  <conditionalFormatting sqref="B424:E425 B443:E444">
    <cfRule type="expression" dxfId="3521" priority="227" stopIfTrue="1">
      <formula>(input_vrs_license&lt;&gt;"")</formula>
    </cfRule>
  </conditionalFormatting>
  <conditionalFormatting sqref="B443:E457">
    <cfRule type="expression" dxfId="3520" priority="302">
      <formula>intelligent_operations_chosen="Connect Instance"</formula>
    </cfRule>
  </conditionalFormatting>
  <conditionalFormatting sqref="B458:E469">
    <cfRule type="expression" dxfId="3519" priority="538">
      <formula>OR((intelligent_operations_chosen&lt;&gt;"Connect Instance"),(mgmt_domain_chosen="First Domain"))</formula>
    </cfRule>
  </conditionalFormatting>
  <conditionalFormatting sqref="B471:E485">
    <cfRule type="expression" dxfId="3518" priority="337">
      <formula>inv_result="Excluded"</formula>
    </cfRule>
  </conditionalFormatting>
  <conditionalFormatting sqref="B488:E507">
    <cfRule type="expression" dxfId="3517" priority="534">
      <formula>private_cloud_result="Excluded"</formula>
    </cfRule>
  </conditionalFormatting>
  <conditionalFormatting sqref="B489:E490">
    <cfRule type="expression" dxfId="3516" priority="333">
      <formula>(input_vrs_license&lt;&gt;"")</formula>
    </cfRule>
  </conditionalFormatting>
  <conditionalFormatting sqref="B489:E492">
    <cfRule type="expression" dxfId="3515" priority="332">
      <formula>private_cloud_chosen="Connect Instance"</formula>
    </cfRule>
  </conditionalFormatting>
  <conditionalFormatting sqref="B510:E510">
    <cfRule type="expression" dxfId="3514" priority="349">
      <formula>(protected_mgmt_result="False")</formula>
    </cfRule>
  </conditionalFormatting>
  <conditionalFormatting sqref="B515:E518">
    <cfRule type="expression" dxfId="3513" priority="473">
      <formula>OR((AND((spr_mo_result="False"),(spr_mw_result="False"))),(intelligent_operations_result="Excluded"))</formula>
    </cfRule>
  </conditionalFormatting>
  <conditionalFormatting sqref="B521:E521">
    <cfRule type="expression" dxfId="3512" priority="348">
      <formula>AND((spr_mo_result="False"),(spr_mw_result="False"))</formula>
    </cfRule>
  </conditionalFormatting>
  <conditionalFormatting sqref="B562:E562">
    <cfRule type="expression" dxfId="3511" priority="353">
      <formula>AND((spr_wo_result="False"),(spr_mw_result="False"))</formula>
    </cfRule>
  </conditionalFormatting>
  <conditionalFormatting sqref="B586:E595">
    <cfRule type="expression" dxfId="3510" priority="384">
      <formula>hrm_result="Excluded"</formula>
    </cfRule>
  </conditionalFormatting>
  <conditionalFormatting sqref="B597:E624">
    <cfRule type="expression" dxfId="3509" priority="230">
      <formula>cbr_result="Excluded"</formula>
    </cfRule>
  </conditionalFormatting>
  <conditionalFormatting sqref="B626:E651">
    <cfRule type="expression" dxfId="3508" priority="320">
      <formula>ccm_result="Excluded"</formula>
    </cfRule>
  </conditionalFormatting>
  <conditionalFormatting sqref="C56">
    <cfRule type="expression" dxfId="3507" priority="215">
      <formula>AND((mgmt_domain_result="Excluded"),(wld_domain_result="Excluded"))</formula>
    </cfRule>
  </conditionalFormatting>
  <conditionalFormatting sqref="C417">
    <cfRule type="expression" dxfId="3506" priority="22">
      <formula>private_cloud_result="Excluded"</formula>
    </cfRule>
    <cfRule type="expression" dxfId="3505" priority="21">
      <formula>(input_vrs_license&lt;&gt;"")</formula>
    </cfRule>
    <cfRule type="expression" dxfId="3504" priority="20">
      <formula>private_cloud_chosen="Connect Instance"</formula>
    </cfRule>
  </conditionalFormatting>
  <conditionalFormatting sqref="D8:D13 D236:D241 D244:D255 D628:D651 D17:D22 D443:D469 D599:D624 D78:D85 D99:D109 D46:D58 D218:D227 D313:D322 D345:D354 D473:D485 D92:D97">
    <cfRule type="containsBlanks" dxfId="3503" priority="859">
      <formula>LEN(TRIM(D8))=0</formula>
    </cfRule>
  </conditionalFormatting>
  <conditionalFormatting sqref="D17:D20">
    <cfRule type="expression" dxfId="3502" priority="444">
      <formula>mgmt_domain_result="Excluded"</formula>
    </cfRule>
  </conditionalFormatting>
  <conditionalFormatting sqref="D28 D166:D169 D172:D173 D281 D400:D401">
    <cfRule type="containsBlanks" dxfId="3501" priority="853">
      <formula>LEN(TRIM(D28))=0</formula>
    </cfRule>
  </conditionalFormatting>
  <conditionalFormatting sqref="D28 D281 D400:D401 D17:D23 D443:D469 D489:D508 D424:D441 D599:D624 D166:D169 D172:D173">
    <cfRule type="notContainsBlanks" dxfId="3500" priority="852">
      <formula>LEN(TRIM(D17))&gt;0</formula>
    </cfRule>
  </conditionalFormatting>
  <conditionalFormatting sqref="D30:D31 D70:D71 D365:D378 D417:D420">
    <cfRule type="notContainsBlanks" dxfId="3499" priority="850">
      <formula>LEN(TRIM(D30))&gt;0</formula>
    </cfRule>
    <cfRule type="containsBlanks" dxfId="3498" priority="851">
      <formula>LEN(TRIM(D30))=0</formula>
    </cfRule>
  </conditionalFormatting>
  <conditionalFormatting sqref="D33:D41 D405:D413">
    <cfRule type="notContainsBlanks" dxfId="3497" priority="848">
      <formula>LEN(TRIM(D33))&gt;0</formula>
    </cfRule>
    <cfRule type="containsBlanks" dxfId="3496" priority="849">
      <formula>LEN(TRIM(D33))=0</formula>
    </cfRule>
  </conditionalFormatting>
  <conditionalFormatting sqref="D43:D45">
    <cfRule type="containsBlanks" dxfId="3495" priority="308">
      <formula>LEN(TRIM(D43))=0</formula>
    </cfRule>
  </conditionalFormatting>
  <conditionalFormatting sqref="D59:D63">
    <cfRule type="containsBlanks" dxfId="3494" priority="305">
      <formula>LEN(TRIM(D59))=0</formula>
    </cfRule>
  </conditionalFormatting>
  <conditionalFormatting sqref="D68">
    <cfRule type="containsBlanks" dxfId="3493" priority="383">
      <formula>LEN(TRIM(D68))=0</formula>
    </cfRule>
    <cfRule type="notContainsBlanks" dxfId="3492" priority="382">
      <formula>LEN(TRIM(D68))&gt;0</formula>
    </cfRule>
  </conditionalFormatting>
  <conditionalFormatting sqref="D72">
    <cfRule type="containsBlanks" dxfId="3491" priority="380">
      <formula>LEN(TRIM(D72))=0</formula>
    </cfRule>
    <cfRule type="notContainsBlanks" dxfId="3490" priority="379">
      <formula>LEN(TRIM(D72))&gt;0</formula>
    </cfRule>
  </conditionalFormatting>
  <conditionalFormatting sqref="D74:D76">
    <cfRule type="notContainsBlanks" dxfId="3489" priority="376">
      <formula>LEN(TRIM(D74))&gt;0</formula>
    </cfRule>
    <cfRule type="containsBlanks" dxfId="3488" priority="377">
      <formula>LEN(TRIM(D74))=0</formula>
    </cfRule>
  </conditionalFormatting>
  <conditionalFormatting sqref="D82">
    <cfRule type="expression" dxfId="3487" priority="293">
      <formula>mgmt_domain_result="Excluded"</formula>
    </cfRule>
  </conditionalFormatting>
  <conditionalFormatting sqref="D86:D89">
    <cfRule type="containsBlanks" dxfId="3486" priority="243">
      <formula>LEN(TRIM(D86))=0</formula>
    </cfRule>
  </conditionalFormatting>
  <conditionalFormatting sqref="D86:D97">
    <cfRule type="notContainsBlanks" dxfId="3485" priority="90">
      <formula>LEN(TRIM(D86))&gt;0</formula>
    </cfRule>
  </conditionalFormatting>
  <conditionalFormatting sqref="D90:D91">
    <cfRule type="containsBlanks" dxfId="3484" priority="740" stopIfTrue="1">
      <formula>LEN(TRIM(D90))=0</formula>
    </cfRule>
  </conditionalFormatting>
  <conditionalFormatting sqref="D99:D109">
    <cfRule type="notContainsBlanks" dxfId="3483" priority="737">
      <formula>LEN(TRIM(D99))&gt;0</formula>
    </cfRule>
  </conditionalFormatting>
  <conditionalFormatting sqref="D111">
    <cfRule type="containsBlanks" dxfId="3482" priority="53">
      <formula>LEN(TRIM(D111))=0</formula>
    </cfRule>
  </conditionalFormatting>
  <conditionalFormatting sqref="D112:D113">
    <cfRule type="notContainsBlanks" dxfId="3481" priority="62">
      <formula>LEN(TRIM(D112))&gt;0</formula>
    </cfRule>
    <cfRule type="containsBlanks" dxfId="3480" priority="63">
      <formula>LEN(TRIM(D112))=0</formula>
    </cfRule>
    <cfRule type="expression" dxfId="3479" priority="64">
      <formula>mgmt_domain_result="Excluded"</formula>
    </cfRule>
  </conditionalFormatting>
  <conditionalFormatting sqref="D115:D117">
    <cfRule type="containsBlanks" dxfId="3478" priority="367">
      <formula>LEN(TRIM(D115))=0</formula>
    </cfRule>
  </conditionalFormatting>
  <conditionalFormatting sqref="D116:D117">
    <cfRule type="notContainsBlanks" dxfId="3477" priority="122">
      <formula>LEN(TRIM(D116))&gt;0</formula>
    </cfRule>
  </conditionalFormatting>
  <conditionalFormatting sqref="D118:D119">
    <cfRule type="notContainsBlanks" dxfId="3476" priority="369">
      <formula>LEN(TRIM(D118))&gt;0</formula>
    </cfRule>
  </conditionalFormatting>
  <conditionalFormatting sqref="D118:D121">
    <cfRule type="containsBlanks" dxfId="3475" priority="755">
      <formula>LEN(TRIM(D118))=0</formula>
    </cfRule>
  </conditionalFormatting>
  <conditionalFormatting sqref="D121:D122">
    <cfRule type="notContainsBlanks" dxfId="3474" priority="370">
      <formula>LEN(TRIM(D121))&gt;0</formula>
    </cfRule>
  </conditionalFormatting>
  <conditionalFormatting sqref="D122">
    <cfRule type="containsBlanks" dxfId="3473" priority="368">
      <formula>LEN(TRIM(D122))=0</formula>
    </cfRule>
  </conditionalFormatting>
  <conditionalFormatting sqref="D124:D125">
    <cfRule type="containsBlanks" dxfId="3472" priority="827">
      <formula>LEN(TRIM(D124))=0</formula>
    </cfRule>
    <cfRule type="notContainsBlanks" dxfId="3471" priority="826">
      <formula>LEN(TRIM(D124))&gt;0</formula>
    </cfRule>
  </conditionalFormatting>
  <conditionalFormatting sqref="D128:D131">
    <cfRule type="notContainsBlanks" dxfId="3470" priority="824">
      <formula>LEN(TRIM(D128))&gt;0</formula>
    </cfRule>
    <cfRule type="containsBlanks" dxfId="3469" priority="825">
      <formula>LEN(TRIM(D128))=0</formula>
    </cfRule>
  </conditionalFormatting>
  <conditionalFormatting sqref="D132">
    <cfRule type="containsBlanks" dxfId="3468" priority="365">
      <formula>LEN(TRIM(D132))=0</formula>
    </cfRule>
    <cfRule type="notContainsBlanks" dxfId="3467" priority="364">
      <formula>LEN(TRIM(D132))&gt;0</formula>
    </cfRule>
  </conditionalFormatting>
  <conditionalFormatting sqref="D134">
    <cfRule type="notContainsBlanks" dxfId="3466" priority="822">
      <formula>LEN(TRIM(D134))&gt;0</formula>
    </cfRule>
    <cfRule type="containsBlanks" dxfId="3465" priority="823">
      <formula>LEN(TRIM(D134))=0</formula>
    </cfRule>
  </conditionalFormatting>
  <conditionalFormatting sqref="D135">
    <cfRule type="containsBlanks" dxfId="3464" priority="362">
      <formula>LEN(TRIM(D135))=0</formula>
    </cfRule>
    <cfRule type="notContainsBlanks" dxfId="3463" priority="361">
      <formula>LEN(TRIM(D135))&gt;0</formula>
    </cfRule>
  </conditionalFormatting>
  <conditionalFormatting sqref="D137:D145">
    <cfRule type="notContainsBlanks" dxfId="3462" priority="820">
      <formula>LEN(TRIM(D137))&gt;0</formula>
    </cfRule>
    <cfRule type="containsBlanks" dxfId="3461" priority="821">
      <formula>LEN(TRIM(D137))=0</formula>
    </cfRule>
  </conditionalFormatting>
  <conditionalFormatting sqref="D148:D156">
    <cfRule type="notContainsBlanks" dxfId="3460" priority="816">
      <formula>LEN(TRIM(D148))&gt;0</formula>
    </cfRule>
    <cfRule type="containsBlanks" dxfId="3459" priority="817">
      <formula>LEN(TRIM(D148))=0</formula>
    </cfRule>
  </conditionalFormatting>
  <conditionalFormatting sqref="D157">
    <cfRule type="containsBlanks" dxfId="3458" priority="359">
      <formula>LEN(TRIM(D157))=0</formula>
    </cfRule>
    <cfRule type="notContainsBlanks" dxfId="3457" priority="358">
      <formula>LEN(TRIM(D157))&gt;0</formula>
    </cfRule>
  </conditionalFormatting>
  <conditionalFormatting sqref="D159:D163">
    <cfRule type="containsBlanks" dxfId="3456" priority="815">
      <formula>LEN(TRIM(D159))=0</formula>
    </cfRule>
    <cfRule type="notContainsBlanks" dxfId="3455" priority="814">
      <formula>LEN(TRIM(D159))&gt;0</formula>
    </cfRule>
  </conditionalFormatting>
  <conditionalFormatting sqref="D164">
    <cfRule type="containsBlanks" dxfId="3454" priority="12">
      <formula>LEN(TRIM(D164))=0</formula>
    </cfRule>
    <cfRule type="notContainsBlanks" dxfId="3453" priority="11">
      <formula>LEN(TRIM(D164))&gt;0</formula>
    </cfRule>
  </conditionalFormatting>
  <conditionalFormatting sqref="D170">
    <cfRule type="containsBlanks" dxfId="3452" priority="9">
      <formula>LEN(TRIM(D170))=0</formula>
    </cfRule>
    <cfRule type="notContainsBlanks" dxfId="3451" priority="8">
      <formula>LEN(TRIM(D170))&gt;0</formula>
    </cfRule>
  </conditionalFormatting>
  <conditionalFormatting sqref="D176">
    <cfRule type="containsBlanks" dxfId="3450" priority="356">
      <formula>LEN(TRIM(D176))=0</formula>
    </cfRule>
    <cfRule type="notContainsBlanks" dxfId="3449" priority="355">
      <formula>LEN(TRIM(D176))&gt;0</formula>
    </cfRule>
  </conditionalFormatting>
  <conditionalFormatting sqref="D178:D182">
    <cfRule type="containsBlanks" dxfId="3448" priority="813">
      <formula>LEN(TRIM(D178))=0</formula>
    </cfRule>
    <cfRule type="notContainsBlanks" dxfId="3447" priority="812">
      <formula>LEN(TRIM(D178))&gt;0</formula>
    </cfRule>
  </conditionalFormatting>
  <conditionalFormatting sqref="D185:D189">
    <cfRule type="containsBlanks" dxfId="3446" priority="809">
      <formula>LEN(TRIM(D185))=0</formula>
    </cfRule>
    <cfRule type="notContainsBlanks" dxfId="3445" priority="808">
      <formula>LEN(TRIM(D185))&gt;0</formula>
    </cfRule>
  </conditionalFormatting>
  <conditionalFormatting sqref="D194:D197">
    <cfRule type="containsBlanks" dxfId="3444" priority="725">
      <formula>LEN(TRIM(D194))=0</formula>
    </cfRule>
    <cfRule type="notContainsBlanks" dxfId="3443" priority="318">
      <formula>LEN(TRIM(D194))&gt;0</formula>
    </cfRule>
  </conditionalFormatting>
  <conditionalFormatting sqref="D200:D208">
    <cfRule type="containsBlanks" dxfId="3442" priority="724">
      <formula>LEN(TRIM(D200))=0</formula>
    </cfRule>
    <cfRule type="notContainsBlanks" dxfId="3441" priority="335">
      <formula>LEN(TRIM(D200))&gt;0</formula>
    </cfRule>
  </conditionalFormatting>
  <conditionalFormatting sqref="D211 D214">
    <cfRule type="notContainsBlanks" dxfId="3440" priority="804">
      <formula>LEN(TRIM(D211))&gt;0</formula>
    </cfRule>
    <cfRule type="containsBlanks" dxfId="3439" priority="805">
      <formula>LEN(TRIM(D211))=0</formula>
    </cfRule>
  </conditionalFormatting>
  <conditionalFormatting sqref="D211">
    <cfRule type="notContainsBlanks" dxfId="3438" priority="798">
      <formula>LEN(TRIM(D211))&gt;0</formula>
    </cfRule>
    <cfRule type="containsBlanks" dxfId="3437" priority="799">
      <formula>LEN(TRIM(D211))=0</formula>
    </cfRule>
  </conditionalFormatting>
  <conditionalFormatting sqref="D214:D215">
    <cfRule type="containsBlanks" dxfId="3436" priority="131">
      <formula>LEN(TRIM(D214))=0</formula>
    </cfRule>
    <cfRule type="notContainsBlanks" dxfId="3435" priority="130">
      <formula>LEN(TRIM(D214))&gt;0</formula>
    </cfRule>
  </conditionalFormatting>
  <conditionalFormatting sqref="D228:D233">
    <cfRule type="containsBlanks" dxfId="3434" priority="117">
      <formula>LEN(TRIM(D228))=0</formula>
    </cfRule>
    <cfRule type="notContainsBlanks" dxfId="3433" priority="115">
      <formula>LEN(TRIM(D228))&gt;0</formula>
    </cfRule>
  </conditionalFormatting>
  <conditionalFormatting sqref="D236:D241 D244:D255 D628:D651 D8:D13">
    <cfRule type="notContainsBlanks" dxfId="3432" priority="858">
      <formula>LEN(TRIM(D8))&gt;0</formula>
    </cfRule>
  </conditionalFormatting>
  <conditionalFormatting sqref="D258:D259">
    <cfRule type="containsBlanks" dxfId="3431" priority="34">
      <formula>LEN(TRIM(D258))=0</formula>
    </cfRule>
    <cfRule type="notContainsBlanks" dxfId="3430" priority="35">
      <formula>LEN(TRIM(D258))&gt;0</formula>
    </cfRule>
  </conditionalFormatting>
  <conditionalFormatting sqref="D262:D274 D276:D278">
    <cfRule type="notContainsBlanks" dxfId="3429" priority="794">
      <formula>LEN(TRIM(D262))&gt;0</formula>
    </cfRule>
    <cfRule type="containsBlanks" dxfId="3428" priority="795">
      <formula>LEN(TRIM(D262))=0</formula>
    </cfRule>
  </conditionalFormatting>
  <conditionalFormatting sqref="D286:D289">
    <cfRule type="notContainsBlanks" dxfId="3427" priority="788">
      <formula>LEN(TRIM(D286))&gt;0</formula>
    </cfRule>
    <cfRule type="containsBlanks" dxfId="3426" priority="789">
      <formula>LEN(TRIM(D286))=0</formula>
    </cfRule>
  </conditionalFormatting>
  <conditionalFormatting sqref="D292:D296">
    <cfRule type="containsBlanks" dxfId="3425" priority="785">
      <formula>LEN(TRIM(D292))=0</formula>
    </cfRule>
    <cfRule type="notContainsBlanks" dxfId="3424" priority="784">
      <formula>LEN(TRIM(D292))&gt;0</formula>
    </cfRule>
  </conditionalFormatting>
  <conditionalFormatting sqref="D301">
    <cfRule type="notContainsBlanks" dxfId="3423" priority="195">
      <formula>LEN(TRIM(D301))&gt;0</formula>
    </cfRule>
    <cfRule type="containsBlanks" dxfId="3422" priority="196">
      <formula>LEN(TRIM(D301))=0</formula>
    </cfRule>
    <cfRule type="containsBlanks" dxfId="3421" priority="194">
      <formula>LEN(TRIM(D301))=0</formula>
    </cfRule>
    <cfRule type="notContainsBlanks" dxfId="3420" priority="193">
      <formula>LEN(TRIM(D301))&gt;0</formula>
    </cfRule>
  </conditionalFormatting>
  <conditionalFormatting sqref="D302">
    <cfRule type="containsBlanks" dxfId="3419" priority="128">
      <formula>LEN(TRIM(D302))=0</formula>
    </cfRule>
    <cfRule type="notContainsBlanks" dxfId="3418" priority="127">
      <formula>LEN(TRIM(D302))&gt;0</formula>
    </cfRule>
  </conditionalFormatting>
  <conditionalFormatting sqref="D305:D310">
    <cfRule type="notContainsBlanks" dxfId="3417" priority="190">
      <formula>LEN(TRIM(D305))&gt;0</formula>
    </cfRule>
    <cfRule type="containsBlanks" dxfId="3416" priority="191">
      <formula>LEN(TRIM(D305))=0</formula>
    </cfRule>
  </conditionalFormatting>
  <conditionalFormatting sqref="D323:D328">
    <cfRule type="notContainsBlanks" dxfId="3415" priority="106">
      <formula>LEN(TRIM(D323))&gt;0</formula>
    </cfRule>
    <cfRule type="containsBlanks" dxfId="3414" priority="107">
      <formula>LEN(TRIM(D323))=0</formula>
    </cfRule>
  </conditionalFormatting>
  <conditionalFormatting sqref="D327:D328">
    <cfRule type="containsBlanks" dxfId="3413" priority="652">
      <formula>LEN(TRIM(D327))=0</formula>
    </cfRule>
    <cfRule type="notContainsBlanks" dxfId="3412" priority="108">
      <formula>LEN(TRIM(D327))&gt;0</formula>
    </cfRule>
  </conditionalFormatting>
  <conditionalFormatting sqref="D333">
    <cfRule type="containsBlanks" dxfId="3411" priority="170">
      <formula>LEN(TRIM(D333))=0</formula>
    </cfRule>
    <cfRule type="notContainsBlanks" dxfId="3410" priority="171">
      <formula>LEN(TRIM(D333))&gt;0</formula>
    </cfRule>
    <cfRule type="notContainsBlanks" dxfId="3409" priority="169">
      <formula>LEN(TRIM(D333))&gt;0</formula>
    </cfRule>
    <cfRule type="containsBlanks" dxfId="3408" priority="172">
      <formula>LEN(TRIM(D333))=0</formula>
    </cfRule>
  </conditionalFormatting>
  <conditionalFormatting sqref="D334">
    <cfRule type="notContainsBlanks" dxfId="3407" priority="125">
      <formula>LEN(TRIM(D334))&gt;0</formula>
    </cfRule>
    <cfRule type="containsBlanks" dxfId="3406" priority="132">
      <formula>LEN(TRIM(D334))=0</formula>
    </cfRule>
  </conditionalFormatting>
  <conditionalFormatting sqref="D337:D342">
    <cfRule type="notContainsBlanks" dxfId="3405" priority="166">
      <formula>LEN(TRIM(D337))&gt;0</formula>
    </cfRule>
    <cfRule type="containsBlanks" dxfId="3404" priority="167">
      <formula>LEN(TRIM(D337))=0</formula>
    </cfRule>
  </conditionalFormatting>
  <conditionalFormatting sqref="D355:D360">
    <cfRule type="containsBlanks" dxfId="3403" priority="98">
      <formula>LEN(TRIM(D355))=0</formula>
    </cfRule>
    <cfRule type="notContainsBlanks" dxfId="3402" priority="97">
      <formula>LEN(TRIM(D355))&gt;0</formula>
    </cfRule>
  </conditionalFormatting>
  <conditionalFormatting sqref="D359:D360">
    <cfRule type="containsBlanks" dxfId="3401" priority="104">
      <formula>LEN(TRIM(D359))=0</formula>
    </cfRule>
    <cfRule type="notContainsBlanks" dxfId="3400" priority="99">
      <formula>LEN(TRIM(D359))&gt;0</formula>
    </cfRule>
  </conditionalFormatting>
  <conditionalFormatting sqref="D383:D396">
    <cfRule type="notContainsBlanks" dxfId="3399" priority="778">
      <formula>LEN(TRIM(D383))&gt;0</formula>
    </cfRule>
    <cfRule type="containsBlanks" dxfId="3398" priority="779">
      <formula>LEN(TRIM(D383))=0</formula>
    </cfRule>
  </conditionalFormatting>
  <conditionalFormatting sqref="D422">
    <cfRule type="notContainsBlanks" dxfId="3397" priority="691">
      <formula>LEN(TRIM(D422))&gt;0</formula>
    </cfRule>
  </conditionalFormatting>
  <conditionalFormatting sqref="D442:D444">
    <cfRule type="expression" dxfId="3396" priority="350" stopIfTrue="1">
      <formula>intelligent_operations_result="Excluded"</formula>
    </cfRule>
  </conditionalFormatting>
  <conditionalFormatting sqref="D473:D486 D43:D65 D78:D85 D218:D227 D313:D322 D345:D354">
    <cfRule type="notContainsBlanks" dxfId="3395" priority="710">
      <formula>LEN(TRIM(D43))&gt;0</formula>
    </cfRule>
  </conditionalFormatting>
  <conditionalFormatting sqref="D489:D507">
    <cfRule type="containsBlanks" dxfId="3394" priority="536">
      <formula>LEN(TRIM(D489))=0</formula>
    </cfRule>
  </conditionalFormatting>
  <conditionalFormatting sqref="D512:D518 D520 D523:D529 D531:D537">
    <cfRule type="containsBlanks" dxfId="3393" priority="533">
      <formula>LEN(TRIM(D512))=0</formula>
    </cfRule>
  </conditionalFormatting>
  <conditionalFormatting sqref="D512:D518 D523:D529 D531:D537 D520">
    <cfRule type="notContainsBlanks" dxfId="3392" priority="532">
      <formula>LEN(TRIM(D512))&gt;0</formula>
    </cfRule>
  </conditionalFormatting>
  <conditionalFormatting sqref="D515">
    <cfRule type="notContainsBlanks" dxfId="3391" priority="476">
      <formula>LEN(TRIM(D515))&gt;0</formula>
    </cfRule>
    <cfRule type="containsBlanks" dxfId="3390" priority="477">
      <formula>LEN(TRIM(D515))=0</formula>
    </cfRule>
  </conditionalFormatting>
  <conditionalFormatting sqref="D515:D516">
    <cfRule type="notContainsBlanks" dxfId="3389" priority="478">
      <formula>LEN(TRIM(D515))&gt;0</formula>
    </cfRule>
    <cfRule type="containsBlanks" dxfId="3388" priority="480">
      <formula>LEN(TRIM(D515))=0</formula>
    </cfRule>
  </conditionalFormatting>
  <conditionalFormatting sqref="D516:D517">
    <cfRule type="notContainsBlanks" dxfId="3387" priority="483">
      <formula>LEN(TRIM(D516))&gt;0</formula>
    </cfRule>
    <cfRule type="containsBlanks" dxfId="3386" priority="485">
      <formula>LEN(TRIM(D516))=0</formula>
    </cfRule>
  </conditionalFormatting>
  <conditionalFormatting sqref="D517:D518">
    <cfRule type="containsBlanks" dxfId="3385" priority="490">
      <formula>LEN(TRIM(D517))=0</formula>
    </cfRule>
    <cfRule type="notContainsBlanks" dxfId="3384" priority="488">
      <formula>LEN(TRIM(D517))&gt;0</formula>
    </cfRule>
  </conditionalFormatting>
  <conditionalFormatting sqref="D518">
    <cfRule type="containsBlanks" dxfId="3383" priority="497">
      <formula>LEN(TRIM(D518))=0</formula>
    </cfRule>
    <cfRule type="notContainsBlanks" dxfId="3382" priority="493">
      <formula>LEN(TRIM(D518))&gt;0</formula>
    </cfRule>
  </conditionalFormatting>
  <conditionalFormatting sqref="D523:D529 D531:D546 D548 D550:D553">
    <cfRule type="containsBlanks" dxfId="3381" priority="544">
      <formula>LEN(TRIM(D523))=0</formula>
    </cfRule>
  </conditionalFormatting>
  <conditionalFormatting sqref="D523:D529 D531:D546 D550:D553 D548">
    <cfRule type="notContainsBlanks" dxfId="3380" priority="543">
      <formula>LEN(TRIM(D523))&gt;0</formula>
    </cfRule>
  </conditionalFormatting>
  <conditionalFormatting sqref="D545:D546 D548 D550 D553:D559 D580 D588:D595 D424:D439">
    <cfRule type="containsBlanks" dxfId="3379" priority="867">
      <formula>LEN(TRIM(D424))=0</formula>
    </cfRule>
  </conditionalFormatting>
  <conditionalFormatting sqref="D545:D546 D548 D550 D553:D559 D580 D588:D595">
    <cfRule type="notContainsBlanks" dxfId="3378" priority="866">
      <formula>LEN(TRIM(D545))&gt;0</formula>
    </cfRule>
  </conditionalFormatting>
  <conditionalFormatting sqref="D548">
    <cfRule type="containsBlanks" dxfId="3377" priority="499">
      <formula>LEN(TRIM(D548))=0</formula>
    </cfRule>
    <cfRule type="notContainsBlanks" dxfId="3376" priority="498">
      <formula>LEN(TRIM(D548))&gt;0</formula>
    </cfRule>
  </conditionalFormatting>
  <conditionalFormatting sqref="D551">
    <cfRule type="containsBlanks" dxfId="3375" priority="515">
      <formula>LEN(TRIM(D551))=0</formula>
    </cfRule>
    <cfRule type="notContainsBlanks" dxfId="3374" priority="514">
      <formula>LEN(TRIM(D551))&gt;0</formula>
    </cfRule>
  </conditionalFormatting>
  <conditionalFormatting sqref="D551:D552">
    <cfRule type="containsBlanks" dxfId="3373" priority="511">
      <formula>LEN(TRIM(D551))=0</formula>
    </cfRule>
    <cfRule type="notContainsBlanks" dxfId="3372" priority="510">
      <formula>LEN(TRIM(D551))&gt;0</formula>
    </cfRule>
  </conditionalFormatting>
  <conditionalFormatting sqref="D552">
    <cfRule type="containsBlanks" dxfId="3371" priority="509">
      <formula>LEN(TRIM(D552))=0</formula>
    </cfRule>
    <cfRule type="notContainsBlanks" dxfId="3370" priority="508">
      <formula>LEN(TRIM(D552))&gt;0</formula>
    </cfRule>
  </conditionalFormatting>
  <conditionalFormatting sqref="D553:D559 D561 D564:D570">
    <cfRule type="containsBlanks" dxfId="3369" priority="531">
      <formula>LEN(TRIM(D553))=0</formula>
    </cfRule>
    <cfRule type="notContainsBlanks" dxfId="3368" priority="530">
      <formula>LEN(TRIM(D553))&gt;0</formula>
    </cfRule>
  </conditionalFormatting>
  <conditionalFormatting sqref="D559 D561 D564:D570 D572:D578 D580:D581">
    <cfRule type="containsBlanks" dxfId="3367" priority="507">
      <formula>LEN(TRIM(D559))=0</formula>
    </cfRule>
  </conditionalFormatting>
  <conditionalFormatting sqref="D559">
    <cfRule type="containsBlanks" dxfId="3366" priority="527">
      <formula>LEN(TRIM(D559))=0</formula>
    </cfRule>
    <cfRule type="notContainsBlanks" dxfId="3365" priority="526">
      <formula>LEN(TRIM(D559))&gt;0</formula>
    </cfRule>
  </conditionalFormatting>
  <conditionalFormatting sqref="D564:D570">
    <cfRule type="containsBlanks" dxfId="3364" priority="560">
      <formula>LEN(TRIM(D564))=0</formula>
    </cfRule>
    <cfRule type="notContainsBlanks" dxfId="3363" priority="559">
      <formula>LEN(TRIM(D564))&gt;0</formula>
    </cfRule>
  </conditionalFormatting>
  <conditionalFormatting sqref="D572:D578 D580:D584">
    <cfRule type="containsBlanks" dxfId="3362" priority="523">
      <formula>LEN(TRIM(D572))=0</formula>
    </cfRule>
  </conditionalFormatting>
  <conditionalFormatting sqref="D580:D581 D559 D564:D570 D572:D578 D561">
    <cfRule type="notContainsBlanks" dxfId="3361" priority="506">
      <formula>LEN(TRIM(D559))&gt;0</formula>
    </cfRule>
  </conditionalFormatting>
  <conditionalFormatting sqref="D580:D584 D572:D578">
    <cfRule type="notContainsBlanks" dxfId="3360" priority="522">
      <formula>LEN(TRIM(D572))&gt;0</formula>
    </cfRule>
  </conditionalFormatting>
  <conditionalFormatting sqref="D581:D582">
    <cfRule type="containsBlanks" dxfId="3359" priority="503">
      <formula>LEN(TRIM(D581))=0</formula>
    </cfRule>
    <cfRule type="notContainsBlanks" dxfId="3358" priority="502">
      <formula>LEN(TRIM(D581))&gt;0</formula>
    </cfRule>
  </conditionalFormatting>
  <conditionalFormatting sqref="D582">
    <cfRule type="notContainsBlanks" dxfId="3357" priority="500">
      <formula>LEN(TRIM(D582))&gt;0</formula>
    </cfRule>
    <cfRule type="containsBlanks" dxfId="3356" priority="501">
      <formula>LEN(TRIM(D582))=0</formula>
    </cfRule>
  </conditionalFormatting>
  <conditionalFormatting sqref="D583">
    <cfRule type="containsBlanks" dxfId="3355" priority="550">
      <formula>LEN(TRIM(D583))=0</formula>
    </cfRule>
    <cfRule type="notContainsBlanks" dxfId="3354" priority="549">
      <formula>LEN(TRIM(D583))&gt;0</formula>
    </cfRule>
  </conditionalFormatting>
  <conditionalFormatting sqref="D584">
    <cfRule type="notContainsBlanks" dxfId="3353" priority="520">
      <formula>LEN(TRIM(D584))&gt;0</formula>
    </cfRule>
    <cfRule type="containsBlanks" dxfId="3352" priority="521">
      <formula>LEN(TRIM(D584))=0</formula>
    </cfRule>
    <cfRule type="notContainsBlanks" dxfId="3351" priority="516">
      <formula>LEN(TRIM(D584))&gt;0</formula>
    </cfRule>
    <cfRule type="containsBlanks" dxfId="3350" priority="517">
      <formula>LEN(TRIM(D584))=0</formula>
    </cfRule>
    <cfRule type="notContainsBlanks" dxfId="3349" priority="518">
      <formula>LEN(TRIM(D584))&gt;0</formula>
    </cfRule>
    <cfRule type="containsBlanks" dxfId="3348" priority="519">
      <formula>LEN(TRIM(D584))=0</formula>
    </cfRule>
  </conditionalFormatting>
  <conditionalFormatting sqref="D43:E45">
    <cfRule type="expression" dxfId="3347" priority="147">
      <formula>AND((mgmt_domain_result="Excluded"),(wld_domain_result="Excluded"))</formula>
    </cfRule>
  </conditionalFormatting>
  <dataValidations count="21">
    <dataValidation type="list" allowBlank="1" showInputMessage="1" showErrorMessage="1" sqref="C137:D137 C74:D75" xr:uid="{34B1C38F-DB04-0840-9A37-E99A592F212C}">
      <formula1>"Yes,No"</formula1>
    </dataValidation>
    <dataValidation type="list" allowBlank="1" showInputMessage="1" showErrorMessage="1" sqref="C125:D125 C215:D215 C302:D302 C334:D334" xr:uid="{F3CE1FB7-B068-A44A-B2B2-297388C5AC30}">
      <formula1>vsphere_8u1_evc_table</formula1>
    </dataValidation>
    <dataValidation type="list" allowBlank="1" showInputMessage="1" showErrorMessage="1" sqref="D82" xr:uid="{38288605-9542-EB45-8ADE-B335CCAFC010}">
      <formula1>"Profile-1,Profile-2,Profile-3"</formula1>
    </dataValidation>
    <dataValidation type="list" allowBlank="1" showInputMessage="1" showErrorMessage="1" sqref="D291 C416:D416 C7:D7 C627:D627 C382:D382 C423:D423 C488 D364 C510:D510 C521 C587:D587 C26:D26 C404:D404 C598:D598 C442:C444 C472:C474 D472" xr:uid="{4BEA9190-F800-344C-9020-B8C55E48864B}">
      <formula1>"Standard,Consolidated"</formula1>
    </dataValidation>
    <dataValidation type="list" allowBlank="1" showInputMessage="1" showErrorMessage="1" sqref="C93:D93 C238:D238" xr:uid="{563C89C8-A205-E14C-8DFF-BD49F31A62B3}">
      <formula1>"Default,Custom"</formula1>
    </dataValidation>
    <dataValidation type="list" allowBlank="1" showInputMessage="1" showErrorMessage="1" sqref="C263:D263 C306:D306 C338:D338 C117:D117" xr:uid="{50D86D43-8A2F-1C4D-AA6C-86B248D68CD8}">
      <formula1>storage_ftt</formula1>
    </dataValidation>
    <dataValidation type="list" allowBlank="1" showInputMessage="1" showErrorMessage="1" sqref="C264:D264 C118:D118 C307:D307 C339:D339" xr:uid="{DB1D3E94-76BC-7344-8465-8A08CA5B4D29}">
      <formula1>"Configured,Unconfigured"</formula1>
    </dataValidation>
    <dataValidation type="list" allowBlank="1" showInputMessage="1" showErrorMessage="1" sqref="C239:D239" xr:uid="{7E24FE9F-D3F2-B347-97B7-C0384BA68DD3}">
      <formula1>"Extra_small,Small,Medium,Large"</formula1>
    </dataValidation>
    <dataValidation type="list" allowBlank="1" showInputMessage="1" showErrorMessage="1" sqref="C559:D559 C584:D585 C596:D596" xr:uid="{F6BD0DA2-C340-4D45-B623-C1DC9E1F8C89}">
      <formula1>"Same SSO Domain,Different SSO Domain"</formula1>
    </dataValidation>
    <dataValidation type="list" allowBlank="1" showInputMessage="1" showErrorMessage="1" sqref="C548:D548" xr:uid="{3015415A-7C1C-CF4C-8C61-F8EE485E76C0}">
      <formula1>"User Interface,PowerShell"</formula1>
    </dataValidation>
    <dataValidation type="list" allowBlank="1" showInputMessage="1" showErrorMessage="1" sqref="C82" xr:uid="{F92F3AC0-4469-8141-8C4A-9A6AC6725821}">
      <formula1>"Profile-1,Profile-2, Profile 3,"</formula1>
    </dataValidation>
    <dataValidation type="list" allowBlank="1" showInputMessage="1" showErrorMessage="1" sqref="C633:D633 C604:D604" xr:uid="{D0291D4F-CAC3-8249-BB23-83660C8D63EF}">
      <formula1>aws_regions</formula1>
    </dataValidation>
    <dataValidation type="list" allowBlank="1" showInputMessage="1" showErrorMessage="1" sqref="C401:D401" xr:uid="{A17034CB-E7D9-314B-9448-66926E689C5D}">
      <formula1>"LDAP, LDAPS"</formula1>
    </dataValidation>
    <dataValidation type="list" allowBlank="1" showInputMessage="1" showErrorMessage="1" sqref="C345 C218 C313" xr:uid="{1116F181-4C2B-3244-8408-47CC116CA82F}">
      <formula1>"Default,Storage Seperation,NSX Seperation,Storage and NSX Seperation,Custom"</formula1>
    </dataValidation>
    <dataValidation type="list" allowBlank="1" showInputMessage="1" showErrorMessage="1" sqref="D218 D345 D313" xr:uid="{24B50E16-71D5-D841-B7DF-D531900D7528}">
      <formula1>"Default,Storage Traffic Separation,NSX Traffic Separation,Storage Traffic and NSX Traffic Separation,Custom"</formula1>
    </dataValidation>
    <dataValidation type="list" allowBlank="1" showInputMessage="1" showErrorMessage="1" sqref="C485:D485" xr:uid="{4DFBDF83-ACC7-6C41-85C3-AD7764096C7E}">
      <formula1>"Standard, Cluster"</formula1>
    </dataValidation>
    <dataValidation type="list" allowBlank="1" showInputMessage="1" showErrorMessage="1" sqref="C113 C259" xr:uid="{8D149090-8C60-5C49-BC12-16165B793501}">
      <formula1>"22.1.6"</formula1>
    </dataValidation>
    <dataValidation type="list" allowBlank="1" showInputMessage="1" showErrorMessage="1" sqref="D166" xr:uid="{C5B15609-283F-BB4D-A95D-685047C4AF59}">
      <formula1>"HTTP,HTTPS"</formula1>
    </dataValidation>
    <dataValidation type="list" allowBlank="1" showInputMessage="1" showErrorMessage="1" sqref="D169" xr:uid="{BE528CA4-F861-B14F-9C59-0943F702B3E1}">
      <formula1>"Configured, Unconfigured"</formula1>
    </dataValidation>
    <dataValidation type="list" allowBlank="1" showInputMessage="1" showErrorMessage="1" sqref="D413" xr:uid="{C41A6D75-ACED-7649-8D2F-D0FEAFCAD24B}">
      <formula1>"guaranteed-small,guaranteed-medium,guaranteed-large"</formula1>
    </dataValidation>
    <dataValidation type="list" allowBlank="1" showInputMessage="1" showErrorMessage="1" sqref="D451" xr:uid="{A5249E0B-C24D-8643-AE89-7AB85BC77DE7}">
      <formula1>vcf_currency_codes</formula1>
    </dataValidation>
  </dataValidations>
  <hyperlinks>
    <hyperlink ref="C396" r:id="rId1" xr:uid="{00000000-0004-0000-0700-000000000000}"/>
  </hyperlinks>
  <pageMargins left="0.7" right="0.7" top="0.75" bottom="0.75" header="0.3" footer="0.3"/>
  <pageSetup paperSize="9" orientation="portrait" horizontalDpi="0" verticalDpi="0"/>
  <ignoredErrors>
    <ignoredError sqref="C81 C85" numberStoredAsText="1"/>
  </ignoredErrors>
  <extLst>
    <ext xmlns:x14="http://schemas.microsoft.com/office/spreadsheetml/2009/9/main" uri="{78C0D931-6437-407d-A8EE-F0AAD7539E65}">
      <x14:conditionalFormattings>
        <x14:conditionalFormatting xmlns:xm="http://schemas.microsoft.com/office/excel/2006/main">
          <x14:cfRule type="expression" priority="315" id="{00000000-000E-0000-0800-000036010000}">
            <xm:f>IF(AND(wld_principal_storage_chosen&lt;&gt;"vSAN-OSA"),('Deployment Options'!$J$47&lt;&gt;"Included"))</xm:f>
            <x14:dxf>
              <font>
                <color theme="1"/>
              </font>
              <fill>
                <patternFill>
                  <bgColor theme="1" tint="0.24994659260841701"/>
                </patternFill>
              </fill>
            </x14:dxf>
          </x14:cfRule>
          <xm:sqref>B263:E263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8773-5312-4143-BBFA-BD18DE80D5C3}">
  <sheetPr codeName="Sheet33">
    <tabColor theme="5" tint="0.39997558519241921"/>
  </sheetPr>
  <dimension ref="A1:I346"/>
  <sheetViews>
    <sheetView showGridLines="0" zoomScaleNormal="100" workbookViewId="0">
      <pane ySplit="4" topLeftCell="A5" activePane="bottomLeft" state="frozen"/>
      <selection pane="bottomLeft"/>
    </sheetView>
  </sheetViews>
  <sheetFormatPr baseColWidth="10" defaultRowHeight="16"/>
  <cols>
    <col min="1" max="1" width="2.83203125" customWidth="1"/>
    <col min="2" max="2" width="74.83203125" customWidth="1"/>
    <col min="3" max="3" width="98" customWidth="1"/>
    <col min="4" max="4" width="90.83203125" customWidth="1"/>
    <col min="5" max="5" width="75.83203125" customWidth="1"/>
    <col min="6" max="6" width="19.33203125" bestFit="1" customWidth="1"/>
    <col min="7" max="11" width="9.83203125" customWidth="1"/>
  </cols>
  <sheetData>
    <row r="1" spans="1:9" s="3" customFormat="1">
      <c r="A1" s="6"/>
    </row>
    <row r="2" spans="1:9" s="3" customFormat="1" ht="54" customHeight="1">
      <c r="B2" s="470" t="s">
        <v>4515</v>
      </c>
      <c r="C2" s="470"/>
      <c r="D2" s="470"/>
      <c r="E2" s="470"/>
      <c r="F2" s="9"/>
      <c r="G2" s="9"/>
      <c r="H2" s="9"/>
      <c r="I2" s="9"/>
    </row>
    <row r="3" spans="1:9" s="3" customFormat="1" ht="20" customHeight="1">
      <c r="B3" s="471" t="s">
        <v>733</v>
      </c>
      <c r="C3" s="471"/>
      <c r="D3" s="471"/>
      <c r="E3" s="471"/>
      <c r="F3" s="10"/>
      <c r="G3" s="10"/>
      <c r="H3" s="10"/>
      <c r="I3" s="10"/>
    </row>
    <row r="4" spans="1:9" s="3" customFormat="1"/>
    <row r="5" spans="1:9" s="3" customFormat="1" ht="20" customHeight="1"/>
    <row r="6" spans="1:9" s="3" customFormat="1" ht="34" customHeight="1">
      <c r="B6" s="427" t="s">
        <v>4095</v>
      </c>
      <c r="C6" s="428"/>
      <c r="D6" s="428"/>
      <c r="E6" s="426"/>
    </row>
    <row r="7" spans="1:9" s="3" customFormat="1" ht="20" customHeight="1">
      <c r="B7" s="467" t="s">
        <v>791</v>
      </c>
      <c r="C7" s="468"/>
      <c r="D7" s="468"/>
      <c r="E7" s="469"/>
    </row>
    <row r="8" spans="1:9" s="3" customFormat="1" ht="20" customHeight="1">
      <c r="B8" s="205" t="s">
        <v>735</v>
      </c>
      <c r="C8" s="205" t="s">
        <v>554</v>
      </c>
      <c r="D8" s="206" t="s">
        <v>555</v>
      </c>
      <c r="E8" s="205" t="s">
        <v>222</v>
      </c>
    </row>
    <row r="9" spans="1:9" s="3" customFormat="1" ht="20" customHeight="1">
      <c r="B9" s="21" t="s">
        <v>4650</v>
      </c>
      <c r="C9" s="22" t="str">
        <f>CONCATENATE(this_instance,"-m01-r01-network-pool-01")</f>
        <v>sfo-m01-r01-network-pool-01</v>
      </c>
      <c r="D9" s="14"/>
      <c r="E9" s="18"/>
    </row>
    <row r="10" spans="1:9" s="3" customFormat="1" ht="20" customHeight="1">
      <c r="B10" s="21" t="s">
        <v>4101</v>
      </c>
      <c r="C10" s="22" t="str">
        <f>CONCATENATE(this_instance,"-m01-r01-network-profile01")</f>
        <v>sfo-m01-r01-network-profile01</v>
      </c>
      <c r="D10" s="14"/>
      <c r="E10" s="18"/>
    </row>
    <row r="11" spans="1:9" s="3" customFormat="1" ht="20" customHeight="1">
      <c r="B11" s="21" t="s">
        <v>4655</v>
      </c>
      <c r="C11" s="22" t="s">
        <v>806</v>
      </c>
      <c r="D11" s="14"/>
      <c r="E11" s="18"/>
    </row>
    <row r="12" spans="1:9" s="3" customFormat="1" ht="20" customHeight="1">
      <c r="B12" s="21" t="s">
        <v>4090</v>
      </c>
      <c r="C12" s="25" t="str">
        <f>CONCATENATE(sample_mgmt_sddc_domain,"-r01-ip-pool01-host")</f>
        <v>sfo-m01-r01-ip-pool01-host</v>
      </c>
      <c r="D12" s="14"/>
      <c r="E12" s="18"/>
    </row>
    <row r="13" spans="1:9" s="3" customFormat="1" ht="20" customHeight="1">
      <c r="B13" s="21" t="s">
        <v>4100</v>
      </c>
      <c r="C13" s="25" t="str">
        <f>CONCATENATE(sample_mgmt_sddc_domain,"-r01-uplink-profile01")</f>
        <v>sfo-m01-r01-uplink-profile01</v>
      </c>
      <c r="D13" s="14"/>
      <c r="E13" s="18"/>
    </row>
    <row r="14" spans="1:9" s="3" customFormat="1" ht="20" customHeight="1">
      <c r="B14" s="21" t="s">
        <v>4231</v>
      </c>
      <c r="C14" s="25" t="str">
        <f>CONCATENATE(sample_mgmt_sddc_domain,"-r01-ip-pool02-edge")</f>
        <v>sfo-m01-r01-ip-pool02-edge</v>
      </c>
      <c r="D14" s="14"/>
      <c r="E14" s="18"/>
    </row>
    <row r="15" spans="1:9" s="3" customFormat="1" ht="20" customHeight="1">
      <c r="B15" s="21" t="s">
        <v>816</v>
      </c>
      <c r="C15" s="22" t="str">
        <f>CONCATENATE(this_instance,"-m01-r01-ip-pool-rtep")</f>
        <v>sfo-m01-r01-ip-pool-rtep</v>
      </c>
      <c r="D15" s="14"/>
      <c r="E15" s="228"/>
    </row>
    <row r="16" spans="1:9" s="3" customFormat="1" ht="20" customHeight="1">
      <c r="B16" s="467" t="s">
        <v>4209</v>
      </c>
      <c r="C16" s="468"/>
      <c r="D16" s="468"/>
      <c r="E16" s="469"/>
    </row>
    <row r="17" spans="2:5" s="3" customFormat="1" ht="20" customHeight="1">
      <c r="B17" s="205" t="s">
        <v>555</v>
      </c>
      <c r="C17" s="205" t="s">
        <v>554</v>
      </c>
      <c r="D17" s="206" t="s">
        <v>4206</v>
      </c>
      <c r="E17" s="205" t="s">
        <v>222</v>
      </c>
    </row>
    <row r="18" spans="2:5" s="3" customFormat="1" ht="20" customHeight="1">
      <c r="B18" s="25" t="str" cm="1">
        <f t="array" ref="B18:B33">mgmt_az1_host_hostnames</f>
        <v>Value Missing</v>
      </c>
      <c r="C18" s="230" t="s">
        <v>4162</v>
      </c>
      <c r="D18" s="14" t="s">
        <v>4162</v>
      </c>
      <c r="E18" s="18"/>
    </row>
    <row r="19" spans="2:5" s="3" customFormat="1" ht="20" customHeight="1">
      <c r="B19" s="25" t="str">
        <v>Value Missing</v>
      </c>
      <c r="C19" s="230" t="s">
        <v>4162</v>
      </c>
      <c r="D19" s="14" t="s">
        <v>4162</v>
      </c>
      <c r="E19" s="18"/>
    </row>
    <row r="20" spans="2:5" s="3" customFormat="1" ht="20" customHeight="1">
      <c r="B20" s="25" t="str">
        <v>Value Missing</v>
      </c>
      <c r="C20" s="230" t="s">
        <v>4162</v>
      </c>
      <c r="D20" s="14" t="s">
        <v>4162</v>
      </c>
      <c r="E20" s="18"/>
    </row>
    <row r="21" spans="2:5" s="3" customFormat="1" ht="20" customHeight="1">
      <c r="B21" s="25" t="str">
        <v>Value Missing</v>
      </c>
      <c r="C21" s="230" t="s">
        <v>4162</v>
      </c>
      <c r="D21" s="14" t="s">
        <v>4162</v>
      </c>
      <c r="E21" s="18"/>
    </row>
    <row r="22" spans="2:5" s="3" customFormat="1" ht="20" customHeight="1">
      <c r="B22" s="25" t="str">
        <v>Value Missing</v>
      </c>
      <c r="C22" s="230" t="str">
        <f t="shared" ref="C22:C32" si="0">IF($B22="Value Missing","","Shared Edge and Compute ")</f>
        <v/>
      </c>
      <c r="D22" s="230" t="str">
        <f t="shared" ref="D22:D33" si="1">IF($B22="Value Missing","","Shared Edge and Compute")</f>
        <v/>
      </c>
      <c r="E22" s="18"/>
    </row>
    <row r="23" spans="2:5" s="3" customFormat="1" ht="20" customHeight="1">
      <c r="B23" s="25" t="str">
        <v>Value Missing</v>
      </c>
      <c r="C23" s="230" t="str">
        <f t="shared" si="0"/>
        <v/>
      </c>
      <c r="D23" s="230" t="str">
        <f t="shared" si="1"/>
        <v/>
      </c>
      <c r="E23" s="18"/>
    </row>
    <row r="24" spans="2:5" s="3" customFormat="1" ht="20" customHeight="1">
      <c r="B24" s="25" t="str">
        <v>Value Missing</v>
      </c>
      <c r="C24" s="230" t="str">
        <f t="shared" si="0"/>
        <v/>
      </c>
      <c r="D24" s="230" t="str">
        <f t="shared" si="1"/>
        <v/>
      </c>
      <c r="E24" s="18"/>
    </row>
    <row r="25" spans="2:5" s="3" customFormat="1" ht="20" customHeight="1">
      <c r="B25" s="25" t="str">
        <v>Value Missing</v>
      </c>
      <c r="C25" s="230" t="str">
        <f t="shared" si="0"/>
        <v/>
      </c>
      <c r="D25" s="230" t="str">
        <f t="shared" si="1"/>
        <v/>
      </c>
      <c r="E25" s="18"/>
    </row>
    <row r="26" spans="2:5" s="3" customFormat="1" ht="20" customHeight="1">
      <c r="B26" s="25" t="str">
        <v>Value Missing</v>
      </c>
      <c r="C26" s="230" t="str">
        <f t="shared" si="0"/>
        <v/>
      </c>
      <c r="D26" s="230" t="str">
        <f t="shared" si="1"/>
        <v/>
      </c>
      <c r="E26" s="18"/>
    </row>
    <row r="27" spans="2:5" s="3" customFormat="1" ht="20" customHeight="1">
      <c r="B27" s="25" t="str">
        <v>Value Missing</v>
      </c>
      <c r="C27" s="230" t="str">
        <f t="shared" si="0"/>
        <v/>
      </c>
      <c r="D27" s="230" t="str">
        <f t="shared" si="1"/>
        <v/>
      </c>
      <c r="E27" s="18"/>
    </row>
    <row r="28" spans="2:5" s="3" customFormat="1" ht="20" customHeight="1">
      <c r="B28" s="25" t="str">
        <v>Value Missing</v>
      </c>
      <c r="C28" s="230" t="str">
        <f t="shared" si="0"/>
        <v/>
      </c>
      <c r="D28" s="230" t="str">
        <f t="shared" si="1"/>
        <v/>
      </c>
      <c r="E28" s="18"/>
    </row>
    <row r="29" spans="2:5" s="3" customFormat="1" ht="20" customHeight="1">
      <c r="B29" s="25" t="str">
        <v>Value Missing</v>
      </c>
      <c r="C29" s="230" t="str">
        <f t="shared" si="0"/>
        <v/>
      </c>
      <c r="D29" s="230" t="str">
        <f t="shared" si="1"/>
        <v/>
      </c>
      <c r="E29" s="18"/>
    </row>
    <row r="30" spans="2:5" s="3" customFormat="1" ht="20" customHeight="1">
      <c r="B30" s="25" t="str">
        <v>Value Missing</v>
      </c>
      <c r="C30" s="230" t="str">
        <f t="shared" si="0"/>
        <v/>
      </c>
      <c r="D30" s="230" t="str">
        <f t="shared" si="1"/>
        <v/>
      </c>
      <c r="E30" s="18"/>
    </row>
    <row r="31" spans="2:5" s="3" customFormat="1" ht="20" customHeight="1">
      <c r="B31" s="25" t="str">
        <v>Value Missing</v>
      </c>
      <c r="C31" s="230" t="str">
        <f t="shared" si="0"/>
        <v/>
      </c>
      <c r="D31" s="230" t="str">
        <f t="shared" si="1"/>
        <v/>
      </c>
      <c r="E31" s="18"/>
    </row>
    <row r="32" spans="2:5" s="3" customFormat="1" ht="20" customHeight="1">
      <c r="B32" s="25" t="str">
        <v>Value Missing</v>
      </c>
      <c r="C32" s="230" t="str">
        <f t="shared" si="0"/>
        <v/>
      </c>
      <c r="D32" s="230" t="str">
        <f t="shared" si="1"/>
        <v/>
      </c>
      <c r="E32" s="18"/>
    </row>
    <row r="33" spans="2:5" s="3" customFormat="1" ht="20" customHeight="1">
      <c r="B33" s="25" t="str">
        <v>Value Missing</v>
      </c>
      <c r="C33" s="230" t="str">
        <f>IF($B33="Value Missing","","Shared Edge and Compute")</f>
        <v/>
      </c>
      <c r="D33" s="230" t="str">
        <f t="shared" si="1"/>
        <v/>
      </c>
      <c r="E33" s="18"/>
    </row>
    <row r="34" spans="2:5" s="3" customFormat="1" ht="16" customHeight="1"/>
    <row r="35" spans="2:5" s="3" customFormat="1" ht="34" customHeight="1">
      <c r="B35" s="428" t="s">
        <v>4096</v>
      </c>
      <c r="C35" s="428"/>
      <c r="D35" s="428"/>
      <c r="E35" s="428"/>
    </row>
    <row r="36" spans="2:5" s="3" customFormat="1" ht="20" customHeight="1">
      <c r="B36" s="467" t="s">
        <v>791</v>
      </c>
      <c r="C36" s="468"/>
      <c r="D36" s="468"/>
      <c r="E36" s="469"/>
    </row>
    <row r="37" spans="2:5" s="3" customFormat="1" ht="20" customHeight="1">
      <c r="B37" s="205" t="s">
        <v>735</v>
      </c>
      <c r="C37" s="205" t="s">
        <v>554</v>
      </c>
      <c r="D37" s="204" t="s">
        <v>555</v>
      </c>
      <c r="E37" s="205" t="s">
        <v>222</v>
      </c>
    </row>
    <row r="38" spans="2:5" s="3" customFormat="1" ht="20" customHeight="1">
      <c r="B38" s="221" t="s">
        <v>4650</v>
      </c>
      <c r="C38" s="222" t="str">
        <f>CONCATENATE(this_instance,"-m01-r01-network-pool-02")</f>
        <v>sfo-m01-r01-network-pool-02</v>
      </c>
      <c r="D38" s="220"/>
      <c r="E38" s="224"/>
    </row>
    <row r="39" spans="2:5" s="3" customFormat="1" ht="20" customHeight="1">
      <c r="B39" s="221" t="s">
        <v>4101</v>
      </c>
      <c r="C39" s="222" t="str">
        <f>CONCATENATE(sample_mgmt_sddc_domain,"-r01-network-profile-02")</f>
        <v>sfo-m01-r01-network-profile-02</v>
      </c>
      <c r="D39" s="220"/>
      <c r="E39" s="224"/>
    </row>
    <row r="40" spans="2:5" s="3" customFormat="1" ht="20" customHeight="1">
      <c r="B40" s="221" t="s">
        <v>4090</v>
      </c>
      <c r="C40" s="222" t="str">
        <f>CONCATENATE(sample_mgmt_sddc_domain,"-r01-ip-pool02-host")</f>
        <v>sfo-m01-r01-ip-pool02-host</v>
      </c>
      <c r="D40" s="220"/>
      <c r="E40" s="224"/>
    </row>
    <row r="41" spans="2:5" s="3" customFormat="1" ht="20" customHeight="1">
      <c r="B41" s="221" t="s">
        <v>4100</v>
      </c>
      <c r="C41" s="222" t="str">
        <f>CONCATENATE(sample_mgmt_sddc_domain,"-r01-uplink-profile-02")</f>
        <v>sfo-m01-r01-uplink-profile-02</v>
      </c>
      <c r="D41" s="220"/>
      <c r="E41" s="224"/>
    </row>
    <row r="42" spans="2:5" s="3" customFormat="1" ht="20" customHeight="1">
      <c r="B42" s="467" t="s">
        <v>4209</v>
      </c>
      <c r="C42" s="468"/>
      <c r="D42" s="468"/>
      <c r="E42" s="469"/>
    </row>
    <row r="43" spans="2:5" s="3" customFormat="1" ht="20" customHeight="1">
      <c r="B43" s="205" t="s">
        <v>555</v>
      </c>
      <c r="C43" s="205" t="s">
        <v>554</v>
      </c>
      <c r="D43" s="204" t="s">
        <v>4206</v>
      </c>
      <c r="E43" s="205" t="s">
        <v>222</v>
      </c>
    </row>
    <row r="44" spans="2:5" s="3" customFormat="1" ht="20" customHeight="1">
      <c r="B44" s="222" t="str" cm="1">
        <f t="array" ref="B44:B59">mgmt_az2_host_hostnames</f>
        <v>Value Missing</v>
      </c>
      <c r="C44" s="222" t="s">
        <v>4279</v>
      </c>
      <c r="D44" s="220" t="str">
        <f t="shared" ref="D44:D59" si="2">IF(B44&lt;&gt;"Value Missing",IF(wld_stretched_cluster_result="Included","Shared Edge and Compute",""),"")</f>
        <v/>
      </c>
      <c r="E44" s="224"/>
    </row>
    <row r="45" spans="2:5" s="3" customFormat="1" ht="20" customHeight="1">
      <c r="B45" s="222" t="str">
        <v>Value Missing</v>
      </c>
      <c r="C45" s="222" t="s">
        <v>4279</v>
      </c>
      <c r="D45" s="220" t="str">
        <f t="shared" si="2"/>
        <v/>
      </c>
      <c r="E45" s="224"/>
    </row>
    <row r="46" spans="2:5" s="3" customFormat="1" ht="20" customHeight="1">
      <c r="B46" s="222" t="str">
        <v>Value Missing</v>
      </c>
      <c r="C46" s="222" t="s">
        <v>4279</v>
      </c>
      <c r="D46" s="220" t="str">
        <f t="shared" si="2"/>
        <v/>
      </c>
      <c r="E46" s="224"/>
    </row>
    <row r="47" spans="2:5" s="3" customFormat="1" ht="20" customHeight="1">
      <c r="B47" s="222" t="str">
        <v>Value Missing</v>
      </c>
      <c r="C47" s="222" t="s">
        <v>4279</v>
      </c>
      <c r="D47" s="220" t="str">
        <f t="shared" si="2"/>
        <v/>
      </c>
      <c r="E47" s="224"/>
    </row>
    <row r="48" spans="2:5" s="3" customFormat="1" ht="20" customHeight="1">
      <c r="B48" s="222" t="str">
        <v>Value Missing</v>
      </c>
      <c r="C48" s="222" t="str">
        <f t="shared" ref="C48:C59" si="3">IF($B48="Value Missing","","Shared Edge and Compute")</f>
        <v/>
      </c>
      <c r="D48" s="220" t="str">
        <f t="shared" si="2"/>
        <v/>
      </c>
      <c r="E48" s="224"/>
    </row>
    <row r="49" spans="2:5" s="3" customFormat="1" ht="20" customHeight="1">
      <c r="B49" s="222" t="str">
        <v>Value Missing</v>
      </c>
      <c r="C49" s="222" t="str">
        <f t="shared" si="3"/>
        <v/>
      </c>
      <c r="D49" s="220" t="str">
        <f t="shared" si="2"/>
        <v/>
      </c>
      <c r="E49" s="224"/>
    </row>
    <row r="50" spans="2:5" s="3" customFormat="1" ht="20" customHeight="1">
      <c r="B50" s="222" t="str">
        <v>Value Missing</v>
      </c>
      <c r="C50" s="222" t="str">
        <f t="shared" si="3"/>
        <v/>
      </c>
      <c r="D50" s="220" t="str">
        <f t="shared" si="2"/>
        <v/>
      </c>
      <c r="E50" s="224"/>
    </row>
    <row r="51" spans="2:5" s="3" customFormat="1" ht="20" customHeight="1">
      <c r="B51" s="222" t="str">
        <v>Value Missing</v>
      </c>
      <c r="C51" s="222" t="str">
        <f t="shared" si="3"/>
        <v/>
      </c>
      <c r="D51" s="220" t="str">
        <f t="shared" si="2"/>
        <v/>
      </c>
      <c r="E51" s="224"/>
    </row>
    <row r="52" spans="2:5" s="3" customFormat="1" ht="20" customHeight="1">
      <c r="B52" s="222" t="str">
        <v>Value Missing</v>
      </c>
      <c r="C52" s="222" t="str">
        <f t="shared" si="3"/>
        <v/>
      </c>
      <c r="D52" s="220" t="str">
        <f t="shared" si="2"/>
        <v/>
      </c>
      <c r="E52" s="224"/>
    </row>
    <row r="53" spans="2:5" s="3" customFormat="1" ht="20" customHeight="1">
      <c r="B53" s="222" t="str">
        <v>Value Missing</v>
      </c>
      <c r="C53" s="222" t="str">
        <f t="shared" si="3"/>
        <v/>
      </c>
      <c r="D53" s="220" t="str">
        <f t="shared" si="2"/>
        <v/>
      </c>
      <c r="E53" s="224"/>
    </row>
    <row r="54" spans="2:5" s="3" customFormat="1" ht="20" customHeight="1">
      <c r="B54" s="222" t="str">
        <v>Value Missing</v>
      </c>
      <c r="C54" s="222" t="str">
        <f t="shared" si="3"/>
        <v/>
      </c>
      <c r="D54" s="220" t="str">
        <f t="shared" si="2"/>
        <v/>
      </c>
      <c r="E54" s="224"/>
    </row>
    <row r="55" spans="2:5" s="3" customFormat="1" ht="20" customHeight="1">
      <c r="B55" s="222" t="str">
        <v>Value Missing</v>
      </c>
      <c r="C55" s="222" t="str">
        <f t="shared" si="3"/>
        <v/>
      </c>
      <c r="D55" s="220" t="str">
        <f t="shared" si="2"/>
        <v/>
      </c>
      <c r="E55" s="224"/>
    </row>
    <row r="56" spans="2:5" s="3" customFormat="1" ht="20" customHeight="1">
      <c r="B56" s="222" t="str">
        <v>Value Missing</v>
      </c>
      <c r="C56" s="222" t="str">
        <f t="shared" si="3"/>
        <v/>
      </c>
      <c r="D56" s="220" t="str">
        <f t="shared" si="2"/>
        <v/>
      </c>
      <c r="E56" s="224"/>
    </row>
    <row r="57" spans="2:5" s="3" customFormat="1" ht="20" customHeight="1">
      <c r="B57" s="222" t="str">
        <v>Value Missing</v>
      </c>
      <c r="C57" s="222" t="str">
        <f t="shared" si="3"/>
        <v/>
      </c>
      <c r="D57" s="220" t="str">
        <f t="shared" si="2"/>
        <v/>
      </c>
      <c r="E57" s="224"/>
    </row>
    <row r="58" spans="2:5" s="3" customFormat="1" ht="20" customHeight="1">
      <c r="B58" s="222" t="str">
        <v>Value Missing</v>
      </c>
      <c r="C58" s="222" t="str">
        <f t="shared" si="3"/>
        <v/>
      </c>
      <c r="D58" s="220" t="str">
        <f t="shared" si="2"/>
        <v/>
      </c>
      <c r="E58" s="224"/>
    </row>
    <row r="59" spans="2:5" s="3" customFormat="1" ht="20" customHeight="1">
      <c r="B59" s="222" t="str">
        <v>Value Missing</v>
      </c>
      <c r="C59" s="222" t="str">
        <f t="shared" si="3"/>
        <v/>
      </c>
      <c r="D59" s="220" t="str">
        <f t="shared" si="2"/>
        <v/>
      </c>
      <c r="E59" s="224"/>
    </row>
    <row r="60" spans="2:5" s="3" customFormat="1" ht="16" customHeight="1"/>
    <row r="61" spans="2:5" s="3" customFormat="1" ht="34" customHeight="1">
      <c r="B61" s="427" t="s">
        <v>4091</v>
      </c>
      <c r="C61" s="428"/>
      <c r="D61" s="428"/>
      <c r="E61" s="426"/>
    </row>
    <row r="62" spans="2:5" s="3" customFormat="1" ht="20" customHeight="1">
      <c r="B62" s="467" t="s">
        <v>791</v>
      </c>
      <c r="C62" s="468"/>
      <c r="D62" s="468"/>
      <c r="E62" s="469"/>
    </row>
    <row r="63" spans="2:5" s="3" customFormat="1" ht="20" customHeight="1">
      <c r="B63" s="205" t="s">
        <v>735</v>
      </c>
      <c r="C63" s="205" t="s">
        <v>554</v>
      </c>
      <c r="D63" s="206" t="s">
        <v>555</v>
      </c>
      <c r="E63" s="205" t="s">
        <v>222</v>
      </c>
    </row>
    <row r="64" spans="2:5" s="3" customFormat="1" ht="20" customHeight="1">
      <c r="B64" s="21" t="s">
        <v>4650</v>
      </c>
      <c r="C64" s="22" t="str">
        <f>CONCATENATE(this_instance,"-w0",wld_domain_number_chosen,"-r01-network-pool-01")</f>
        <v>sfo-w01-r01-network-pool-01</v>
      </c>
      <c r="D64" s="14"/>
      <c r="E64" s="18"/>
    </row>
    <row r="65" spans="2:5" s="3" customFormat="1" ht="20" customHeight="1">
      <c r="B65" s="21" t="s">
        <v>4101</v>
      </c>
      <c r="C65" s="25" t="str">
        <f>CONCATENATE(sample_wld_sddc_domain,"-",sample_wld_cl01_cluster,"-r01-network-profile")</f>
        <v>sfo-w01-sfo-w01-cl01-r01-network-profile</v>
      </c>
      <c r="D65" s="14"/>
      <c r="E65" s="18"/>
    </row>
    <row r="66" spans="2:5" s="3" customFormat="1" ht="20" customHeight="1">
      <c r="B66" s="21" t="s">
        <v>4090</v>
      </c>
      <c r="C66" s="25" t="str">
        <f>CONCATENATE(sample_wld_sddc_domain,"-r01-ip-pool01-host")</f>
        <v>sfo-w01-r01-ip-pool01-host</v>
      </c>
      <c r="D66" s="14"/>
      <c r="E66" s="18"/>
    </row>
    <row r="67" spans="2:5" s="3" customFormat="1" ht="20" customHeight="1">
      <c r="B67" s="21" t="s">
        <v>4100</v>
      </c>
      <c r="C67" s="25" t="str">
        <f>CONCATENATE(sample_wld_sddc_domain,"-r01-uplink-profile01")</f>
        <v>sfo-w01-r01-uplink-profile01</v>
      </c>
      <c r="D67" s="14"/>
      <c r="E67" s="18"/>
    </row>
    <row r="68" spans="2:5" s="3" customFormat="1" ht="20" customHeight="1">
      <c r="B68" s="21" t="s">
        <v>4231</v>
      </c>
      <c r="C68" s="25" t="str">
        <f>CONCATENATE(sample_wld_sddc_domain,"-r01-ip-pool02-edge")</f>
        <v>sfo-w01-r01-ip-pool02-edge</v>
      </c>
      <c r="D68" s="14"/>
      <c r="E68" s="18"/>
    </row>
    <row r="69" spans="2:5" s="3" customFormat="1" ht="20" customHeight="1">
      <c r="B69" s="21" t="s">
        <v>816</v>
      </c>
      <c r="C69" s="22" t="str">
        <f>CONCATENATE(this_instance,"-w0",wld_domain_number_chosen,"-r01-ip-pool-rtep")</f>
        <v>sfo-w01-r01-ip-pool-rtep</v>
      </c>
      <c r="D69" s="14"/>
      <c r="E69" s="18"/>
    </row>
    <row r="70" spans="2:5" s="3" customFormat="1" ht="20" customHeight="1">
      <c r="B70" s="476" t="s">
        <v>931</v>
      </c>
      <c r="C70" s="477"/>
      <c r="D70" s="477"/>
      <c r="E70" s="478"/>
    </row>
    <row r="71" spans="2:5" s="3" customFormat="1" ht="20" customHeight="1">
      <c r="B71" s="190" t="s">
        <v>735</v>
      </c>
      <c r="C71" s="190" t="s">
        <v>554</v>
      </c>
      <c r="D71" s="156" t="s">
        <v>555</v>
      </c>
      <c r="E71" s="190" t="s">
        <v>222</v>
      </c>
    </row>
    <row r="72" spans="2:5" s="3" customFormat="1" ht="20" customHeight="1">
      <c r="B72" s="21" t="s">
        <v>4351</v>
      </c>
      <c r="C72" s="22" t="str">
        <f>CONCATENATE(this_instance,"-w0",wld_domain_number_chosen,"-r01","-vsan-fault-domain")</f>
        <v>sfo-w01-r01-vsan-fault-domain</v>
      </c>
      <c r="D72" s="14"/>
      <c r="E72" s="18"/>
    </row>
    <row r="73" spans="2:5" s="3" customFormat="1" ht="20" customHeight="1">
      <c r="B73" s="467" t="s">
        <v>4209</v>
      </c>
      <c r="C73" s="468"/>
      <c r="D73" s="468"/>
      <c r="E73" s="469"/>
    </row>
    <row r="74" spans="2:5" s="3" customFormat="1" ht="20" customHeight="1">
      <c r="B74" s="205" t="s">
        <v>555</v>
      </c>
      <c r="C74" s="205" t="s">
        <v>554</v>
      </c>
      <c r="D74" s="206" t="s">
        <v>4206</v>
      </c>
      <c r="E74" s="205" t="s">
        <v>222</v>
      </c>
    </row>
    <row r="75" spans="2:5" s="3" customFormat="1" ht="20" customHeight="1">
      <c r="B75" s="25" t="str" cm="1">
        <f t="array" ref="B75:B90">wld_az1_host_hostnames</f>
        <v>Value Missing</v>
      </c>
      <c r="C75" s="230" t="str">
        <f>IF(wld_compute_hosts_per_rack1_calculated&gt;=1,IF(wld_multirack_result="Excluded","Shared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75" s="14"/>
      <c r="E75" s="18" t="str">
        <f>IF(B75="Value Missing","",IF(input_wld_az1_host1_function&lt;&gt;C75,"Update Host Function",""))</f>
        <v/>
      </c>
    </row>
    <row r="76" spans="2:5" s="3" customFormat="1" ht="20" customHeight="1">
      <c r="B76" s="25" t="str">
        <v>Value Missing</v>
      </c>
      <c r="C76" s="230" t="str">
        <f>IF(wld_compute_hosts_per_rack1_calculated&gt;=2,IF(wld_multirack_result="Excluded","Shared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76" s="14"/>
      <c r="E76" s="18" t="str">
        <f>IF(B76="Value Missing","",IF(input_wld_az1_host2_function&lt;&gt;C76,"Update Host Function",""))</f>
        <v/>
      </c>
    </row>
    <row r="77" spans="2:5" s="3" customFormat="1" ht="20" customHeight="1">
      <c r="B77" s="25" t="str">
        <v>Value Missing</v>
      </c>
      <c r="C77" s="230" t="str">
        <f>IF(wld_compute_hosts_per_rack1_calculated&gt;=3,IF(wld_multirack_result="Excluded","Shared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77" s="14"/>
      <c r="E77" s="18" t="str">
        <f>IF(B77="Value Missing","",IF(input_wld_az1_host3_function&lt;&gt;C77,"Update Host Function",""))</f>
        <v/>
      </c>
    </row>
    <row r="78" spans="2:5" s="3" customFormat="1" ht="20" customHeight="1">
      <c r="B78" s="22" t="str">
        <v>Value Missing</v>
      </c>
      <c r="C78" s="230" t="str">
        <f>IF(wld_compute_hosts_per_rack1_calculated&gt;=4,IF(wld_multirack_result="Excluded","Shared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78" s="14"/>
      <c r="E78" s="18" t="str">
        <f>IF(B78="Value Missing","",IF(input_wld_az1_host4_function&lt;&gt;C78,"Update Host Function",""))</f>
        <v/>
      </c>
    </row>
    <row r="79" spans="2:5" s="3" customFormat="1" ht="20" customHeight="1">
      <c r="B79" s="22" t="str">
        <v>Value Missing</v>
      </c>
      <c r="C79" s="230" t="str">
        <f>IF(wld_compute_hosts_per_rack1_calculated&gt;=5,IF(wld_multirack_result="Excluded","Shared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79" s="14"/>
      <c r="E79" s="18" t="str">
        <f>IF(B79="Value Missing","",IF(input_wld_az1_host5_function&lt;&gt;C79,"Update Host Function",""))</f>
        <v/>
      </c>
    </row>
    <row r="80" spans="2:5" s="3" customFormat="1" ht="20" customHeight="1">
      <c r="B80" s="22" t="str">
        <v>Value Missing</v>
      </c>
      <c r="C80" s="230" t="str">
        <f>IF(wld_compute_hosts_per_rack1_calculated&gt;=6,IF(wld_multirack_result="Excluded","Shared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0" s="14"/>
      <c r="E80" s="18" t="str">
        <f>IF(B80="Value Missing","",IF(input_wld_az1_host6_function&lt;&gt;C80,"Update Host Function",""))</f>
        <v/>
      </c>
    </row>
    <row r="81" spans="2:5" s="3" customFormat="1" ht="20" customHeight="1">
      <c r="B81" s="22" t="str">
        <v>Value Missing</v>
      </c>
      <c r="C81" s="230" t="str">
        <f>IF(wld_compute_hosts_per_rack1_calculated&gt;=7,IF(wld_multirack_result="Excluded","Shared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1" s="14"/>
      <c r="E81" s="18" t="str">
        <f>IF(B81="Value Missing","",IF(input_wld_az1_host7_function&lt;&gt;C81,"Update Host Function",""))</f>
        <v/>
      </c>
    </row>
    <row r="82" spans="2:5" s="3" customFormat="1" ht="20" customHeight="1">
      <c r="B82" s="22" t="str">
        <v>Value Missing</v>
      </c>
      <c r="C82" s="230" t="str">
        <f>IF(wld_compute_hosts_per_rack1_calculated&gt;=8,IF(wld_multirack_result="Excluded","Shared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2" s="14"/>
      <c r="E82" s="18" t="str">
        <f>IF(B82="Value Missing","",IF(input_wld_az1_host8_function&lt;&gt;C82,"Update Host Function",""))</f>
        <v/>
      </c>
    </row>
    <row r="83" spans="2:5" s="3" customFormat="1" ht="20" customHeight="1">
      <c r="B83" s="22" t="str">
        <v>Value Missing</v>
      </c>
      <c r="C83" s="230" t="str">
        <f>IF(wld_compute_hosts_per_rack1_calculated&gt;=9,IF(wld_multirack_result="Excluded","Shared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3" s="14"/>
      <c r="E83" s="18" t="str">
        <f>IF(B83="Value Missing","",IF(input_wld_az1_host9_function&lt;&gt;C83,"Update Host Function",""))</f>
        <v/>
      </c>
    </row>
    <row r="84" spans="2:5" s="3" customFormat="1" ht="20" customHeight="1">
      <c r="B84" s="22" t="str">
        <v>Value Missing</v>
      </c>
      <c r="C84" s="230" t="str">
        <f>IF(wld_compute_hosts_per_rack1_calculated&gt;=10,IF(wld_multirack_result="Excluded","Shared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4" s="14"/>
      <c r="E84" s="18" t="str">
        <f>IF(B84="Value Missing","",IF(input_wld_az1_host10_function&lt;&gt;C84,"Update Host Function",""))</f>
        <v/>
      </c>
    </row>
    <row r="85" spans="2:5" s="3" customFormat="1" ht="20" customHeight="1">
      <c r="B85" s="22" t="str">
        <v>Value Missing</v>
      </c>
      <c r="C85" s="230" t="str">
        <f>IF(wld_compute_hosts_per_rack1_calculated&gt;=11,IF(wld_multirack_result="Excluded","Shared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5" s="14"/>
      <c r="E85" s="18" t="str">
        <f>IF(B85="Value Missing","",IF(input_wld_az1_host11_function&lt;&gt;C85,"Update Host Function",""))</f>
        <v/>
      </c>
    </row>
    <row r="86" spans="2:5" s="3" customFormat="1" ht="20" customHeight="1">
      <c r="B86" s="22" t="str">
        <v>Value Missing</v>
      </c>
      <c r="C86" s="230" t="str">
        <f>IF(wld_compute_hosts_per_rack1_calculated&gt;=12,IF(wld_multirack_result="Excluded","Shared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6" s="14"/>
      <c r="E86" s="18" t="str">
        <f>IF(B86="Value Missing","",IF(input_wld_az1_host12_function&lt;&gt;C86,"Update Host Function",""))</f>
        <v/>
      </c>
    </row>
    <row r="87" spans="2:5" s="3" customFormat="1" ht="20" customHeight="1">
      <c r="B87" s="22" t="str">
        <v>Value Missing</v>
      </c>
      <c r="C87" s="230" t="str">
        <f>IF(wld_compute_hosts_per_rack1_calculated&gt;=13,IF(wld_multirack_result="Excluded","Shared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7" s="14"/>
      <c r="E87" s="18" t="str">
        <f>IF(B87="Value Missing","",IF(input_wld_az1_host13_function&lt;&gt;C87,"Update Host Function",""))</f>
        <v/>
      </c>
    </row>
    <row r="88" spans="2:5" s="3" customFormat="1" ht="20" customHeight="1">
      <c r="B88" s="22" t="str">
        <v>Value Missing</v>
      </c>
      <c r="C88" s="230" t="str">
        <f>IF(wld_compute_hosts_per_rack1_calculated&gt;=14,IF(wld_multirack_result="Excluded","Shared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8" s="14"/>
      <c r="E88" s="18" t="str">
        <f>IF(B88="Value Missing","",IF(input_wld_az1_host14_function&lt;&gt;C88,"Update Host Function",""))</f>
        <v/>
      </c>
    </row>
    <row r="89" spans="2:5" s="3" customFormat="1" ht="20" customHeight="1">
      <c r="B89" s="22" t="str">
        <v>Value Missing</v>
      </c>
      <c r="C89" s="230" t="str">
        <f>IF(wld_compute_hosts_per_rack1_calculated&gt;=15,IF(wld_multirack_result="Excluded","Shared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89" s="14"/>
      <c r="E89" s="18" t="str">
        <f>IF(B89="Value Missing","",IF(input_wld_az1_host15_function&lt;&gt;C89,"Update Host Function",""))</f>
        <v/>
      </c>
    </row>
    <row r="90" spans="2:5" ht="20" customHeight="1">
      <c r="B90" s="22" t="str">
        <v>Value Missing</v>
      </c>
      <c r="C90" s="230" t="str">
        <f>IF(wld_compute_hosts_per_rack1_calculated&gt;=16,IF(wld_multirack_result="Excluded","Shared Edge and Compute",IF(AND(OR(wld_dedicated_edge_cluster_chosen_first=1,wld_dedicated_edge_cluster_chosen_second=1),wld_dedicated_edge_cluster_chosen="Include"),"Dedicated Edge",IF(AND(OR(wld_dedicated_edge_cluster_chosen_first=1,wld_dedicated_edge_cluster_chosen_second=1),wld_dedicated_edge_cluster_chosen="Exclude"),"Dedicated Compute or Dedicated Edge","Dedicated Compute"))),"")</f>
        <v>Shared Edge and Compute</v>
      </c>
      <c r="D90" s="14"/>
      <c r="E90" s="18" t="str">
        <f>IF(B90="Value Missing","",IF(input_wld_az1_host16_function&lt;&gt;C90,"Update Host Function",""))</f>
        <v/>
      </c>
    </row>
    <row r="91" spans="2:5" s="3" customFormat="1" ht="16" customHeight="1"/>
    <row r="92" spans="2:5" ht="34" customHeight="1">
      <c r="B92" s="291" t="s">
        <v>4094</v>
      </c>
      <c r="C92" s="223"/>
      <c r="D92" s="223"/>
      <c r="E92" s="223"/>
    </row>
    <row r="93" spans="2:5" ht="20" customHeight="1">
      <c r="B93" s="467" t="s">
        <v>791</v>
      </c>
      <c r="C93" s="468"/>
      <c r="D93" s="468"/>
      <c r="E93" s="469"/>
    </row>
    <row r="94" spans="2:5" ht="20" customHeight="1">
      <c r="B94" s="205" t="s">
        <v>735</v>
      </c>
      <c r="C94" s="205" t="s">
        <v>554</v>
      </c>
      <c r="D94" s="206" t="s">
        <v>4206</v>
      </c>
      <c r="E94" s="205" t="s">
        <v>222</v>
      </c>
    </row>
    <row r="95" spans="2:5" ht="20" customHeight="1">
      <c r="B95" s="21" t="s">
        <v>4650</v>
      </c>
      <c r="C95" s="22" t="str">
        <f>CONCATENATE(this_instance,"-w0",wld_domain_number_chosen,"-r01-network-pool-02")</f>
        <v>sfo-w01-r01-network-pool-02</v>
      </c>
      <c r="D95" s="14"/>
      <c r="E95" s="21"/>
    </row>
    <row r="96" spans="2:5" ht="20" customHeight="1">
      <c r="B96" s="21" t="s">
        <v>4101</v>
      </c>
      <c r="C96" s="22" t="str">
        <f>CONCATENATE(this_instance,"-w0",wld_domain_number_chosen,"-r01-network-profile-02")</f>
        <v>sfo-w01-r01-network-profile-02</v>
      </c>
      <c r="D96" s="14"/>
      <c r="E96" s="21"/>
    </row>
    <row r="97" spans="2:5" ht="20" customHeight="1">
      <c r="B97" s="21" t="s">
        <v>4090</v>
      </c>
      <c r="C97" s="22" t="str">
        <f>CONCATENATE(sample_wld_sddc_domain,"-r01-ip-pool02")</f>
        <v>sfo-w01-r01-ip-pool02</v>
      </c>
      <c r="D97" s="14"/>
      <c r="E97" s="21"/>
    </row>
    <row r="98" spans="2:5" ht="20" customHeight="1">
      <c r="B98" s="21" t="s">
        <v>4100</v>
      </c>
      <c r="C98" s="22" t="str">
        <f>CONCATENATE(sample_wld_sddc_domain,"-r01-uplink-profile-02")</f>
        <v>sfo-w01-r01-uplink-profile-02</v>
      </c>
      <c r="D98" s="14"/>
      <c r="E98" s="21"/>
    </row>
    <row r="99" spans="2:5" s="3" customFormat="1" ht="20" customHeight="1">
      <c r="B99" s="467" t="s">
        <v>4209</v>
      </c>
      <c r="C99" s="468"/>
      <c r="D99" s="468"/>
      <c r="E99" s="469"/>
    </row>
    <row r="100" spans="2:5" s="3" customFormat="1" ht="20" customHeight="1">
      <c r="B100" s="205" t="s">
        <v>735</v>
      </c>
      <c r="C100" s="205" t="s">
        <v>554</v>
      </c>
      <c r="D100" s="206" t="s">
        <v>4206</v>
      </c>
      <c r="E100" s="205" t="s">
        <v>222</v>
      </c>
    </row>
    <row r="101" spans="2:5" s="3" customFormat="1" ht="20" customHeight="1">
      <c r="B101" s="25" t="str" cm="1">
        <f t="array" ref="B101:B116">wld_az2_host_hostnames</f>
        <v>Value Missing</v>
      </c>
      <c r="C101" s="22" t="s">
        <v>4279</v>
      </c>
      <c r="D101" s="18" t="str">
        <f t="shared" ref="D101:D116" si="4">IF(B101&lt;&gt;"Value Missing",IF(wld_stretched_cluster_result="Included","Shared Edge and Compute",""),"")</f>
        <v/>
      </c>
      <c r="E101" s="231"/>
    </row>
    <row r="102" spans="2:5" s="3" customFormat="1" ht="20" customHeight="1">
      <c r="B102" s="25" t="str">
        <v>Value Missing</v>
      </c>
      <c r="C102" s="22" t="s">
        <v>4279</v>
      </c>
      <c r="D102" s="18" t="str">
        <f t="shared" si="4"/>
        <v/>
      </c>
      <c r="E102" s="231"/>
    </row>
    <row r="103" spans="2:5" s="3" customFormat="1" ht="20" customHeight="1">
      <c r="B103" s="25" t="str">
        <v>Value Missing</v>
      </c>
      <c r="C103" s="22" t="s">
        <v>4279</v>
      </c>
      <c r="D103" s="18" t="str">
        <f t="shared" si="4"/>
        <v/>
      </c>
      <c r="E103" s="231"/>
    </row>
    <row r="104" spans="2:5" s="3" customFormat="1" ht="20" customHeight="1">
      <c r="B104" s="25" t="str">
        <v>Value Missing</v>
      </c>
      <c r="C104" s="22" t="s">
        <v>4279</v>
      </c>
      <c r="D104" s="18" t="str">
        <f t="shared" si="4"/>
        <v/>
      </c>
      <c r="E104" s="231"/>
    </row>
    <row r="105" spans="2:5" s="3" customFormat="1" ht="20" customHeight="1">
      <c r="B105" s="25" t="str">
        <v>Value Missing</v>
      </c>
      <c r="C105" s="22" t="s">
        <v>4279</v>
      </c>
      <c r="D105" s="18" t="str">
        <f t="shared" si="4"/>
        <v/>
      </c>
      <c r="E105" s="231"/>
    </row>
    <row r="106" spans="2:5" s="3" customFormat="1" ht="20" customHeight="1">
      <c r="B106" s="25" t="str">
        <v>Value Missing</v>
      </c>
      <c r="C106" s="22"/>
      <c r="D106" s="18" t="str">
        <f t="shared" si="4"/>
        <v/>
      </c>
      <c r="E106" s="231"/>
    </row>
    <row r="107" spans="2:5" s="3" customFormat="1" ht="20" customHeight="1">
      <c r="B107" s="25" t="str">
        <v>Value Missing</v>
      </c>
      <c r="C107" s="22"/>
      <c r="D107" s="18" t="str">
        <f t="shared" si="4"/>
        <v/>
      </c>
      <c r="E107" s="231"/>
    </row>
    <row r="108" spans="2:5" s="3" customFormat="1" ht="20" customHeight="1">
      <c r="B108" s="25" t="str">
        <v>Value Missing</v>
      </c>
      <c r="C108" s="22"/>
      <c r="D108" s="18" t="str">
        <f t="shared" si="4"/>
        <v/>
      </c>
      <c r="E108" s="231"/>
    </row>
    <row r="109" spans="2:5" s="3" customFormat="1" ht="20" customHeight="1">
      <c r="B109" s="25" t="str">
        <v>Value Missing</v>
      </c>
      <c r="C109" s="22"/>
      <c r="D109" s="18" t="str">
        <f t="shared" si="4"/>
        <v/>
      </c>
      <c r="E109" s="231"/>
    </row>
    <row r="110" spans="2:5" s="3" customFormat="1" ht="20" customHeight="1">
      <c r="B110" s="25" t="str">
        <v>Value Missing</v>
      </c>
      <c r="C110" s="22"/>
      <c r="D110" s="18" t="str">
        <f t="shared" si="4"/>
        <v/>
      </c>
      <c r="E110" s="231"/>
    </row>
    <row r="111" spans="2:5" s="3" customFormat="1" ht="20" customHeight="1">
      <c r="B111" s="25" t="str">
        <v>Value Missing</v>
      </c>
      <c r="C111" s="22"/>
      <c r="D111" s="18" t="str">
        <f t="shared" si="4"/>
        <v/>
      </c>
      <c r="E111" s="231"/>
    </row>
    <row r="112" spans="2:5" s="3" customFormat="1" ht="20" customHeight="1">
      <c r="B112" s="25" t="str">
        <v>Value Missing</v>
      </c>
      <c r="C112" s="22"/>
      <c r="D112" s="18" t="str">
        <f t="shared" si="4"/>
        <v/>
      </c>
      <c r="E112" s="231"/>
    </row>
    <row r="113" spans="2:5" s="3" customFormat="1" ht="20" customHeight="1">
      <c r="B113" s="25" t="str">
        <v>Value Missing</v>
      </c>
      <c r="C113" s="22"/>
      <c r="D113" s="18" t="str">
        <f t="shared" si="4"/>
        <v/>
      </c>
      <c r="E113" s="231"/>
    </row>
    <row r="114" spans="2:5" s="3" customFormat="1" ht="20" customHeight="1">
      <c r="B114" s="25" t="str">
        <v>Value Missing</v>
      </c>
      <c r="C114" s="22"/>
      <c r="D114" s="18" t="str">
        <f t="shared" si="4"/>
        <v/>
      </c>
      <c r="E114" s="231"/>
    </row>
    <row r="115" spans="2:5" ht="20" customHeight="1">
      <c r="B115" s="25" t="str">
        <v>Value Missing</v>
      </c>
      <c r="C115" s="22"/>
      <c r="D115" s="18" t="str">
        <f t="shared" si="4"/>
        <v/>
      </c>
      <c r="E115" s="231"/>
    </row>
    <row r="116" spans="2:5" ht="20" customHeight="1">
      <c r="B116" s="25" t="str">
        <v>Value Missing</v>
      </c>
      <c r="C116" s="22"/>
      <c r="D116" s="18" t="str">
        <f t="shared" si="4"/>
        <v/>
      </c>
      <c r="E116" s="231"/>
    </row>
    <row r="117" spans="2:5" ht="16" customHeight="1"/>
    <row r="118" spans="2:5" ht="34" customHeight="1">
      <c r="B118" s="427" t="s">
        <v>3962</v>
      </c>
      <c r="C118" s="428"/>
      <c r="D118" s="428"/>
      <c r="E118" s="426"/>
    </row>
    <row r="119" spans="2:5" s="3" customFormat="1" ht="20" customHeight="1">
      <c r="B119" s="467" t="s">
        <v>791</v>
      </c>
      <c r="C119" s="468"/>
      <c r="D119" s="468"/>
      <c r="E119" s="469"/>
    </row>
    <row r="120" spans="2:5" ht="20" customHeight="1">
      <c r="B120" s="218" t="s">
        <v>735</v>
      </c>
      <c r="C120" s="205" t="s">
        <v>554</v>
      </c>
      <c r="D120" s="207" t="s">
        <v>555</v>
      </c>
      <c r="E120" s="205" t="s">
        <v>222</v>
      </c>
    </row>
    <row r="121" spans="2:5" ht="20" customHeight="1">
      <c r="B121" s="21" t="s">
        <v>808</v>
      </c>
      <c r="C121" s="25" t="str">
        <f>CONCATENATE(sample_wld_sddc_domain,"-r02","-pg-uplink01")</f>
        <v>sfo-w01-r02-pg-uplink01</v>
      </c>
      <c r="D121" s="14"/>
      <c r="E121" s="18"/>
    </row>
    <row r="122" spans="2:5" ht="20" customHeight="1">
      <c r="B122" s="21" t="s">
        <v>809</v>
      </c>
      <c r="C122" s="25" t="str">
        <f>CONCATENATE(sample_wld_sddc_domain,"-r02","-pg-uplink02")</f>
        <v>sfo-w01-r02-pg-uplink02</v>
      </c>
      <c r="D122" s="14"/>
      <c r="E122" s="18"/>
    </row>
    <row r="123" spans="2:5" ht="20" customHeight="1">
      <c r="B123" s="21" t="s">
        <v>4650</v>
      </c>
      <c r="C123" s="25" t="str">
        <f>CONCATENATE(this_instance,"-w0",wld_domain_number_chosen,"-r02-network-pool-01")</f>
        <v>sfo-w01-r02-network-pool-01</v>
      </c>
      <c r="D123" s="14"/>
      <c r="E123" s="18"/>
    </row>
    <row r="124" spans="2:5" ht="20" customHeight="1">
      <c r="B124" s="21" t="s">
        <v>4101</v>
      </c>
      <c r="C124" s="25" t="str">
        <f>CONCATENATE(sample_wld_sddc_domain,"-",sample_wld_cl01_cluster,"-r02-network-profile")</f>
        <v>sfo-w01-sfo-w01-cl01-r02-network-profile</v>
      </c>
      <c r="D124" s="14"/>
      <c r="E124" s="18"/>
    </row>
    <row r="125" spans="2:5" ht="20" customHeight="1">
      <c r="B125" s="21" t="s">
        <v>4090</v>
      </c>
      <c r="C125" s="25" t="str">
        <f>CONCATENATE(sample_wld_sddc_domain,"-r02-ip-pool01-host")</f>
        <v>sfo-w01-r02-ip-pool01-host</v>
      </c>
      <c r="D125" s="14"/>
      <c r="E125" s="18"/>
    </row>
    <row r="126" spans="2:5" ht="20" customHeight="1">
      <c r="B126" s="21" t="s">
        <v>4100</v>
      </c>
      <c r="C126" s="25" t="str">
        <f>CONCATENATE(sample_wld_sddc_domain,"-r02-uplink-profile01")</f>
        <v>sfo-w01-r02-uplink-profile01</v>
      </c>
      <c r="D126" s="14"/>
      <c r="E126" s="18"/>
    </row>
    <row r="127" spans="2:5" ht="20" customHeight="1">
      <c r="B127" s="21" t="s">
        <v>4231</v>
      </c>
      <c r="C127" s="25" t="str">
        <f>CONCATENATE(sample_wld_sddc_domain,"-r02-ip-pool02-edge")</f>
        <v>sfo-w01-r02-ip-pool02-edge</v>
      </c>
      <c r="D127" s="14"/>
      <c r="E127" s="18"/>
    </row>
    <row r="128" spans="2:5" ht="20" customHeight="1">
      <c r="B128" s="21" t="s">
        <v>816</v>
      </c>
      <c r="C128" s="25" t="str">
        <f>CONCATENATE(this_instance,"-w0",wld_domain_number_chosen,"-r02-ip-pool-rtep")</f>
        <v>sfo-w01-r02-ip-pool-rtep</v>
      </c>
      <c r="D128" s="14"/>
      <c r="E128" s="18"/>
    </row>
    <row r="129" spans="2:6" ht="20" customHeight="1">
      <c r="B129" s="476" t="s">
        <v>931</v>
      </c>
      <c r="C129" s="477"/>
      <c r="D129" s="477"/>
      <c r="E129" s="478"/>
    </row>
    <row r="130" spans="2:6" ht="20" customHeight="1">
      <c r="B130" s="190" t="s">
        <v>735</v>
      </c>
      <c r="C130" s="190" t="s">
        <v>554</v>
      </c>
      <c r="D130" s="156" t="s">
        <v>555</v>
      </c>
      <c r="E130" s="190" t="s">
        <v>222</v>
      </c>
    </row>
    <row r="131" spans="2:6" ht="20" customHeight="1">
      <c r="B131" s="21" t="s">
        <v>4351</v>
      </c>
      <c r="C131" s="22" t="str">
        <f>CONCATENATE(this_instance,"-w0",wld_domain_number_chosen,"-r02","-vsan-fault-domain")</f>
        <v>sfo-w01-r02-vsan-fault-domain</v>
      </c>
      <c r="D131" s="14"/>
      <c r="E131" s="18"/>
    </row>
    <row r="132" spans="2:6" ht="20" customHeight="1">
      <c r="B132" s="467" t="s">
        <v>4209</v>
      </c>
      <c r="C132" s="468"/>
      <c r="D132" s="468"/>
      <c r="E132" s="469"/>
    </row>
    <row r="133" spans="2:6" ht="20" customHeight="1">
      <c r="B133" s="205" t="s">
        <v>555</v>
      </c>
      <c r="C133" s="205" t="s">
        <v>554</v>
      </c>
      <c r="D133" s="204" t="s">
        <v>4206</v>
      </c>
      <c r="E133" s="205" t="s">
        <v>222</v>
      </c>
    </row>
    <row r="134" spans="2:6" ht="20" customHeight="1">
      <c r="B134" s="25" t="str" cm="1">
        <f t="array" ref="B134:B149">wld_az1_rack2_host_hostnames</f>
        <v>Value Missing</v>
      </c>
      <c r="C134" s="230" t="str">
        <f>IF(wld_compute_hosts_per_rack2_calculated&gt;=1,IF(AND(OR(wld_dedicated_edge_cluster_chosen_first=2,wld_dedicated_edge_cluster_chosen_second=2),wld_dedicated_edge_cluster_chosen="Include"),"Dedicated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34" s="14"/>
      <c r="E134" s="18" t="str">
        <f>IF(B134="Value Missing","",IF(input_wld_az1_rack2_host1_function&lt;&gt;C134,"Update Host Function",""))</f>
        <v/>
      </c>
    </row>
    <row r="135" spans="2:6" ht="20" customHeight="1">
      <c r="B135" s="25" t="str">
        <v>Value Missing</v>
      </c>
      <c r="C135" s="230" t="str">
        <f>IF(wld_compute_hosts_per_rack2_calculated&gt;=2,IF(AND(OR(wld_dedicated_edge_cluster_chosen_first=2,wld_dedicated_edge_cluster_chosen_second=2),wld_dedicated_edge_cluster_chosen="Include"),"Dedicated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35" s="14"/>
      <c r="E135" s="18" t="str">
        <f>IF(B135="Value Missing","",IF(input_wld_az1_rack2_host2_function&lt;&gt;C135,"Update Host Function",""))</f>
        <v/>
      </c>
    </row>
    <row r="136" spans="2:6" ht="20" customHeight="1">
      <c r="B136" s="25" t="str">
        <v>Value Missing</v>
      </c>
      <c r="C136" s="230" t="str">
        <f>IF(wld_compute_hosts_per_rack2_calculated&gt;=3,IF(AND(OR(wld_dedicated_edge_cluster_chosen_first=2,wld_dedicated_edge_cluster_chosen_second=2),wld_dedicated_edge_cluster_chosen="Include"),"Dedicated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36" s="14"/>
      <c r="E136" s="18" t="str">
        <f>IF(B136="Value Missing","",IF(input_wld_az1_rack2_host3_function&lt;&gt;C136,"Update Host Function",""))</f>
        <v/>
      </c>
    </row>
    <row r="137" spans="2:6" ht="20" customHeight="1">
      <c r="B137" s="22" t="str">
        <v>Value Missing</v>
      </c>
      <c r="C137" s="230" t="str">
        <f>IF(wld_compute_hosts_per_rack2_calculated&gt;=4,IF(AND(OR(wld_dedicated_edge_cluster_chosen_first=2,wld_dedicated_edge_cluster_chosen_second=2),wld_dedicated_edge_cluster_chosen="Include"),"Dedicated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37" s="14"/>
      <c r="E137" s="18" t="str">
        <f>IF(B137="Value Missing","",IF(input_wld_az1_rack2_host4_function&lt;&gt;C137,"Update Host Function",""))</f>
        <v/>
      </c>
    </row>
    <row r="138" spans="2:6" ht="20" customHeight="1">
      <c r="B138" s="22" t="str">
        <v>Value Missing</v>
      </c>
      <c r="C138" s="230" t="str">
        <f>IF(wld_compute_hosts_per_rack2_calculated&gt;=5,IF(AND(OR(wld_dedicated_edge_cluster_chosen_first=2,wld_dedicated_edge_cluster_chosen_second=2),wld_dedicated_edge_cluster_chosen="Include"),"Dedicated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38" s="14"/>
      <c r="E138" s="18" t="str">
        <f>IF(B138="Value Missing","",IF(input_wld_az1_rack2_host5_function&lt;&gt;C138,"Update Host Function",""))</f>
        <v/>
      </c>
    </row>
    <row r="139" spans="2:6" ht="20" customHeight="1">
      <c r="B139" s="22" t="str">
        <v>Value Missing</v>
      </c>
      <c r="C139" s="230" t="str">
        <f>IF(wld_compute_hosts_per_rack2_calculated&gt;=6,IF(AND(OR(wld_dedicated_edge_cluster_chosen_first=2,wld_dedicated_edge_cluster_chosen_second=2),wld_dedicated_edge_cluster_chosen="Include"),"Dedicated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39" s="14"/>
      <c r="E139" s="18" t="str">
        <f>IF(B139="Value Missing","",IF(input_wld_az1_rack2_host6_function&lt;&gt;C139,"Update Host Function",""))</f>
        <v/>
      </c>
    </row>
    <row r="140" spans="2:6" ht="20" customHeight="1">
      <c r="B140" s="22" t="str">
        <v>Value Missing</v>
      </c>
      <c r="C140" s="230" t="str">
        <f>IF(wld_compute_hosts_per_rack2_calculated&gt;=7,IF(AND(OR(wld_dedicated_edge_cluster_chosen_first=2,wld_dedicated_edge_cluster_chosen_second=2),wld_dedicated_edge_cluster_chosen="Include"),"Dedicated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0" s="14"/>
      <c r="E140" s="18" t="str">
        <f>IF(B140="Value Missing","",IF(input_wld_az1_rack2_host7_function&lt;&gt;C140,"Update Host Function",""))</f>
        <v/>
      </c>
    </row>
    <row r="141" spans="2:6" s="3" customFormat="1" ht="20" customHeight="1">
      <c r="B141" s="22" t="str">
        <v>Value Missing</v>
      </c>
      <c r="C141" s="230" t="str">
        <f>IF(wld_compute_hosts_per_rack2_calculated&gt;=8,IF(AND(OR(wld_dedicated_edge_cluster_chosen_first=2,wld_dedicated_edge_cluster_chosen_second=2),wld_dedicated_edge_cluster_chosen="Include"),"Dedicated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1" s="14"/>
      <c r="E141" s="18" t="str">
        <f>IF(B141="Value Missing","",IF(input_wld_az1_rack2_host8_function&lt;&gt;C141,"Update Host Function",""))</f>
        <v/>
      </c>
      <c r="F141"/>
    </row>
    <row r="142" spans="2:6" ht="20" customHeight="1">
      <c r="B142" s="22" t="str">
        <v>Value Missing</v>
      </c>
      <c r="C142" s="230" t="str">
        <f>IF(wld_compute_hosts_per_rack2_calculated&gt;=9,IF(AND(OR(wld_dedicated_edge_cluster_chosen_first=2,wld_dedicated_edge_cluster_chosen_second=2),wld_dedicated_edge_cluster_chosen="Include"),"Dedicated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2" s="14"/>
      <c r="E142" s="18" t="str">
        <f>IF(B142="Value Missing","",IF(input_wld_az1_rack2_host9_function&lt;&gt;C142,"Update Host Function",""))</f>
        <v/>
      </c>
    </row>
    <row r="143" spans="2:6" ht="20" customHeight="1">
      <c r="B143" s="22" t="str">
        <v>Value Missing</v>
      </c>
      <c r="C143" s="230" t="str">
        <f>IF(wld_compute_hosts_per_rack2_calculated&gt;=10,IF(AND(OR(wld_dedicated_edge_cluster_chosen_first=2,wld_dedicated_edge_cluster_chosen_second=2),wld_dedicated_edge_cluster_chosen="Include"),"Dedicated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3" s="14"/>
      <c r="E143" s="18" t="str">
        <f>IF(B143="Value Missing","",IF(input_wld_az1_rack2_host10_function&lt;&gt;C143,"Update Host Function",""))</f>
        <v/>
      </c>
    </row>
    <row r="144" spans="2:6" ht="20" customHeight="1">
      <c r="B144" s="22" t="str">
        <v>Value Missing</v>
      </c>
      <c r="C144" s="230" t="str">
        <f>IF(wld_compute_hosts_per_rack2_calculated&gt;=11,IF(AND(OR(wld_dedicated_edge_cluster_chosen_first=2,wld_dedicated_edge_cluster_chosen_second=2),wld_dedicated_edge_cluster_chosen="Include"),"Dedicated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4" s="14"/>
      <c r="E144" s="18" t="str">
        <f>IF(B144="Value Missing","",IF(input_wld_az1_rack2_host11_function&lt;&gt;C144,"Update Host Function",""))</f>
        <v/>
      </c>
    </row>
    <row r="145" spans="2:5" ht="20" customHeight="1">
      <c r="B145" s="22" t="str">
        <v>Value Missing</v>
      </c>
      <c r="C145" s="230" t="str">
        <f>IF(wld_compute_hosts_per_rack2_calculated&gt;=12,IF(AND(OR(wld_dedicated_edge_cluster_chosen_first=2,wld_dedicated_edge_cluster_chosen_second=2),wld_dedicated_edge_cluster_chosen="Include"),"Dedicated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5" s="14"/>
      <c r="E145" s="18" t="str">
        <f>IF(B145="Value Missing","",IF(input_wld_az1_rack2_host12_function&lt;&gt;C145,"Update Host Function",""))</f>
        <v/>
      </c>
    </row>
    <row r="146" spans="2:5" ht="20" customHeight="1">
      <c r="B146" s="22" t="str">
        <v>Value Missing</v>
      </c>
      <c r="C146" s="230" t="str">
        <f>IF(wld_compute_hosts_per_rack2_calculated&gt;=13,IF(AND(OR(wld_dedicated_edge_cluster_chosen_first=2,wld_dedicated_edge_cluster_chosen_second=2),wld_dedicated_edge_cluster_chosen="Include"),"Dedicated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6" s="14"/>
      <c r="E146" s="18" t="str">
        <f>IF(B146="Value Missing","",IF(input_wld_az1_rack2_host13_function&lt;&gt;C146,"Update Host Function",""))</f>
        <v/>
      </c>
    </row>
    <row r="147" spans="2:5" ht="20" customHeight="1">
      <c r="B147" s="22" t="str">
        <v>Value Missing</v>
      </c>
      <c r="C147" s="230" t="str">
        <f>IF(wld_compute_hosts_per_rack2_calculated&gt;=14,IF(AND(OR(wld_dedicated_edge_cluster_chosen_first=2,wld_dedicated_edge_cluster_chosen_second=2),wld_dedicated_edge_cluster_chosen="Include"),"Dedicated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7" s="14"/>
      <c r="E147" s="18" t="str">
        <f>IF(B147="Value Missing","",IF(input_wld_az1_rack2_host14_function&lt;&gt;C147,"Update Host Function",""))</f>
        <v/>
      </c>
    </row>
    <row r="148" spans="2:5" ht="20" customHeight="1">
      <c r="B148" s="22" t="str">
        <v>Value Missing</v>
      </c>
      <c r="C148" s="230" t="str">
        <f>IF(wld_compute_hosts_per_rack2_calculated&gt;=15,IF(AND(OR(wld_dedicated_edge_cluster_chosen_first=2,wld_dedicated_edge_cluster_chosen_second=2),wld_dedicated_edge_cluster_chosen="Include"),"Dedicated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8" s="14"/>
      <c r="E148" s="18" t="str">
        <f>IF(B148="Value Missing","",IF(input_wld_az1_rack2_host15_function&lt;&gt;C148,"Update Host Function",""))</f>
        <v/>
      </c>
    </row>
    <row r="149" spans="2:5" ht="20" customHeight="1">
      <c r="B149" s="22" t="str">
        <v>Value Missing</v>
      </c>
      <c r="C149" s="230" t="str">
        <f>IF(wld_compute_hosts_per_rack2_calculated&gt;=16,IF(AND(OR(wld_dedicated_edge_cluster_chosen_first=2,wld_dedicated_edge_cluster_chosen_second=2),wld_dedicated_edge_cluster_chosen="Include"),"Dedicated Edge",IF(AND(OR(wld_dedicated_edge_cluster_chosen_first=2,wld_dedicated_edge_cluster_chosen_second=2),wld_dedicated_edge_cluster_chosen="Exclude"),"Dedicated Compute or Dedicated Edge","Dedicated Compute")),"")</f>
        <v/>
      </c>
      <c r="D149" s="14"/>
      <c r="E149" s="18" t="str">
        <f>IF(B149="Value Missing","",IF(input_wld_az1_rack2_host16_function&lt;&gt;C149,"Update Host Function",""))</f>
        <v/>
      </c>
    </row>
    <row r="150" spans="2:5" ht="16" customHeight="1"/>
    <row r="151" spans="2:5" ht="34" customHeight="1">
      <c r="B151" s="427" t="s">
        <v>3963</v>
      </c>
      <c r="C151" s="428"/>
      <c r="D151" s="428"/>
      <c r="E151" s="426"/>
    </row>
    <row r="152" spans="2:5" ht="20" customHeight="1">
      <c r="B152" s="467" t="s">
        <v>791</v>
      </c>
      <c r="C152" s="468"/>
      <c r="D152" s="468"/>
      <c r="E152" s="469"/>
    </row>
    <row r="153" spans="2:5" ht="20" customHeight="1">
      <c r="B153" s="205" t="s">
        <v>735</v>
      </c>
      <c r="C153" s="205" t="s">
        <v>554</v>
      </c>
      <c r="D153" s="204" t="s">
        <v>555</v>
      </c>
      <c r="E153" s="205" t="s">
        <v>222</v>
      </c>
    </row>
    <row r="154" spans="2:5" ht="20" customHeight="1">
      <c r="B154" s="21" t="s">
        <v>808</v>
      </c>
      <c r="C154" s="25" t="str">
        <f>CONCATENATE(sample_wld_sddc_domain,"-r03","-pg-uplink01")</f>
        <v>sfo-w01-r03-pg-uplink01</v>
      </c>
      <c r="D154" s="14"/>
      <c r="E154" s="18"/>
    </row>
    <row r="155" spans="2:5" ht="20" customHeight="1">
      <c r="B155" s="21" t="s">
        <v>809</v>
      </c>
      <c r="C155" s="25" t="str">
        <f>CONCATENATE(sample_wld_sddc_domain,"-r03","-pg-uplink02")</f>
        <v>sfo-w01-r03-pg-uplink02</v>
      </c>
      <c r="D155" s="14"/>
      <c r="E155" s="18"/>
    </row>
    <row r="156" spans="2:5" ht="20" customHeight="1">
      <c r="B156" s="21" t="s">
        <v>4650</v>
      </c>
      <c r="C156" s="25" t="str">
        <f>CONCATENATE(this_instance,"-w0",wld_domain_number_chosen,"-r03-network-pool-01")</f>
        <v>sfo-w01-r03-network-pool-01</v>
      </c>
      <c r="D156" s="14"/>
      <c r="E156" s="18"/>
    </row>
    <row r="157" spans="2:5" ht="20" customHeight="1">
      <c r="B157" s="21" t="s">
        <v>4101</v>
      </c>
      <c r="C157" s="25" t="str">
        <f>CONCATENATE(sample_wld_sddc_domain,"-",sample_wld_cl01_cluster,"-r03-network-profile")</f>
        <v>sfo-w01-sfo-w01-cl01-r03-network-profile</v>
      </c>
      <c r="D157" s="200"/>
      <c r="E157" s="201"/>
    </row>
    <row r="158" spans="2:5" ht="20" customHeight="1">
      <c r="B158" s="21" t="s">
        <v>4090</v>
      </c>
      <c r="C158" s="25" t="str">
        <f>CONCATENATE(sample_wld_sddc_domain,"-r03-ip-pool01-host")</f>
        <v>sfo-w01-r03-ip-pool01-host</v>
      </c>
      <c r="D158" s="200"/>
      <c r="E158" s="201"/>
    </row>
    <row r="159" spans="2:5" ht="20" customHeight="1">
      <c r="B159" s="21" t="s">
        <v>4100</v>
      </c>
      <c r="C159" s="25" t="str">
        <f>CONCATENATE(sample_wld_sddc_domain,"-r03-uplink-profile01")</f>
        <v>sfo-w01-r03-uplink-profile01</v>
      </c>
      <c r="D159" s="200"/>
      <c r="E159" s="201"/>
    </row>
    <row r="160" spans="2:5" ht="20" customHeight="1">
      <c r="B160" s="21" t="s">
        <v>4231</v>
      </c>
      <c r="C160" s="25" t="str">
        <f>CONCATENATE(sample_wld_sddc_domain,"-r03-ip-pool02-edge")</f>
        <v>sfo-w01-r03-ip-pool02-edge</v>
      </c>
      <c r="D160" s="200"/>
      <c r="E160" s="201"/>
    </row>
    <row r="161" spans="2:5" ht="20" customHeight="1">
      <c r="B161" s="21" t="s">
        <v>816</v>
      </c>
      <c r="C161" s="25" t="str">
        <f>CONCATENATE(this_instance,"-w0",wld_domain_number_chosen,"-r03-ip-pool-rtep")</f>
        <v>sfo-w01-r03-ip-pool-rtep</v>
      </c>
      <c r="D161" s="14"/>
      <c r="E161" s="18"/>
    </row>
    <row r="162" spans="2:5" ht="20" customHeight="1">
      <c r="B162" s="476" t="s">
        <v>931</v>
      </c>
      <c r="C162" s="477"/>
      <c r="D162" s="477"/>
      <c r="E162" s="478"/>
    </row>
    <row r="163" spans="2:5" ht="20" customHeight="1">
      <c r="B163" s="190" t="s">
        <v>735</v>
      </c>
      <c r="C163" s="190" t="s">
        <v>554</v>
      </c>
      <c r="D163" s="156" t="s">
        <v>555</v>
      </c>
      <c r="E163" s="190" t="s">
        <v>222</v>
      </c>
    </row>
    <row r="164" spans="2:5" ht="20" customHeight="1">
      <c r="B164" s="21" t="s">
        <v>4351</v>
      </c>
      <c r="C164" s="22" t="str">
        <f>CONCATENATE(this_instance,"-w0",wld_domain_number_chosen,"-r03","-vsan-fault-domain")</f>
        <v>sfo-w01-r03-vsan-fault-domain</v>
      </c>
      <c r="D164" s="14"/>
      <c r="E164" s="18"/>
    </row>
    <row r="165" spans="2:5" ht="20" customHeight="1">
      <c r="B165" s="467" t="s">
        <v>2303</v>
      </c>
      <c r="C165" s="468"/>
      <c r="D165" s="468"/>
      <c r="E165" s="469"/>
    </row>
    <row r="166" spans="2:5" ht="20" customHeight="1">
      <c r="B166" s="205" t="s">
        <v>555</v>
      </c>
      <c r="C166" s="205" t="s">
        <v>554</v>
      </c>
      <c r="D166" s="204" t="s">
        <v>4206</v>
      </c>
      <c r="E166" s="205" t="s">
        <v>222</v>
      </c>
    </row>
    <row r="167" spans="2:5" ht="20" customHeight="1">
      <c r="B167" s="25" t="str" cm="1">
        <f t="array" ref="B167:B182">wld_az1_rack3_host_hostnames</f>
        <v>Value Missing</v>
      </c>
      <c r="C167" s="230" t="str">
        <f>IF(wld_compute_hosts_per_rack3_calculated&gt;=1,IF(AND(OR(wld_dedicated_edge_cluster_chosen_first=3,wld_dedicated_edge_cluster_chosen_second=3),wld_dedicated_edge_cluster_chosen="Include"),"Dedicated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67" s="14"/>
      <c r="E167" s="18" t="str">
        <f>IF(B167="Value Missing","",IF(input_wld_az1_rack3_host1_function&lt;&gt;C167,"Update Host Function",""))</f>
        <v/>
      </c>
    </row>
    <row r="168" spans="2:5" s="3" customFormat="1" ht="20" customHeight="1">
      <c r="B168" s="25" t="str">
        <v>Value Missing</v>
      </c>
      <c r="C168" s="230" t="str">
        <f>IF(wld_compute_hosts_per_rack3_calculated&gt;=2,IF(AND(OR(wld_dedicated_edge_cluster_chosen_first=3,wld_dedicated_edge_cluster_chosen_second=3),wld_dedicated_edge_cluster_chosen="Include"),"Dedicated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68" s="14"/>
      <c r="E168" s="18" t="str">
        <f>IF(B168="Value Missing","",IF(input_wld_az1_rack3_host2_function&lt;&gt;C168,"Update Host Function",""))</f>
        <v/>
      </c>
    </row>
    <row r="169" spans="2:5" ht="20" customHeight="1">
      <c r="B169" s="25" t="str">
        <v>Value Missing</v>
      </c>
      <c r="C169" s="230" t="str">
        <f>IF(wld_compute_hosts_per_rack3_calculated&gt;=3,IF(AND(OR(wld_dedicated_edge_cluster_chosen_first=3,wld_dedicated_edge_cluster_chosen_second=3),wld_dedicated_edge_cluster_chosen="Include"),"Dedicated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69" s="14"/>
      <c r="E169" s="18" t="str">
        <f>IF(B169="Value Missing","",IF(input_wld_az1_rack3_host3_function&lt;&gt;C169,"Update Host Function",""))</f>
        <v/>
      </c>
    </row>
    <row r="170" spans="2:5" ht="20" customHeight="1">
      <c r="B170" s="22" t="str">
        <v>Value Missing</v>
      </c>
      <c r="C170" s="230" t="str">
        <f>IF(wld_compute_hosts_per_rack3_calculated&gt;=4,IF(AND(OR(wld_dedicated_edge_cluster_chosen_first=3,wld_dedicated_edge_cluster_chosen_second=3),wld_dedicated_edge_cluster_chosen="Include"),"Dedicated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0" s="14"/>
      <c r="E170" s="219" t="str">
        <f>IF(B170="Value Missing","",IF(input_wld_az1_rack3_host4_function&lt;&gt;C170,"Update Host Function",""))</f>
        <v/>
      </c>
    </row>
    <row r="171" spans="2:5" ht="20" customHeight="1">
      <c r="B171" s="22" t="str">
        <v>Value Missing</v>
      </c>
      <c r="C171" s="230" t="str">
        <f>IF(wld_compute_hosts_per_rack3_calculated&gt;=5,IF(AND(OR(wld_dedicated_edge_cluster_chosen_first=3,wld_dedicated_edge_cluster_chosen_second=3),wld_dedicated_edge_cluster_chosen="Include"),"Dedicated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1" s="14"/>
      <c r="E171" s="18" t="str">
        <f>IF(B171="Value Missing","",IF(input_wld_az1_rack3_host5_function&lt;&gt;C171,"Update Host Function",""))</f>
        <v/>
      </c>
    </row>
    <row r="172" spans="2:5" ht="20" customHeight="1">
      <c r="B172" s="22" t="str">
        <v>Value Missing</v>
      </c>
      <c r="C172" s="230" t="str">
        <f>IF(wld_compute_hosts_per_rack3_calculated&gt;=6,IF(AND(OR(wld_dedicated_edge_cluster_chosen_first=3,wld_dedicated_edge_cluster_chosen_second=3),wld_dedicated_edge_cluster_chosen="Include"),"Dedicated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2" s="14"/>
      <c r="E172" s="18" t="str">
        <f>IF(B172="Value Missing","",IF(input_wld_az1_rack3_host6_function&lt;&gt;C172,"Update Host Function",""))</f>
        <v/>
      </c>
    </row>
    <row r="173" spans="2:5" ht="20" customHeight="1">
      <c r="B173" s="22" t="str">
        <v>Value Missing</v>
      </c>
      <c r="C173" s="230" t="str">
        <f>IF(wld_compute_hosts_per_rack3_calculated&gt;=7,IF(AND(OR(wld_dedicated_edge_cluster_chosen_first=3,wld_dedicated_edge_cluster_chosen_second=3),wld_dedicated_edge_cluster_chosen="Include"),"Dedicated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3" s="14"/>
      <c r="E173" s="18" t="str">
        <f>IF(B173="Value Missing","",IF(input_wld_az1_rack3_host7_function&lt;&gt;C173,"Update Host Function",""))</f>
        <v/>
      </c>
    </row>
    <row r="174" spans="2:5" ht="20" customHeight="1">
      <c r="B174" s="22" t="str">
        <v>Value Missing</v>
      </c>
      <c r="C174" s="230" t="str">
        <f>IF(wld_compute_hosts_per_rack3_calculated&gt;=8,IF(AND(OR(wld_dedicated_edge_cluster_chosen_first=3,wld_dedicated_edge_cluster_chosen_second=3),wld_dedicated_edge_cluster_chosen="Include"),"Dedicated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4" s="14"/>
      <c r="E174" s="219" t="str">
        <f>IF(B174="Value Missing","",IF(input_wld_az1_rack3_host8_function&lt;&gt;C174,"Update Host Function",""))</f>
        <v/>
      </c>
    </row>
    <row r="175" spans="2:5" ht="20" customHeight="1">
      <c r="B175" s="22" t="str">
        <v>Value Missing</v>
      </c>
      <c r="C175" s="230" t="str">
        <f>IF(wld_compute_hosts_per_rack3_calculated&gt;=9,IF(AND(OR(wld_dedicated_edge_cluster_chosen_first=3,wld_dedicated_edge_cluster_chosen_second=3),wld_dedicated_edge_cluster_chosen="Include"),"Dedicated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5" s="14"/>
      <c r="E175" s="18" t="str">
        <f>IF(B175="Value Missing","",IF(input_wld_az1_rack3_host9_function&lt;&gt;C175,"Update Host Function",""))</f>
        <v/>
      </c>
    </row>
    <row r="176" spans="2:5" ht="20" customHeight="1">
      <c r="B176" s="22" t="str">
        <v>Value Missing</v>
      </c>
      <c r="C176" s="230" t="str">
        <f>IF(wld_compute_hosts_per_rack3_calculated&gt;=10,IF(AND(OR(wld_dedicated_edge_cluster_chosen_first=3,wld_dedicated_edge_cluster_chosen_second=3),wld_dedicated_edge_cluster_chosen="Include"),"Dedicated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6" s="14"/>
      <c r="E176" s="18" t="str">
        <f>IF(B176="Value Missing","",IF(input_wld_az1_rack3_host10_function&lt;&gt;C176,"Update Host Function",""))</f>
        <v/>
      </c>
    </row>
    <row r="177" spans="2:5" ht="20" customHeight="1">
      <c r="B177" s="22" t="str">
        <v>Value Missing</v>
      </c>
      <c r="C177" s="230" t="str">
        <f>IF(wld_compute_hosts_per_rack3_calculated&gt;=11,IF(AND(OR(wld_dedicated_edge_cluster_chosen_first=3,wld_dedicated_edge_cluster_chosen_second=3),wld_dedicated_edge_cluster_chosen="Include"),"Dedicated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7" s="14"/>
      <c r="E177" s="18" t="str">
        <f>IF(B177="Value Missing","",IF(input_wld_az1_rack3_host11_function&lt;&gt;C177,"Update Host Function",""))</f>
        <v/>
      </c>
    </row>
    <row r="178" spans="2:5" ht="20" customHeight="1">
      <c r="B178" s="22" t="str">
        <v>Value Missing</v>
      </c>
      <c r="C178" s="230" t="str">
        <f>IF(wld_compute_hosts_per_rack3_calculated&gt;=12,IF(AND(OR(wld_dedicated_edge_cluster_chosen_first=3,wld_dedicated_edge_cluster_chosen_second=3),wld_dedicated_edge_cluster_chosen="Include"),"Dedicated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8" s="14"/>
      <c r="E178" s="219" t="str">
        <f>IF(B178="Value Missing","",IF(input_wld_az1_rack3_host12_function&lt;&gt;C178,"Update Host Function",""))</f>
        <v/>
      </c>
    </row>
    <row r="179" spans="2:5" ht="20" customHeight="1">
      <c r="B179" s="22" t="str">
        <v>Value Missing</v>
      </c>
      <c r="C179" s="230" t="str">
        <f>IF(wld_compute_hosts_per_rack3_calculated&gt;=13,IF(AND(OR(wld_dedicated_edge_cluster_chosen_first=3,wld_dedicated_edge_cluster_chosen_second=3),wld_dedicated_edge_cluster_chosen="Include"),"Dedicated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79" s="14"/>
      <c r="E179" s="18" t="str">
        <f>IF(B179="Value Missing","",IF(input_wld_az1_rack3_host13_function&lt;&gt;C179,"Update Host Function",""))</f>
        <v/>
      </c>
    </row>
    <row r="180" spans="2:5" ht="20" customHeight="1">
      <c r="B180" s="22" t="str">
        <v>Value Missing</v>
      </c>
      <c r="C180" s="230" t="str">
        <f>IF(wld_compute_hosts_per_rack3_calculated&gt;=14,IF(AND(OR(wld_dedicated_edge_cluster_chosen_first=3,wld_dedicated_edge_cluster_chosen_second=3),wld_dedicated_edge_cluster_chosen="Include"),"Dedicated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80" s="14"/>
      <c r="E180" s="18" t="str">
        <f>IF(B180="Value Missing","",IF(input_wld_az1_rack3_host14_function&lt;&gt;C180,"Update Host Function",""))</f>
        <v/>
      </c>
    </row>
    <row r="181" spans="2:5" ht="20" customHeight="1">
      <c r="B181" s="22" t="str">
        <v>Value Missing</v>
      </c>
      <c r="C181" s="230" t="str">
        <f>IF(wld_compute_hosts_per_rack3_calculated&gt;=15,IF(AND(OR(wld_dedicated_edge_cluster_chosen_first=3,wld_dedicated_edge_cluster_chosen_second=3),wld_dedicated_edge_cluster_chosen="Include"),"Dedicated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81" s="14"/>
      <c r="E181" s="18" t="str">
        <f>IF(B181="Value Missing","",IF(input_wld_az1_rack3_host15_function&lt;&gt;C181,"Update Host Function",""))</f>
        <v/>
      </c>
    </row>
    <row r="182" spans="2:5" ht="20" customHeight="1">
      <c r="B182" s="22" t="str">
        <v>Value Missing</v>
      </c>
      <c r="C182" s="230" t="str">
        <f>IF(wld_compute_hosts_per_rack3_calculated&gt;=16,IF(AND(OR(wld_dedicated_edge_cluster_chosen_first=3,wld_dedicated_edge_cluster_chosen_second=3),wld_dedicated_edge_cluster_chosen="Include"),"Dedicated Edge",IF(AND(OR(wld_dedicated_edge_cluster_chosen_first=3,wld_dedicated_edge_cluster_chosen_second=3),wld_dedicated_edge_cluster_chosen="Exclude"),"Dedicated Compute or Dedicated Edge","Dedicated Compute")),"")</f>
        <v/>
      </c>
      <c r="D182" s="14"/>
      <c r="E182" s="219" t="str">
        <f>IF(B182="Value Missing","",IF(input_wld_az1_rack3_host16_function&lt;&gt;C182,"Update Host Function",""))</f>
        <v/>
      </c>
    </row>
    <row r="183" spans="2:5" ht="16" customHeight="1"/>
    <row r="184" spans="2:5" ht="34" customHeight="1">
      <c r="B184" s="427" t="s">
        <v>3964</v>
      </c>
      <c r="C184" s="428"/>
      <c r="D184" s="428"/>
      <c r="E184" s="426"/>
    </row>
    <row r="185" spans="2:5" ht="20" customHeight="1">
      <c r="B185" s="467" t="s">
        <v>791</v>
      </c>
      <c r="C185" s="468"/>
      <c r="D185" s="468"/>
      <c r="E185" s="469"/>
    </row>
    <row r="186" spans="2:5" ht="20" customHeight="1">
      <c r="B186" s="205" t="s">
        <v>735</v>
      </c>
      <c r="C186" s="205" t="s">
        <v>554</v>
      </c>
      <c r="D186" s="204" t="s">
        <v>555</v>
      </c>
      <c r="E186" s="205" t="s">
        <v>222</v>
      </c>
    </row>
    <row r="187" spans="2:5" ht="20" customHeight="1">
      <c r="B187" s="21" t="s">
        <v>808</v>
      </c>
      <c r="C187" s="25" t="str">
        <f>CONCATENATE(sample_wld_sddc_domain,"-r04","-pg-uplink01")</f>
        <v>sfo-w01-r04-pg-uplink01</v>
      </c>
      <c r="D187" s="14"/>
      <c r="E187" s="18"/>
    </row>
    <row r="188" spans="2:5" ht="20" customHeight="1">
      <c r="B188" s="21" t="s">
        <v>809</v>
      </c>
      <c r="C188" s="25" t="str">
        <f>CONCATENATE(sample_wld_sddc_domain,"-r04","-pg-uplink02")</f>
        <v>sfo-w01-r04-pg-uplink02</v>
      </c>
      <c r="D188" s="14"/>
      <c r="E188" s="18"/>
    </row>
    <row r="189" spans="2:5" ht="20" customHeight="1">
      <c r="B189" s="21" t="s">
        <v>4650</v>
      </c>
      <c r="C189" s="25" t="str">
        <f>CONCATENATE(this_instance,"-w0",wld_domain_number_chosen,"-r04-network-pool-01")</f>
        <v>sfo-w01-r04-network-pool-01</v>
      </c>
      <c r="D189" s="14"/>
      <c r="E189" s="18"/>
    </row>
    <row r="190" spans="2:5" ht="20" customHeight="1">
      <c r="B190" s="21" t="s">
        <v>4101</v>
      </c>
      <c r="C190" s="25" t="str">
        <f>CONCATENATE(sample_wld_sddc_domain,"-",sample_wld_cl01_cluster,"-r04-network-profile")</f>
        <v>sfo-w01-sfo-w01-cl01-r04-network-profile</v>
      </c>
      <c r="D190" s="14"/>
      <c r="E190" s="18"/>
    </row>
    <row r="191" spans="2:5" ht="20" customHeight="1">
      <c r="B191" s="21" t="s">
        <v>4090</v>
      </c>
      <c r="C191" s="25" t="str">
        <f>CONCATENATE(sample_wld_sddc_domain,"-r04-ip-pool01-host")</f>
        <v>sfo-w01-r04-ip-pool01-host</v>
      </c>
      <c r="D191" s="14"/>
      <c r="E191" s="18"/>
    </row>
    <row r="192" spans="2:5" ht="20" customHeight="1">
      <c r="B192" s="21" t="s">
        <v>4100</v>
      </c>
      <c r="C192" s="25" t="str">
        <f>CONCATENATE(sample_wld_sddc_domain,"-r04-uplink-profile01")</f>
        <v>sfo-w01-r04-uplink-profile01</v>
      </c>
      <c r="D192" s="14"/>
      <c r="E192" s="18"/>
    </row>
    <row r="193" spans="2:5" ht="20" customHeight="1">
      <c r="B193" s="21" t="s">
        <v>4231</v>
      </c>
      <c r="C193" s="25" t="str">
        <f>CONCATENATE(sample_wld_sddc_domain,"-r04-ip-pool02-edge")</f>
        <v>sfo-w01-r04-ip-pool02-edge</v>
      </c>
      <c r="D193" s="14"/>
      <c r="E193" s="18"/>
    </row>
    <row r="194" spans="2:5" ht="20" customHeight="1">
      <c r="B194" s="21" t="s">
        <v>816</v>
      </c>
      <c r="C194" s="25" t="str">
        <f>CONCATENATE(this_instance,"-w0",wld_domain_number_chosen,"-r04-ip-pool-rtep")</f>
        <v>sfo-w01-r04-ip-pool-rtep</v>
      </c>
      <c r="D194" s="14"/>
      <c r="E194" s="18"/>
    </row>
    <row r="195" spans="2:5" s="3" customFormat="1" ht="20" customHeight="1">
      <c r="B195" s="476" t="s">
        <v>931</v>
      </c>
      <c r="C195" s="477"/>
      <c r="D195" s="477"/>
      <c r="E195" s="478"/>
    </row>
    <row r="196" spans="2:5" ht="20" customHeight="1">
      <c r="B196" s="190" t="s">
        <v>735</v>
      </c>
      <c r="C196" s="190" t="s">
        <v>554</v>
      </c>
      <c r="D196" s="156" t="s">
        <v>555</v>
      </c>
      <c r="E196" s="190" t="s">
        <v>222</v>
      </c>
    </row>
    <row r="197" spans="2:5" ht="20" customHeight="1">
      <c r="B197" s="21" t="s">
        <v>4351</v>
      </c>
      <c r="C197" s="22" t="str">
        <f>CONCATENATE(this_instance,"-w0",wld_domain_number_chosen,"-r04","-vsan-fault-domain")</f>
        <v>sfo-w01-r04-vsan-fault-domain</v>
      </c>
      <c r="D197" s="14"/>
      <c r="E197" s="18"/>
    </row>
    <row r="198" spans="2:5" ht="20" customHeight="1">
      <c r="B198" s="467" t="s">
        <v>2303</v>
      </c>
      <c r="C198" s="468"/>
      <c r="D198" s="468"/>
      <c r="E198" s="469"/>
    </row>
    <row r="199" spans="2:5" ht="20" customHeight="1">
      <c r="B199" s="205" t="s">
        <v>555</v>
      </c>
      <c r="C199" s="205" t="s">
        <v>554</v>
      </c>
      <c r="D199" s="204" t="s">
        <v>4206</v>
      </c>
      <c r="E199" s="205" t="s">
        <v>222</v>
      </c>
    </row>
    <row r="200" spans="2:5" ht="20" customHeight="1">
      <c r="B200" s="25" t="str" cm="1">
        <f t="array" ref="B200:B215">wld_az1_rack4_host_hostnames</f>
        <v>Value Missing</v>
      </c>
      <c r="C200" s="230" t="str">
        <f>IF(wld_compute_hosts_per_rack4_calculated&gt;=1,IF(AND(OR(wld_dedicated_edge_cluster_chosen_first=4,wld_dedicated_edge_cluster_chosen_second=4),wld_dedicated_edge_cluster_chosen="Include"),"Dedicated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0" s="14"/>
      <c r="E200" s="18" t="str">
        <f>IF(B200="Value Missing","",IF(B200="Value Missing","",IF(input_wld_az1_rack4_host1_function&lt;&gt;C200,"Update Host Function","")))</f>
        <v/>
      </c>
    </row>
    <row r="201" spans="2:5" ht="20" customHeight="1">
      <c r="B201" s="25" t="str">
        <v>Value Missing</v>
      </c>
      <c r="C201" s="230" t="str">
        <f>IF(wld_compute_hosts_per_rack4_calculated&gt;=2,IF(AND(OR(wld_dedicated_edge_cluster_chosen_first=4,wld_dedicated_edge_cluster_chosen_second=4),wld_dedicated_edge_cluster_chosen="Include"),"Dedicated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1" s="14"/>
      <c r="E201" s="18" t="str">
        <f>IF(B201="Value Missing","",IF(B201="Value Missing","",IF(input_wld_az1_rack4_host2_function&lt;&gt;C201,"Update Host Function","")))</f>
        <v/>
      </c>
    </row>
    <row r="202" spans="2:5" ht="20" customHeight="1">
      <c r="B202" s="25" t="str">
        <v>Value Missing</v>
      </c>
      <c r="C202" s="230" t="str">
        <f>IF(wld_compute_hosts_per_rack4_calculated&gt;=3,IF(AND(OR(wld_dedicated_edge_cluster_chosen_first=4,wld_dedicated_edge_cluster_chosen_second=4),wld_dedicated_edge_cluster_chosen="Include"),"Dedicated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2" s="14"/>
      <c r="E202" s="18" t="str">
        <f>IF(B202="Value Missing","",IF(B202="Value Missing","",IF(input_wld_az1_rack4_host3_function&lt;&gt;C202,"Update Host Function","")))</f>
        <v/>
      </c>
    </row>
    <row r="203" spans="2:5" ht="20" customHeight="1">
      <c r="B203" s="22" t="str">
        <v>Value Missing</v>
      </c>
      <c r="C203" s="230" t="str">
        <f>IF(wld_compute_hosts_per_rack4_calculated&gt;=4,IF(AND(OR(wld_dedicated_edge_cluster_chosen_first=4,wld_dedicated_edge_cluster_chosen_second=4),wld_dedicated_edge_cluster_chosen="Include"),"Dedicated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3" s="14"/>
      <c r="E203" s="219" t="str">
        <f>IF(B203="Value Missing","",IF(B203="Value Missing","",IF(input_wld_az1_rack4_host4_function&lt;&gt;C203,"Update Host Function","")))</f>
        <v/>
      </c>
    </row>
    <row r="204" spans="2:5" s="3" customFormat="1" ht="20" customHeight="1">
      <c r="B204" s="22" t="str">
        <v>Value Missing</v>
      </c>
      <c r="C204" s="230" t="str">
        <f>IF(wld_compute_hosts_per_rack4_calculated&gt;=5,IF(AND(OR(wld_dedicated_edge_cluster_chosen_first=4,wld_dedicated_edge_cluster_chosen_second=4),wld_dedicated_edge_cluster_chosen="Include"),"Dedicated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4" s="14"/>
      <c r="E204" s="219" t="str">
        <f>IF(B204="Value Missing","",IF(B204="Value Missing","",IF(input_wld_az1_rack4_host5_function&lt;&gt;C204,"Update Host Function","")))</f>
        <v/>
      </c>
    </row>
    <row r="205" spans="2:5" s="3" customFormat="1" ht="20" customHeight="1">
      <c r="B205" s="22" t="str">
        <v>Value Missing</v>
      </c>
      <c r="C205" s="230" t="str">
        <f>IF(wld_compute_hosts_per_rack4_calculated&gt;=6,IF(AND(OR(wld_dedicated_edge_cluster_chosen_first=4,wld_dedicated_edge_cluster_chosen_second=4),wld_dedicated_edge_cluster_chosen="Include"),"Dedicated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5" s="14"/>
      <c r="E205" s="219" t="str">
        <f>IF(B205="Value Missing","",IF(B205="Value Missing","",IF(input_wld_az1_rack4_host6_function&lt;&gt;C205,"Update Host Function","")))</f>
        <v/>
      </c>
    </row>
    <row r="206" spans="2:5" s="3" customFormat="1" ht="20" customHeight="1">
      <c r="B206" s="22" t="str">
        <v>Value Missing</v>
      </c>
      <c r="C206" s="230" t="str">
        <f>IF(wld_compute_hosts_per_rack4_calculated&gt;=7,IF(AND(OR(wld_dedicated_edge_cluster_chosen_first=4,wld_dedicated_edge_cluster_chosen_second=4),wld_dedicated_edge_cluster_chosen="Include"),"Dedicated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6" s="14"/>
      <c r="E206" s="219" t="str">
        <f>IF(B206="Value Missing","",IF(B206="Value Missing","",IF(input_wld_az1_rack4_host7_function&lt;&gt;C206,"Update Host Function","")))</f>
        <v/>
      </c>
    </row>
    <row r="207" spans="2:5" s="3" customFormat="1" ht="20" customHeight="1">
      <c r="B207" s="22" t="str">
        <v>Value Missing</v>
      </c>
      <c r="C207" s="230" t="str">
        <f>IF(wld_compute_hosts_per_rack4_calculated&gt;=8,IF(AND(OR(wld_dedicated_edge_cluster_chosen_first=4,wld_dedicated_edge_cluster_chosen_second=4),wld_dedicated_edge_cluster_chosen="Include"),"Dedicated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7" s="14"/>
      <c r="E207" s="219" t="str">
        <f>IF(B207="Value Missing","",IF(B207="Value Missing","",IF(input_wld_az1_rack4_host8_function&lt;&gt;C207,"Update Host Function","")))</f>
        <v/>
      </c>
    </row>
    <row r="208" spans="2:5" s="3" customFormat="1" ht="20" customHeight="1">
      <c r="B208" s="22" t="str">
        <v>Value Missing</v>
      </c>
      <c r="C208" s="230" t="str">
        <f>IF(wld_compute_hosts_per_rack4_calculated&gt;=9,IF(AND(OR(wld_dedicated_edge_cluster_chosen_first=4,wld_dedicated_edge_cluster_chosen_second=4),wld_dedicated_edge_cluster_chosen="Include"),"Dedicated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8" s="14"/>
      <c r="E208" s="219" t="str">
        <f>IF(B208="Value Missing","",IF(B208="Value Missing","",IF(input_wld_az1_rack4_host9_function&lt;&gt;C208,"Update Host Function","")))</f>
        <v/>
      </c>
    </row>
    <row r="209" spans="2:5" s="3" customFormat="1" ht="20" customHeight="1">
      <c r="B209" s="22" t="str">
        <v>Value Missing</v>
      </c>
      <c r="C209" s="230" t="str">
        <f>IF(wld_compute_hosts_per_rack4_calculated&gt;=10,IF(AND(OR(wld_dedicated_edge_cluster_chosen_first=4,wld_dedicated_edge_cluster_chosen_second=4),wld_dedicated_edge_cluster_chosen="Include"),"Dedicated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09" s="14"/>
      <c r="E209" s="219" t="str">
        <f>IF(B209="Value Missing","",IF(B209="Value Missing","",IF(input_wld_az1_rack4_host10_function&lt;&gt;C209,"Update Host Function","")))</f>
        <v/>
      </c>
    </row>
    <row r="210" spans="2:5" s="3" customFormat="1" ht="20" customHeight="1">
      <c r="B210" s="22" t="str">
        <v>Value Missing</v>
      </c>
      <c r="C210" s="230" t="str">
        <f>IF(wld_compute_hosts_per_rack4_calculated&gt;=11,IF(AND(OR(wld_dedicated_edge_cluster_chosen_first=4,wld_dedicated_edge_cluster_chosen_second=4),wld_dedicated_edge_cluster_chosen="Include"),"Dedicated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10" s="14"/>
      <c r="E210" s="219" t="str">
        <f>IF(B210="Value Missing","",IF(B210="Value Missing","",IF(input_wld_az1_rack4_host11_function&lt;&gt;C210,"Update Host Function","")))</f>
        <v/>
      </c>
    </row>
    <row r="211" spans="2:5" s="3" customFormat="1" ht="20" customHeight="1">
      <c r="B211" s="22" t="str">
        <v>Value Missing</v>
      </c>
      <c r="C211" s="230" t="str">
        <f>IF(wld_compute_hosts_per_rack4_calculated&gt;=12,IF(AND(OR(wld_dedicated_edge_cluster_chosen_first=4,wld_dedicated_edge_cluster_chosen_second=4),wld_dedicated_edge_cluster_chosen="Include"),"Dedicated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11" s="14"/>
      <c r="E211" s="219" t="str">
        <f>IF(B211="Value Missing","",IF(B211="Value Missing","",IF(input_wld_az1_rack4_host12_function&lt;&gt;C211,"Update Host Function","")))</f>
        <v/>
      </c>
    </row>
    <row r="212" spans="2:5" s="3" customFormat="1" ht="20" customHeight="1">
      <c r="B212" s="22" t="str">
        <v>Value Missing</v>
      </c>
      <c r="C212" s="230" t="str">
        <f>IF(wld_compute_hosts_per_rack4_calculated&gt;=13,IF(AND(OR(wld_dedicated_edge_cluster_chosen_first=4,wld_dedicated_edge_cluster_chosen_second=4),wld_dedicated_edge_cluster_chosen="Include"),"Dedicated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12" s="14"/>
      <c r="E212" s="219" t="str">
        <f>IF(B212="Value Missing","",IF(B212="Value Missing","",IF(input_wld_az1_rack4_host13_function&lt;&gt;C212,"Update Host Function","")))</f>
        <v/>
      </c>
    </row>
    <row r="213" spans="2:5" s="3" customFormat="1" ht="20" customHeight="1">
      <c r="B213" s="22" t="str">
        <v>Value Missing</v>
      </c>
      <c r="C213" s="230" t="str">
        <f>IF(wld_compute_hosts_per_rack4_calculated&gt;=14,IF(AND(OR(wld_dedicated_edge_cluster_chosen_first=4,wld_dedicated_edge_cluster_chosen_second=4),wld_dedicated_edge_cluster_chosen="Include"),"Dedicated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13" s="14"/>
      <c r="E213" s="219" t="str">
        <f>IF(B213="Value Missing","",IF(B213="Value Missing","",IF(input_wld_az1_rack4_host14_function&lt;&gt;C213,"Update Host Function","")))</f>
        <v/>
      </c>
    </row>
    <row r="214" spans="2:5" s="3" customFormat="1" ht="20" customHeight="1">
      <c r="B214" s="22" t="str">
        <v>Value Missing</v>
      </c>
      <c r="C214" s="230" t="str">
        <f>IF(wld_compute_hosts_per_rack4_calculated&gt;=15,IF(AND(OR(wld_dedicated_edge_cluster_chosen_first=4,wld_dedicated_edge_cluster_chosen_second=4),wld_dedicated_edge_cluster_chosen="Include"),"Dedicated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14" s="14"/>
      <c r="E214" s="219" t="str">
        <f>IF(B214="Value Missing","",IF(B214="Value Missing","",IF(input_wld_az1_rack4_host15_function&lt;&gt;C214,"Update Host Function","")))</f>
        <v/>
      </c>
    </row>
    <row r="215" spans="2:5" s="3" customFormat="1" ht="20" customHeight="1">
      <c r="B215" s="22" t="str">
        <v>Value Missing</v>
      </c>
      <c r="C215" s="230" t="str">
        <f>IF(wld_compute_hosts_per_rack4_calculated&gt;=16,IF(AND(OR(wld_dedicated_edge_cluster_chosen_first=4,wld_dedicated_edge_cluster_chosen_second=4),wld_dedicated_edge_cluster_chosen="Include"),"Dedicated Edge",IF(AND(OR(wld_dedicated_edge_cluster_chosen_first=4,wld_dedicated_edge_cluster_chosen_second=4),wld_dedicated_edge_cluster_chosen="Exclude"),"Dedicated Compute or Dedicated Edge","Dedicated Compute")),"")</f>
        <v/>
      </c>
      <c r="D215" s="14"/>
      <c r="E215" s="219" t="str">
        <f>IF(B215="Value Missing","",IF(B215="Value Missing","",IF(input_wld_az1_rack4_host16_function&lt;&gt;C215,"Update Host Function","")))</f>
        <v/>
      </c>
    </row>
    <row r="216" spans="2:5" s="3" customFormat="1" ht="16" customHeight="1"/>
    <row r="217" spans="2:5" s="3" customFormat="1" ht="34" customHeight="1">
      <c r="B217" s="427" t="s">
        <v>3965</v>
      </c>
      <c r="C217" s="428"/>
      <c r="D217" s="428"/>
      <c r="E217" s="426"/>
    </row>
    <row r="218" spans="2:5" s="3" customFormat="1" ht="20" customHeight="1">
      <c r="B218" s="467" t="s">
        <v>791</v>
      </c>
      <c r="C218" s="468"/>
      <c r="D218" s="468"/>
      <c r="E218" s="469"/>
    </row>
    <row r="219" spans="2:5" s="3" customFormat="1" ht="20" customHeight="1">
      <c r="B219" s="205" t="s">
        <v>735</v>
      </c>
      <c r="C219" s="205" t="s">
        <v>554</v>
      </c>
      <c r="D219" s="204" t="s">
        <v>555</v>
      </c>
      <c r="E219" s="205" t="s">
        <v>222</v>
      </c>
    </row>
    <row r="220" spans="2:5" s="3" customFormat="1" ht="20" customHeight="1">
      <c r="B220" s="21" t="s">
        <v>808</v>
      </c>
      <c r="C220" s="25" t="str">
        <f>CONCATENATE(sample_wld_sddc_domain,"-r05","-pg-uplink01")</f>
        <v>sfo-w01-r05-pg-uplink01</v>
      </c>
      <c r="D220" s="14"/>
      <c r="E220" s="14"/>
    </row>
    <row r="221" spans="2:5" s="3" customFormat="1" ht="20" customHeight="1">
      <c r="B221" s="21" t="s">
        <v>809</v>
      </c>
      <c r="C221" s="25" t="str">
        <f>CONCATENATE(sample_wld_sddc_domain,"-r05","-pg-uplink02")</f>
        <v>sfo-w01-r05-pg-uplink02</v>
      </c>
      <c r="D221" s="14"/>
      <c r="E221" s="14"/>
    </row>
    <row r="222" spans="2:5" ht="20" customHeight="1">
      <c r="B222" s="21" t="s">
        <v>4650</v>
      </c>
      <c r="C222" s="25" t="str">
        <f>CONCATENATE(this_instance,"-w0",wld_domain_number_chosen,"-r05-network-pool-01")</f>
        <v>sfo-w01-r05-network-pool-01</v>
      </c>
      <c r="D222" s="14"/>
      <c r="E222" s="14"/>
    </row>
    <row r="223" spans="2:5" ht="20" customHeight="1">
      <c r="B223" s="21" t="s">
        <v>4090</v>
      </c>
      <c r="C223" s="25" t="str">
        <f>CONCATENATE(sample_wld_sddc_domain,"-",sample_wld_cl01_cluster,"-r05-network-profile")</f>
        <v>sfo-w01-sfo-w01-cl01-r05-network-profile</v>
      </c>
      <c r="D223" s="14"/>
      <c r="E223" s="14"/>
    </row>
    <row r="224" spans="2:5" ht="20" customHeight="1">
      <c r="B224" s="21" t="s">
        <v>4090</v>
      </c>
      <c r="C224" s="25" t="str">
        <f>CONCATENATE(sample_wld_sddc_domain,"-r05-ip-pool01-host")</f>
        <v>sfo-w01-r05-ip-pool01-host</v>
      </c>
      <c r="D224" s="14"/>
      <c r="E224" s="14"/>
    </row>
    <row r="225" spans="2:5" ht="20" customHeight="1">
      <c r="B225" s="21" t="s">
        <v>4100</v>
      </c>
      <c r="C225" s="25" t="str">
        <f>CONCATENATE(sample_wld_sddc_domain,"-r05-uplink-profile01")</f>
        <v>sfo-w01-r05-uplink-profile01</v>
      </c>
      <c r="D225" s="14"/>
      <c r="E225" s="14"/>
    </row>
    <row r="226" spans="2:5" ht="20" customHeight="1">
      <c r="B226" s="21" t="s">
        <v>4231</v>
      </c>
      <c r="C226" s="25" t="str">
        <f>CONCATENATE(sample_wld_sddc_domain,"-r05-ip-pool02-edge")</f>
        <v>sfo-w01-r05-ip-pool02-edge</v>
      </c>
      <c r="D226" s="14"/>
      <c r="E226" s="14"/>
    </row>
    <row r="227" spans="2:5" ht="20" customHeight="1">
      <c r="B227" s="21" t="s">
        <v>816</v>
      </c>
      <c r="C227" s="25" t="str">
        <f>CONCATENATE(this_instance,"-w0",wld_domain_number_chosen,"-r05-ip-pool-rtep")</f>
        <v>sfo-w01-r05-ip-pool-rtep</v>
      </c>
      <c r="D227" s="14"/>
      <c r="E227" s="14"/>
    </row>
    <row r="228" spans="2:5" ht="20" customHeight="1">
      <c r="B228" s="476" t="s">
        <v>931</v>
      </c>
      <c r="C228" s="477"/>
      <c r="D228" s="477"/>
      <c r="E228" s="478"/>
    </row>
    <row r="229" spans="2:5" ht="20" customHeight="1">
      <c r="B229" s="190" t="s">
        <v>735</v>
      </c>
      <c r="C229" s="190" t="s">
        <v>554</v>
      </c>
      <c r="D229" s="156" t="s">
        <v>555</v>
      </c>
      <c r="E229" s="190" t="s">
        <v>222</v>
      </c>
    </row>
    <row r="230" spans="2:5" ht="20" customHeight="1">
      <c r="B230" s="21" t="s">
        <v>4351</v>
      </c>
      <c r="C230" s="22" t="str">
        <f>CONCATENATE(this_instance,"-w0",wld_domain_number_chosen,"-r05","-vsan-fault-domain")</f>
        <v>sfo-w01-r05-vsan-fault-domain</v>
      </c>
      <c r="D230" s="14"/>
      <c r="E230" s="18"/>
    </row>
    <row r="231" spans="2:5" ht="20" customHeight="1">
      <c r="B231" s="467" t="s">
        <v>2303</v>
      </c>
      <c r="C231" s="468"/>
      <c r="D231" s="468"/>
      <c r="E231" s="469"/>
    </row>
    <row r="232" spans="2:5" ht="20" customHeight="1">
      <c r="B232" s="205" t="s">
        <v>555</v>
      </c>
      <c r="C232" s="205" t="s">
        <v>554</v>
      </c>
      <c r="D232" s="204" t="s">
        <v>555</v>
      </c>
      <c r="E232" s="205" t="s">
        <v>222</v>
      </c>
    </row>
    <row r="233" spans="2:5" ht="20" customHeight="1">
      <c r="B233" s="25" t="str" cm="1">
        <f t="array" ref="B233:B248">wld_az1_rack5_host_hostnames</f>
        <v>Value Missing</v>
      </c>
      <c r="C233" s="230" t="str">
        <f>IF(wld_compute_hosts_per_rack5_calculated&gt;=1,IF(AND(OR(wld_dedicated_edge_cluster_chosen_first=5,wld_dedicated_edge_cluster_chosen_second=5),wld_dedicated_edge_cluster_chosen="Include"),"Dedicated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33" s="14"/>
      <c r="E233" s="18" t="str">
        <f>IF(B233="Value Missing","",IF(B233="Value Missing","",IF(input_wld_az1_rack5_host1_function&lt;&gt;C233,"Update Host Function","")))</f>
        <v/>
      </c>
    </row>
    <row r="234" spans="2:5" ht="20" customHeight="1">
      <c r="B234" s="25" t="str">
        <v>Value Missing</v>
      </c>
      <c r="C234" s="230" t="str">
        <f>IF(wld_compute_hosts_per_rack5_calculated&gt;=2,IF(AND(OR(wld_dedicated_edge_cluster_chosen_first=5,wld_dedicated_edge_cluster_chosen_second=5),wld_dedicated_edge_cluster_chosen="Include"),"Dedicated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34" s="14"/>
      <c r="E234" s="18" t="str">
        <f>IF(B234="Value Missing","",IF(B234="Value Missing","",IF(input_wld_az1_rack5_host2_function&lt;&gt;C234,"Update Host Function","")))</f>
        <v/>
      </c>
    </row>
    <row r="235" spans="2:5" ht="20" customHeight="1">
      <c r="B235" s="25" t="str">
        <v>Value Missing</v>
      </c>
      <c r="C235" s="230" t="str">
        <f>IF(wld_compute_hosts_per_rack5_calculated&gt;=3,IF(AND(OR(wld_dedicated_edge_cluster_chosen_first=5,wld_dedicated_edge_cluster_chosen_second=5),wld_dedicated_edge_cluster_chosen="Include"),"Dedicated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35" s="14"/>
      <c r="E235" s="18" t="str">
        <f>IF(B235="Value Missing","",IF(B235="Value Missing","",IF(input_wld_az1_rack5_host3_function&lt;&gt;C235,"Update Host Function","")))</f>
        <v/>
      </c>
    </row>
    <row r="236" spans="2:5" ht="20" customHeight="1">
      <c r="B236" s="22" t="str">
        <v>Value Missing</v>
      </c>
      <c r="C236" s="230" t="str">
        <f>IF(wld_compute_hosts_per_rack5_calculated&gt;=4,IF(AND(OR(wld_dedicated_edge_cluster_chosen_first=5,wld_dedicated_edge_cluster_chosen_second=5),wld_dedicated_edge_cluster_chosen="Include"),"Dedicated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36" s="14"/>
      <c r="E236" s="219" t="str">
        <f>IF(B236="Value Missing","",IF(B236="Value Missing","",IF(input_wld_az1_rack5_host4_function&lt;&gt;C236,"Update Host Function","")))</f>
        <v/>
      </c>
    </row>
    <row r="237" spans="2:5" ht="20" customHeight="1">
      <c r="B237" s="22" t="str">
        <v>Value Missing</v>
      </c>
      <c r="C237" s="230" t="str">
        <f>IF(wld_compute_hosts_per_rack5_calculated&gt;=5,IF(AND(OR(wld_dedicated_edge_cluster_chosen_first=5,wld_dedicated_edge_cluster_chosen_second=5),wld_dedicated_edge_cluster_chosen="Include"),"Dedicated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37" s="14"/>
      <c r="E237" s="219" t="str">
        <f>IF(B237="Value Missing","",IF(B237="Value Missing","",IF(input_wld_az1_rack5_host5_function&lt;&gt;C237,"Update Host Function","")))</f>
        <v/>
      </c>
    </row>
    <row r="238" spans="2:5" ht="20" customHeight="1">
      <c r="B238" s="22" t="str">
        <v>Value Missing</v>
      </c>
      <c r="C238" s="230" t="str">
        <f>IF(wld_compute_hosts_per_rack5_calculated&gt;=6,IF(AND(OR(wld_dedicated_edge_cluster_chosen_first=5,wld_dedicated_edge_cluster_chosen_second=5),wld_dedicated_edge_cluster_chosen="Include"),"Dedicated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38" s="14"/>
      <c r="E238" s="219" t="str">
        <f>IF(B238="Value Missing","",IF(B238="Value Missing","",IF(input_wld_az1_rack5_host6_function&lt;&gt;C238,"Update Host Function","")))</f>
        <v/>
      </c>
    </row>
    <row r="239" spans="2:5" ht="20" customHeight="1">
      <c r="B239" s="22" t="str">
        <v>Value Missing</v>
      </c>
      <c r="C239" s="230" t="str">
        <f>IF(wld_compute_hosts_per_rack5_calculated&gt;=7,IF(AND(OR(wld_dedicated_edge_cluster_chosen_first=5,wld_dedicated_edge_cluster_chosen_second=5),wld_dedicated_edge_cluster_chosen="Include"),"Dedicated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39" s="14"/>
      <c r="E239" s="219" t="str">
        <f>IF(B239="Value Missing","",IF(B239="Value Missing","",IF(input_wld_az1_rack5_host7_function&lt;&gt;C239,"Update Host Function","")))</f>
        <v/>
      </c>
    </row>
    <row r="240" spans="2:5" ht="20" customHeight="1">
      <c r="B240" s="22" t="str">
        <v>Value Missing</v>
      </c>
      <c r="C240" s="230" t="str">
        <f>IF(wld_compute_hosts_per_rack5_calculated&gt;=8,IF(AND(OR(wld_dedicated_edge_cluster_chosen_first=5,wld_dedicated_edge_cluster_chosen_second=5),wld_dedicated_edge_cluster_chosen="Include"),"Dedicated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0" s="14"/>
      <c r="E240" s="219" t="str">
        <f>IF(B240="Value Missing","",IF(B240="Value Missing","",IF(input_wld_az1_rack5_host8_function&lt;&gt;C240,"Update Host Function","")))</f>
        <v/>
      </c>
    </row>
    <row r="241" spans="2:5" ht="20" customHeight="1">
      <c r="B241" s="22" t="str">
        <v>Value Missing</v>
      </c>
      <c r="C241" s="230" t="str">
        <f>IF(wld_compute_hosts_per_rack5_calculated&gt;=9,IF(AND(OR(wld_dedicated_edge_cluster_chosen_first=5,wld_dedicated_edge_cluster_chosen_second=5),wld_dedicated_edge_cluster_chosen="Include"),"Dedicated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1" s="14"/>
      <c r="E241" s="219" t="str">
        <f>IF(B241="Value Missing","",IF(B241="Value Missing","",IF(input_wld_az1_rack5_host9_function&lt;&gt;C241,"Update Host Function","")))</f>
        <v/>
      </c>
    </row>
    <row r="242" spans="2:5" ht="20" customHeight="1">
      <c r="B242" s="22" t="str">
        <v>Value Missing</v>
      </c>
      <c r="C242" s="230" t="str">
        <f>IF(wld_compute_hosts_per_rack5_calculated&gt;=10,IF(AND(OR(wld_dedicated_edge_cluster_chosen_first=5,wld_dedicated_edge_cluster_chosen_second=5),wld_dedicated_edge_cluster_chosen="Include"),"Dedicated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2" s="14"/>
      <c r="E242" s="219" t="str">
        <f>IF(B242="Value Missing","",IF(B242="Value Missing","",IF(input_wld_az1_rack5_host10_function&lt;&gt;C242,"Update Host Function","")))</f>
        <v/>
      </c>
    </row>
    <row r="243" spans="2:5" ht="20" customHeight="1">
      <c r="B243" s="22" t="str">
        <v>Value Missing</v>
      </c>
      <c r="C243" s="230" t="str">
        <f>IF(wld_compute_hosts_per_rack5_calculated&gt;=11,IF(AND(OR(wld_dedicated_edge_cluster_chosen_first=5,wld_dedicated_edge_cluster_chosen_second=5),wld_dedicated_edge_cluster_chosen="Include"),"Dedicated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3" s="14"/>
      <c r="E243" s="219" t="str">
        <f>IF(B243="Value Missing","",IF(B243="Value Missing","",IF(input_wld_az1_rack5_host11_function&lt;&gt;C243,"Update Host Function","")))</f>
        <v/>
      </c>
    </row>
    <row r="244" spans="2:5" ht="20" customHeight="1">
      <c r="B244" s="22" t="str">
        <v>Value Missing</v>
      </c>
      <c r="C244" s="230" t="str">
        <f>IF(wld_compute_hosts_per_rack5_calculated&gt;=12,IF(AND(OR(wld_dedicated_edge_cluster_chosen_first=5,wld_dedicated_edge_cluster_chosen_second=5),wld_dedicated_edge_cluster_chosen="Include"),"Dedicated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4" s="14"/>
      <c r="E244" s="219" t="str">
        <f>IF(B244="Value Missing","",IF(B244="Value Missing","",IF(input_wld_az1_rack5_host12_function&lt;&gt;C244,"Update Host Function","")))</f>
        <v/>
      </c>
    </row>
    <row r="245" spans="2:5" ht="20" customHeight="1">
      <c r="B245" s="22" t="str">
        <v>Value Missing</v>
      </c>
      <c r="C245" s="230" t="str">
        <f>IF(wld_compute_hosts_per_rack5_calculated&gt;=13,IF(AND(OR(wld_dedicated_edge_cluster_chosen_first=5,wld_dedicated_edge_cluster_chosen_second=5),wld_dedicated_edge_cluster_chosen="Include"),"Dedicated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5" s="14"/>
      <c r="E245" s="219" t="str">
        <f>IF(B245="Value Missing","",IF(B245="Value Missing","",IF(input_wld_az1_rack5_host13_function&lt;&gt;C245,"Update Host Function","")))</f>
        <v/>
      </c>
    </row>
    <row r="246" spans="2:5" ht="20" customHeight="1">
      <c r="B246" s="22" t="str">
        <v>Value Missing</v>
      </c>
      <c r="C246" s="230" t="str">
        <f>IF(wld_compute_hosts_per_rack5_calculated&gt;=14,IF(AND(OR(wld_dedicated_edge_cluster_chosen_first=5,wld_dedicated_edge_cluster_chosen_second=5),wld_dedicated_edge_cluster_chosen="Include"),"Dedicated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6" s="14"/>
      <c r="E246" s="219" t="str">
        <f>IF(B246="Value Missing","",IF(B246="Value Missing","",IF(input_wld_az1_rack5_host14_function&lt;&gt;C246,"Update Host Function","")))</f>
        <v/>
      </c>
    </row>
    <row r="247" spans="2:5" ht="20" customHeight="1">
      <c r="B247" s="22" t="str">
        <v>Value Missing</v>
      </c>
      <c r="C247" s="230" t="str">
        <f>IF(wld_compute_hosts_per_rack5_calculated&gt;=15,IF(AND(OR(wld_dedicated_edge_cluster_chosen_first=5,wld_dedicated_edge_cluster_chosen_second=5),wld_dedicated_edge_cluster_chosen="Include"),"Dedicated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7" s="14"/>
      <c r="E247" s="219" t="str">
        <f>IF(B247="Value Missing","",IF(B247="Value Missing","",IF(input_wld_az1_rack5_host15_function&lt;&gt;C247,"Update Host Function","")))</f>
        <v/>
      </c>
    </row>
    <row r="248" spans="2:5" ht="20" customHeight="1">
      <c r="B248" s="22" t="str">
        <v>Value Missing</v>
      </c>
      <c r="C248" s="230" t="str">
        <f>IF(wld_compute_hosts_per_rack5_calculated&gt;=16,IF(AND(OR(wld_dedicated_edge_cluster_chosen_first=5,wld_dedicated_edge_cluster_chosen_second=5),wld_dedicated_edge_cluster_chosen="Include"),"Dedicated Edge",IF(AND(OR(wld_dedicated_edge_cluster_chosen_first=5,wld_dedicated_edge_cluster_chosen_second=5),wld_dedicated_edge_cluster_chosen="Exclude"),"Dedicated Compute or Dedicated Edge","Dedicated Compute")),"")</f>
        <v/>
      </c>
      <c r="D248" s="14"/>
      <c r="E248" s="219" t="str">
        <f>IF(B248="Value Missing","",IF(B248="Value Missing","",IF(input_wld_az1_rack5_host16_function&lt;&gt;C248,"Update Host Function","")))</f>
        <v/>
      </c>
    </row>
    <row r="249" spans="2:5" ht="16" customHeight="1"/>
    <row r="250" spans="2:5" ht="34" customHeight="1">
      <c r="B250" s="427" t="s">
        <v>3966</v>
      </c>
      <c r="C250" s="428"/>
      <c r="D250" s="428"/>
      <c r="E250" s="426"/>
    </row>
    <row r="251" spans="2:5" ht="20" customHeight="1">
      <c r="B251" s="467" t="s">
        <v>791</v>
      </c>
      <c r="C251" s="468"/>
      <c r="D251" s="468"/>
      <c r="E251" s="469"/>
    </row>
    <row r="252" spans="2:5" ht="20" customHeight="1">
      <c r="B252" s="205" t="s">
        <v>735</v>
      </c>
      <c r="C252" s="205" t="s">
        <v>554</v>
      </c>
      <c r="D252" s="204" t="s">
        <v>555</v>
      </c>
      <c r="E252" s="205" t="s">
        <v>222</v>
      </c>
    </row>
    <row r="253" spans="2:5" ht="20" customHeight="1">
      <c r="B253" s="21" t="s">
        <v>808</v>
      </c>
      <c r="C253" s="25" t="str">
        <f>CONCATENATE(sample_wld_sddc_domain,"-r06","-pg-uplink01")</f>
        <v>sfo-w01-r06-pg-uplink01</v>
      </c>
      <c r="D253" s="14"/>
      <c r="E253" s="14"/>
    </row>
    <row r="254" spans="2:5" ht="20" customHeight="1">
      <c r="B254" s="21" t="s">
        <v>809</v>
      </c>
      <c r="C254" s="25" t="str">
        <f>CONCATENATE(sample_wld_sddc_domain,"-r06","-pg-uplink02")</f>
        <v>sfo-w01-r06-pg-uplink02</v>
      </c>
      <c r="D254" s="14"/>
      <c r="E254" s="14"/>
    </row>
    <row r="255" spans="2:5" ht="20" customHeight="1">
      <c r="B255" s="21" t="s">
        <v>4650</v>
      </c>
      <c r="C255" s="25" t="str">
        <f>CONCATENATE(this_instance,"-w0",wld_domain_number_chosen,"-r06-network-pool-01")</f>
        <v>sfo-w01-r06-network-pool-01</v>
      </c>
      <c r="D255" s="14"/>
      <c r="E255" s="14"/>
    </row>
    <row r="256" spans="2:5" ht="20" customHeight="1">
      <c r="B256" s="21" t="s">
        <v>4101</v>
      </c>
      <c r="C256" s="25" t="str">
        <f>CONCATENATE(sample_wld_sddc_domain,"-",sample_wld_cl01_cluster,"-r06-network-profile")</f>
        <v>sfo-w01-sfo-w01-cl01-r06-network-profile</v>
      </c>
      <c r="D256" s="14"/>
      <c r="E256" s="14"/>
    </row>
    <row r="257" spans="2:5" ht="20" customHeight="1">
      <c r="B257" s="21" t="s">
        <v>4090</v>
      </c>
      <c r="C257" s="25" t="str">
        <f>CONCATENATE(sample_wld_sddc_domain,"-r06-ip-pool01-host")</f>
        <v>sfo-w01-r06-ip-pool01-host</v>
      </c>
      <c r="D257" s="14"/>
      <c r="E257" s="14"/>
    </row>
    <row r="258" spans="2:5" ht="20" customHeight="1">
      <c r="B258" s="21" t="s">
        <v>4100</v>
      </c>
      <c r="C258" s="25" t="str">
        <f>CONCATENATE(sample_wld_sddc_domain,"-r06-uplink-profile01")</f>
        <v>sfo-w01-r06-uplink-profile01</v>
      </c>
      <c r="D258" s="14"/>
      <c r="E258" s="14"/>
    </row>
    <row r="259" spans="2:5" ht="20" customHeight="1">
      <c r="B259" s="21" t="s">
        <v>4232</v>
      </c>
      <c r="C259" s="25" t="str">
        <f>CONCATENATE(sample_wld_sddc_domain,"-r06-ip-pool02-edge")</f>
        <v>sfo-w01-r06-ip-pool02-edge</v>
      </c>
      <c r="D259" s="14"/>
      <c r="E259" s="14"/>
    </row>
    <row r="260" spans="2:5" ht="20" customHeight="1">
      <c r="B260" s="21" t="s">
        <v>816</v>
      </c>
      <c r="C260" s="25" t="str">
        <f>CONCATENATE(this_instance,"-w0",wld_domain_number_chosen,"-r06-ip-pool-rtep")</f>
        <v>sfo-w01-r06-ip-pool-rtep</v>
      </c>
      <c r="D260" s="14"/>
      <c r="E260" s="14"/>
    </row>
    <row r="261" spans="2:5" ht="20" customHeight="1">
      <c r="B261" s="476" t="s">
        <v>931</v>
      </c>
      <c r="C261" s="477"/>
      <c r="D261" s="477"/>
      <c r="E261" s="478"/>
    </row>
    <row r="262" spans="2:5" ht="20" customHeight="1">
      <c r="B262" s="190" t="s">
        <v>735</v>
      </c>
      <c r="C262" s="190" t="s">
        <v>554</v>
      </c>
      <c r="D262" s="156" t="s">
        <v>555</v>
      </c>
      <c r="E262" s="190" t="s">
        <v>222</v>
      </c>
    </row>
    <row r="263" spans="2:5" ht="20" customHeight="1">
      <c r="B263" s="21" t="s">
        <v>4351</v>
      </c>
      <c r="C263" s="22" t="str">
        <f>CONCATENATE(this_instance,"-w0",wld_domain_number_chosen,"-r06","-vsan-fault-domain")</f>
        <v>sfo-w01-r06-vsan-fault-domain</v>
      </c>
      <c r="D263" s="14"/>
      <c r="E263" s="18"/>
    </row>
    <row r="264" spans="2:5" ht="20" customHeight="1">
      <c r="B264" s="467" t="s">
        <v>2303</v>
      </c>
      <c r="C264" s="468"/>
      <c r="D264" s="468"/>
      <c r="E264" s="469"/>
    </row>
    <row r="265" spans="2:5" ht="20" customHeight="1">
      <c r="B265" s="205" t="s">
        <v>555</v>
      </c>
      <c r="C265" s="205" t="s">
        <v>554</v>
      </c>
      <c r="D265" s="206" t="s">
        <v>555</v>
      </c>
      <c r="E265" s="205" t="s">
        <v>222</v>
      </c>
    </row>
    <row r="266" spans="2:5" ht="20" customHeight="1">
      <c r="B266" s="25" t="str" cm="1">
        <f t="array" ref="B266:B281">wld_az1_rack6_host_hostnames</f>
        <v>Value Missing</v>
      </c>
      <c r="C266" s="230" t="str">
        <f>IF(wld_compute_hosts_per_rack6_calculated&gt;=1,IF(AND(OR(wld_dedicated_edge_cluster_chosen_first=6,wld_dedicated_edge_cluster_chosen_second=6),wld_dedicated_edge_cluster_chosen="Include"),"Dedicated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66" s="14"/>
      <c r="E266" s="18" t="str">
        <f>IF(B266="Value Missing","",IF(input_wld_az1_rack6_host1_function&lt;&gt;C266,"Update Host Function",""))</f>
        <v/>
      </c>
    </row>
    <row r="267" spans="2:5" ht="20" customHeight="1">
      <c r="B267" s="25" t="str">
        <v>Value Missing</v>
      </c>
      <c r="C267" s="230" t="str">
        <f>IF(wld_compute_hosts_per_rack6_calculated&gt;=2,IF(AND(OR(wld_dedicated_edge_cluster_chosen_first=6,wld_dedicated_edge_cluster_chosen_second=6),wld_dedicated_edge_cluster_chosen="Include"),"Dedicated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67" s="14"/>
      <c r="E267" s="18" t="str">
        <f>IF(B267="Value Missing","",IF(input_wld_az1_rack6_host2_function&lt;&gt;C267,"Update Host Function",""))</f>
        <v/>
      </c>
    </row>
    <row r="268" spans="2:5" ht="20" customHeight="1">
      <c r="B268" s="25" t="str">
        <v>Value Missing</v>
      </c>
      <c r="C268" s="230" t="str">
        <f>IF(wld_compute_hosts_per_rack6_calculated&gt;=3,IF(AND(OR(wld_dedicated_edge_cluster_chosen_first=6,wld_dedicated_edge_cluster_chosen_second=6),wld_dedicated_edge_cluster_chosen="Include"),"Dedicated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68" s="14"/>
      <c r="E268" s="18" t="str">
        <f>IF(B268="Value Missing","",IF(input_wld_az1_rack6_host3_function&lt;&gt;C268,"Update Host Function",""))</f>
        <v/>
      </c>
    </row>
    <row r="269" spans="2:5" ht="20" customHeight="1">
      <c r="B269" s="22" t="str">
        <v>Value Missing</v>
      </c>
      <c r="C269" s="230" t="str">
        <f>IF(wld_compute_hosts_per_rack6_calculated&gt;=4,IF(AND(OR(wld_dedicated_edge_cluster_chosen_first=6,wld_dedicated_edge_cluster_chosen_second=6),wld_dedicated_edge_cluster_chosen="Include"),"Dedicated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69" s="14"/>
      <c r="E269" s="219" t="str">
        <f>IF(B269="Value Missing","",IF(input_wld_az1_rack6_host4_function&lt;&gt;C269,"Update Host Function",""))</f>
        <v/>
      </c>
    </row>
    <row r="270" spans="2:5" ht="20" customHeight="1">
      <c r="B270" s="22" t="str">
        <v>Value Missing</v>
      </c>
      <c r="C270" s="230" t="str">
        <f>IF(wld_compute_hosts_per_rack6_calculated&gt;=5,IF(AND(OR(wld_dedicated_edge_cluster_chosen_first=6,wld_dedicated_edge_cluster_chosen_second=6),wld_dedicated_edge_cluster_chosen="Include"),"Dedicated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0" s="14"/>
      <c r="E270" s="219" t="str">
        <f>IF(B270="Value Missing","",IF(input_wld_az1_rack6_host5_function&lt;&gt;C270,"Update Host Function",""))</f>
        <v/>
      </c>
    </row>
    <row r="271" spans="2:5" ht="20" customHeight="1">
      <c r="B271" s="22" t="str">
        <v>Value Missing</v>
      </c>
      <c r="C271" s="230" t="str">
        <f>IF(wld_compute_hosts_per_rack6_calculated&gt;=6,IF(AND(OR(wld_dedicated_edge_cluster_chosen_first=6,wld_dedicated_edge_cluster_chosen_second=6),wld_dedicated_edge_cluster_chosen="Include"),"Dedicated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1" s="14"/>
      <c r="E271" s="219" t="str">
        <f>IF(B271="Value Missing","",IF(input_wld_az1_rack6_host6_function&lt;&gt;C271,"Update Host Function",""))</f>
        <v/>
      </c>
    </row>
    <row r="272" spans="2:5" ht="20" customHeight="1">
      <c r="B272" s="22" t="str">
        <v>Value Missing</v>
      </c>
      <c r="C272" s="230" t="str">
        <f>IF(wld_compute_hosts_per_rack6_calculated&gt;=7,IF(AND(OR(wld_dedicated_edge_cluster_chosen_first=6,wld_dedicated_edge_cluster_chosen_second=6),wld_dedicated_edge_cluster_chosen="Include"),"Dedicated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2" s="14"/>
      <c r="E272" s="219" t="str">
        <f>IF(B272="Value Missing","",IF(input_wld_az1_rack6_host7_function&lt;&gt;C272,"Update Host Function",""))</f>
        <v/>
      </c>
    </row>
    <row r="273" spans="2:5" ht="20" customHeight="1">
      <c r="B273" s="22" t="str">
        <v>Value Missing</v>
      </c>
      <c r="C273" s="230" t="str">
        <f>IF(wld_compute_hosts_per_rack6_calculated&gt;=8,IF(AND(OR(wld_dedicated_edge_cluster_chosen_first=6,wld_dedicated_edge_cluster_chosen_second=6),wld_dedicated_edge_cluster_chosen="Include"),"Dedicated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3" s="14"/>
      <c r="E273" s="219" t="str">
        <f>IF(B273="Value Missing","",IF(input_wld_az1_rack6_host8_function&lt;&gt;C273,"Update Host Function",""))</f>
        <v/>
      </c>
    </row>
    <row r="274" spans="2:5" ht="20" customHeight="1">
      <c r="B274" s="22" t="str">
        <v>Value Missing</v>
      </c>
      <c r="C274" s="230" t="str">
        <f>IF(wld_compute_hosts_per_rack6_calculated&gt;=9,IF(AND(OR(wld_dedicated_edge_cluster_chosen_first=6,wld_dedicated_edge_cluster_chosen_second=6),wld_dedicated_edge_cluster_chosen="Include"),"Dedicated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4" s="14"/>
      <c r="E274" s="219" t="str">
        <f>IF(B274="Value Missing","",IF(input_wld_az1_rack6_host9_function&lt;&gt;C274,"Update Host Function",""))</f>
        <v/>
      </c>
    </row>
    <row r="275" spans="2:5" ht="20" customHeight="1">
      <c r="B275" s="22" t="str">
        <v>Value Missing</v>
      </c>
      <c r="C275" s="230" t="str">
        <f>IF(wld_compute_hosts_per_rack6_calculated&gt;=10,IF(AND(OR(wld_dedicated_edge_cluster_chosen_first=6,wld_dedicated_edge_cluster_chosen_second=6),wld_dedicated_edge_cluster_chosen="Include"),"Dedicated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5" s="14"/>
      <c r="E275" s="219" t="str">
        <f>IF(B275="Value Missing","",IF(input_wld_az1_rack6_host10_function&lt;&gt;C275,"Update Host Function",""))</f>
        <v/>
      </c>
    </row>
    <row r="276" spans="2:5" ht="20" customHeight="1">
      <c r="B276" s="22" t="str">
        <v>Value Missing</v>
      </c>
      <c r="C276" s="230" t="str">
        <f>IF(wld_compute_hosts_per_rack6_calculated&gt;=11,IF(AND(OR(wld_dedicated_edge_cluster_chosen_first=6,wld_dedicated_edge_cluster_chosen_second=6),wld_dedicated_edge_cluster_chosen="Include"),"Dedicated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6" s="14"/>
      <c r="E276" s="219" t="str">
        <f>IF(B276="Value Missing","",IF(input_wld_az1_rack6_host11_function&lt;&gt;C276,"Update Host Function",""))</f>
        <v/>
      </c>
    </row>
    <row r="277" spans="2:5" ht="20" customHeight="1">
      <c r="B277" s="22" t="str">
        <v>Value Missing</v>
      </c>
      <c r="C277" s="230" t="str">
        <f>IF(wld_compute_hosts_per_rack6_calculated&gt;=12,IF(AND(OR(wld_dedicated_edge_cluster_chosen_first=6,wld_dedicated_edge_cluster_chosen_second=6),wld_dedicated_edge_cluster_chosen="Include"),"Dedicated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7" s="14"/>
      <c r="E277" s="219" t="str">
        <f>IF(B277="Value Missing","",IF(input_wld_az1_rack6_host12_function&lt;&gt;C277,"Update Host Function",""))</f>
        <v/>
      </c>
    </row>
    <row r="278" spans="2:5" ht="20" customHeight="1">
      <c r="B278" s="22" t="str">
        <v>Value Missing</v>
      </c>
      <c r="C278" s="230" t="str">
        <f>IF(wld_compute_hosts_per_rack6_calculated&gt;=13,IF(AND(OR(wld_dedicated_edge_cluster_chosen_first=6,wld_dedicated_edge_cluster_chosen_second=6),wld_dedicated_edge_cluster_chosen="Include"),"Dedicated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8" s="14"/>
      <c r="E278" s="219" t="str">
        <f>IF(B278="Value Missing","",IF(input_wld_az1_rack6_host13_function&lt;&gt;C278,"Update Host Function",""))</f>
        <v/>
      </c>
    </row>
    <row r="279" spans="2:5" ht="20" customHeight="1">
      <c r="B279" s="22" t="str">
        <v>Value Missing</v>
      </c>
      <c r="C279" s="230" t="str">
        <f>IF(wld_compute_hosts_per_rack6_calculated&gt;=14,IF(AND(OR(wld_dedicated_edge_cluster_chosen_first=6,wld_dedicated_edge_cluster_chosen_second=6),wld_dedicated_edge_cluster_chosen="Include"),"Dedicated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79" s="14"/>
      <c r="E279" s="219" t="str">
        <f>IF(B279="Value Missing","",IF(input_wld_az1_rack6_host14_function&lt;&gt;C279,"Update Host Function",""))</f>
        <v/>
      </c>
    </row>
    <row r="280" spans="2:5" ht="20" customHeight="1">
      <c r="B280" s="22" t="str">
        <v>Value Missing</v>
      </c>
      <c r="C280" s="230" t="str">
        <f>IF(wld_compute_hosts_per_rack6_calculated&gt;=15,IF(AND(OR(wld_dedicated_edge_cluster_chosen_first=6,wld_dedicated_edge_cluster_chosen_second=6),wld_dedicated_edge_cluster_chosen="Include"),"Dedicated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80" s="14"/>
      <c r="E280" s="219" t="str">
        <f>IF(B280="Value Missing","",IF(input_wld_az1_rack6_host15_function&lt;&gt;C280,"Update Host Function",""))</f>
        <v/>
      </c>
    </row>
    <row r="281" spans="2:5" ht="20" customHeight="1">
      <c r="B281" s="22" t="str">
        <v>Value Missing</v>
      </c>
      <c r="C281" s="230" t="str">
        <f>IF(wld_compute_hosts_per_rack6_calculated&gt;=16,IF(AND(OR(wld_dedicated_edge_cluster_chosen_first=6,wld_dedicated_edge_cluster_chosen_second=6),wld_dedicated_edge_cluster_chosen="Include"),"Dedicated Edge",IF(AND(OR(wld_dedicated_edge_cluster_chosen_first=6,wld_dedicated_edge_cluster_chosen_second=6),wld_dedicated_edge_cluster_chosen="Exclude"),"Dedicated Compute or Dedicated Edge","Dedicated Compute")),"")</f>
        <v/>
      </c>
      <c r="D281" s="14"/>
      <c r="E281" s="219" t="str">
        <f>IF(B281="Value Missing","",IF(input_wld_az1_rack6_host16_function&lt;&gt;C281,"Update Host Function",""))</f>
        <v/>
      </c>
    </row>
    <row r="282" spans="2:5" ht="16" customHeight="1"/>
    <row r="283" spans="2:5" ht="34" customHeight="1">
      <c r="B283" s="427" t="s">
        <v>3967</v>
      </c>
      <c r="C283" s="428"/>
      <c r="D283" s="428"/>
      <c r="E283" s="426"/>
    </row>
    <row r="284" spans="2:5" ht="20" customHeight="1">
      <c r="B284" s="467" t="s">
        <v>791</v>
      </c>
      <c r="C284" s="468"/>
      <c r="D284" s="468"/>
      <c r="E284" s="469"/>
    </row>
    <row r="285" spans="2:5" ht="20" customHeight="1">
      <c r="B285" s="205" t="s">
        <v>735</v>
      </c>
      <c r="C285" s="205" t="s">
        <v>554</v>
      </c>
      <c r="D285" s="206" t="s">
        <v>555</v>
      </c>
      <c r="E285" s="205" t="s">
        <v>222</v>
      </c>
    </row>
    <row r="286" spans="2:5" ht="20" customHeight="1">
      <c r="B286" s="21" t="s">
        <v>808</v>
      </c>
      <c r="C286" s="25" t="str">
        <f>CONCATENATE(sample_wld_sddc_domain,"-r07","-pg-uplink01")</f>
        <v>sfo-w01-r07-pg-uplink01</v>
      </c>
      <c r="D286" s="14"/>
      <c r="E286" s="14"/>
    </row>
    <row r="287" spans="2:5" ht="20" customHeight="1">
      <c r="B287" s="21" t="s">
        <v>809</v>
      </c>
      <c r="C287" s="25" t="str">
        <f>CONCATENATE(sample_wld_sddc_domain,"-r07","-pg-uplink02")</f>
        <v>sfo-w01-r07-pg-uplink02</v>
      </c>
      <c r="D287" s="14"/>
      <c r="E287" s="14"/>
    </row>
    <row r="288" spans="2:5" ht="20" customHeight="1">
      <c r="B288" s="21" t="s">
        <v>4650</v>
      </c>
      <c r="C288" s="25" t="str">
        <f>CONCATENATE(this_instance,"-w0",wld_domain_number_chosen,"-r07-network-pool-01")</f>
        <v>sfo-w01-r07-network-pool-01</v>
      </c>
      <c r="D288" s="14"/>
      <c r="E288" s="14"/>
    </row>
    <row r="289" spans="2:5" ht="20" customHeight="1">
      <c r="B289" s="21" t="s">
        <v>4101</v>
      </c>
      <c r="C289" s="25" t="str">
        <f>CONCATENATE(sample_wld_sddc_domain,"-",sample_wld_cl01_cluster,"-r07-network-profile")</f>
        <v>sfo-w01-sfo-w01-cl01-r07-network-profile</v>
      </c>
      <c r="D289" s="14"/>
      <c r="E289" s="14"/>
    </row>
    <row r="290" spans="2:5" ht="20" customHeight="1">
      <c r="B290" s="21" t="s">
        <v>4090</v>
      </c>
      <c r="C290" s="25" t="str">
        <f>CONCATENATE(sample_wld_sddc_domain,"-r07-ip-pool01-host")</f>
        <v>sfo-w01-r07-ip-pool01-host</v>
      </c>
      <c r="D290" s="14"/>
      <c r="E290" s="14"/>
    </row>
    <row r="291" spans="2:5" ht="20" customHeight="1">
      <c r="B291" s="21" t="s">
        <v>4100</v>
      </c>
      <c r="C291" s="25" t="str">
        <f>CONCATENATE(sample_wld_sddc_domain,"-r07-uplink-profile01")</f>
        <v>sfo-w01-r07-uplink-profile01</v>
      </c>
      <c r="D291" s="14"/>
      <c r="E291" s="14"/>
    </row>
    <row r="292" spans="2:5" ht="20" customHeight="1">
      <c r="B292" s="21" t="s">
        <v>4231</v>
      </c>
      <c r="C292" s="25" t="str">
        <f>CONCATENATE(sample_wld_sddc_domain,"-r07-ip-pool02-edge")</f>
        <v>sfo-w01-r07-ip-pool02-edge</v>
      </c>
      <c r="D292" s="14"/>
      <c r="E292" s="14"/>
    </row>
    <row r="293" spans="2:5" ht="20" customHeight="1">
      <c r="B293" s="21" t="s">
        <v>816</v>
      </c>
      <c r="C293" s="25" t="str">
        <f>CONCATENATE(this_instance,"-w0",wld_domain_number_chosen,"-r07-ip-pool-rtep")</f>
        <v>sfo-w01-r07-ip-pool-rtep</v>
      </c>
      <c r="D293" s="14"/>
      <c r="E293" s="14"/>
    </row>
    <row r="294" spans="2:5" ht="20" customHeight="1">
      <c r="B294" s="476" t="s">
        <v>931</v>
      </c>
      <c r="C294" s="477"/>
      <c r="D294" s="477"/>
      <c r="E294" s="478"/>
    </row>
    <row r="295" spans="2:5" ht="20" customHeight="1">
      <c r="B295" s="190" t="s">
        <v>735</v>
      </c>
      <c r="C295" s="190" t="s">
        <v>554</v>
      </c>
      <c r="D295" s="156" t="s">
        <v>555</v>
      </c>
      <c r="E295" s="190" t="s">
        <v>222</v>
      </c>
    </row>
    <row r="296" spans="2:5" ht="20" customHeight="1">
      <c r="B296" s="21" t="s">
        <v>4351</v>
      </c>
      <c r="C296" s="22" t="str">
        <f>CONCATENATE(this_instance,"-w0",wld_domain_number_chosen,"-r07","-vsan-fault-domain")</f>
        <v>sfo-w01-r07-vsan-fault-domain</v>
      </c>
      <c r="D296" s="14"/>
      <c r="E296" s="18"/>
    </row>
    <row r="297" spans="2:5" ht="20" customHeight="1">
      <c r="B297" s="467" t="s">
        <v>2303</v>
      </c>
      <c r="C297" s="468"/>
      <c r="D297" s="468"/>
      <c r="E297" s="469"/>
    </row>
    <row r="298" spans="2:5" ht="20" customHeight="1">
      <c r="B298" s="205" t="s">
        <v>555</v>
      </c>
      <c r="C298" s="205" t="s">
        <v>554</v>
      </c>
      <c r="D298" s="206" t="s">
        <v>555</v>
      </c>
      <c r="E298" s="205" t="s">
        <v>222</v>
      </c>
    </row>
    <row r="299" spans="2:5" ht="20" customHeight="1">
      <c r="B299" s="25" t="str" cm="1">
        <f t="array" ref="B299:B314">wld_az1_rack7_host_hostnames</f>
        <v>Value Missing</v>
      </c>
      <c r="C299" s="230" t="str">
        <f>IF(wld_compute_hosts_per_rack7_calculated&gt;=1,IF(AND(OR(wld_dedicated_edge_cluster_chosen_first=7,wld_dedicated_edge_cluster_chosen_second=7),wld_dedicated_edge_cluster_chosen="Include"),"Dedicated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299" s="14"/>
      <c r="E299" s="18" t="str">
        <f>IF(B299="Value Missing","",IF(input_wld_az1_rack7_host1_function&lt;&gt;C299,"Update Host Function",""))</f>
        <v/>
      </c>
    </row>
    <row r="300" spans="2:5" ht="20" customHeight="1">
      <c r="B300" s="25" t="str">
        <v>Value Missing</v>
      </c>
      <c r="C300" s="230" t="str">
        <f>IF(wld_compute_hosts_per_rack7_calculated&gt;=2,IF(AND(OR(wld_dedicated_edge_cluster_chosen_first=7,wld_dedicated_edge_cluster_chosen_second=7),wld_dedicated_edge_cluster_chosen="Include"),"Dedicated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0" s="14"/>
      <c r="E300" s="18" t="str">
        <f>IF(B300="Value Missing","",IF(input_wld_az1_rack7_host2_function&lt;&gt;C300,"Update Host Function",""))</f>
        <v/>
      </c>
    </row>
    <row r="301" spans="2:5" ht="20" customHeight="1">
      <c r="B301" s="25" t="str">
        <v>Value Missing</v>
      </c>
      <c r="C301" s="230" t="str">
        <f>IF(wld_compute_hosts_per_rack7_calculated&gt;=3,IF(AND(OR(wld_dedicated_edge_cluster_chosen_first=7,wld_dedicated_edge_cluster_chosen_second=7),wld_dedicated_edge_cluster_chosen="Include"),"Dedicated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1" s="14"/>
      <c r="E301" s="18" t="str">
        <f>IF(B301="Value Missing","",IF(input_wld_az1_rack7_host3_function&lt;&gt;C301,"Update Host Function",""))</f>
        <v/>
      </c>
    </row>
    <row r="302" spans="2:5" ht="20" customHeight="1">
      <c r="B302" s="22" t="str">
        <v>Value Missing</v>
      </c>
      <c r="C302" s="230" t="str">
        <f>IF(wld_compute_hosts_per_rack7_calculated&gt;=4,IF(AND(OR(wld_dedicated_edge_cluster_chosen_first=7,wld_dedicated_edge_cluster_chosen_second=7),wld_dedicated_edge_cluster_chosen="Include"),"Dedicated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2" s="14"/>
      <c r="E302" s="219" t="str">
        <f>IF(B302="Value Missing","",IF(input_wld_az1_rack7_host4_function&lt;&gt;C302,"Update Host Function",""))</f>
        <v/>
      </c>
    </row>
    <row r="303" spans="2:5" ht="20" customHeight="1">
      <c r="B303" s="22" t="str">
        <v>Value Missing</v>
      </c>
      <c r="C303" s="230" t="str">
        <f>IF(wld_compute_hosts_per_rack7_calculated&gt;=5,IF(AND(OR(wld_dedicated_edge_cluster_chosen_first=7,wld_dedicated_edge_cluster_chosen_second=7),wld_dedicated_edge_cluster_chosen="Include"),"Dedicated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3" s="14"/>
      <c r="E303" s="219" t="str">
        <f>IF(B303="Value Missing","",IF(input_wld_az1_rack7_host5_function&lt;&gt;C303,"Update Host Function",""))</f>
        <v/>
      </c>
    </row>
    <row r="304" spans="2:5" ht="20" customHeight="1">
      <c r="B304" s="22" t="str">
        <v>Value Missing</v>
      </c>
      <c r="C304" s="230" t="str">
        <f>IF(wld_compute_hosts_per_rack7_calculated&gt;=5,IF(AND(OR(wld_dedicated_edge_cluster_chosen_first=7,wld_dedicated_edge_cluster_chosen_second=7),wld_dedicated_edge_cluster_chosen="Include"),"Dedicated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4" s="14"/>
      <c r="E304" s="219" t="str">
        <f>IF(B304="Value Missing","",IF(input_wld_az1_rack7_host6_function&lt;&gt;C304,"Update Host Function",""))</f>
        <v/>
      </c>
    </row>
    <row r="305" spans="2:5" ht="20" customHeight="1">
      <c r="B305" s="22" t="str">
        <v>Value Missing</v>
      </c>
      <c r="C305" s="230" t="str">
        <f>IF(wld_compute_hosts_per_rack7_calculated&gt;=7,IF(AND(OR(wld_dedicated_edge_cluster_chosen_first=7,wld_dedicated_edge_cluster_chosen_second=7),wld_dedicated_edge_cluster_chosen="Include"),"Dedicated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5" s="14"/>
      <c r="E305" s="219" t="str">
        <f>IF(B305="Value Missing","",IF(input_wld_az1_rack7_host7_function&lt;&gt;C305,"Update Host Function",""))</f>
        <v/>
      </c>
    </row>
    <row r="306" spans="2:5" ht="20" customHeight="1">
      <c r="B306" s="22" t="str">
        <v>Value Missing</v>
      </c>
      <c r="C306" s="230" t="str">
        <f>IF(wld_compute_hosts_per_rack7_calculated&gt;=8,IF(AND(OR(wld_dedicated_edge_cluster_chosen_first=7,wld_dedicated_edge_cluster_chosen_second=7),wld_dedicated_edge_cluster_chosen="Include"),"Dedicated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6" s="14"/>
      <c r="E306" s="219" t="str">
        <f>IF(B306="Value Missing","",IF(input_wld_az1_rack7_host8_function&lt;&gt;C306,"Update Host Function",""))</f>
        <v/>
      </c>
    </row>
    <row r="307" spans="2:5" ht="20" customHeight="1">
      <c r="B307" s="22" t="str">
        <v>Value Missing</v>
      </c>
      <c r="C307" s="230" t="str">
        <f>IF(wld_compute_hosts_per_rack7_calculated&gt;=9,IF(AND(OR(wld_dedicated_edge_cluster_chosen_first=7,wld_dedicated_edge_cluster_chosen_second=7),wld_dedicated_edge_cluster_chosen="Include"),"Dedicated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7" s="14"/>
      <c r="E307" s="219" t="str">
        <f>IF(B307="Value Missing","",IF(input_wld_az1_rack7_host9_function&lt;&gt;C307,"Update Host Function",""))</f>
        <v/>
      </c>
    </row>
    <row r="308" spans="2:5" ht="20" customHeight="1">
      <c r="B308" s="22" t="str">
        <v>Value Missing</v>
      </c>
      <c r="C308" s="230" t="str">
        <f>IF(wld_compute_hosts_per_rack7_calculated&gt;=10,IF(AND(OR(wld_dedicated_edge_cluster_chosen_first=7,wld_dedicated_edge_cluster_chosen_second=7),wld_dedicated_edge_cluster_chosen="Include"),"Dedicated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8" s="14"/>
      <c r="E308" s="219" t="str">
        <f>IF(B308="Value Missing","",IF(input_wld_az1_rack7_host10_function&lt;&gt;C308,"Update Host Function",""))</f>
        <v/>
      </c>
    </row>
    <row r="309" spans="2:5" ht="20" customHeight="1">
      <c r="B309" s="22" t="str">
        <v>Value Missing</v>
      </c>
      <c r="C309" s="230" t="str">
        <f>IF(wld_compute_hosts_per_rack7_calculated&gt;=11,IF(AND(OR(wld_dedicated_edge_cluster_chosen_first=7,wld_dedicated_edge_cluster_chosen_second=7),wld_dedicated_edge_cluster_chosen="Include"),"Dedicated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09" s="14"/>
      <c r="E309" s="219" t="str">
        <f>IF(B309="Value Missing","",IF(input_wld_az1_rack7_host11_function&lt;&gt;C309,"Update Host Function",""))</f>
        <v/>
      </c>
    </row>
    <row r="310" spans="2:5" ht="20" customHeight="1">
      <c r="B310" s="22" t="str">
        <v>Value Missing</v>
      </c>
      <c r="C310" s="230" t="str">
        <f>IF(wld_compute_hosts_per_rack7_calculated&gt;=12,IF(AND(OR(wld_dedicated_edge_cluster_chosen_first=7,wld_dedicated_edge_cluster_chosen_second=7),wld_dedicated_edge_cluster_chosen="Include"),"Dedicated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10" s="14"/>
      <c r="E310" s="219" t="str">
        <f>IF(B310="Value Missing","",IF(input_wld_az1_rack7_host12_function&lt;&gt;C310,"Update Host Function",""))</f>
        <v/>
      </c>
    </row>
    <row r="311" spans="2:5" ht="20" customHeight="1">
      <c r="B311" s="22" t="str">
        <v>Value Missing</v>
      </c>
      <c r="C311" s="230" t="str">
        <f>IF(wld_compute_hosts_per_rack7_calculated&gt;=13,IF(AND(OR(wld_dedicated_edge_cluster_chosen_first=7,wld_dedicated_edge_cluster_chosen_second=7),wld_dedicated_edge_cluster_chosen="Include"),"Dedicated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11" s="14"/>
      <c r="E311" s="219" t="str">
        <f>IF(B311="Value Missing","",IF(input_wld_az1_rack7_host13_function&lt;&gt;C311,"Update Host Function",""))</f>
        <v/>
      </c>
    </row>
    <row r="312" spans="2:5" ht="20" customHeight="1">
      <c r="B312" s="22" t="str">
        <v>Value Missing</v>
      </c>
      <c r="C312" s="230" t="str">
        <f>IF(wld_compute_hosts_per_rack7_calculated&gt;=14,IF(AND(OR(wld_dedicated_edge_cluster_chosen_first=7,wld_dedicated_edge_cluster_chosen_second=7),wld_dedicated_edge_cluster_chosen="Include"),"Dedicated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12" s="14"/>
      <c r="E312" s="219" t="str">
        <f>IF(B312="Value Missing","",IF(input_wld_az1_rack7_host14_function&lt;&gt;C312,"Update Host Function",""))</f>
        <v/>
      </c>
    </row>
    <row r="313" spans="2:5" ht="20" customHeight="1">
      <c r="B313" s="22" t="str">
        <v>Value Missing</v>
      </c>
      <c r="C313" s="230" t="str">
        <f>IF(wld_compute_hosts_per_rack7_calculated&gt;=15,IF(AND(OR(wld_dedicated_edge_cluster_chosen_first=7,wld_dedicated_edge_cluster_chosen_second=7),wld_dedicated_edge_cluster_chosen="Include"),"Dedicated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13" s="14"/>
      <c r="E313" s="219" t="str">
        <f>IF(B313="Value Missing","",IF(input_wld_az1_rack7_host15_function&lt;&gt;C313,"Update Host Function",""))</f>
        <v/>
      </c>
    </row>
    <row r="314" spans="2:5" ht="20" customHeight="1">
      <c r="B314" s="22" t="str">
        <v>Value Missing</v>
      </c>
      <c r="C314" s="230" t="str">
        <f>IF(wld_compute_hosts_per_rack7_calculated&gt;=16,IF(AND(OR(wld_dedicated_edge_cluster_chosen_first=7,wld_dedicated_edge_cluster_chosen_second=7),wld_dedicated_edge_cluster_chosen="Include"),"Dedicated Edge",IF(AND(OR(wld_dedicated_edge_cluster_chosen_first=7,wld_dedicated_edge_cluster_chosen_second=7),wld_dedicated_edge_cluster_chosen="Exclude"),"Dedicated Compute or Dedicated Edge","Dedicated Compute")),"")</f>
        <v/>
      </c>
      <c r="D314" s="14"/>
      <c r="E314" s="219" t="str">
        <f>IF(B314="Value Missing","",IF(input_wld_az1_rack7_host16_function&lt;&gt;C314,"Update Host Function",""))</f>
        <v/>
      </c>
    </row>
    <row r="315" spans="2:5" ht="16" customHeight="1"/>
    <row r="316" spans="2:5" ht="34" customHeight="1">
      <c r="B316" s="427" t="s">
        <v>3968</v>
      </c>
      <c r="C316" s="428"/>
      <c r="D316" s="428"/>
      <c r="E316" s="426"/>
    </row>
    <row r="317" spans="2:5" ht="20" customHeight="1">
      <c r="B317" s="467" t="s">
        <v>791</v>
      </c>
      <c r="C317" s="468"/>
      <c r="D317" s="468"/>
      <c r="E317" s="469"/>
    </row>
    <row r="318" spans="2:5" ht="20" customHeight="1">
      <c r="B318" s="21" t="s">
        <v>808</v>
      </c>
      <c r="C318" s="25" t="str">
        <f>CONCATENATE(sample_wld_sddc_domain,"-r08","-pg-uplink01")</f>
        <v>sfo-w01-r08-pg-uplink01</v>
      </c>
      <c r="D318" s="14"/>
      <c r="E318" s="14"/>
    </row>
    <row r="319" spans="2:5" ht="20" customHeight="1">
      <c r="B319" s="21" t="s">
        <v>809</v>
      </c>
      <c r="C319" s="25" t="str">
        <f>CONCATENATE(sample_wld_sddc_domain,"-r08","-pg-uplink02")</f>
        <v>sfo-w01-r08-pg-uplink02</v>
      </c>
      <c r="D319" s="14"/>
      <c r="E319" s="14"/>
    </row>
    <row r="320" spans="2:5" ht="20" customHeight="1">
      <c r="B320" s="21" t="s">
        <v>4650</v>
      </c>
      <c r="C320" s="25" t="str">
        <f>CONCATENATE(this_instance,"-w0",wld_domain_number_chosen,"-r08-network-pool-01")</f>
        <v>sfo-w01-r08-network-pool-01</v>
      </c>
      <c r="D320" s="14"/>
      <c r="E320" s="14"/>
    </row>
    <row r="321" spans="2:5" ht="20" customHeight="1">
      <c r="B321" s="21" t="s">
        <v>4101</v>
      </c>
      <c r="C321" s="25" t="str">
        <f>CONCATENATE(sample_wld_sddc_domain,"-",sample_wld_cl01_cluster,"-r08-network-profile")</f>
        <v>sfo-w01-sfo-w01-cl01-r08-network-profile</v>
      </c>
      <c r="D321" s="14"/>
      <c r="E321" s="14"/>
    </row>
    <row r="322" spans="2:5" ht="20" customHeight="1">
      <c r="B322" s="21" t="s">
        <v>4090</v>
      </c>
      <c r="C322" s="25" t="str">
        <f>CONCATENATE(sample_wld_sddc_domain,"-r08-ip-pool-01-host")</f>
        <v>sfo-w01-r08-ip-pool-01-host</v>
      </c>
      <c r="D322" s="14"/>
      <c r="E322" s="14"/>
    </row>
    <row r="323" spans="2:5" ht="20" customHeight="1">
      <c r="B323" s="21" t="s">
        <v>4100</v>
      </c>
      <c r="C323" s="25" t="str">
        <f>CONCATENATE(sample_wld_sddc_domain,"-r08-uplink-profile01")</f>
        <v>sfo-w01-r08-uplink-profile01</v>
      </c>
      <c r="D323" s="14"/>
      <c r="E323" s="14"/>
    </row>
    <row r="324" spans="2:5" ht="20" customHeight="1">
      <c r="B324" s="21" t="s">
        <v>4090</v>
      </c>
      <c r="C324" s="25" t="str">
        <f>CONCATENATE(sample_wld_sddc_domain,"-r08-ip-pool-02-edge")</f>
        <v>sfo-w01-r08-ip-pool-02-edge</v>
      </c>
      <c r="D324" s="14"/>
      <c r="E324" s="14"/>
    </row>
    <row r="325" spans="2:5" ht="20" customHeight="1">
      <c r="B325" s="21" t="s">
        <v>816</v>
      </c>
      <c r="C325" s="25" t="str">
        <f>CONCATENATE(this_instance,"-w0",wld_domain_number_chosen,"-r08-ip-pool-rtep")</f>
        <v>sfo-w01-r08-ip-pool-rtep</v>
      </c>
      <c r="D325" s="14"/>
      <c r="E325" s="14"/>
    </row>
    <row r="326" spans="2:5" ht="20" customHeight="1">
      <c r="B326" s="476" t="s">
        <v>931</v>
      </c>
      <c r="C326" s="477"/>
      <c r="D326" s="477"/>
      <c r="E326" s="478"/>
    </row>
    <row r="327" spans="2:5" ht="20" customHeight="1">
      <c r="B327" s="190" t="s">
        <v>735</v>
      </c>
      <c r="C327" s="190" t="s">
        <v>554</v>
      </c>
      <c r="D327" s="156" t="s">
        <v>555</v>
      </c>
      <c r="E327" s="190" t="s">
        <v>222</v>
      </c>
    </row>
    <row r="328" spans="2:5" ht="20" customHeight="1">
      <c r="B328" s="21" t="s">
        <v>4351</v>
      </c>
      <c r="C328" s="22" t="str">
        <f>CONCATENATE(this_instance,"-w0",wld_domain_number_chosen,"-r08","-vsan-fault-domain")</f>
        <v>sfo-w01-r08-vsan-fault-domain</v>
      </c>
      <c r="D328" s="14"/>
      <c r="E328" s="18"/>
    </row>
    <row r="329" spans="2:5" ht="20" customHeight="1">
      <c r="B329" s="467" t="s">
        <v>4209</v>
      </c>
      <c r="C329" s="468"/>
      <c r="D329" s="468"/>
      <c r="E329" s="469"/>
    </row>
    <row r="330" spans="2:5" ht="20" customHeight="1">
      <c r="B330" s="205" t="s">
        <v>555</v>
      </c>
      <c r="C330" s="205" t="s">
        <v>554</v>
      </c>
      <c r="D330" s="206" t="s">
        <v>555</v>
      </c>
      <c r="E330" s="205" t="s">
        <v>222</v>
      </c>
    </row>
    <row r="331" spans="2:5" ht="20" customHeight="1">
      <c r="B331" s="25" t="str" cm="1">
        <f t="array" ref="B331:B346">wld_az1_rack8_host_hostnames</f>
        <v>Value Missing</v>
      </c>
      <c r="C331" s="230" t="str">
        <f>IF(wld_compute_hosts_per_rack8_calculated&gt;=1,IF(AND(OR(wld_dedicated_edge_cluster_chosen_first=8,wld_dedicated_edge_cluster_chosen_second=8),wld_dedicated_edge_cluster_chosen="Include"),"Dedicated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1" s="14"/>
      <c r="E331" s="18" t="str">
        <f>IF(B331="Value Missing","",IF(input_wld_az1_rack8_host1_function&lt;&gt;C331,"Update Host Function",""))</f>
        <v/>
      </c>
    </row>
    <row r="332" spans="2:5" ht="20" customHeight="1">
      <c r="B332" s="25" t="str">
        <v>Value Missing</v>
      </c>
      <c r="C332" s="230" t="str">
        <f>IF(wld_compute_hosts_per_rack8_calculated&gt;=2,IF(AND(OR(wld_dedicated_edge_cluster_chosen_first=8,wld_dedicated_edge_cluster_chosen_second=8),wld_dedicated_edge_cluster_chosen="Include"),"Dedicated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2" s="14"/>
      <c r="E332" s="18" t="str">
        <f>IF(B332="Value Missing","",IF(input_wld_az1_rack8_host2_function&lt;&gt;C332,"Update Host Function",""))</f>
        <v/>
      </c>
    </row>
    <row r="333" spans="2:5" ht="20" customHeight="1">
      <c r="B333" s="25" t="str">
        <v>Value Missing</v>
      </c>
      <c r="C333" s="230" t="str">
        <f>IF(wld_compute_hosts_per_rack8_calculated&gt;=3,IF(AND(OR(wld_dedicated_edge_cluster_chosen_first=8,wld_dedicated_edge_cluster_chosen_second=8),wld_dedicated_edge_cluster_chosen="Include"),"Dedicated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3" s="14"/>
      <c r="E333" s="18" t="str">
        <f>IF(B333="Value Missing","",IF(input_wld_az1_rack8_host3_function&lt;&gt;C333,"Update Host Function",""))</f>
        <v/>
      </c>
    </row>
    <row r="334" spans="2:5" ht="20" customHeight="1">
      <c r="B334" s="22" t="str">
        <v>Value Missing</v>
      </c>
      <c r="C334" s="230" t="str">
        <f>IF(wld_compute_hosts_per_rack8_calculated&gt;=4,IF(AND(OR(wld_dedicated_edge_cluster_chosen_first=8,wld_dedicated_edge_cluster_chosen_second=8),wld_dedicated_edge_cluster_chosen="Include"),"Dedicated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4" s="14"/>
      <c r="E334" s="219" t="str">
        <f>IF(B334="Value Missing","",IF(input_wld_az1_rack8_host4_function&lt;&gt;C334,"Update Host Function",""))</f>
        <v/>
      </c>
    </row>
    <row r="335" spans="2:5" ht="20" customHeight="1">
      <c r="B335" s="22" t="str">
        <v>Value Missing</v>
      </c>
      <c r="C335" s="230" t="str">
        <f>IF(wld_compute_hosts_per_rack8_calculated&gt;=5,IF(AND(OR(wld_dedicated_edge_cluster_chosen_first=8,wld_dedicated_edge_cluster_chosen_second=8),wld_dedicated_edge_cluster_chosen="Include"),"Dedicated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5" s="14"/>
      <c r="E335" s="219" t="str">
        <f>IF(B335="Value Missing","",IF(input_wld_az1_rack8_host5_function&lt;&gt;C335,"Update Host Function",""))</f>
        <v/>
      </c>
    </row>
    <row r="336" spans="2:5" ht="20" customHeight="1">
      <c r="B336" s="22" t="str">
        <v>Value Missing</v>
      </c>
      <c r="C336" s="230" t="str">
        <f>IF(wld_compute_hosts_per_rack8_calculated&gt;=6,IF(AND(OR(wld_dedicated_edge_cluster_chosen_first=8,wld_dedicated_edge_cluster_chosen_second=8),wld_dedicated_edge_cluster_chosen="Include"),"Dedicated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6" s="14"/>
      <c r="E336" s="219" t="str">
        <f>IF(B336="Value Missing","",IF(input_wld_az1_rack8_host6_function&lt;&gt;C336,"Update Host Function",""))</f>
        <v/>
      </c>
    </row>
    <row r="337" spans="2:5" ht="20" customHeight="1">
      <c r="B337" s="22" t="str">
        <v>Value Missing</v>
      </c>
      <c r="C337" s="230" t="str">
        <f>IF(wld_compute_hosts_per_rack8_calculated&gt;=7,IF(AND(OR(wld_dedicated_edge_cluster_chosen_first=8,wld_dedicated_edge_cluster_chosen_second=8),wld_dedicated_edge_cluster_chosen="Include"),"Dedicated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7" s="14"/>
      <c r="E337" s="219" t="str">
        <f>IF(B337="Value Missing","",IF(input_wld_az1_rack8_host7_function&lt;&gt;C337,"Update Host Function",""))</f>
        <v/>
      </c>
    </row>
    <row r="338" spans="2:5" ht="20" customHeight="1">
      <c r="B338" s="22" t="str">
        <v>Value Missing</v>
      </c>
      <c r="C338" s="230" t="str">
        <f>IF(wld_compute_hosts_per_rack8_calculated&gt;=8,IF(AND(OR(wld_dedicated_edge_cluster_chosen_first=8,wld_dedicated_edge_cluster_chosen_second=8),wld_dedicated_edge_cluster_chosen="Include"),"Dedicated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8" s="14"/>
      <c r="E338" s="219" t="str">
        <f>IF(B338="Value Missing","",IF(input_wld_az1_rack8_host8_function&lt;&gt;C338,"Update Host Function",""))</f>
        <v/>
      </c>
    </row>
    <row r="339" spans="2:5" ht="20" customHeight="1">
      <c r="B339" s="22" t="str">
        <v>Value Missing</v>
      </c>
      <c r="C339" s="230" t="str">
        <f>IF(wld_compute_hosts_per_rack8_calculated&gt;=9,IF(AND(OR(wld_dedicated_edge_cluster_chosen_first=8,wld_dedicated_edge_cluster_chosen_second=8),wld_dedicated_edge_cluster_chosen="Include"),"Dedicated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39" s="14"/>
      <c r="E339" s="219" t="str">
        <f>IF(B339="Value Missing","",IF(input_wld_az1_rack8_host9_function&lt;&gt;C339,"Update Host Function",""))</f>
        <v/>
      </c>
    </row>
    <row r="340" spans="2:5" ht="20" customHeight="1">
      <c r="B340" s="22" t="str">
        <v>Value Missing</v>
      </c>
      <c r="C340" s="230" t="str">
        <f>IF(wld_compute_hosts_per_rack8_calculated&gt;=10,IF(AND(OR(wld_dedicated_edge_cluster_chosen_first=8,wld_dedicated_edge_cluster_chosen_second=8),wld_dedicated_edge_cluster_chosen="Include"),"Dedicated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40" s="14"/>
      <c r="E340" s="219" t="str">
        <f>IF(B340="Value Missing","",IF(input_wld_az1_rack8_host10_function&lt;&gt;C340,"Update Host Function",""))</f>
        <v/>
      </c>
    </row>
    <row r="341" spans="2:5" ht="20" customHeight="1">
      <c r="B341" s="22" t="str">
        <v>Value Missing</v>
      </c>
      <c r="C341" s="230" t="str">
        <f>IF(wld_compute_hosts_per_rack8_calculated&gt;=11,IF(AND(OR(wld_dedicated_edge_cluster_chosen_first=8,wld_dedicated_edge_cluster_chosen_second=8),wld_dedicated_edge_cluster_chosen="Include"),"Dedicated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41" s="14"/>
      <c r="E341" s="219" t="str">
        <f>IF(B341="Value Missing","",IF(input_wld_az1_rack8_host11_function&lt;&gt;C341,"Update Host Function",""))</f>
        <v/>
      </c>
    </row>
    <row r="342" spans="2:5" ht="20" customHeight="1">
      <c r="B342" s="22" t="str">
        <v>Value Missing</v>
      </c>
      <c r="C342" s="230" t="str">
        <f>IF(wld_compute_hosts_per_rack8_calculated&gt;=12,IF(AND(OR(wld_dedicated_edge_cluster_chosen_first=8,wld_dedicated_edge_cluster_chosen_second=8),wld_dedicated_edge_cluster_chosen="Include"),"Dedicated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42" s="14"/>
      <c r="E342" s="219" t="str">
        <f>IF(B342="Value Missing","",IF(input_wld_az1_rack8_host12_function&lt;&gt;C342,"Update Host Function",""))</f>
        <v/>
      </c>
    </row>
    <row r="343" spans="2:5" ht="20" customHeight="1">
      <c r="B343" s="22" t="str">
        <v>Value Missing</v>
      </c>
      <c r="C343" s="230" t="str">
        <f>IF(wld_compute_hosts_per_rack8_calculated&gt;=13,IF(AND(OR(wld_dedicated_edge_cluster_chosen_first=8,wld_dedicated_edge_cluster_chosen_second=8),wld_dedicated_edge_cluster_chosen="Include"),"Dedicated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43" s="14"/>
      <c r="E343" s="219" t="str">
        <f>IF(B343="Value Missing","",IF(input_wld_az1_rack8_host13_function&lt;&gt;C343,"Update Host Function",""))</f>
        <v/>
      </c>
    </row>
    <row r="344" spans="2:5" ht="20" customHeight="1">
      <c r="B344" s="22" t="str">
        <v>Value Missing</v>
      </c>
      <c r="C344" s="230" t="str">
        <f>IF(wld_compute_hosts_per_rack8_calculated&gt;=14,IF(AND(OR(wld_dedicated_edge_cluster_chosen_first=8,wld_dedicated_edge_cluster_chosen_second=8),wld_dedicated_edge_cluster_chosen="Include"),"Dedicated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44" s="14"/>
      <c r="E344" s="219" t="str">
        <f>IF(B344="Value Missing","",IF(input_wld_az1_rack8_host14_function&lt;&gt;C344,"Update Host Function",""))</f>
        <v/>
      </c>
    </row>
    <row r="345" spans="2:5" ht="20" customHeight="1">
      <c r="B345" s="22" t="str">
        <v>Value Missing</v>
      </c>
      <c r="C345" s="230" t="str">
        <f>IF(wld_compute_hosts_per_rack8_calculated&gt;=15,IF(AND(OR(wld_dedicated_edge_cluster_chosen_first=8,wld_dedicated_edge_cluster_chosen_second=8),wld_dedicated_edge_cluster_chosen="Include"),"Dedicated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45" s="14"/>
      <c r="E345" s="219" t="str">
        <f>IF(B345="Value Missing","",IF(input_wld_az1_rack8_host15_function&lt;&gt;C345,"Update Host Function",""))</f>
        <v/>
      </c>
    </row>
    <row r="346" spans="2:5" ht="20" customHeight="1">
      <c r="B346" s="22" t="str">
        <v>Value Missing</v>
      </c>
      <c r="C346" s="230" t="str">
        <f>IF(wld_compute_hosts_per_rack8_calculated&gt;=16,IF(AND(OR(wld_dedicated_edge_cluster_chosen_first=8,wld_dedicated_edge_cluster_chosen_second=8),wld_dedicated_edge_cluster_chosen="Include"),"Dedicated Edge",IF(AND(OR(wld_dedicated_edge_cluster_chosen_first=8,wld_dedicated_edge_cluster_chosen_second=8),wld_dedicated_edge_cluster_chosen="Exclude"),"Dedicated Compute or Dedicated Edge","Dedicated Compute")),"")</f>
        <v/>
      </c>
      <c r="D346" s="14"/>
      <c r="E346" s="219" t="str">
        <f>IF(B346="Value Missing","",IF(input_wld_az1_rack8_host16_function&lt;&gt;C346,"Update Host Function",""))</f>
        <v/>
      </c>
    </row>
  </sheetData>
  <sheetProtection algorithmName="SHA-512" hashValue="vgbJ1J5kwVCuRYk6mMfECOS4y3/VoPXQYjenuOFniT1gt3ldVn8rrn+2fWFLu0MqVBEmLN9SaGGet3+tqArV0Q==" saltValue="esjrm5VlagfpYOeCLmceEA==" spinCount="100000" sheet="1" selectLockedCells="1"/>
  <mergeCells count="42">
    <mergeCell ref="B261:E261"/>
    <mergeCell ref="B294:E294"/>
    <mergeCell ref="B326:E326"/>
    <mergeCell ref="B218:E218"/>
    <mergeCell ref="B251:E251"/>
    <mergeCell ref="B297:E297"/>
    <mergeCell ref="B283:E283"/>
    <mergeCell ref="B284:E284"/>
    <mergeCell ref="B316:E316"/>
    <mergeCell ref="B317:E317"/>
    <mergeCell ref="B2:E2"/>
    <mergeCell ref="B3:E3"/>
    <mergeCell ref="B118:E118"/>
    <mergeCell ref="B152:E152"/>
    <mergeCell ref="B184:E184"/>
    <mergeCell ref="B73:E73"/>
    <mergeCell ref="B42:E42"/>
    <mergeCell ref="B36:E36"/>
    <mergeCell ref="B35:E35"/>
    <mergeCell ref="B93:E93"/>
    <mergeCell ref="B99:E99"/>
    <mergeCell ref="B132:E132"/>
    <mergeCell ref="B61:E61"/>
    <mergeCell ref="B70:E70"/>
    <mergeCell ref="B129:E129"/>
    <mergeCell ref="B162:E162"/>
    <mergeCell ref="B6:E6"/>
    <mergeCell ref="B16:E16"/>
    <mergeCell ref="B329:E329"/>
    <mergeCell ref="B119:E119"/>
    <mergeCell ref="B7:E7"/>
    <mergeCell ref="B62:E62"/>
    <mergeCell ref="B231:E231"/>
    <mergeCell ref="B264:E264"/>
    <mergeCell ref="B165:E165"/>
    <mergeCell ref="B198:E198"/>
    <mergeCell ref="B250:E250"/>
    <mergeCell ref="B151:E151"/>
    <mergeCell ref="B185:E185"/>
    <mergeCell ref="B217:E217"/>
    <mergeCell ref="B195:E195"/>
    <mergeCell ref="B228:E228"/>
  </mergeCells>
  <conditionalFormatting sqref="B61:B63">
    <cfRule type="expression" dxfId="3346" priority="872">
      <formula>wld_domain_result="Excluded"</formula>
    </cfRule>
  </conditionalFormatting>
  <conditionalFormatting sqref="B75:B90 D75:D90">
    <cfRule type="notContainsBlanks" dxfId="3345" priority="981">
      <formula>LEN(TRIM(B75))&gt;0</formula>
    </cfRule>
  </conditionalFormatting>
  <conditionalFormatting sqref="B134:B149 D134:D149">
    <cfRule type="notContainsBlanks" dxfId="3343" priority="833">
      <formula>LEN(TRIM(B134))&gt;0</formula>
    </cfRule>
  </conditionalFormatting>
  <conditionalFormatting sqref="B167:B182 D167:E182">
    <cfRule type="expression" dxfId="3342" priority="228">
      <formula>wld_domain_result="Excluded"</formula>
    </cfRule>
  </conditionalFormatting>
  <conditionalFormatting sqref="B233:B248 D233:D248">
    <cfRule type="notContainsBlanks" dxfId="3341" priority="316">
      <formula>LEN(TRIM(B233))&gt;0</formula>
    </cfRule>
  </conditionalFormatting>
  <conditionalFormatting sqref="B233:B248 D233:E248">
    <cfRule type="expression" dxfId="3340" priority="190">
      <formula>wld_domain_result="Excluded"</formula>
    </cfRule>
  </conditionalFormatting>
  <conditionalFormatting sqref="B266:B281 D266:E281">
    <cfRule type="expression" dxfId="3339" priority="171">
      <formula>wld_domain_result="Excluded"</formula>
    </cfRule>
  </conditionalFormatting>
  <conditionalFormatting sqref="B299:B314 D299:E314">
    <cfRule type="expression" dxfId="3338" priority="150">
      <formula>wld_domain_result="Excluded"</formula>
    </cfRule>
  </conditionalFormatting>
  <conditionalFormatting sqref="B331:B346 D331:E346">
    <cfRule type="expression" dxfId="3337" priority="131">
      <formula>wld_domain_result="Excluded"</formula>
    </cfRule>
  </conditionalFormatting>
  <conditionalFormatting sqref="B6:E9 B16:E21">
    <cfRule type="expression" dxfId="3336" priority="416">
      <formula>mgmt_domain_result="Excluded"</formula>
    </cfRule>
  </conditionalFormatting>
  <conditionalFormatting sqref="B10:E12">
    <cfRule type="expression" dxfId="3335" priority="12">
      <formula>OR((mgmt_domain_result="Excluded"),(mgmt_host_overlay_addressing_chosen="DHCP"))</formula>
    </cfRule>
  </conditionalFormatting>
  <conditionalFormatting sqref="B13:E14">
    <cfRule type="expression" dxfId="3334" priority="10">
      <formula>OR((wld_multirack_chosen="Exclude"),(wld_multirack_chosen="Include"))</formula>
    </cfRule>
  </conditionalFormatting>
  <conditionalFormatting sqref="B15:E15">
    <cfRule type="expression" dxfId="3333" priority="988">
      <formula>OR((mgmt_domain_result="Excluded"),(mgmt_nsxt_federation_result="Excluded"))</formula>
    </cfRule>
  </conditionalFormatting>
  <conditionalFormatting sqref="B22:E22">
    <cfRule type="expression" dxfId="3332" priority="244" stopIfTrue="1">
      <formula>$B$22="Value Missing"</formula>
    </cfRule>
  </conditionalFormatting>
  <conditionalFormatting sqref="B23:E23">
    <cfRule type="expression" dxfId="3331" priority="298">
      <formula>$B$23="Value Missing"</formula>
    </cfRule>
  </conditionalFormatting>
  <conditionalFormatting sqref="B24:E24">
    <cfRule type="expression" dxfId="3330" priority="299">
      <formula>$B$24="Value Missing"</formula>
    </cfRule>
  </conditionalFormatting>
  <conditionalFormatting sqref="B25:E25">
    <cfRule type="expression" dxfId="3329" priority="300">
      <formula>$B$25="Value Missing"</formula>
    </cfRule>
  </conditionalFormatting>
  <conditionalFormatting sqref="B26:E26">
    <cfRule type="expression" dxfId="3328" priority="301">
      <formula>$B$26="Value Missing"</formula>
    </cfRule>
  </conditionalFormatting>
  <conditionalFormatting sqref="B27:E27">
    <cfRule type="expression" dxfId="3327" priority="302">
      <formula>$B$27="Value Missing"</formula>
    </cfRule>
  </conditionalFormatting>
  <conditionalFormatting sqref="B28:E28">
    <cfRule type="expression" dxfId="3326" priority="303">
      <formula>$B$28="Value Missing"</formula>
    </cfRule>
  </conditionalFormatting>
  <conditionalFormatting sqref="B29:E29">
    <cfRule type="expression" dxfId="3325" priority="304">
      <formula>$B$29="Value Missing"</formula>
    </cfRule>
  </conditionalFormatting>
  <conditionalFormatting sqref="B30:E30">
    <cfRule type="expression" dxfId="3324" priority="305">
      <formula>$B$30="Value Missing"</formula>
    </cfRule>
  </conditionalFormatting>
  <conditionalFormatting sqref="B31:E31">
    <cfRule type="expression" dxfId="3323" priority="306">
      <formula>$B$31="Value Missing"</formula>
    </cfRule>
  </conditionalFormatting>
  <conditionalFormatting sqref="B32:E32">
    <cfRule type="expression" dxfId="3322" priority="307">
      <formula>$B$32="Value Missing"</formula>
    </cfRule>
  </conditionalFormatting>
  <conditionalFormatting sqref="B33:E33">
    <cfRule type="expression" dxfId="3321" priority="308">
      <formula>$B$33="Value Missing"</formula>
    </cfRule>
  </conditionalFormatting>
  <conditionalFormatting sqref="B35:E59">
    <cfRule type="expression" dxfId="3320" priority="297">
      <formula>OR((mgmt_domain_result="Excluded"),(mgmt_stretched_cluster_result="Excluded"))</formula>
    </cfRule>
  </conditionalFormatting>
  <conditionalFormatting sqref="B39:E41">
    <cfRule type="expression" dxfId="3319" priority="18">
      <formula>mgmt_host_overlay_addressing_chosen="DHCP"</formula>
    </cfRule>
  </conditionalFormatting>
  <conditionalFormatting sqref="B48:E48">
    <cfRule type="expression" dxfId="3318" priority="296">
      <formula>$B$48="Value Missing"</formula>
    </cfRule>
  </conditionalFormatting>
  <conditionalFormatting sqref="B49:E49">
    <cfRule type="expression" dxfId="3317" priority="295">
      <formula>$B$49="Value Missing"</formula>
    </cfRule>
  </conditionalFormatting>
  <conditionalFormatting sqref="B50:E50">
    <cfRule type="expression" dxfId="3316" priority="294">
      <formula>$B$50="Value Missing"</formula>
    </cfRule>
  </conditionalFormatting>
  <conditionalFormatting sqref="B51:E51">
    <cfRule type="expression" dxfId="3315" priority="293">
      <formula>$B$51="Value Missing"</formula>
    </cfRule>
  </conditionalFormatting>
  <conditionalFormatting sqref="B52:E52">
    <cfRule type="expression" dxfId="3314" priority="292">
      <formula>$B$52="Value Missing"</formula>
    </cfRule>
  </conditionalFormatting>
  <conditionalFormatting sqref="B53:E53">
    <cfRule type="expression" dxfId="3313" priority="291">
      <formula>$B$53="Value Missing"</formula>
    </cfRule>
  </conditionalFormatting>
  <conditionalFormatting sqref="B54:E54">
    <cfRule type="expression" dxfId="3312" priority="290">
      <formula>$B$54="Value Missing"</formula>
    </cfRule>
  </conditionalFormatting>
  <conditionalFormatting sqref="B55:E55">
    <cfRule type="expression" dxfId="3311" priority="289">
      <formula>$B$55="Value Missing"</formula>
    </cfRule>
  </conditionalFormatting>
  <conditionalFormatting sqref="B56:E56">
    <cfRule type="expression" dxfId="3310" priority="288">
      <formula>$B$56="Value Missing"</formula>
    </cfRule>
  </conditionalFormatting>
  <conditionalFormatting sqref="B57:E57">
    <cfRule type="expression" dxfId="3309" priority="287">
      <formula>$B$57="Value Missing"</formula>
    </cfRule>
  </conditionalFormatting>
  <conditionalFormatting sqref="B58:E58">
    <cfRule type="expression" dxfId="3308" priority="286">
      <formula>$B$58="Value Missing"</formula>
    </cfRule>
  </conditionalFormatting>
  <conditionalFormatting sqref="B59:E59">
    <cfRule type="expression" dxfId="3307" priority="245">
      <formula>$B$59="Value Missing"</formula>
    </cfRule>
  </conditionalFormatting>
  <conditionalFormatting sqref="B61:E69 B73:E90 B92:E116">
    <cfRule type="expression" dxfId="3306" priority="210">
      <formula>wld_domain_result="Excluded"</formula>
    </cfRule>
  </conditionalFormatting>
  <conditionalFormatting sqref="B65:E65 B68:E68">
    <cfRule type="expression" dxfId="3305" priority="17">
      <formula>wld_multirack_chosen="Exclude"</formula>
    </cfRule>
  </conditionalFormatting>
  <conditionalFormatting sqref="B65:E65">
    <cfRule type="expression" dxfId="3304" priority="9">
      <formula>(AND(OR(wld_dedicated_edge_cluster_chosen_first=1,wld_dedicated_edge_cluster_chosen_second=1),(wld_dedicated_edge_cluster_result="Included")))</formula>
    </cfRule>
  </conditionalFormatting>
  <conditionalFormatting sqref="B66:E66">
    <cfRule type="expression" dxfId="3303" priority="15">
      <formula>wld_host_overlay_addressing_chosen&lt;&gt;"Static"</formula>
    </cfRule>
  </conditionalFormatting>
  <conditionalFormatting sqref="B68:E68">
    <cfRule type="expression" dxfId="3302" priority="84">
      <formula>OR(wld_domain_result="Excluded",AND(wld_multirack_result="Included",AND(wld_dedicated_edge_cluster_chosen_first&lt;&gt;1,wld_dedicated_edge_cluster_chosen_second&lt;&gt;1)))</formula>
    </cfRule>
  </conditionalFormatting>
  <conditionalFormatting sqref="B70:E72">
    <cfRule type="expression" dxfId="3301" priority="51">
      <formula>(AND(OR(wld_dedicated_edge_cluster_chosen_first=1,wld_dedicated_edge_cluster_chosen_second=1),(wld_dedicated_edge_cluster_chosen="Include")))</formula>
    </cfRule>
  </conditionalFormatting>
  <conditionalFormatting sqref="B75:E75">
    <cfRule type="expression" dxfId="3300" priority="252">
      <formula>wld_compute_hosts_per_rack1_calculated=0</formula>
    </cfRule>
  </conditionalFormatting>
  <conditionalFormatting sqref="B76:E76">
    <cfRule type="expression" dxfId="3299" priority="254">
      <formula>wld_compute_hosts_per_rack1_calculated&lt;2</formula>
    </cfRule>
    <cfRule type="expression" dxfId="3298" priority="253">
      <formula>wld_compute_hosts_per_rack1_calculated&lt;1</formula>
    </cfRule>
  </conditionalFormatting>
  <conditionalFormatting sqref="B77:E77">
    <cfRule type="expression" dxfId="3297" priority="255">
      <formula>wld_compute_hosts_per_rack1_calculated&lt;3</formula>
    </cfRule>
    <cfRule type="expression" dxfId="3296" priority="19">
      <formula>AND((wld_multirack_result="Excluded"),($B$77="Value Missing"))</formula>
    </cfRule>
  </conditionalFormatting>
  <conditionalFormatting sqref="B78:E78">
    <cfRule type="expression" dxfId="3295" priority="20">
      <formula>AND((wld_multirack_result="Excluded"),($B$78="Value Missing"))</formula>
    </cfRule>
    <cfRule type="expression" dxfId="3294" priority="258">
      <formula>wld_compute_hosts_per_rack1_calculated&lt;4</formula>
    </cfRule>
  </conditionalFormatting>
  <conditionalFormatting sqref="B79:E79">
    <cfRule type="expression" dxfId="3293" priority="259">
      <formula>wld_compute_hosts_per_rack1_calculated&lt;5</formula>
    </cfRule>
    <cfRule type="expression" dxfId="3292" priority="43">
      <formula>AND((wld_multirack_result="Excluded"),($B$79="Value Missing"))</formula>
    </cfRule>
  </conditionalFormatting>
  <conditionalFormatting sqref="B80:E80">
    <cfRule type="expression" dxfId="3291" priority="260">
      <formula>wld_compute_hosts_per_rack1_calculated&lt;6</formula>
    </cfRule>
    <cfRule type="expression" dxfId="3290" priority="44">
      <formula>AND((wld_multirack_result="Excluded"),($B$80="Value Missing"))</formula>
    </cfRule>
  </conditionalFormatting>
  <conditionalFormatting sqref="B81:E81">
    <cfRule type="expression" dxfId="3289" priority="261">
      <formula>wld_compute_hosts_per_rack1_calculated&lt;7</formula>
    </cfRule>
    <cfRule type="expression" dxfId="3288" priority="42">
      <formula>AND((wld_multirack_result="Excluded"),($B$81="Value Missing"))</formula>
    </cfRule>
  </conditionalFormatting>
  <conditionalFormatting sqref="B82:E82">
    <cfRule type="expression" dxfId="3287" priority="262">
      <formula>wld_compute_hosts_per_rack1_calculated&lt;8</formula>
    </cfRule>
    <cfRule type="expression" dxfId="3286" priority="41">
      <formula>AND((wld_multirack_result="Excluded"),($B$82="Value Missing"))</formula>
    </cfRule>
  </conditionalFormatting>
  <conditionalFormatting sqref="B83:E83">
    <cfRule type="expression" dxfId="3285" priority="263">
      <formula>wld_compute_hosts_per_rack1_calculated&lt;9</formula>
    </cfRule>
    <cfRule type="expression" dxfId="3284" priority="40">
      <formula>AND((wld_multirack_result="Excluded"),($B$83="Value Missing"))</formula>
    </cfRule>
  </conditionalFormatting>
  <conditionalFormatting sqref="B84:E84">
    <cfRule type="expression" dxfId="3283" priority="264">
      <formula>wld_compute_hosts_per_rack1_calculated&lt;10</formula>
    </cfRule>
    <cfRule type="expression" dxfId="3282" priority="39">
      <formula>AND((wld_multirack_result="Excluded"),($B$84="Value Missing"))</formula>
    </cfRule>
  </conditionalFormatting>
  <conditionalFormatting sqref="B85:E85">
    <cfRule type="expression" dxfId="3281" priority="265">
      <formula>wld_compute_hosts_per_rack1_calculated&lt;11</formula>
    </cfRule>
    <cfRule type="expression" dxfId="3280" priority="38">
      <formula>AND((wld_multirack_result="Excluded"),($B$85="Value Missing"))</formula>
    </cfRule>
  </conditionalFormatting>
  <conditionalFormatting sqref="B86:E86">
    <cfRule type="expression" dxfId="3279" priority="266">
      <formula>wld_compute_hosts_per_rack1_calculated&lt;12</formula>
    </cfRule>
    <cfRule type="expression" dxfId="3278" priority="37">
      <formula>AND((wld_multirack_result="Excluded"),($B$86="Value Missing"))</formula>
    </cfRule>
  </conditionalFormatting>
  <conditionalFormatting sqref="B87:E87">
    <cfRule type="expression" dxfId="3277" priority="267">
      <formula>wld_compute_hosts_per_rack1_calculated&lt;13</formula>
    </cfRule>
    <cfRule type="expression" dxfId="3276" priority="36">
      <formula>AND((wld_multirack_result="Excluded"),($B$87="Value Missing"))</formula>
    </cfRule>
  </conditionalFormatting>
  <conditionalFormatting sqref="B88:E88">
    <cfRule type="expression" dxfId="3275" priority="268">
      <formula>wld_compute_hosts_per_rack1_calculated&lt;14</formula>
    </cfRule>
    <cfRule type="expression" dxfId="3274" priority="35">
      <formula>AND((wld_multirack_result="Excluded"),($B$88="Value Missing"))</formula>
    </cfRule>
  </conditionalFormatting>
  <conditionalFormatting sqref="B89:E89">
    <cfRule type="expression" dxfId="3273" priority="269">
      <formula>wld_compute_hosts_per_rack1_calculated&lt;15</formula>
    </cfRule>
    <cfRule type="expression" dxfId="3272" priority="34">
      <formula>AND((wld_multirack_result="Excluded"),($B$89="Value Missing"))</formula>
    </cfRule>
  </conditionalFormatting>
  <conditionalFormatting sqref="B90:E90">
    <cfRule type="expression" dxfId="3271" priority="33">
      <formula>AND((wld_multirack_result="Excluded"),($B$90="Value Missing"))</formula>
    </cfRule>
    <cfRule type="expression" dxfId="3270" priority="270">
      <formula>wld_compute_hosts_per_rack1_calculated&lt;16</formula>
    </cfRule>
  </conditionalFormatting>
  <conditionalFormatting sqref="B92:E116">
    <cfRule type="expression" dxfId="3269" priority="415">
      <formula>OR((wld_domain_result="Excluded"),(wld_stretched_cluster_result="Excluded"))</formula>
    </cfRule>
  </conditionalFormatting>
  <conditionalFormatting sqref="B96:E96">
    <cfRule type="expression" dxfId="3268" priority="8">
      <formula>(AND(OR(wld_dedicated_edge_cluster_chosen_first=2,wld_dedicated_edge_cluster_chosen_second=2),(wld_dedicated_edge_cluster_result="Included")))</formula>
    </cfRule>
  </conditionalFormatting>
  <conditionalFormatting sqref="B96:E97">
    <cfRule type="expression" dxfId="3267" priority="13">
      <formula>wld_host_overlay_addressing_chosen&lt;&gt;"Static"</formula>
    </cfRule>
  </conditionalFormatting>
  <conditionalFormatting sqref="B105:E105">
    <cfRule type="expression" dxfId="3266" priority="21">
      <formula>AND((wld_multirack_result="Excluded"),($B$105="Value Missing"))</formula>
    </cfRule>
  </conditionalFormatting>
  <conditionalFormatting sqref="B106:E106">
    <cfRule type="expression" dxfId="3265" priority="22">
      <formula>AND((wld_multirack_result="Excluded"),($B$106="Value Missing"))</formula>
    </cfRule>
  </conditionalFormatting>
  <conditionalFormatting sqref="B107:E107">
    <cfRule type="expression" dxfId="3264" priority="23">
      <formula>AND((wld_multirack_result="Excluded"),($B$107="Value Missing"))</formula>
    </cfRule>
  </conditionalFormatting>
  <conditionalFormatting sqref="B108:E108">
    <cfRule type="expression" dxfId="3263" priority="24">
      <formula>AND((wld_multirack_result="Excluded"),($B$108="Value Missing"))</formula>
    </cfRule>
  </conditionalFormatting>
  <conditionalFormatting sqref="B109:E109">
    <cfRule type="expression" dxfId="3262" priority="25">
      <formula>AND((wld_multirack_result="Excluded"),($B$109="Value Missing"))</formula>
    </cfRule>
  </conditionalFormatting>
  <conditionalFormatting sqref="B110:E110">
    <cfRule type="expression" dxfId="3261" priority="26">
      <formula>AND((wld_multirack_result="Excluded"),($B$110="Value Missing"))</formula>
    </cfRule>
  </conditionalFormatting>
  <conditionalFormatting sqref="B111:E111">
    <cfRule type="expression" dxfId="3260" priority="27">
      <formula>AND((wld_multirack_result="Excluded"),($B$111="Value Missing"))</formula>
    </cfRule>
  </conditionalFormatting>
  <conditionalFormatting sqref="B112:E112">
    <cfRule type="expression" dxfId="3259" priority="28">
      <formula>AND((wld_multirack_result="Excluded"),($B$112="Value Missing"))</formula>
    </cfRule>
  </conditionalFormatting>
  <conditionalFormatting sqref="B113:E113">
    <cfRule type="expression" dxfId="3258" priority="29">
      <formula>AND((wld_multirack_result="Excluded"),($B$113="Value Missing"))</formula>
    </cfRule>
  </conditionalFormatting>
  <conditionalFormatting sqref="B114:E114">
    <cfRule type="expression" dxfId="3257" priority="30">
      <formula>AND((wld_multirack_result="Excluded"),($B$114="Value Missing"))</formula>
    </cfRule>
  </conditionalFormatting>
  <conditionalFormatting sqref="B115:E115">
    <cfRule type="expression" dxfId="3256" priority="31">
      <formula>AND((wld_multirack_result="Excluded"),($B$115="Value Missing"))</formula>
    </cfRule>
  </conditionalFormatting>
  <conditionalFormatting sqref="B116:E116">
    <cfRule type="expression" dxfId="3255" priority="32">
      <formula>AND((wld_multirack_result="Excluded"),($B$116="Value Missing"))</formula>
    </cfRule>
  </conditionalFormatting>
  <conditionalFormatting sqref="B118:E149">
    <cfRule type="expression" dxfId="3254" priority="77">
      <formula>wld_multi_rack_count_chosen&lt;1</formula>
    </cfRule>
  </conditionalFormatting>
  <conditionalFormatting sqref="B121:E122 B127:E127">
    <cfRule type="expression" dxfId="3253" priority="79">
      <formula>AND((wld_dedicated_edge_cluster_chosen_first&lt;&gt;2),(wld_dedicated_edge_cluster_chosen_second&lt;&gt;2))</formula>
    </cfRule>
  </conditionalFormatting>
  <conditionalFormatting sqref="B124:E124">
    <cfRule type="expression" dxfId="3252" priority="7">
      <formula>(AND(OR(wld_dedicated_edge_cluster_chosen_first=2,wld_dedicated_edge_cluster_chosen_second=2),(wld_dedicated_edge_cluster_result="Included")))</formula>
    </cfRule>
  </conditionalFormatting>
  <conditionalFormatting sqref="B128:E128 B161:E161 B194:E194 B227:E227 B260:E260 B293:E293 B325:E325 B69:E69">
    <cfRule type="expression" dxfId="3251" priority="243">
      <formula>OR((wld_domain_result="Excluded"),(wld_nsxt_federation_result="Excluded"))</formula>
    </cfRule>
  </conditionalFormatting>
  <conditionalFormatting sqref="B129:E131">
    <cfRule type="expression" dxfId="3250" priority="52">
      <formula>(AND(OR(wld_dedicated_edge_cluster_chosen_first=2,wld_dedicated_edge_cluster_chosen_second=2),(wld_dedicated_edge_cluster_chosen="Include")))</formula>
    </cfRule>
  </conditionalFormatting>
  <conditionalFormatting sqref="B134:E134">
    <cfRule type="expression" dxfId="3249" priority="80">
      <formula>wld_compute_hosts_per_rack2_calculated=0</formula>
    </cfRule>
  </conditionalFormatting>
  <conditionalFormatting sqref="B135:E135">
    <cfRule type="expression" dxfId="3248" priority="90">
      <formula>wld_compute_hosts_per_rack2_calculated&lt;2</formula>
    </cfRule>
  </conditionalFormatting>
  <conditionalFormatting sqref="B136:E136">
    <cfRule type="expression" dxfId="3247" priority="227">
      <formula>wld_compute_hosts_per_rack2_calculated&lt;3</formula>
    </cfRule>
  </conditionalFormatting>
  <conditionalFormatting sqref="B137:E137">
    <cfRule type="expression" dxfId="3246" priority="230">
      <formula>wld_compute_hosts_per_rack2_calculated&lt;4</formula>
    </cfRule>
  </conditionalFormatting>
  <conditionalFormatting sqref="B138:E138">
    <cfRule type="expression" dxfId="3245" priority="231">
      <formula>wld_compute_hosts_per_rack2_calculated&lt;5</formula>
    </cfRule>
  </conditionalFormatting>
  <conditionalFormatting sqref="B139:E139">
    <cfRule type="expression" dxfId="3244" priority="232">
      <formula>wld_compute_hosts_per_rack2_calculated&lt;6</formula>
    </cfRule>
  </conditionalFormatting>
  <conditionalFormatting sqref="B140:E140">
    <cfRule type="expression" dxfId="3243" priority="233">
      <formula>wld_compute_hosts_per_rack2_calculated&lt;7</formula>
    </cfRule>
  </conditionalFormatting>
  <conditionalFormatting sqref="B141:E141">
    <cfRule type="expression" dxfId="3242" priority="234">
      <formula>wld_compute_hosts_per_rack2_calculated&lt;8</formula>
    </cfRule>
  </conditionalFormatting>
  <conditionalFormatting sqref="B142:E142">
    <cfRule type="expression" dxfId="3241" priority="235">
      <formula>wld_compute_hosts_per_rack2_calculated&lt;9</formula>
    </cfRule>
  </conditionalFormatting>
  <conditionalFormatting sqref="B143:E143">
    <cfRule type="expression" dxfId="3240" priority="236">
      <formula>wld_compute_hosts_per_rack2_calculated&lt;10</formula>
    </cfRule>
  </conditionalFormatting>
  <conditionalFormatting sqref="B144:E144">
    <cfRule type="expression" dxfId="3239" priority="237">
      <formula>wld_compute_hosts_per_rack2_calculated&lt;11</formula>
    </cfRule>
  </conditionalFormatting>
  <conditionalFormatting sqref="B145:E145">
    <cfRule type="expression" dxfId="3238" priority="238">
      <formula>wld_compute_hosts_per_rack2_calculated&lt;12</formula>
    </cfRule>
  </conditionalFormatting>
  <conditionalFormatting sqref="B146:E146">
    <cfRule type="expression" dxfId="3237" priority="239">
      <formula>wld_compute_hosts_per_rack2_calculated&lt;13</formula>
    </cfRule>
  </conditionalFormatting>
  <conditionalFormatting sqref="B147:E147">
    <cfRule type="expression" dxfId="3236" priority="240">
      <formula>wld_compute_hosts_per_rack2_calculated&lt;14</formula>
    </cfRule>
  </conditionalFormatting>
  <conditionalFormatting sqref="B148:E148">
    <cfRule type="expression" dxfId="3235" priority="241">
      <formula>wld_compute_hosts_per_rack2_calculated&lt;15</formula>
    </cfRule>
  </conditionalFormatting>
  <conditionalFormatting sqref="B149:E149">
    <cfRule type="expression" dxfId="3234" priority="242">
      <formula>wld_compute_hosts_per_rack2_calculated&lt;16</formula>
    </cfRule>
  </conditionalFormatting>
  <conditionalFormatting sqref="B151:E182">
    <cfRule type="expression" dxfId="3233" priority="73">
      <formula>wld_multi_rack_count_chosen&lt;2</formula>
    </cfRule>
  </conditionalFormatting>
  <conditionalFormatting sqref="B154:E155 B160:E160">
    <cfRule type="expression" dxfId="3232" priority="91">
      <formula>AND((wld_dedicated_edge_cluster_chosen_first&lt;&gt;3),(wld_dedicated_edge_cluster_chosen_second&lt;&gt;3))</formula>
    </cfRule>
  </conditionalFormatting>
  <conditionalFormatting sqref="B157:E157">
    <cfRule type="expression" dxfId="3231" priority="6">
      <formula>(AND(OR(wld_dedicated_edge_cluster_chosen_first=3,wld_dedicated_edge_cluster_chosen_second=3),(wld_dedicated_edge_cluster_result="Included")))</formula>
    </cfRule>
  </conditionalFormatting>
  <conditionalFormatting sqref="B162:E164">
    <cfRule type="expression" dxfId="3230" priority="50">
      <formula>(AND(OR(wld_dedicated_edge_cluster_chosen_first=3,wld_dedicated_edge_cluster_chosen_second=3),(wld_dedicated_edge_cluster_chosen="Include")))</formula>
    </cfRule>
  </conditionalFormatting>
  <conditionalFormatting sqref="B167:E167 E171 E175 E179">
    <cfRule type="expression" dxfId="3229" priority="113">
      <formula>wld_compute_hosts_per_rack3_calculated=0</formula>
    </cfRule>
  </conditionalFormatting>
  <conditionalFormatting sqref="B168:E168 E172 E176 E180">
    <cfRule type="expression" dxfId="3228" priority="211">
      <formula>wld_compute_hosts_per_rack3_calculated&lt;2</formula>
    </cfRule>
    <cfRule type="expression" dxfId="3227" priority="153">
      <formula>wld_compute_hosts_per_rack3_calculated&lt;1</formula>
    </cfRule>
  </conditionalFormatting>
  <conditionalFormatting sqref="B169:E169 E173 E177 E181">
    <cfRule type="expression" dxfId="3226" priority="212">
      <formula>wld_compute_hosts_per_rack3_calculated&lt;3</formula>
    </cfRule>
  </conditionalFormatting>
  <conditionalFormatting sqref="B170:E170 E174 E178 E182">
    <cfRule type="expression" dxfId="3225" priority="213">
      <formula>wld_compute_hosts_per_rack3_calculated&lt;4</formula>
    </cfRule>
  </conditionalFormatting>
  <conditionalFormatting sqref="B171:E171">
    <cfRule type="expression" dxfId="3224" priority="214">
      <formula>wld_compute_hosts_per_rack3_calculated&lt;5</formula>
    </cfRule>
  </conditionalFormatting>
  <conditionalFormatting sqref="B172:E172">
    <cfRule type="expression" dxfId="3223" priority="215">
      <formula>wld_compute_hosts_per_rack3_calculated&lt;6</formula>
    </cfRule>
  </conditionalFormatting>
  <conditionalFormatting sqref="B173:E173">
    <cfRule type="expression" dxfId="3222" priority="216">
      <formula>wld_compute_hosts_per_rack3_calculated&lt;7</formula>
    </cfRule>
  </conditionalFormatting>
  <conditionalFormatting sqref="B174:E174">
    <cfRule type="expression" dxfId="3221" priority="217">
      <formula>wld_compute_hosts_per_rack3_calculated&lt;8</formula>
    </cfRule>
  </conditionalFormatting>
  <conditionalFormatting sqref="B175:E175">
    <cfRule type="expression" dxfId="3220" priority="218">
      <formula>wld_compute_hosts_per_rack3_calculated&lt;9</formula>
    </cfRule>
  </conditionalFormatting>
  <conditionalFormatting sqref="B176:E176">
    <cfRule type="expression" dxfId="3219" priority="219">
      <formula>wld_compute_hosts_per_rack3_calculated&lt;10</formula>
    </cfRule>
  </conditionalFormatting>
  <conditionalFormatting sqref="B177:E177">
    <cfRule type="expression" dxfId="3218" priority="220">
      <formula>wld_compute_hosts_per_rack3_calculated&lt;11</formula>
    </cfRule>
  </conditionalFormatting>
  <conditionalFormatting sqref="B178:E178">
    <cfRule type="expression" dxfId="3217" priority="221">
      <formula>wld_compute_hosts_per_rack3_calculated&lt;12</formula>
    </cfRule>
  </conditionalFormatting>
  <conditionalFormatting sqref="B179:E179">
    <cfRule type="expression" dxfId="3216" priority="222">
      <formula>wld_compute_hosts_per_rack3_calculated&lt;13</formula>
    </cfRule>
  </conditionalFormatting>
  <conditionalFormatting sqref="B180:E180">
    <cfRule type="expression" dxfId="3215" priority="223">
      <formula>wld_compute_hosts_per_rack3_calculated&lt;14</formula>
    </cfRule>
  </conditionalFormatting>
  <conditionalFormatting sqref="B181:E181">
    <cfRule type="expression" dxfId="3214" priority="224">
      <formula>wld_compute_hosts_per_rack3_calculated&lt;15</formula>
    </cfRule>
  </conditionalFormatting>
  <conditionalFormatting sqref="B182:E182">
    <cfRule type="expression" dxfId="3213" priority="225">
      <formula>wld_compute_hosts_per_rack3_calculated&lt;16</formula>
    </cfRule>
  </conditionalFormatting>
  <conditionalFormatting sqref="B184:E215">
    <cfRule type="expression" dxfId="3212" priority="69">
      <formula>wld_multi_rack_count_chosen&lt;3</formula>
    </cfRule>
  </conditionalFormatting>
  <conditionalFormatting sqref="B187:E188 B193:E193">
    <cfRule type="expression" dxfId="3211" priority="95">
      <formula>AND((wld_dedicated_edge_cluster_chosen_first&lt;&gt;4),(wld_dedicated_edge_cluster_chosen_second&lt;&gt;4))</formula>
    </cfRule>
  </conditionalFormatting>
  <conditionalFormatting sqref="B190:E190">
    <cfRule type="expression" dxfId="3210" priority="5">
      <formula>(AND(OR(wld_dedicated_edge_cluster_chosen_first=4,wld_dedicated_edge_cluster_chosen_second=4),(wld_dedicated_edge_cluster_result="Included")))</formula>
    </cfRule>
  </conditionalFormatting>
  <conditionalFormatting sqref="B195:E197">
    <cfRule type="expression" dxfId="3209" priority="49">
      <formula>(AND(OR(wld_dedicated_edge_cluster_chosen_first=4,wld_dedicated_edge_cluster_chosen_second=4),(wld_dedicated_edge_cluster_chosen="Include")))</formula>
    </cfRule>
  </conditionalFormatting>
  <conditionalFormatting sqref="B200:E200">
    <cfRule type="expression" dxfId="3208" priority="192">
      <formula>wld_compute_hosts_per_rack4_calculated=0</formula>
    </cfRule>
  </conditionalFormatting>
  <conditionalFormatting sqref="B201:E201">
    <cfRule type="expression" dxfId="3207" priority="195">
      <formula>wld_compute_hosts_per_rack4_calculated&lt;2</formula>
    </cfRule>
    <cfRule type="expression" dxfId="3206" priority="194">
      <formula>wld_compute_hosts_per_rack4_calculated&lt;1</formula>
    </cfRule>
  </conditionalFormatting>
  <conditionalFormatting sqref="B202:E202">
    <cfRule type="expression" dxfId="3205" priority="196">
      <formula>wld_compute_hosts_per_rack4_calculated&lt;3</formula>
    </cfRule>
  </conditionalFormatting>
  <conditionalFormatting sqref="B203:E203">
    <cfRule type="expression" dxfId="3204" priority="197">
      <formula>wld_compute_hosts_per_rack4_calculated&lt;4</formula>
    </cfRule>
  </conditionalFormatting>
  <conditionalFormatting sqref="B204:E204">
    <cfRule type="expression" dxfId="3203" priority="198">
      <formula>wld_compute_hosts_per_rack4_calculated&lt;5</formula>
    </cfRule>
  </conditionalFormatting>
  <conditionalFormatting sqref="B205:E205">
    <cfRule type="expression" dxfId="3202" priority="199">
      <formula>wld_compute_hosts_per_rack4_calculated&lt;6</formula>
    </cfRule>
  </conditionalFormatting>
  <conditionalFormatting sqref="B206:E206">
    <cfRule type="expression" dxfId="3201" priority="200">
      <formula>wld_compute_hosts_per_rack4_calculated&lt;7</formula>
    </cfRule>
  </conditionalFormatting>
  <conditionalFormatting sqref="B207:E207">
    <cfRule type="expression" dxfId="3200" priority="201">
      <formula>wld_compute_hosts_per_rack4_calculated&lt;8</formula>
    </cfRule>
  </conditionalFormatting>
  <conditionalFormatting sqref="B208:E208">
    <cfRule type="expression" dxfId="3199" priority="202">
      <formula>wld_compute_hosts_per_rack4_calculated&lt;9</formula>
    </cfRule>
  </conditionalFormatting>
  <conditionalFormatting sqref="B209:E209">
    <cfRule type="expression" dxfId="3198" priority="203">
      <formula>wld_compute_hosts_per_rack4_calculated&lt;10</formula>
    </cfRule>
  </conditionalFormatting>
  <conditionalFormatting sqref="B210:E210">
    <cfRule type="expression" dxfId="3197" priority="204">
      <formula>wld_compute_hosts_per_rack4_calculated&lt;11</formula>
    </cfRule>
  </conditionalFormatting>
  <conditionalFormatting sqref="B211:E211">
    <cfRule type="expression" dxfId="3196" priority="205">
      <formula>wld_compute_hosts_per_rack4_calculated&lt;12</formula>
    </cfRule>
  </conditionalFormatting>
  <conditionalFormatting sqref="B212:E212">
    <cfRule type="expression" dxfId="3195" priority="206">
      <formula>wld_compute_hosts_per_rack4_calculated&lt;13</formula>
    </cfRule>
  </conditionalFormatting>
  <conditionalFormatting sqref="B213:E213">
    <cfRule type="expression" dxfId="3194" priority="207">
      <formula>wld_compute_hosts_per_rack4_calculated&lt;14</formula>
    </cfRule>
  </conditionalFormatting>
  <conditionalFormatting sqref="B214:E214">
    <cfRule type="expression" dxfId="3193" priority="208">
      <formula>wld_compute_hosts_per_rack4_calculated&lt;15</formula>
    </cfRule>
  </conditionalFormatting>
  <conditionalFormatting sqref="B215:E215">
    <cfRule type="expression" dxfId="3192" priority="209">
      <formula>wld_compute_hosts_per_rack4_calculated&lt;16</formula>
    </cfRule>
  </conditionalFormatting>
  <conditionalFormatting sqref="B217:E248">
    <cfRule type="expression" dxfId="3191" priority="65">
      <formula>wld_multi_rack_count_chosen&lt;4</formula>
    </cfRule>
  </conditionalFormatting>
  <conditionalFormatting sqref="B220:E221 B226:E226">
    <cfRule type="expression" dxfId="3190" priority="94">
      <formula>AND((wld_dedicated_edge_cluster_chosen_first&lt;&gt;5),(wld_dedicated_edge_cluster_chosen_second&lt;&gt;5))</formula>
    </cfRule>
  </conditionalFormatting>
  <conditionalFormatting sqref="B223:E223">
    <cfRule type="expression" dxfId="3189" priority="4">
      <formula>(AND(OR(wld_dedicated_edge_cluster_chosen_first=5,wld_dedicated_edge_cluster_chosen_second=5),(wld_dedicated_edge_cluster_result="Included")))</formula>
    </cfRule>
  </conditionalFormatting>
  <conditionalFormatting sqref="B228:E230">
    <cfRule type="expression" dxfId="3188" priority="48">
      <formula>(AND(OR(wld_dedicated_edge_cluster_chosen_first=6,wld_dedicated_edge_cluster_chosen_second=6),(wld_dedicated_edge_cluster_chosen="Include")))</formula>
    </cfRule>
  </conditionalFormatting>
  <conditionalFormatting sqref="B233:E233">
    <cfRule type="expression" dxfId="3187" priority="87">
      <formula>wld_compute_hosts_per_rack5_calculated=0</formula>
    </cfRule>
  </conditionalFormatting>
  <conditionalFormatting sqref="B234:E234">
    <cfRule type="expression" dxfId="3186" priority="174">
      <formula>wld_compute_hosts_per_rack5_calculated&lt;2</formula>
    </cfRule>
    <cfRule type="expression" dxfId="3185" priority="173">
      <formula>wld_compute_hosts_per_rack5_calculated&lt;1</formula>
    </cfRule>
  </conditionalFormatting>
  <conditionalFormatting sqref="B235:E235">
    <cfRule type="expression" dxfId="3184" priority="175">
      <formula>wld_compute_hosts_per_rack5_calculated&lt;3</formula>
    </cfRule>
  </conditionalFormatting>
  <conditionalFormatting sqref="B236:E236">
    <cfRule type="expression" dxfId="3183" priority="176">
      <formula>wld_compute_hosts_per_rack5_calculated&lt;4</formula>
    </cfRule>
  </conditionalFormatting>
  <conditionalFormatting sqref="B237:E237">
    <cfRule type="expression" dxfId="3182" priority="177">
      <formula>wld_compute_hosts_per_rack5_calculated&lt;5</formula>
    </cfRule>
  </conditionalFormatting>
  <conditionalFormatting sqref="B238:E238">
    <cfRule type="expression" dxfId="3181" priority="178">
      <formula>wld_compute_hosts_per_rack5_calculated&lt;6</formula>
    </cfRule>
  </conditionalFormatting>
  <conditionalFormatting sqref="B239:E239">
    <cfRule type="expression" dxfId="3180" priority="179">
      <formula>wld_compute_hosts_per_rack5_calculated&lt;7</formula>
    </cfRule>
  </conditionalFormatting>
  <conditionalFormatting sqref="B240:E240">
    <cfRule type="expression" dxfId="3179" priority="180">
      <formula>wld_compute_hosts_per_rack5_calculated&lt;8</formula>
    </cfRule>
  </conditionalFormatting>
  <conditionalFormatting sqref="B241:E241">
    <cfRule type="expression" dxfId="3178" priority="181">
      <formula>wld_compute_hosts_per_rack5_calculated&lt;9</formula>
    </cfRule>
  </conditionalFormatting>
  <conditionalFormatting sqref="B242:E242">
    <cfRule type="expression" dxfId="3177" priority="182">
      <formula>wld_compute_hosts_per_rack5_calculated&lt;10</formula>
    </cfRule>
  </conditionalFormatting>
  <conditionalFormatting sqref="B243:E243">
    <cfRule type="expression" dxfId="3176" priority="183">
      <formula>wld_compute_hosts_per_rack5_calculated&lt;11</formula>
    </cfRule>
  </conditionalFormatting>
  <conditionalFormatting sqref="B244:E244">
    <cfRule type="expression" dxfId="3175" priority="184">
      <formula>wld_compute_hosts_per_rack5_calculated&lt;12</formula>
    </cfRule>
  </conditionalFormatting>
  <conditionalFormatting sqref="B245:E245">
    <cfRule type="expression" dxfId="3174" priority="185">
      <formula>wld_compute_hosts_per_rack5_calculated&lt;13</formula>
    </cfRule>
  </conditionalFormatting>
  <conditionalFormatting sqref="B246:E246">
    <cfRule type="expression" dxfId="3173" priority="186">
      <formula>wld_compute_hosts_per_rack5_calculated&lt;14</formula>
    </cfRule>
  </conditionalFormatting>
  <conditionalFormatting sqref="B247:E247">
    <cfRule type="expression" dxfId="3172" priority="187">
      <formula>wld_compute_hosts_per_rack5_calculated&lt;15</formula>
    </cfRule>
  </conditionalFormatting>
  <conditionalFormatting sqref="B248:E248">
    <cfRule type="expression" dxfId="3171" priority="188">
      <formula>wld_compute_hosts_per_rack5_calculated&lt;16</formula>
    </cfRule>
  </conditionalFormatting>
  <conditionalFormatting sqref="B250:E281">
    <cfRule type="expression" dxfId="3170" priority="61">
      <formula>wld_multi_rack_count_chosen&lt;5</formula>
    </cfRule>
  </conditionalFormatting>
  <conditionalFormatting sqref="B253:E254 B259:E259">
    <cfRule type="expression" dxfId="3169" priority="93">
      <formula>AND((wld_dedicated_edge_cluster_chosen_first&lt;&gt;6),(wld_dedicated_edge_cluster_chosen_second&lt;&gt;6))</formula>
    </cfRule>
  </conditionalFormatting>
  <conditionalFormatting sqref="B256:E256">
    <cfRule type="expression" dxfId="3168" priority="3">
      <formula>(AND(OR(wld_dedicated_edge_cluster_chosen_first=6,wld_dedicated_edge_cluster_chosen_second=6),(wld_dedicated_edge_cluster_result="Included")))</formula>
    </cfRule>
  </conditionalFormatting>
  <conditionalFormatting sqref="B261:E263">
    <cfRule type="expression" dxfId="3167" priority="47">
      <formula>(AND(OR(wld_dedicated_edge_cluster_chosen_first=7,wld_dedicated_edge_cluster_chosen_second=7),(wld_dedicated_edge_cluster_chosen="Include")))</formula>
    </cfRule>
  </conditionalFormatting>
  <conditionalFormatting sqref="B266:E266">
    <cfRule type="expression" dxfId="3166" priority="154">
      <formula>wld_compute_hosts_per_rack6_calculated=0</formula>
    </cfRule>
  </conditionalFormatting>
  <conditionalFormatting sqref="B267:E267">
    <cfRule type="expression" dxfId="3165" priority="156">
      <formula>wld_compute_hosts_per_rack6_calculated&lt;2</formula>
    </cfRule>
    <cfRule type="expression" dxfId="3164" priority="155">
      <formula>wld_compute_hosts_per_rack6_calculated&lt;1</formula>
    </cfRule>
  </conditionalFormatting>
  <conditionalFormatting sqref="B268:E268">
    <cfRule type="expression" dxfId="3163" priority="157">
      <formula>wld_compute_hosts_per_rack6_calculated&lt;3</formula>
    </cfRule>
  </conditionalFormatting>
  <conditionalFormatting sqref="B269:E269">
    <cfRule type="expression" dxfId="3162" priority="158">
      <formula>wld_compute_hosts_per_rack6_calculated&lt;4</formula>
    </cfRule>
  </conditionalFormatting>
  <conditionalFormatting sqref="B270:E270">
    <cfRule type="expression" dxfId="3161" priority="159">
      <formula>wld_compute_hosts_per_rack6_calculated&lt;5</formula>
    </cfRule>
  </conditionalFormatting>
  <conditionalFormatting sqref="B271:E271">
    <cfRule type="expression" dxfId="3160" priority="160">
      <formula>wld_compute_hosts_per_rack6_calculated&lt;6</formula>
    </cfRule>
  </conditionalFormatting>
  <conditionalFormatting sqref="B272:E272">
    <cfRule type="expression" dxfId="3159" priority="161">
      <formula>wld_compute_hosts_per_rack6_calculated&lt;7</formula>
    </cfRule>
  </conditionalFormatting>
  <conditionalFormatting sqref="B273:E273">
    <cfRule type="expression" dxfId="3158" priority="162">
      <formula>wld_compute_hosts_per_rack6_calculated&lt;8</formula>
    </cfRule>
  </conditionalFormatting>
  <conditionalFormatting sqref="B274:E274">
    <cfRule type="expression" dxfId="3157" priority="163">
      <formula>wld_compute_hosts_per_rack6_calculated&lt;9</formula>
    </cfRule>
  </conditionalFormatting>
  <conditionalFormatting sqref="B275:E275">
    <cfRule type="expression" dxfId="3156" priority="164">
      <formula>wld_compute_hosts_per_rack6_calculated&lt;10</formula>
    </cfRule>
  </conditionalFormatting>
  <conditionalFormatting sqref="B276:E276">
    <cfRule type="expression" dxfId="3155" priority="165">
      <formula>wld_compute_hosts_per_rack6_calculated&lt;11</formula>
    </cfRule>
  </conditionalFormatting>
  <conditionalFormatting sqref="B277:E277">
    <cfRule type="expression" dxfId="3154" priority="166">
      <formula>wld_compute_hosts_per_rack6_calculated&lt;12</formula>
    </cfRule>
  </conditionalFormatting>
  <conditionalFormatting sqref="B278:E278">
    <cfRule type="expression" dxfId="3153" priority="167">
      <formula>wld_compute_hosts_per_rack6_calculated&lt;13</formula>
    </cfRule>
  </conditionalFormatting>
  <conditionalFormatting sqref="B279:E279">
    <cfRule type="expression" dxfId="3152" priority="168">
      <formula>wld_compute_hosts_per_rack6_calculated&lt;14</formula>
    </cfRule>
  </conditionalFormatting>
  <conditionalFormatting sqref="B280:E280">
    <cfRule type="expression" dxfId="3151" priority="169">
      <formula>wld_compute_hosts_per_rack6_calculated&lt;15</formula>
    </cfRule>
  </conditionalFormatting>
  <conditionalFormatting sqref="B281:E281">
    <cfRule type="expression" dxfId="3150" priority="170">
      <formula>wld_compute_hosts_per_rack6_calculated&lt;16</formula>
    </cfRule>
  </conditionalFormatting>
  <conditionalFormatting sqref="B283:E314">
    <cfRule type="expression" dxfId="3149" priority="57">
      <formula>wld_multi_rack_count_chosen&lt;6</formula>
    </cfRule>
  </conditionalFormatting>
  <conditionalFormatting sqref="B286:E287 B292:E292">
    <cfRule type="expression" dxfId="3148" priority="89">
      <formula>AND((wld_dedicated_edge_cluster_chosen_first&lt;&gt;7),(wld_dedicated_edge_cluster_chosen_second&lt;&gt;7))</formula>
    </cfRule>
  </conditionalFormatting>
  <conditionalFormatting sqref="B289:E289">
    <cfRule type="expression" dxfId="3147" priority="2">
      <formula>(AND(OR(wld_dedicated_edge_cluster_chosen_first=7,wld_dedicated_edge_cluster_chosen_second=7),(wld_dedicated_edge_cluster_result="Included")))</formula>
    </cfRule>
  </conditionalFormatting>
  <conditionalFormatting sqref="B294:E296">
    <cfRule type="expression" dxfId="3146" priority="46">
      <formula>(AND(OR(wld_dedicated_edge_cluster_chosen_first=7,wld_dedicated_edge_cluster_chosen_second=7),(wld_dedicated_edge_cluster_chosen="Include")))</formula>
    </cfRule>
  </conditionalFormatting>
  <conditionalFormatting sqref="B299:E299">
    <cfRule type="expression" dxfId="3145" priority="133">
      <formula>wld_compute_hosts_per_rack7_calculated=0</formula>
    </cfRule>
  </conditionalFormatting>
  <conditionalFormatting sqref="B300:E300">
    <cfRule type="expression" dxfId="3144" priority="135">
      <formula>wld_compute_hosts_per_rack7_calculated&lt;2</formula>
    </cfRule>
    <cfRule type="expression" dxfId="3143" priority="134">
      <formula>wld_compute_hosts_per_rack7_calculated&lt;1</formula>
    </cfRule>
  </conditionalFormatting>
  <conditionalFormatting sqref="B301:E301">
    <cfRule type="expression" dxfId="3142" priority="136">
      <formula>wld_compute_hosts_per_rack7_calculated&lt;3</formula>
    </cfRule>
  </conditionalFormatting>
  <conditionalFormatting sqref="B302:E302">
    <cfRule type="expression" dxfId="3141" priority="137">
      <formula>wld_compute_hosts_per_rack7_calculated&lt;4</formula>
    </cfRule>
  </conditionalFormatting>
  <conditionalFormatting sqref="B303:E303">
    <cfRule type="expression" dxfId="3140" priority="138">
      <formula>wld_compute_hosts_per_rack7_calculated&lt;5</formula>
    </cfRule>
  </conditionalFormatting>
  <conditionalFormatting sqref="B304:E304">
    <cfRule type="expression" dxfId="3139" priority="139">
      <formula>wld_compute_hosts_per_rack7_calculated&lt;6</formula>
    </cfRule>
  </conditionalFormatting>
  <conditionalFormatting sqref="B305:E305">
    <cfRule type="expression" dxfId="3138" priority="140">
      <formula>wld_compute_hosts_per_rack7_calculated&lt;7</formula>
    </cfRule>
  </conditionalFormatting>
  <conditionalFormatting sqref="B306:E306">
    <cfRule type="expression" dxfId="3137" priority="141">
      <formula>wld_compute_hosts_per_rack7_calculated&lt;8</formula>
    </cfRule>
  </conditionalFormatting>
  <conditionalFormatting sqref="B307:E307">
    <cfRule type="expression" dxfId="3136" priority="142">
      <formula>wld_compute_hosts_per_rack7_calculated&lt;9</formula>
    </cfRule>
  </conditionalFormatting>
  <conditionalFormatting sqref="B308:E308">
    <cfRule type="expression" dxfId="3135" priority="143">
      <formula>wld_compute_hosts_per_rack7_calculated&lt;10</formula>
    </cfRule>
  </conditionalFormatting>
  <conditionalFormatting sqref="B309:E309">
    <cfRule type="expression" dxfId="3134" priority="144">
      <formula>wld_compute_hosts_per_rack7_calculated&lt;11</formula>
    </cfRule>
  </conditionalFormatting>
  <conditionalFormatting sqref="B310:E310">
    <cfRule type="expression" dxfId="3133" priority="145">
      <formula>wld_compute_hosts_per_rack7_calculated&lt;12</formula>
    </cfRule>
  </conditionalFormatting>
  <conditionalFormatting sqref="B311:E311">
    <cfRule type="expression" dxfId="3132" priority="146">
      <formula>wld_compute_hosts_per_rack7_calculated&lt;13</formula>
    </cfRule>
  </conditionalFormatting>
  <conditionalFormatting sqref="B312:E312">
    <cfRule type="expression" dxfId="3131" priority="147">
      <formula>wld_compute_hosts_per_rack7_calculated&lt;14</formula>
    </cfRule>
  </conditionalFormatting>
  <conditionalFormatting sqref="B313:E313">
    <cfRule type="expression" dxfId="3130" priority="148">
      <formula>wld_compute_hosts_per_rack7_calculated&lt;15</formula>
    </cfRule>
  </conditionalFormatting>
  <conditionalFormatting sqref="B314:E314">
    <cfRule type="expression" dxfId="3129" priority="149">
      <formula>wld_compute_hosts_per_rack7_calculated&lt;16</formula>
    </cfRule>
  </conditionalFormatting>
  <conditionalFormatting sqref="B316:E325 B329:E346">
    <cfRule type="expression" dxfId="3128" priority="132">
      <formula>wld_multi_rack_count_chosen&lt;7</formula>
    </cfRule>
  </conditionalFormatting>
  <conditionalFormatting sqref="B316:E346 B118:E149 B70:E72 B151:E182 B184:E215 B217:E248 B250:E281 B283:E314">
    <cfRule type="expression" dxfId="3127" priority="55" stopIfTrue="1">
      <formula>OR(wld_domain_result="Excluded",wld_multirack_chosen="Exclude")</formula>
    </cfRule>
  </conditionalFormatting>
  <conditionalFormatting sqref="B318:E319 B324:E324">
    <cfRule type="expression" dxfId="3126" priority="88">
      <formula>AND((wld_dedicated_edge_cluster_chosen_first&lt;&gt;8),(wld_dedicated_edge_cluster_chosen_second&lt;&gt;8))</formula>
    </cfRule>
  </conditionalFormatting>
  <conditionalFormatting sqref="B321:E321">
    <cfRule type="expression" dxfId="3125" priority="1">
      <formula>(AND(OR(wld_dedicated_edge_cluster_chosen_first=8,wld_dedicated_edge_cluster_chosen_second=8),(wld_dedicated_edge_cluster_result="Included")))</formula>
    </cfRule>
  </conditionalFormatting>
  <conditionalFormatting sqref="B326:E328">
    <cfRule type="expression" dxfId="3124" priority="45">
      <formula>(AND(OR(wld_dedicated_edge_cluster_chosen_first=8,wld_dedicated_edge_cluster_chosen_second=8),(wld_dedicated_edge_cluster_chosen="Include")))</formula>
    </cfRule>
    <cfRule type="expression" dxfId="3123" priority="53">
      <formula>wld_multi_rack_count_chosen&lt;7</formula>
    </cfRule>
  </conditionalFormatting>
  <conditionalFormatting sqref="B331:E331">
    <cfRule type="expression" dxfId="3122" priority="114">
      <formula>wld_compute_hosts_per_rack8_calculated=0</formula>
    </cfRule>
  </conditionalFormatting>
  <conditionalFormatting sqref="B332:E332">
    <cfRule type="expression" dxfId="3121" priority="116">
      <formula>wld_compute_hosts_per_rack8_calculated&lt;2</formula>
    </cfRule>
    <cfRule type="expression" dxfId="3120" priority="115">
      <formula>wld_compute_hosts_per_rack8_calculated&lt;1</formula>
    </cfRule>
  </conditionalFormatting>
  <conditionalFormatting sqref="B333:E333">
    <cfRule type="expression" dxfId="3119" priority="117">
      <formula>wld_compute_hosts_per_rack8_calculated&lt;3</formula>
    </cfRule>
  </conditionalFormatting>
  <conditionalFormatting sqref="B334:E334">
    <cfRule type="expression" dxfId="3118" priority="118">
      <formula>wld_compute_hosts_per_rack8_calculated&lt;4</formula>
    </cfRule>
  </conditionalFormatting>
  <conditionalFormatting sqref="B335:E335">
    <cfRule type="expression" dxfId="3117" priority="119">
      <formula>wld_compute_hosts_per_rack8_calculated&lt;5</formula>
    </cfRule>
  </conditionalFormatting>
  <conditionalFormatting sqref="B336:E336">
    <cfRule type="expression" dxfId="3116" priority="120">
      <formula>wld_compute_hosts_per_rack8_calculated&lt;6</formula>
    </cfRule>
  </conditionalFormatting>
  <conditionalFormatting sqref="B337:E337">
    <cfRule type="expression" dxfId="3115" priority="121">
      <formula>wld_compute_hosts_per_rack8_calculated&lt;7</formula>
    </cfRule>
  </conditionalFormatting>
  <conditionalFormatting sqref="B338:E338">
    <cfRule type="expression" dxfId="3114" priority="122">
      <formula>wld_compute_hosts_per_rack8_calculated&lt;8</formula>
    </cfRule>
  </conditionalFormatting>
  <conditionalFormatting sqref="B339:E339">
    <cfRule type="expression" dxfId="3113" priority="123">
      <formula>wld_compute_hosts_per_rack8_calculated&lt;9</formula>
    </cfRule>
  </conditionalFormatting>
  <conditionalFormatting sqref="B340:E340">
    <cfRule type="expression" dxfId="3112" priority="124">
      <formula>wld_compute_hosts_per_rack8_calculated&lt;10</formula>
    </cfRule>
  </conditionalFormatting>
  <conditionalFormatting sqref="B341:E341">
    <cfRule type="expression" dxfId="3111" priority="125">
      <formula>wld_compute_hosts_per_rack8_calculated&lt;11</formula>
    </cfRule>
  </conditionalFormatting>
  <conditionalFormatting sqref="B342:E342">
    <cfRule type="expression" dxfId="3110" priority="126">
      <formula>wld_compute_hosts_per_rack8_calculated&lt;12</formula>
    </cfRule>
  </conditionalFormatting>
  <conditionalFormatting sqref="B343:E343">
    <cfRule type="expression" dxfId="3109" priority="127">
      <formula>wld_compute_hosts_per_rack8_calculated&lt;13</formula>
    </cfRule>
  </conditionalFormatting>
  <conditionalFormatting sqref="B344:E344">
    <cfRule type="expression" dxfId="3108" priority="128">
      <formula>wld_compute_hosts_per_rack8_calculated&lt;14</formula>
    </cfRule>
  </conditionalFormatting>
  <conditionalFormatting sqref="B345:E345">
    <cfRule type="expression" dxfId="3107" priority="129">
      <formula>wld_compute_hosts_per_rack8_calculated&lt;15</formula>
    </cfRule>
  </conditionalFormatting>
  <conditionalFormatting sqref="B346:E346">
    <cfRule type="expression" dxfId="3106" priority="130">
      <formula>wld_compute_hosts_per_rack8_calculated&lt;16</formula>
    </cfRule>
  </conditionalFormatting>
  <conditionalFormatting sqref="C74">
    <cfRule type="expression" dxfId="3105" priority="331">
      <formula>wld_domain_result="Excluded"</formula>
    </cfRule>
  </conditionalFormatting>
  <conditionalFormatting sqref="D9:D14">
    <cfRule type="notContainsBlanks" dxfId="3104" priority="989">
      <formula>LEN(TRIM(D9))&gt;0</formula>
    </cfRule>
  </conditionalFormatting>
  <conditionalFormatting sqref="D15">
    <cfRule type="containsBlanks" dxfId="3103" priority="1033">
      <formula>LEN(TRIM(D15))=0</formula>
    </cfRule>
  </conditionalFormatting>
  <conditionalFormatting sqref="D18:D33 D286:D293 D318:D325">
    <cfRule type="containsBlanks" dxfId="3102" priority="1036">
      <formula>LEN(TRIM(D18))=0</formula>
    </cfRule>
  </conditionalFormatting>
  <conditionalFormatting sqref="D18:D33">
    <cfRule type="notContainsBlanks" dxfId="3101" priority="854">
      <formula>LEN(TRIM(D18))&gt;0</formula>
    </cfRule>
  </conditionalFormatting>
  <conditionalFormatting sqref="D38:D41">
    <cfRule type="notContainsBlanks" dxfId="3100" priority="971">
      <formula>LEN(TRIM(D38))&gt;0</formula>
    </cfRule>
    <cfRule type="containsBlanks" dxfId="3099" priority="1035">
      <formula>LEN(TRIM(D38))=0</formula>
    </cfRule>
  </conditionalFormatting>
  <conditionalFormatting sqref="D44:D59 D38:D41">
    <cfRule type="containsBlanks" dxfId="3098" priority="855">
      <formula>LEN(TRIM(D38))=0</formula>
    </cfRule>
  </conditionalFormatting>
  <conditionalFormatting sqref="D44:D59">
    <cfRule type="notContainsBlanks" dxfId="3097" priority="616">
      <formula>LEN(TRIM(D44))&gt;0</formula>
    </cfRule>
  </conditionalFormatting>
  <conditionalFormatting sqref="D64:D69">
    <cfRule type="containsBlanks" dxfId="3096" priority="861">
      <formula>LEN(TRIM(D64))=0</formula>
    </cfRule>
    <cfRule type="notContainsBlanks" dxfId="3095" priority="860">
      <formula>LEN(TRIM(D64))&gt;0</formula>
    </cfRule>
  </conditionalFormatting>
  <conditionalFormatting sqref="D72">
    <cfRule type="containsBlanks" dxfId="3094" priority="1192">
      <formula>LEN(TRIM(D72))=0</formula>
    </cfRule>
    <cfRule type="notContainsBlanks" dxfId="3093" priority="83">
      <formula>LEN(TRIM(D72))&gt;0</formula>
    </cfRule>
  </conditionalFormatting>
  <conditionalFormatting sqref="D75:D90">
    <cfRule type="containsBlanks" dxfId="3092" priority="649">
      <formula>LEN(TRIM(D75))=0</formula>
    </cfRule>
  </conditionalFormatting>
  <conditionalFormatting sqref="D95:D98">
    <cfRule type="containsBlanks" dxfId="3091" priority="852">
      <formula>LEN(TRIM(D95))=0</formula>
    </cfRule>
    <cfRule type="notContainsBlanks" dxfId="3090" priority="851">
      <formula>LEN(TRIM(D95))&gt;0</formula>
    </cfRule>
  </conditionalFormatting>
  <conditionalFormatting sqref="D96">
    <cfRule type="containsBlanks" dxfId="3089" priority="1047">
      <formula>LEN(TRIM(D96))=0</formula>
    </cfRule>
    <cfRule type="notContainsBlanks" dxfId="3088" priority="1046">
      <formula>LEN(TRIM(D96))&gt;0</formula>
    </cfRule>
  </conditionalFormatting>
  <conditionalFormatting sqref="D101:D116">
    <cfRule type="notContainsBlanks" dxfId="3087" priority="531">
      <formula>LEN(TRIM(D101))&gt;0</formula>
    </cfRule>
    <cfRule type="containsBlanks" dxfId="3086" priority="850">
      <formula>LEN(TRIM(D101))=0</formula>
    </cfRule>
  </conditionalFormatting>
  <conditionalFormatting sqref="D121:D123">
    <cfRule type="containsBlanks" dxfId="3085" priority="923">
      <formula>LEN(TRIM(D121))=0</formula>
    </cfRule>
    <cfRule type="notContainsBlanks" dxfId="3084" priority="922">
      <formula>LEN(TRIM(D121))&gt;0</formula>
    </cfRule>
  </conditionalFormatting>
  <conditionalFormatting sqref="D121:D128 D259 D9:D14">
    <cfRule type="containsBlanks" dxfId="3083" priority="1022">
      <formula>LEN(TRIM(D9))=0</formula>
    </cfRule>
  </conditionalFormatting>
  <conditionalFormatting sqref="D121:D128 D259">
    <cfRule type="notContainsBlanks" dxfId="3082" priority="1021">
      <formula>LEN(TRIM(D121))&gt;0</formula>
    </cfRule>
  </conditionalFormatting>
  <conditionalFormatting sqref="D131">
    <cfRule type="containsBlanks" dxfId="3081" priority="521">
      <formula>LEN(TRIM(D131))=0</formula>
    </cfRule>
    <cfRule type="notContainsBlanks" dxfId="3080" priority="310">
      <formula>LEN(TRIM(D131))&gt;0</formula>
    </cfRule>
  </conditionalFormatting>
  <conditionalFormatting sqref="D134:D149">
    <cfRule type="containsBlanks" dxfId="3079" priority="835" stopIfTrue="1">
      <formula>LEN(TRIM(D134))=0</formula>
    </cfRule>
  </conditionalFormatting>
  <conditionalFormatting sqref="D154:D156">
    <cfRule type="notContainsBlanks" dxfId="3078" priority="842">
      <formula>LEN(TRIM(D154))&gt;0</formula>
    </cfRule>
  </conditionalFormatting>
  <conditionalFormatting sqref="D154:D161">
    <cfRule type="containsBlanks" dxfId="3077" priority="857">
      <formula>LEN(TRIM(D154))=0</formula>
    </cfRule>
  </conditionalFormatting>
  <conditionalFormatting sqref="D156">
    <cfRule type="notContainsBlanks" dxfId="3076" priority="840">
      <formula>LEN(TRIM(D156))&gt;0</formula>
    </cfRule>
    <cfRule type="containsBlanks" dxfId="3075" priority="841">
      <formula>LEN(TRIM(D156))=0</formula>
    </cfRule>
  </conditionalFormatting>
  <conditionalFormatting sqref="D164">
    <cfRule type="containsBlanks" dxfId="3074" priority="76">
      <formula>LEN(TRIM(D164))=0</formula>
    </cfRule>
    <cfRule type="notContainsBlanks" dxfId="3073" priority="75">
      <formula>LEN(TRIM(D164))&gt;0</formula>
    </cfRule>
  </conditionalFormatting>
  <conditionalFormatting sqref="D167:D182 B167:B182">
    <cfRule type="notContainsBlanks" dxfId="3072" priority="311">
      <formula>LEN(TRIM(B167))&gt;0</formula>
    </cfRule>
  </conditionalFormatting>
  <conditionalFormatting sqref="D167:D182">
    <cfRule type="containsBlanks" dxfId="3071" priority="251">
      <formula>LEN(TRIM(D167))=0</formula>
    </cfRule>
  </conditionalFormatting>
  <conditionalFormatting sqref="D187:D188">
    <cfRule type="containsBlanks" dxfId="3070" priority="1189">
      <formula>LEN(TRIM(D187))=0</formula>
    </cfRule>
    <cfRule type="notContainsBlanks" dxfId="3069" priority="965">
      <formula>LEN(TRIM(D187))&gt;0</formula>
    </cfRule>
  </conditionalFormatting>
  <conditionalFormatting sqref="D187:D194">
    <cfRule type="containsBlanks" dxfId="3068" priority="873">
      <formula>LEN(TRIM(D187))=0</formula>
    </cfRule>
  </conditionalFormatting>
  <conditionalFormatting sqref="D189:D193">
    <cfRule type="notContainsBlanks" dxfId="3067" priority="834">
      <formula>LEN(TRIM(D189))&gt;0</formula>
    </cfRule>
  </conditionalFormatting>
  <conditionalFormatting sqref="D197">
    <cfRule type="notContainsBlanks" dxfId="3066" priority="71">
      <formula>LEN(TRIM(D197))&gt;0</formula>
    </cfRule>
    <cfRule type="containsBlanks" dxfId="3065" priority="72">
      <formula>LEN(TRIM(D197))=0</formula>
    </cfRule>
  </conditionalFormatting>
  <conditionalFormatting sqref="D200:D215 B200:B215">
    <cfRule type="notContainsBlanks" dxfId="3064" priority="340">
      <formula>LEN(TRIM(B200))&gt;0</formula>
    </cfRule>
  </conditionalFormatting>
  <conditionalFormatting sqref="D200:D215">
    <cfRule type="containsBlanks" dxfId="3063" priority="247">
      <formula>LEN(TRIM(D200))=0</formula>
    </cfRule>
  </conditionalFormatting>
  <conditionalFormatting sqref="D220:D227">
    <cfRule type="containsBlanks" dxfId="3062" priority="952">
      <formula>LEN(TRIM(D220))=0</formula>
    </cfRule>
    <cfRule type="notContainsBlanks" dxfId="3061" priority="950">
      <formula>LEN(TRIM(D220))&gt;0</formula>
    </cfRule>
  </conditionalFormatting>
  <conditionalFormatting sqref="D230">
    <cfRule type="notContainsBlanks" dxfId="3060" priority="67">
      <formula>LEN(TRIM(D230))&gt;0</formula>
    </cfRule>
    <cfRule type="containsBlanks" dxfId="3059" priority="68">
      <formula>LEN(TRIM(D230))=0</formula>
    </cfRule>
  </conditionalFormatting>
  <conditionalFormatting sqref="D233:D248">
    <cfRule type="containsBlanks" dxfId="3058" priority="335">
      <formula>LEN(TRIM(D233))=0</formula>
    </cfRule>
  </conditionalFormatting>
  <conditionalFormatting sqref="D253:D260">
    <cfRule type="containsBlanks" dxfId="3057" priority="1191">
      <formula>LEN(TRIM(D253))=0</formula>
    </cfRule>
    <cfRule type="notContainsBlanks" dxfId="3056" priority="1023">
      <formula>LEN(TRIM(D253))&gt;0</formula>
    </cfRule>
  </conditionalFormatting>
  <conditionalFormatting sqref="D263">
    <cfRule type="notContainsBlanks" dxfId="3055" priority="64">
      <formula>LEN(TRIM(D263))&gt;0</formula>
    </cfRule>
    <cfRule type="containsBlanks" dxfId="3054" priority="81">
      <formula>LEN(TRIM(D263))=0</formula>
    </cfRule>
  </conditionalFormatting>
  <conditionalFormatting sqref="D266:D281 B266:B281">
    <cfRule type="notContainsBlanks" dxfId="3053" priority="374">
      <formula>LEN(TRIM(B266))&gt;0</formula>
    </cfRule>
  </conditionalFormatting>
  <conditionalFormatting sqref="D266:D281">
    <cfRule type="containsBlanks" dxfId="3052" priority="319">
      <formula>LEN(TRIM(D266))=0</formula>
    </cfRule>
  </conditionalFormatting>
  <conditionalFormatting sqref="D286:D293 D318:D325 D157:D161 B18:B33 B44:B59 B101:B116">
    <cfRule type="notContainsBlanks" dxfId="3051" priority="1048">
      <formula>LEN(TRIM(B18))&gt;0</formula>
    </cfRule>
  </conditionalFormatting>
  <conditionalFormatting sqref="D296">
    <cfRule type="notContainsBlanks" dxfId="3050" priority="60">
      <formula>LEN(TRIM(D296))&gt;0</formula>
    </cfRule>
    <cfRule type="containsBlanks" dxfId="3049" priority="63">
      <formula>LEN(TRIM(D296))=0</formula>
    </cfRule>
  </conditionalFormatting>
  <conditionalFormatting sqref="D299:D314 B299:B314">
    <cfRule type="notContainsBlanks" dxfId="3048" priority="522">
      <formula>LEN(TRIM(B299))&gt;0</formula>
    </cfRule>
  </conditionalFormatting>
  <conditionalFormatting sqref="D299:D314">
    <cfRule type="containsBlanks" dxfId="3047" priority="339">
      <formula>LEN(TRIM(D299))=0</formula>
    </cfRule>
  </conditionalFormatting>
  <conditionalFormatting sqref="D328">
    <cfRule type="notContainsBlanks" dxfId="3046" priority="56">
      <formula>LEN(TRIM(D328))&gt;0</formula>
    </cfRule>
    <cfRule type="containsBlanks" dxfId="3045" priority="59">
      <formula>LEN(TRIM(D328))=0</formula>
    </cfRule>
  </conditionalFormatting>
  <conditionalFormatting sqref="D331:D346 B331:B346">
    <cfRule type="notContainsBlanks" dxfId="3044" priority="523">
      <formula>LEN(TRIM(B331))&gt;0</formula>
    </cfRule>
  </conditionalFormatting>
  <conditionalFormatting sqref="D331:D346">
    <cfRule type="containsBlanks" dxfId="3043" priority="313">
      <formula>LEN(TRIM(D331))=0</formula>
    </cfRule>
  </conditionalFormatting>
  <conditionalFormatting sqref="D15:E15">
    <cfRule type="notContainsBlanks" dxfId="3042" priority="1032">
      <formula>LEN(TRIM(D15))&gt;0</formula>
    </cfRule>
  </conditionalFormatting>
  <dataValidations count="9">
    <dataValidation type="list" allowBlank="1" showInputMessage="1" showErrorMessage="1" sqref="D167:D182" xr:uid="{AC8B96CB-9093-B94C-B117-C5933BDFD3A4}">
      <formula1>avail_host_type_3</formula1>
    </dataValidation>
    <dataValidation type="list" allowBlank="1" showInputMessage="1" showErrorMessage="1" sqref="D200:D215" xr:uid="{26B0CB7B-2DC1-2C41-B0BF-72D427FC7A59}">
      <formula1>avail_host_type_4</formula1>
    </dataValidation>
    <dataValidation type="list" allowBlank="1" showInputMessage="1" showErrorMessage="1" sqref="D233:D248" xr:uid="{08C1E662-3055-034C-93D0-690F87356603}">
      <formula1>avail_host_type_5</formula1>
    </dataValidation>
    <dataValidation type="list" allowBlank="1" showInputMessage="1" showErrorMessage="1" sqref="D266:D281" xr:uid="{5CA372A2-6D5B-5442-AD06-517DEBA92C79}">
      <formula1>avail_host_type_6</formula1>
    </dataValidation>
    <dataValidation type="list" allowBlank="1" showInputMessage="1" showErrorMessage="1" sqref="D299:D314" xr:uid="{34C43DDE-E420-F741-9FC6-51EF82AFC070}">
      <formula1>avail_host_type_7</formula1>
    </dataValidation>
    <dataValidation type="list" allowBlank="1" showInputMessage="1" showErrorMessage="1" sqref="D331:D346" xr:uid="{392B6C93-864B-6346-93BE-A4E759459DE4}">
      <formula1>avail_host_type_8</formula1>
    </dataValidation>
    <dataValidation type="list" allowBlank="1" showInputMessage="1" showErrorMessage="1" sqref="D76:D90" xr:uid="{6B0495D3-3BF8-2E4A-BEBC-6E79A83609EE}">
      <formula1>avail_host_type_1</formula1>
    </dataValidation>
    <dataValidation type="list" allowBlank="1" showInputMessage="1" showErrorMessage="1" sqref="D134:D149" xr:uid="{202FBAB1-C664-0C4D-8452-EA48E57A02C0}">
      <formula1>avail_host_type_2</formula1>
    </dataValidation>
    <dataValidation type="list" allowBlank="1" showInputMessage="1" showErrorMessage="1" sqref="D75" xr:uid="{A76DE448-B48F-4E48-A7CD-6E2C6FD905A4}">
      <formula1>INDIRECT("avail_host_type_1")</formula1>
    </dataValidation>
  </dataValidations>
  <pageMargins left="0.7" right="0.7" top="0.75" bottom="0.75" header="0.3" footer="0.3"/>
  <pageSetup paperSize="9" orientation="portrait" horizontalDpi="0" verticalDpi="0"/>
  <ignoredErrors>
    <ignoredError sqref="C159" formula="1"/>
  </ignoredErrors>
  <extLst>
    <ext xmlns:x14="http://schemas.microsoft.com/office/spreadsheetml/2009/9/main" uri="{78C0D931-6437-407d-A8EE-F0AAD7539E65}">
      <x14:conditionalFormattings>
        <x14:conditionalFormatting xmlns:xm="http://schemas.microsoft.com/office/excel/2006/main">
          <x14:cfRule type="containsText" priority="856" operator="containsText" id="{D2A6718B-5738-9840-BF09-4CEAC90F0C41}">
            <xm:f>NOT(ISERROR(SEARCH("Value Missing",B18)))</xm:f>
            <xm:f>"Value Missing"</xm:f>
            <x14:dxf>
              <font>
                <color rgb="FF9C0006"/>
              </font>
              <fill>
                <patternFill>
                  <bgColor rgb="FFFFC7CE"/>
                </patternFill>
              </fill>
            </x14:dxf>
          </x14:cfRule>
          <xm:sqref>B134:B149 B331:B346 B299:B314 B18:B33 B101:B116 B266:B281 B200:B215 B233:B248 B167:B182 B44:B59 B75:B90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254A8-D8D4-7945-8EB2-EE7D4CA78AF4}">
  <sheetPr codeName="Sheet17">
    <tabColor theme="5" tint="0.39997558519241921"/>
  </sheetPr>
  <dimension ref="A1:K116"/>
  <sheetViews>
    <sheetView showGridLines="0" zoomScaleNormal="100" workbookViewId="0">
      <pane ySplit="4" topLeftCell="A5" activePane="bottomLeft" state="frozen"/>
      <selection pane="bottomLeft"/>
    </sheetView>
  </sheetViews>
  <sheetFormatPr baseColWidth="10" defaultColWidth="10.83203125" defaultRowHeight="16"/>
  <cols>
    <col min="1" max="1" width="2.83203125" style="3" customWidth="1"/>
    <col min="2" max="2" width="65.83203125" style="3" customWidth="1"/>
    <col min="3" max="3" width="23.83203125" style="3" bestFit="1" customWidth="1"/>
    <col min="4" max="4" width="45.6640625" style="3" bestFit="1" customWidth="1"/>
    <col min="5" max="6" width="44.33203125" style="3" bestFit="1" customWidth="1"/>
    <col min="7" max="7" width="52.6640625" style="3" bestFit="1" customWidth="1"/>
    <col min="8" max="8" width="61.1640625" style="3" bestFit="1" customWidth="1"/>
    <col min="9" max="9" width="66.5" style="3" bestFit="1" customWidth="1"/>
    <col min="10" max="10" width="10.83203125" style="5" customWidth="1"/>
    <col min="11" max="11" width="10.83203125" style="3" customWidth="1"/>
    <col min="12" max="16384" width="10.83203125" style="3"/>
  </cols>
  <sheetData>
    <row r="1" spans="1:11">
      <c r="A1" s="6"/>
      <c r="J1" s="3"/>
    </row>
    <row r="2" spans="1:11" ht="54" customHeight="1">
      <c r="B2" s="99" t="s">
        <v>31</v>
      </c>
      <c r="C2" s="99"/>
      <c r="D2" s="99"/>
      <c r="E2" s="99"/>
      <c r="F2" s="99"/>
      <c r="G2" s="99"/>
      <c r="H2" s="9"/>
      <c r="I2" s="9"/>
      <c r="J2" s="9"/>
      <c r="K2" s="9"/>
    </row>
    <row r="3" spans="1:11" ht="20" customHeight="1">
      <c r="B3" s="100" t="s">
        <v>1148</v>
      </c>
      <c r="C3" s="100"/>
      <c r="D3" s="100"/>
      <c r="E3" s="100"/>
      <c r="F3" s="100"/>
      <c r="G3" s="100"/>
      <c r="H3" s="10"/>
      <c r="I3" s="10"/>
      <c r="J3" s="10"/>
      <c r="K3" s="10"/>
    </row>
    <row r="5" spans="1:11" ht="16" customHeight="1"/>
    <row r="6" spans="1:11" s="4" customFormat="1" ht="34" customHeight="1">
      <c r="B6" s="344" t="s">
        <v>1149</v>
      </c>
      <c r="C6" s="344"/>
      <c r="D6" s="344"/>
      <c r="E6" s="344"/>
      <c r="F6" s="344"/>
      <c r="G6" s="344"/>
      <c r="H6" s="3"/>
      <c r="J6" s="33"/>
    </row>
    <row r="7" spans="1:11" ht="20" customHeight="1">
      <c r="B7" s="8" t="s">
        <v>553</v>
      </c>
      <c r="C7" s="8" t="s">
        <v>489</v>
      </c>
      <c r="D7" s="8" t="s">
        <v>1150</v>
      </c>
      <c r="E7" s="20" t="s">
        <v>1151</v>
      </c>
      <c r="F7" s="8" t="s">
        <v>1152</v>
      </c>
      <c r="G7" s="133"/>
    </row>
    <row r="8" spans="1:11" ht="20" customHeight="1">
      <c r="B8" s="21" t="s">
        <v>1153</v>
      </c>
      <c r="C8" s="22" t="s">
        <v>702</v>
      </c>
      <c r="D8" s="22" t="s">
        <v>294</v>
      </c>
      <c r="E8" s="14"/>
      <c r="F8" s="22" t="s">
        <v>1154</v>
      </c>
      <c r="G8" s="14"/>
    </row>
    <row r="9" spans="1:11" s="35" customFormat="1" ht="20" customHeight="1">
      <c r="B9" s="21" t="s">
        <v>1155</v>
      </c>
      <c r="C9" s="22" t="s">
        <v>634</v>
      </c>
      <c r="D9" s="56" t="str">
        <f>CONCATENATE(this_instance,".rainpole.io")</f>
        <v>sfo.rainpole.io</v>
      </c>
      <c r="E9" s="57"/>
      <c r="F9" s="56" t="str">
        <f>(UPPER(this_instance))</f>
        <v>SFO</v>
      </c>
      <c r="G9" s="57"/>
      <c r="J9" s="58"/>
    </row>
    <row r="10" spans="1:11" ht="20" customHeight="1">
      <c r="B10" s="21" t="s">
        <v>1156</v>
      </c>
      <c r="C10" s="22" t="s">
        <v>702</v>
      </c>
      <c r="D10" s="22" t="s">
        <v>1157</v>
      </c>
      <c r="E10" s="132"/>
      <c r="F10" s="22" t="s">
        <v>1158</v>
      </c>
      <c r="G10" s="132"/>
    </row>
    <row r="11" spans="1:11" ht="20" customHeight="1">
      <c r="B11" s="21" t="s">
        <v>1159</v>
      </c>
      <c r="C11" s="22" t="s">
        <v>634</v>
      </c>
      <c r="D11" s="22" t="str">
        <f>CONCATENATE("ou=Security Groups,dc=",this_instance,",dc=rainpole,dc=io")</f>
        <v>ou=Security Groups,dc=sfo,dc=rainpole,dc=io</v>
      </c>
      <c r="E11" s="14"/>
      <c r="F11" s="22" t="str">
        <f>CONCATENATE("ou=Security Users,dc=",this_instance,",dc=rainpole,dc=io")</f>
        <v>ou=Security Users,dc=sfo,dc=rainpole,dc=io</v>
      </c>
      <c r="G11" s="14"/>
    </row>
    <row r="12" spans="1:11" ht="16" customHeight="1"/>
    <row r="13" spans="1:11" ht="34" customHeight="1">
      <c r="B13" s="427" t="s">
        <v>1160</v>
      </c>
      <c r="C13" s="428"/>
      <c r="D13" s="428"/>
      <c r="E13" s="428"/>
      <c r="F13" s="428"/>
      <c r="G13" s="426"/>
    </row>
    <row r="14" spans="1:11" ht="20" customHeight="1">
      <c r="B14" s="419" t="s">
        <v>36</v>
      </c>
      <c r="C14" s="420"/>
      <c r="D14" s="420"/>
      <c r="E14" s="420"/>
      <c r="F14" s="420"/>
      <c r="G14" s="421"/>
      <c r="J14" s="3"/>
    </row>
    <row r="15" spans="1:11" ht="20" customHeight="1">
      <c r="B15" s="8" t="s">
        <v>553</v>
      </c>
      <c r="C15" s="8" t="s">
        <v>489</v>
      </c>
      <c r="D15" s="8" t="s">
        <v>1161</v>
      </c>
      <c r="E15" s="20" t="s">
        <v>1162</v>
      </c>
      <c r="F15" s="8" t="s">
        <v>1163</v>
      </c>
      <c r="G15" s="20" t="s">
        <v>1164</v>
      </c>
    </row>
    <row r="16" spans="1:11" ht="20" customHeight="1">
      <c r="B16" s="21" t="s">
        <v>1165</v>
      </c>
      <c r="C16" s="22" t="s">
        <v>634</v>
      </c>
      <c r="D16" s="22" t="s">
        <v>785</v>
      </c>
      <c r="E16" s="14"/>
      <c r="F16" s="49" t="s">
        <v>4098</v>
      </c>
      <c r="G16" s="14"/>
      <c r="J16" s="3"/>
    </row>
    <row r="17" spans="2:10" ht="20" customHeight="1">
      <c r="B17" s="419" t="s">
        <v>1166</v>
      </c>
      <c r="C17" s="420"/>
      <c r="D17" s="420"/>
      <c r="E17" s="420"/>
      <c r="F17" s="420"/>
      <c r="G17" s="421"/>
      <c r="J17" s="3"/>
    </row>
    <row r="18" spans="2:10" ht="20" customHeight="1">
      <c r="B18" s="8" t="s">
        <v>553</v>
      </c>
      <c r="C18" s="8" t="s">
        <v>489</v>
      </c>
      <c r="D18" s="8" t="s">
        <v>1161</v>
      </c>
      <c r="E18" s="20" t="s">
        <v>1162</v>
      </c>
      <c r="F18" s="8" t="s">
        <v>1163</v>
      </c>
      <c r="G18" s="20" t="s">
        <v>1164</v>
      </c>
    </row>
    <row r="19" spans="2:10" ht="20" customHeight="1">
      <c r="B19" s="21" t="s">
        <v>1167</v>
      </c>
      <c r="C19" s="22" t="s">
        <v>634</v>
      </c>
      <c r="D19" s="22" t="s">
        <v>4617</v>
      </c>
      <c r="E19" s="14"/>
      <c r="F19" s="49" t="s">
        <v>4098</v>
      </c>
      <c r="G19" s="155"/>
      <c r="J19" s="3"/>
    </row>
    <row r="20" spans="2:10" ht="20" customHeight="1">
      <c r="B20" s="419" t="s">
        <v>708</v>
      </c>
      <c r="C20" s="420"/>
      <c r="D20" s="420"/>
      <c r="E20" s="420"/>
      <c r="F20" s="420"/>
      <c r="G20" s="421"/>
      <c r="J20" s="3"/>
    </row>
    <row r="21" spans="2:10" ht="20" customHeight="1">
      <c r="B21" s="8" t="s">
        <v>553</v>
      </c>
      <c r="C21" s="8" t="s">
        <v>489</v>
      </c>
      <c r="D21" s="8" t="s">
        <v>1161</v>
      </c>
      <c r="E21" s="20" t="s">
        <v>1162</v>
      </c>
      <c r="F21" s="8" t="s">
        <v>1163</v>
      </c>
      <c r="G21" s="20" t="s">
        <v>1164</v>
      </c>
    </row>
    <row r="22" spans="2:10" ht="20" customHeight="1">
      <c r="B22" s="21" t="s">
        <v>1169</v>
      </c>
      <c r="C22" s="22" t="s">
        <v>634</v>
      </c>
      <c r="D22" s="22" t="s">
        <v>1170</v>
      </c>
      <c r="E22" s="132"/>
      <c r="F22" s="49" t="s">
        <v>4098</v>
      </c>
      <c r="G22" s="14"/>
      <c r="J22" s="3"/>
    </row>
    <row r="23" spans="2:10" ht="20" customHeight="1">
      <c r="B23" s="21" t="s">
        <v>3605</v>
      </c>
      <c r="C23" s="22" t="s">
        <v>634</v>
      </c>
      <c r="D23" s="22" t="s">
        <v>3606</v>
      </c>
      <c r="E23" s="132"/>
      <c r="F23" s="49" t="s">
        <v>4098</v>
      </c>
      <c r="G23" s="14"/>
      <c r="J23" s="3"/>
    </row>
    <row r="24" spans="2:10" ht="16" customHeight="1"/>
    <row r="25" spans="2:10" ht="34" customHeight="1">
      <c r="B25" s="427" t="s">
        <v>1171</v>
      </c>
      <c r="C25" s="428"/>
      <c r="D25" s="428"/>
      <c r="E25" s="428"/>
      <c r="F25" s="428"/>
      <c r="G25" s="426"/>
    </row>
    <row r="26" spans="2:10" ht="20" customHeight="1">
      <c r="B26" s="419" t="s">
        <v>66</v>
      </c>
      <c r="C26" s="420"/>
      <c r="D26" s="420"/>
      <c r="E26" s="420"/>
      <c r="F26" s="420"/>
      <c r="G26" s="421"/>
      <c r="J26" s="3"/>
    </row>
    <row r="27" spans="2:10" ht="20" customHeight="1">
      <c r="B27" s="8" t="s">
        <v>553</v>
      </c>
      <c r="C27" s="8" t="s">
        <v>489</v>
      </c>
      <c r="D27" s="8" t="s">
        <v>1161</v>
      </c>
      <c r="E27" s="20" t="s">
        <v>1162</v>
      </c>
      <c r="F27" s="8" t="s">
        <v>1163</v>
      </c>
      <c r="G27" s="20" t="s">
        <v>1164</v>
      </c>
    </row>
    <row r="28" spans="2:10" ht="20" customHeight="1">
      <c r="B28" s="21" t="s">
        <v>3593</v>
      </c>
      <c r="C28" s="22" t="s">
        <v>634</v>
      </c>
      <c r="D28" s="22" t="s">
        <v>3592</v>
      </c>
      <c r="E28" s="14"/>
      <c r="F28" s="49" t="s">
        <v>4098</v>
      </c>
      <c r="G28" s="14"/>
    </row>
    <row r="29" spans="2:10" ht="20" customHeight="1">
      <c r="B29" s="419" t="s">
        <v>69</v>
      </c>
      <c r="C29" s="420"/>
      <c r="D29" s="420"/>
      <c r="E29" s="420"/>
      <c r="F29" s="420"/>
      <c r="G29" s="421"/>
    </row>
    <row r="30" spans="2:10" ht="20" customHeight="1">
      <c r="B30" s="8" t="s">
        <v>553</v>
      </c>
      <c r="C30" s="8" t="s">
        <v>489</v>
      </c>
      <c r="D30" s="8" t="s">
        <v>1161</v>
      </c>
      <c r="E30" s="20" t="s">
        <v>1162</v>
      </c>
      <c r="F30" s="8" t="s">
        <v>1163</v>
      </c>
      <c r="G30" s="20" t="s">
        <v>1164</v>
      </c>
    </row>
    <row r="31" spans="2:10" ht="20" customHeight="1">
      <c r="B31" s="21" t="s">
        <v>3216</v>
      </c>
      <c r="C31" s="22" t="s">
        <v>634</v>
      </c>
      <c r="D31" s="22" t="s">
        <v>4639</v>
      </c>
      <c r="E31" s="14"/>
      <c r="F31" s="49" t="s">
        <v>4098</v>
      </c>
      <c r="G31" s="14"/>
      <c r="J31" s="3"/>
    </row>
    <row r="32" spans="2:10" ht="20" customHeight="1">
      <c r="B32" s="21" t="s">
        <v>3217</v>
      </c>
      <c r="C32" s="22" t="s">
        <v>634</v>
      </c>
      <c r="D32" s="22" t="s">
        <v>4640</v>
      </c>
      <c r="E32" s="14"/>
      <c r="F32" s="49" t="s">
        <v>4098</v>
      </c>
      <c r="G32" s="14"/>
      <c r="J32" s="3"/>
    </row>
    <row r="33" spans="2:10" ht="20" customHeight="1">
      <c r="B33" s="21" t="s">
        <v>3388</v>
      </c>
      <c r="C33" s="22" t="s">
        <v>634</v>
      </c>
      <c r="D33" s="22" t="s">
        <v>4641</v>
      </c>
      <c r="E33" s="14"/>
      <c r="F33" s="49" t="s">
        <v>4098</v>
      </c>
      <c r="G33" s="14"/>
      <c r="J33" s="3"/>
    </row>
    <row r="34" spans="2:10" ht="20" customHeight="1">
      <c r="B34" s="419" t="s">
        <v>3639</v>
      </c>
      <c r="C34" s="420"/>
      <c r="D34" s="420"/>
      <c r="E34" s="420"/>
      <c r="F34" s="420"/>
      <c r="G34" s="421"/>
      <c r="J34" s="3"/>
    </row>
    <row r="35" spans="2:10" ht="20" customHeight="1">
      <c r="B35" s="8" t="s">
        <v>553</v>
      </c>
      <c r="C35" s="8" t="s">
        <v>489</v>
      </c>
      <c r="D35" s="8" t="s">
        <v>1161</v>
      </c>
      <c r="E35" s="20" t="s">
        <v>1162</v>
      </c>
      <c r="F35" s="8" t="s">
        <v>1163</v>
      </c>
      <c r="G35" s="20" t="s">
        <v>1164</v>
      </c>
    </row>
    <row r="36" spans="2:10" ht="20" customHeight="1">
      <c r="B36" s="21" t="s">
        <v>3732</v>
      </c>
      <c r="C36" s="22" t="s">
        <v>634</v>
      </c>
      <c r="D36" s="22" t="s">
        <v>4642</v>
      </c>
      <c r="E36" s="132"/>
      <c r="F36" s="49" t="s">
        <v>4098</v>
      </c>
      <c r="G36" s="14"/>
    </row>
    <row r="37" spans="2:10" ht="20" customHeight="1">
      <c r="B37" s="21" t="s">
        <v>3389</v>
      </c>
      <c r="C37" s="22" t="s">
        <v>634</v>
      </c>
      <c r="D37" s="22" t="s">
        <v>4643</v>
      </c>
      <c r="E37" s="132"/>
      <c r="F37" s="49" t="s">
        <v>4098</v>
      </c>
      <c r="G37" s="14"/>
      <c r="J37" s="3"/>
    </row>
    <row r="38" spans="2:10" ht="20" customHeight="1">
      <c r="B38" s="21" t="s">
        <v>4928</v>
      </c>
      <c r="C38" s="22" t="s">
        <v>634</v>
      </c>
      <c r="D38" s="22" t="s">
        <v>4929</v>
      </c>
      <c r="E38" s="132" t="s">
        <v>4932</v>
      </c>
      <c r="F38" s="49" t="s">
        <v>4098</v>
      </c>
      <c r="G38" s="14" t="s">
        <v>4933</v>
      </c>
      <c r="J38" s="3"/>
    </row>
    <row r="39" spans="2:10" ht="20" customHeight="1">
      <c r="B39" s="419" t="s">
        <v>1173</v>
      </c>
      <c r="C39" s="420"/>
      <c r="D39" s="420"/>
      <c r="E39" s="420"/>
      <c r="F39" s="420"/>
      <c r="G39" s="421"/>
      <c r="J39" s="3"/>
    </row>
    <row r="40" spans="2:10" ht="20" customHeight="1">
      <c r="B40" s="8" t="s">
        <v>553</v>
      </c>
      <c r="C40" s="8" t="s">
        <v>489</v>
      </c>
      <c r="D40" s="8" t="s">
        <v>1161</v>
      </c>
      <c r="E40" s="20" t="s">
        <v>1162</v>
      </c>
      <c r="F40" s="8" t="s">
        <v>1163</v>
      </c>
      <c r="G40" s="20" t="s">
        <v>1164</v>
      </c>
      <c r="J40" s="3"/>
    </row>
    <row r="41" spans="2:10" ht="20" customHeight="1">
      <c r="B41" s="21" t="str">
        <f>automation_product_name&amp;" to vSphere"</f>
        <v>VMware Aria Automation to vSphere</v>
      </c>
      <c r="C41" s="22" t="s">
        <v>634</v>
      </c>
      <c r="D41" s="22" t="s">
        <v>4644</v>
      </c>
      <c r="E41" s="132"/>
      <c r="F41" s="49" t="s">
        <v>4098</v>
      </c>
      <c r="G41" s="14"/>
      <c r="J41" s="3"/>
    </row>
    <row r="42" spans="2:10" ht="20" customHeight="1">
      <c r="B42" s="21" t="str">
        <f>automation_product_name&amp;" to NSX"</f>
        <v>VMware Aria Automation to NSX</v>
      </c>
      <c r="C42" s="22" t="s">
        <v>634</v>
      </c>
      <c r="D42" s="22" t="s">
        <v>4645</v>
      </c>
      <c r="E42" s="132"/>
      <c r="F42" s="49" t="s">
        <v>4098</v>
      </c>
      <c r="G42" s="14"/>
      <c r="J42" s="3"/>
    </row>
    <row r="43" spans="2:10" ht="20" customHeight="1">
      <c r="B43" s="21" t="str">
        <f>automation_product_name&amp;" to SDDC Manager"</f>
        <v>VMware Aria Automation to SDDC Manager</v>
      </c>
      <c r="C43" s="22" t="s">
        <v>634</v>
      </c>
      <c r="D43" s="22" t="s">
        <v>4646</v>
      </c>
      <c r="E43" s="132"/>
      <c r="F43" s="49" t="s">
        <v>4098</v>
      </c>
      <c r="G43" s="14"/>
    </row>
    <row r="44" spans="2:10" ht="20" customHeight="1">
      <c r="B44" s="21" t="str">
        <f>orchestrator_product_name&amp;" to vSphere"</f>
        <v>VMware Aria Automation Orchestrator to vSphere</v>
      </c>
      <c r="C44" s="49" t="s">
        <v>634</v>
      </c>
      <c r="D44" s="22" t="s">
        <v>4647</v>
      </c>
      <c r="E44" s="132"/>
      <c r="F44" s="49" t="s">
        <v>4098</v>
      </c>
      <c r="G44" s="14"/>
    </row>
    <row r="45" spans="2:10" ht="20" customHeight="1">
      <c r="B45" s="21" t="str">
        <f>automation_product_name&amp;" to VMware Aria Operations"</f>
        <v>VMware Aria Automation to VMware Aria Operations</v>
      </c>
      <c r="C45" s="49" t="s">
        <v>634</v>
      </c>
      <c r="D45" s="22" t="s">
        <v>4648</v>
      </c>
      <c r="E45" s="132"/>
      <c r="F45" s="49" t="s">
        <v>4098</v>
      </c>
      <c r="G45" s="14"/>
    </row>
    <row r="46" spans="2:10" ht="20" customHeight="1">
      <c r="B46" s="419" t="s">
        <v>59</v>
      </c>
      <c r="C46" s="420"/>
      <c r="D46" s="420"/>
      <c r="E46" s="420"/>
      <c r="F46" s="420"/>
      <c r="G46" s="421"/>
    </row>
    <row r="47" spans="2:10" ht="20" customHeight="1">
      <c r="B47" s="8" t="s">
        <v>553</v>
      </c>
      <c r="C47" s="8" t="s">
        <v>489</v>
      </c>
      <c r="D47" s="8" t="s">
        <v>1161</v>
      </c>
      <c r="E47" s="20" t="s">
        <v>1162</v>
      </c>
      <c r="F47" s="8" t="s">
        <v>1163</v>
      </c>
      <c r="G47" s="20" t="s">
        <v>1164</v>
      </c>
    </row>
    <row r="48" spans="2:10" ht="20" customHeight="1">
      <c r="B48" s="21" t="s">
        <v>1183</v>
      </c>
      <c r="C48" s="22" t="s">
        <v>634</v>
      </c>
      <c r="D48" s="22" t="s">
        <v>1184</v>
      </c>
      <c r="E48" s="132"/>
      <c r="F48" s="49" t="s">
        <v>4098</v>
      </c>
      <c r="G48" s="14"/>
    </row>
    <row r="49" spans="2:10" ht="20" customHeight="1">
      <c r="B49" s="21" t="s">
        <v>3218</v>
      </c>
      <c r="C49" s="22" t="s">
        <v>634</v>
      </c>
      <c r="D49" s="22" t="s">
        <v>4649</v>
      </c>
      <c r="E49" s="132"/>
      <c r="F49" s="49" t="s">
        <v>4098</v>
      </c>
      <c r="G49" s="14"/>
    </row>
    <row r="50" spans="2:10" ht="20" customHeight="1">
      <c r="B50" s="419" t="s">
        <v>3130</v>
      </c>
      <c r="C50" s="420"/>
      <c r="D50" s="420"/>
      <c r="E50" s="420"/>
      <c r="F50" s="420"/>
      <c r="G50" s="421"/>
    </row>
    <row r="51" spans="2:10" ht="20" customHeight="1">
      <c r="B51" s="8" t="s">
        <v>553</v>
      </c>
      <c r="C51" s="8" t="s">
        <v>489</v>
      </c>
      <c r="D51" s="8" t="s">
        <v>1161</v>
      </c>
      <c r="E51" s="20" t="s">
        <v>1162</v>
      </c>
      <c r="F51" s="8" t="s">
        <v>1163</v>
      </c>
      <c r="G51" s="20" t="s">
        <v>1164</v>
      </c>
    </row>
    <row r="52" spans="2:10" ht="20" customHeight="1">
      <c r="B52" s="21" t="s">
        <v>1179</v>
      </c>
      <c r="C52" s="22" t="s">
        <v>634</v>
      </c>
      <c r="D52" s="22" t="s">
        <v>1180</v>
      </c>
      <c r="E52" s="132"/>
      <c r="F52" s="49" t="s">
        <v>4098</v>
      </c>
      <c r="G52" s="14"/>
    </row>
    <row r="53" spans="2:10" ht="20" customHeight="1">
      <c r="B53" s="21" t="s">
        <v>1181</v>
      </c>
      <c r="C53" s="22" t="s">
        <v>634</v>
      </c>
      <c r="D53" s="22" t="s">
        <v>1182</v>
      </c>
      <c r="E53" s="132"/>
      <c r="F53" s="49" t="s">
        <v>4098</v>
      </c>
      <c r="G53" s="14"/>
    </row>
    <row r="54" spans="2:10" ht="20" customHeight="1"/>
    <row r="55" spans="2:10" ht="20" customHeight="1">
      <c r="B55" s="344" t="s">
        <v>1185</v>
      </c>
      <c r="C55" s="344"/>
      <c r="D55" s="344"/>
      <c r="E55" s="344"/>
      <c r="J55" s="3"/>
    </row>
    <row r="56" spans="2:10" ht="20" customHeight="1">
      <c r="B56" s="425" t="s">
        <v>3329</v>
      </c>
      <c r="C56" s="425"/>
      <c r="D56" s="425"/>
      <c r="E56" s="425"/>
      <c r="J56" s="3"/>
    </row>
    <row r="57" spans="2:10" ht="20" customHeight="1">
      <c r="B57" s="8" t="s">
        <v>1186</v>
      </c>
      <c r="C57" s="8" t="s">
        <v>489</v>
      </c>
      <c r="D57" s="8" t="s">
        <v>1187</v>
      </c>
      <c r="E57" s="20" t="s">
        <v>1188</v>
      </c>
      <c r="J57" s="3"/>
    </row>
    <row r="58" spans="2:10" ht="20" customHeight="1">
      <c r="B58" s="21" t="s">
        <v>3329</v>
      </c>
      <c r="C58" s="22" t="s">
        <v>634</v>
      </c>
      <c r="D58" s="22" t="s">
        <v>4592</v>
      </c>
      <c r="E58" s="14"/>
      <c r="J58" s="3"/>
    </row>
    <row r="59" spans="2:10" ht="20" customHeight="1">
      <c r="B59" s="21"/>
      <c r="C59" s="22" t="s">
        <v>634</v>
      </c>
      <c r="D59" s="22" t="s">
        <v>4593</v>
      </c>
      <c r="E59" s="14"/>
    </row>
    <row r="60" spans="2:10" ht="20" customHeight="1">
      <c r="B60" s="21"/>
      <c r="C60" s="22" t="s">
        <v>634</v>
      </c>
      <c r="D60" s="22" t="s">
        <v>4594</v>
      </c>
      <c r="E60" s="14"/>
    </row>
    <row r="61" spans="2:10" ht="20" customHeight="1">
      <c r="B61" s="425" t="s">
        <v>1166</v>
      </c>
      <c r="C61" s="425"/>
      <c r="D61" s="425"/>
      <c r="E61" s="425"/>
    </row>
    <row r="62" spans="2:10" ht="20" customHeight="1">
      <c r="B62" s="8" t="s">
        <v>1186</v>
      </c>
      <c r="C62" s="8" t="s">
        <v>489</v>
      </c>
      <c r="D62" s="8" t="s">
        <v>1187</v>
      </c>
      <c r="E62" s="20" t="s">
        <v>1188</v>
      </c>
    </row>
    <row r="63" spans="2:10" ht="20" customHeight="1">
      <c r="B63" s="21" t="s">
        <v>1191</v>
      </c>
      <c r="C63" s="22" t="s">
        <v>634</v>
      </c>
      <c r="D63" s="22" t="s">
        <v>4595</v>
      </c>
      <c r="E63" s="14"/>
      <c r="J63" s="3"/>
    </row>
    <row r="64" spans="2:10" ht="20" customHeight="1">
      <c r="B64" s="21"/>
      <c r="C64" s="22" t="s">
        <v>634</v>
      </c>
      <c r="D64" s="22" t="s">
        <v>4596</v>
      </c>
      <c r="E64" s="14"/>
    </row>
    <row r="65" spans="2:10" ht="20" customHeight="1">
      <c r="B65" s="21"/>
      <c r="C65" s="22" t="s">
        <v>634</v>
      </c>
      <c r="D65" s="22" t="s">
        <v>4597</v>
      </c>
      <c r="E65" s="14"/>
    </row>
    <row r="66" spans="2:10" ht="20" customHeight="1">
      <c r="B66" s="425" t="s">
        <v>60</v>
      </c>
      <c r="C66" s="425"/>
      <c r="D66" s="425"/>
      <c r="E66" s="425"/>
    </row>
    <row r="67" spans="2:10" ht="20" customHeight="1">
      <c r="B67" s="8" t="s">
        <v>1186</v>
      </c>
      <c r="C67" s="8" t="s">
        <v>489</v>
      </c>
      <c r="D67" s="8" t="s">
        <v>1187</v>
      </c>
      <c r="E67" s="20" t="s">
        <v>1188</v>
      </c>
    </row>
    <row r="68" spans="2:10" ht="20" customHeight="1">
      <c r="B68" s="21" t="s">
        <v>353</v>
      </c>
      <c r="C68" s="22" t="s">
        <v>634</v>
      </c>
      <c r="D68" s="22" t="s">
        <v>1192</v>
      </c>
      <c r="E68" s="14"/>
      <c r="J68" s="3"/>
    </row>
    <row r="69" spans="2:10" ht="20" customHeight="1">
      <c r="B69" s="21"/>
      <c r="C69" s="22" t="s">
        <v>634</v>
      </c>
      <c r="D69" s="22" t="s">
        <v>1193</v>
      </c>
      <c r="E69" s="14"/>
    </row>
    <row r="70" spans="2:10" ht="20" customHeight="1">
      <c r="B70" s="21"/>
      <c r="C70" s="22" t="s">
        <v>634</v>
      </c>
      <c r="D70" s="22" t="s">
        <v>1194</v>
      </c>
      <c r="E70" s="14"/>
    </row>
    <row r="71" spans="2:10" ht="20" customHeight="1">
      <c r="B71" s="21" t="s">
        <v>637</v>
      </c>
      <c r="C71" s="22" t="s">
        <v>634</v>
      </c>
      <c r="D71" s="22" t="s">
        <v>1195</v>
      </c>
      <c r="E71" s="14"/>
    </row>
    <row r="72" spans="2:10" ht="20" customHeight="1">
      <c r="B72" s="21"/>
      <c r="C72" s="22" t="s">
        <v>634</v>
      </c>
      <c r="D72" s="22" t="s">
        <v>1196</v>
      </c>
      <c r="E72" s="14"/>
    </row>
    <row r="73" spans="2:10" ht="20" customHeight="1">
      <c r="B73" s="21"/>
      <c r="C73" s="22" t="s">
        <v>634</v>
      </c>
      <c r="D73" s="22" t="s">
        <v>1197</v>
      </c>
      <c r="E73" s="14"/>
    </row>
    <row r="74" spans="2:10" ht="20" customHeight="1">
      <c r="B74" s="21" t="s">
        <v>4598</v>
      </c>
      <c r="C74" s="22" t="s">
        <v>634</v>
      </c>
      <c r="D74" s="22" t="s">
        <v>1198</v>
      </c>
      <c r="E74" s="14"/>
    </row>
    <row r="75" spans="2:10" ht="20" customHeight="1">
      <c r="B75" s="21"/>
      <c r="C75" s="22" t="s">
        <v>634</v>
      </c>
      <c r="D75" s="22" t="s">
        <v>1199</v>
      </c>
      <c r="E75" s="14"/>
    </row>
    <row r="76" spans="2:10" ht="20" customHeight="1">
      <c r="B76" s="21"/>
      <c r="C76" s="22" t="s">
        <v>634</v>
      </c>
      <c r="D76" s="22" t="s">
        <v>1200</v>
      </c>
      <c r="E76" s="14"/>
    </row>
    <row r="77" spans="2:10" ht="20" customHeight="1">
      <c r="B77" s="419" t="s">
        <v>62</v>
      </c>
      <c r="C77" s="443"/>
      <c r="D77" s="443"/>
      <c r="E77" s="443"/>
    </row>
    <row r="78" spans="2:10" ht="20" customHeight="1">
      <c r="B78" s="8" t="s">
        <v>1186</v>
      </c>
      <c r="C78" s="8" t="s">
        <v>489</v>
      </c>
      <c r="D78" s="8" t="s">
        <v>1187</v>
      </c>
      <c r="E78" s="20" t="s">
        <v>1188</v>
      </c>
    </row>
    <row r="79" spans="2:10" ht="20" customHeight="1">
      <c r="B79" s="21" t="s">
        <v>1219</v>
      </c>
      <c r="C79" s="22" t="s">
        <v>634</v>
      </c>
      <c r="D79" s="22" t="s">
        <v>1220</v>
      </c>
      <c r="E79" s="132"/>
    </row>
    <row r="80" spans="2:10" ht="20" customHeight="1">
      <c r="B80" s="18"/>
      <c r="C80" s="22" t="s">
        <v>634</v>
      </c>
      <c r="D80" s="22" t="s">
        <v>1221</v>
      </c>
      <c r="E80" s="132"/>
      <c r="G80" s="5"/>
    </row>
    <row r="81" spans="2:10" ht="20" customHeight="1">
      <c r="B81" s="419" t="s">
        <v>66</v>
      </c>
      <c r="C81" s="443"/>
      <c r="D81" s="443"/>
      <c r="E81" s="444"/>
      <c r="G81" s="5"/>
      <c r="J81" s="3"/>
    </row>
    <row r="82" spans="2:10" ht="20" customHeight="1">
      <c r="B82" s="8" t="s">
        <v>1186</v>
      </c>
      <c r="C82" s="8" t="s">
        <v>489</v>
      </c>
      <c r="D82" s="8" t="s">
        <v>1187</v>
      </c>
      <c r="E82" s="20" t="s">
        <v>1188</v>
      </c>
      <c r="G82" s="5"/>
    </row>
    <row r="83" spans="2:10" ht="20" customHeight="1">
      <c r="B83" s="21" t="s">
        <v>3188</v>
      </c>
      <c r="C83" s="22" t="s">
        <v>634</v>
      </c>
      <c r="D83" s="22" t="s">
        <v>4614</v>
      </c>
      <c r="E83" s="14"/>
    </row>
    <row r="84" spans="2:10" ht="20" customHeight="1">
      <c r="B84" s="21"/>
      <c r="C84" s="22" t="s">
        <v>634</v>
      </c>
      <c r="D84" s="22" t="s">
        <v>4615</v>
      </c>
      <c r="E84" s="14"/>
    </row>
    <row r="85" spans="2:10" ht="20" customHeight="1">
      <c r="B85" s="21"/>
      <c r="C85" s="22" t="s">
        <v>634</v>
      </c>
      <c r="D85" s="22" t="s">
        <v>4616</v>
      </c>
      <c r="E85" s="14"/>
    </row>
    <row r="86" spans="2:10" ht="20" customHeight="1">
      <c r="B86" s="419" t="s">
        <v>69</v>
      </c>
      <c r="C86" s="443"/>
      <c r="D86" s="443"/>
      <c r="E86" s="444"/>
    </row>
    <row r="87" spans="2:10" ht="20" customHeight="1">
      <c r="B87" s="8" t="s">
        <v>1186</v>
      </c>
      <c r="C87" s="8" t="s">
        <v>489</v>
      </c>
      <c r="D87" s="8" t="s">
        <v>1187</v>
      </c>
      <c r="E87" s="20" t="s">
        <v>1188</v>
      </c>
    </row>
    <row r="88" spans="2:10" ht="20" customHeight="1">
      <c r="B88" s="21" t="s">
        <v>3392</v>
      </c>
      <c r="C88" s="22" t="s">
        <v>634</v>
      </c>
      <c r="D88" s="22" t="s">
        <v>4623</v>
      </c>
      <c r="E88" s="14"/>
    </row>
    <row r="89" spans="2:10" ht="20" customHeight="1">
      <c r="B89" s="21"/>
      <c r="C89" s="22" t="s">
        <v>634</v>
      </c>
      <c r="D89" s="22" t="s">
        <v>4624</v>
      </c>
      <c r="E89" s="14"/>
    </row>
    <row r="90" spans="2:10" ht="20" customHeight="1">
      <c r="B90" s="21"/>
      <c r="C90" s="22" t="s">
        <v>634</v>
      </c>
      <c r="D90" s="22" t="s">
        <v>4625</v>
      </c>
      <c r="E90" s="14"/>
      <c r="J90" s="3"/>
    </row>
    <row r="91" spans="2:10" ht="20" customHeight="1">
      <c r="B91" s="419" t="s">
        <v>3639</v>
      </c>
      <c r="C91" s="443"/>
      <c r="D91" s="443"/>
      <c r="E91" s="444"/>
    </row>
    <row r="92" spans="2:10" ht="20" customHeight="1">
      <c r="B92" s="8" t="s">
        <v>1186</v>
      </c>
      <c r="C92" s="8" t="s">
        <v>489</v>
      </c>
      <c r="D92" s="8" t="s">
        <v>1187</v>
      </c>
      <c r="E92" s="20" t="s">
        <v>1188</v>
      </c>
      <c r="I92" s="5"/>
    </row>
    <row r="93" spans="2:10" ht="20" customHeight="1">
      <c r="B93" s="21" t="s">
        <v>3662</v>
      </c>
      <c r="C93" s="22" t="s">
        <v>634</v>
      </c>
      <c r="D93" s="22" t="s">
        <v>3727</v>
      </c>
      <c r="E93" s="14"/>
    </row>
    <row r="94" spans="2:10" ht="20" customHeight="1">
      <c r="B94" s="21"/>
      <c r="C94" s="22" t="s">
        <v>634</v>
      </c>
      <c r="D94" s="22" t="s">
        <v>3728</v>
      </c>
      <c r="E94" s="14"/>
    </row>
    <row r="95" spans="2:10" ht="20" customHeight="1">
      <c r="B95" s="21"/>
      <c r="C95" s="22" t="s">
        <v>634</v>
      </c>
      <c r="D95" s="22" t="s">
        <v>3729</v>
      </c>
      <c r="E95" s="14"/>
      <c r="J95" s="3"/>
    </row>
    <row r="96" spans="2:10" ht="20" customHeight="1">
      <c r="B96" s="419" t="s">
        <v>1173</v>
      </c>
      <c r="C96" s="443"/>
      <c r="D96" s="443"/>
      <c r="E96" s="444"/>
    </row>
    <row r="97" spans="2:10" ht="20" customHeight="1">
      <c r="B97" s="8" t="s">
        <v>1186</v>
      </c>
      <c r="C97" s="8" t="s">
        <v>489</v>
      </c>
      <c r="D97" s="8" t="s">
        <v>1187</v>
      </c>
      <c r="E97" s="20" t="s">
        <v>1188</v>
      </c>
    </row>
    <row r="98" spans="2:10" ht="20" customHeight="1">
      <c r="B98" s="21" t="s">
        <v>3251</v>
      </c>
      <c r="C98" s="22" t="s">
        <v>634</v>
      </c>
      <c r="D98" s="22" t="s">
        <v>4626</v>
      </c>
      <c r="E98" s="14"/>
    </row>
    <row r="99" spans="2:10" ht="20" customHeight="1">
      <c r="B99" s="21"/>
      <c r="C99" s="22" t="s">
        <v>634</v>
      </c>
      <c r="D99" s="22" t="s">
        <v>4627</v>
      </c>
      <c r="E99" s="14"/>
    </row>
    <row r="100" spans="2:10" ht="20" customHeight="1">
      <c r="B100" s="21"/>
      <c r="C100" s="22" t="s">
        <v>634</v>
      </c>
      <c r="D100" s="22" t="s">
        <v>4628</v>
      </c>
      <c r="E100" s="14"/>
      <c r="G100" s="5"/>
      <c r="J100" s="3"/>
    </row>
    <row r="101" spans="2:10" ht="20" customHeight="1">
      <c r="B101" s="21"/>
      <c r="C101" s="22" t="s">
        <v>634</v>
      </c>
      <c r="D101" s="22" t="s">
        <v>4629</v>
      </c>
      <c r="E101" s="14"/>
      <c r="G101" s="5"/>
    </row>
    <row r="102" spans="2:10" ht="20" customHeight="1">
      <c r="B102" s="21"/>
      <c r="C102" s="22" t="s">
        <v>634</v>
      </c>
      <c r="D102" s="22" t="s">
        <v>4630</v>
      </c>
      <c r="E102" s="14"/>
      <c r="G102" s="5"/>
    </row>
    <row r="103" spans="2:10" ht="20" customHeight="1">
      <c r="B103" s="21"/>
      <c r="C103" s="22" t="s">
        <v>634</v>
      </c>
      <c r="D103" s="22" t="s">
        <v>4631</v>
      </c>
      <c r="E103" s="14"/>
      <c r="G103" s="5"/>
      <c r="I103" s="5"/>
    </row>
    <row r="104" spans="2:10" ht="20" customHeight="1">
      <c r="B104" s="21"/>
      <c r="C104" s="22" t="s">
        <v>634</v>
      </c>
      <c r="D104" s="22" t="s">
        <v>4632</v>
      </c>
      <c r="E104" s="14"/>
      <c r="G104" s="5"/>
      <c r="I104" s="5"/>
    </row>
    <row r="105" spans="2:10" ht="20" customHeight="1">
      <c r="B105" s="21"/>
      <c r="C105" s="22" t="s">
        <v>634</v>
      </c>
      <c r="D105" s="22" t="s">
        <v>4633</v>
      </c>
      <c r="E105" s="14"/>
      <c r="G105" s="5"/>
      <c r="I105" s="5"/>
    </row>
    <row r="106" spans="2:10" ht="20" customHeight="1">
      <c r="B106" s="21"/>
      <c r="C106" s="22" t="s">
        <v>634</v>
      </c>
      <c r="D106" s="22" t="s">
        <v>4634</v>
      </c>
      <c r="E106" s="14"/>
      <c r="G106" s="5"/>
      <c r="I106" s="5"/>
    </row>
    <row r="107" spans="2:10" ht="20" customHeight="1">
      <c r="B107" s="21"/>
      <c r="C107" s="22" t="s">
        <v>634</v>
      </c>
      <c r="D107" s="22" t="s">
        <v>4635</v>
      </c>
      <c r="E107" s="14"/>
      <c r="G107" s="5"/>
      <c r="I107" s="5"/>
    </row>
    <row r="108" spans="2:10" ht="20" customHeight="1">
      <c r="B108" s="21"/>
      <c r="C108" s="22" t="s">
        <v>634</v>
      </c>
      <c r="D108" s="22" t="s">
        <v>4636</v>
      </c>
      <c r="E108" s="14"/>
      <c r="G108" s="5"/>
      <c r="I108" s="5"/>
    </row>
    <row r="109" spans="2:10" ht="20" customHeight="1">
      <c r="B109" s="21"/>
      <c r="C109" s="22" t="s">
        <v>634</v>
      </c>
      <c r="D109" s="22" t="s">
        <v>4637</v>
      </c>
      <c r="E109" s="14"/>
      <c r="G109" s="5"/>
      <c r="I109" s="5"/>
    </row>
    <row r="110" spans="2:10" ht="20" customHeight="1">
      <c r="G110" s="5"/>
      <c r="I110" s="5"/>
    </row>
    <row r="111" spans="2:10" ht="20" customHeight="1">
      <c r="G111" s="5"/>
      <c r="I111" s="5"/>
    </row>
    <row r="112" spans="2:10" ht="20" customHeight="1">
      <c r="I112" s="5"/>
    </row>
    <row r="113" spans="9:9" ht="20" customHeight="1">
      <c r="I113" s="5"/>
    </row>
    <row r="114" spans="9:9" ht="20" customHeight="1">
      <c r="I114" s="5"/>
    </row>
    <row r="115" spans="9:9" ht="20" customHeight="1"/>
    <row r="116" spans="9:9" ht="20" customHeight="1"/>
  </sheetData>
  <sheetProtection algorithmName="SHA-512" hashValue="6b+9CknoQahjsJXBdnAK5u1de/+HLzCvq+glhaD/MMBY3jbV+twzVUbufJ77xDprFUOoFcmk6J1NRlLnUenSnA==" saltValue="P5+RtDWkZaUaOzCNFWg0JA==" spinCount="100000" sheet="1" selectLockedCells="1"/>
  <mergeCells count="21">
    <mergeCell ref="B86:E86"/>
    <mergeCell ref="B96:E96"/>
    <mergeCell ref="B46:G46"/>
    <mergeCell ref="B34:G34"/>
    <mergeCell ref="B77:E77"/>
    <mergeCell ref="B66:E66"/>
    <mergeCell ref="B61:E61"/>
    <mergeCell ref="B81:E81"/>
    <mergeCell ref="B91:E91"/>
    <mergeCell ref="B6:G6"/>
    <mergeCell ref="B55:E55"/>
    <mergeCell ref="B56:E56"/>
    <mergeCell ref="B13:G13"/>
    <mergeCell ref="B14:G14"/>
    <mergeCell ref="B17:G17"/>
    <mergeCell ref="B20:G20"/>
    <mergeCell ref="B39:G39"/>
    <mergeCell ref="B25:G25"/>
    <mergeCell ref="B29:G29"/>
    <mergeCell ref="B50:G50"/>
    <mergeCell ref="B26:G26"/>
  </mergeCells>
  <conditionalFormatting sqref="B81 B82:E85">
    <cfRule type="expression" dxfId="3041" priority="23">
      <formula>intelligent_logging_result="Excluded"</formula>
    </cfRule>
  </conditionalFormatting>
  <conditionalFormatting sqref="B96 B97:E109">
    <cfRule type="expression" dxfId="3040" priority="20">
      <formula>private_cloud_result="Excluded"</formula>
    </cfRule>
  </conditionalFormatting>
  <conditionalFormatting sqref="B55:E55">
    <cfRule type="expression" dxfId="3039" priority="71">
      <formula>AND((vrslcm_result="Excluded"),(vcf_aware_wsa_result="Excluded"),(iam_result="Excluded"),(intelligent_operations_result="Excluded"),(intelligent_logging_result="Excluded"),(private_cloud_result="Excluded"),(developer_ready_result="Excluded"))</formula>
    </cfRule>
  </conditionalFormatting>
  <conditionalFormatting sqref="B56:E60">
    <cfRule type="expression" dxfId="3038" priority="33">
      <formula>vrslcm_result="Excluded"</formula>
    </cfRule>
  </conditionalFormatting>
  <conditionalFormatting sqref="B61:E65">
    <cfRule type="expression" dxfId="3037" priority="31" stopIfTrue="1">
      <formula>vcf_aware_wsa_result="Excluded"</formula>
    </cfRule>
  </conditionalFormatting>
  <conditionalFormatting sqref="B77:E80">
    <cfRule type="expression" dxfId="3036" priority="64">
      <formula>developer_ready_result="Excluded"</formula>
    </cfRule>
  </conditionalFormatting>
  <conditionalFormatting sqref="B82:E85 B66:E76 B77 B81">
    <cfRule type="expression" dxfId="3035" priority="29">
      <formula>iam_result="Excluded"</formula>
    </cfRule>
  </conditionalFormatting>
  <conditionalFormatting sqref="B86:E90">
    <cfRule type="expression" dxfId="3034" priority="7">
      <formula>intelligent_operations_result="Excluded"</formula>
    </cfRule>
  </conditionalFormatting>
  <conditionalFormatting sqref="B91:E95">
    <cfRule type="expression" dxfId="3033" priority="8" stopIfTrue="1">
      <formula>inv_result="Excluded"</formula>
    </cfRule>
  </conditionalFormatting>
  <conditionalFormatting sqref="B6:G7">
    <cfRule type="expression" dxfId="3032" priority="82">
      <formula>AND((vcf_aware_wsa_result="Excluded"),(iam_result="Excluded"))</formula>
    </cfRule>
  </conditionalFormatting>
  <conditionalFormatting sqref="B8:G8">
    <cfRule type="expression" dxfId="3031" priority="83">
      <formula>vcf_aware_wsa_result="Excluded"</formula>
    </cfRule>
  </conditionalFormatting>
  <conditionalFormatting sqref="B9:G9">
    <cfRule type="expression" dxfId="3030" priority="81">
      <formula>iam_result="Excluded"</formula>
    </cfRule>
  </conditionalFormatting>
  <conditionalFormatting sqref="B10:G10">
    <cfRule type="expression" dxfId="3029" priority="80">
      <formula>vcf_aware_wsa_result="Excluded"</formula>
    </cfRule>
  </conditionalFormatting>
  <conditionalFormatting sqref="B11:G11">
    <cfRule type="expression" dxfId="3028" priority="79">
      <formula>iam_result="Excluded"</formula>
    </cfRule>
  </conditionalFormatting>
  <conditionalFormatting sqref="B13:G13">
    <cfRule type="expression" dxfId="3027" priority="78">
      <formula>AND((mgmt_signed_certs_result="Excluded"),(vcf_aware_wsa_result="Excluded"),(iam_result="Excluded"))</formula>
    </cfRule>
  </conditionalFormatting>
  <conditionalFormatting sqref="B14:G16">
    <cfRule type="expression" dxfId="3026" priority="77">
      <formula>mgmt_signed_certs_result="Excluded"</formula>
    </cfRule>
  </conditionalFormatting>
  <conditionalFormatting sqref="B17:G19">
    <cfRule type="expression" dxfId="3025" priority="43">
      <formula>vcf_aware_wsa_result="Excluded"</formula>
    </cfRule>
  </conditionalFormatting>
  <conditionalFormatting sqref="B20:G23">
    <cfRule type="expression" dxfId="3024" priority="46">
      <formula>iam_result="Excluded"</formula>
    </cfRule>
  </conditionalFormatting>
  <conditionalFormatting sqref="B25:G25">
    <cfRule type="expression" dxfId="3023" priority="74">
      <formula>AND((private_cloud_result="Excluded"),(intelligent_operations_result="Excluded"))</formula>
    </cfRule>
  </conditionalFormatting>
  <conditionalFormatting sqref="B26:G28">
    <cfRule type="expression" dxfId="3022" priority="9">
      <formula>(intelligent_logging_result="Excluded")</formula>
    </cfRule>
  </conditionalFormatting>
  <conditionalFormatting sqref="B29:G32">
    <cfRule type="expression" dxfId="3021" priority="15">
      <formula>(intelligent_operations_result="Excluded")</formula>
    </cfRule>
  </conditionalFormatting>
  <conditionalFormatting sqref="B33:G33">
    <cfRule type="expression" dxfId="3020" priority="59">
      <formula>OR((private_cloud_result="Excluded"),(intelligent_operations_result="Excluded"))</formula>
    </cfRule>
  </conditionalFormatting>
  <conditionalFormatting sqref="B34:G38">
    <cfRule type="expression" dxfId="3019" priority="16">
      <formula>inv_result="Excluded"</formula>
    </cfRule>
  </conditionalFormatting>
  <conditionalFormatting sqref="B39:G45">
    <cfRule type="expression" dxfId="3018" priority="73">
      <formula>private_cloud_result="Excluded"</formula>
    </cfRule>
  </conditionalFormatting>
  <conditionalFormatting sqref="B46:G49">
    <cfRule type="expression" dxfId="3017" priority="35" stopIfTrue="1">
      <formula>hrm_result="Excluded"</formula>
    </cfRule>
  </conditionalFormatting>
  <conditionalFormatting sqref="B50:G53">
    <cfRule type="expression" dxfId="3016" priority="17">
      <formula>ccm_result="Excluded"</formula>
    </cfRule>
  </conditionalFormatting>
  <conditionalFormatting sqref="C45">
    <cfRule type="expression" dxfId="3015" priority="6">
      <formula>private_cloud_result="Excluded"</formula>
    </cfRule>
  </conditionalFormatting>
  <conditionalFormatting sqref="E8:E11">
    <cfRule type="notContainsBlanks" dxfId="3014" priority="104">
      <formula>LEN(TRIM(E8))&gt;0</formula>
    </cfRule>
    <cfRule type="containsBlanks" dxfId="3013" priority="105">
      <formula>LEN(TRIM(E8))=0</formula>
    </cfRule>
  </conditionalFormatting>
  <conditionalFormatting sqref="E16 G36:G38 G41:G46 G48:G50 G52:G53 E79:E80 E39:E49 E25:E33 E52:E53">
    <cfRule type="containsBlanks" dxfId="3012" priority="243">
      <formula>LEN(TRIM(E16))=0</formula>
    </cfRule>
  </conditionalFormatting>
  <conditionalFormatting sqref="E16 G41:G46 E79:E80 G48:G50 G52:G53 G36:G38">
    <cfRule type="notContainsBlanks" dxfId="3011" priority="242">
      <formula>LEN(TRIM(E16))&gt;0</formula>
    </cfRule>
  </conditionalFormatting>
  <conditionalFormatting sqref="E19 E52:E53">
    <cfRule type="notContainsBlanks" dxfId="3010" priority="45">
      <formula>LEN(TRIM(E19))&gt;0</formula>
    </cfRule>
  </conditionalFormatting>
  <conditionalFormatting sqref="E19:E23">
    <cfRule type="containsBlanks" dxfId="3009" priority="85">
      <formula>LEN(TRIM(E19))=0</formula>
    </cfRule>
  </conditionalFormatting>
  <conditionalFormatting sqref="E22:E23">
    <cfRule type="notContainsBlanks" dxfId="3008" priority="75">
      <formula>LEN(TRIM(E22))&gt;0</formula>
    </cfRule>
    <cfRule type="containsBlanks" dxfId="3007" priority="50">
      <formula>LEN(TRIM(E22))=0</formula>
    </cfRule>
  </conditionalFormatting>
  <conditionalFormatting sqref="E28">
    <cfRule type="containsBlanks" dxfId="3006" priority="13">
      <formula>LEN(TRIM(E28))=0</formula>
    </cfRule>
    <cfRule type="notContainsBlanks" dxfId="3005" priority="12">
      <formula>LEN(TRIM(E28))&gt;0</formula>
    </cfRule>
  </conditionalFormatting>
  <conditionalFormatting sqref="E31:E33">
    <cfRule type="containsBlanks" dxfId="3004" priority="63">
      <formula>LEN(TRIM(E31))=0</formula>
    </cfRule>
    <cfRule type="notContainsBlanks" dxfId="3003" priority="62">
      <formula>LEN(TRIM(E31))&gt;0</formula>
    </cfRule>
  </conditionalFormatting>
  <conditionalFormatting sqref="E35">
    <cfRule type="containsBlanks" dxfId="3002" priority="2">
      <formula>LEN(TRIM(E35))=0</formula>
    </cfRule>
  </conditionalFormatting>
  <conditionalFormatting sqref="E36:E38">
    <cfRule type="notContainsBlanks" dxfId="3001" priority="18">
      <formula>LEN(TRIM(E36))&gt;0</formula>
    </cfRule>
    <cfRule type="containsBlanks" dxfId="3000" priority="19">
      <formula>LEN(TRIM(E36))=0</formula>
    </cfRule>
  </conditionalFormatting>
  <conditionalFormatting sqref="E41:E46">
    <cfRule type="notContainsBlanks" dxfId="2999" priority="84">
      <formula>LEN(TRIM(E41))&gt;0</formula>
    </cfRule>
  </conditionalFormatting>
  <conditionalFormatting sqref="E48:E49">
    <cfRule type="notContainsBlanks" dxfId="2998" priority="52">
      <formula>LEN(TRIM(E48))&gt;0</formula>
    </cfRule>
    <cfRule type="containsBlanks" dxfId="2997" priority="36">
      <formula>LEN(TRIM(E48))=0</formula>
    </cfRule>
  </conditionalFormatting>
  <conditionalFormatting sqref="E51">
    <cfRule type="containsBlanks" dxfId="2996" priority="5">
      <formula>LEN(TRIM(E51))=0</formula>
    </cfRule>
  </conditionalFormatting>
  <conditionalFormatting sqref="E58:E60">
    <cfRule type="containsBlanks" dxfId="2995" priority="70">
      <formula>LEN(TRIM(E58))=0</formula>
    </cfRule>
    <cfRule type="notContainsBlanks" dxfId="2994" priority="34">
      <formula>LEN(TRIM(E58))&gt;0</formula>
    </cfRule>
  </conditionalFormatting>
  <conditionalFormatting sqref="E63:E65">
    <cfRule type="containsBlanks" dxfId="2993" priority="69">
      <formula>LEN(TRIM(E63))=0</formula>
    </cfRule>
    <cfRule type="notContainsBlanks" dxfId="2992" priority="32">
      <formula>LEN(TRIM(E63))&gt;0</formula>
    </cfRule>
  </conditionalFormatting>
  <conditionalFormatting sqref="E68:E76 E83:E85">
    <cfRule type="containsBlanks" dxfId="2991" priority="68">
      <formula>LEN(TRIM(E68))=0</formula>
    </cfRule>
    <cfRule type="notContainsBlanks" dxfId="2990" priority="30">
      <formula>LEN(TRIM(E68))&gt;0</formula>
    </cfRule>
  </conditionalFormatting>
  <conditionalFormatting sqref="E83:E85">
    <cfRule type="containsBlanks" dxfId="2989" priority="25" stopIfTrue="1">
      <formula>LEN(TRIM(E83))=0</formula>
    </cfRule>
    <cfRule type="notContainsBlanks" dxfId="2988" priority="24">
      <formula>LEN(TRIM(E83))&gt;0</formula>
    </cfRule>
  </conditionalFormatting>
  <conditionalFormatting sqref="E88:E90 E93:E95">
    <cfRule type="containsBlanks" dxfId="2987" priority="28" stopIfTrue="1">
      <formula>LEN(TRIM(E88))=0</formula>
    </cfRule>
  </conditionalFormatting>
  <conditionalFormatting sqref="E93:E95 E88:E90">
    <cfRule type="notContainsBlanks" dxfId="2986" priority="27">
      <formula>LEN(TRIM(E88))&gt;0</formula>
    </cfRule>
  </conditionalFormatting>
  <conditionalFormatting sqref="E98:E109">
    <cfRule type="containsBlanks" dxfId="2985" priority="22" stopIfTrue="1">
      <formula>LEN(TRIM(E98))=0</formula>
    </cfRule>
    <cfRule type="notContainsBlanks" dxfId="2984" priority="21">
      <formula>LEN(TRIM(E98))&gt;0</formula>
    </cfRule>
  </conditionalFormatting>
  <conditionalFormatting sqref="G8:G11">
    <cfRule type="notContainsBlanks" dxfId="2983" priority="102">
      <formula>LEN(TRIM(G8))&gt;0</formula>
    </cfRule>
    <cfRule type="containsBlanks" dxfId="2982" priority="103">
      <formula>LEN(TRIM(G8))=0</formula>
    </cfRule>
  </conditionalFormatting>
  <conditionalFormatting sqref="G16">
    <cfRule type="notContainsBlanks" dxfId="2981" priority="152">
      <formula>LEN(TRIM(G16))&gt;0</formula>
    </cfRule>
    <cfRule type="containsBlanks" dxfId="2980" priority="153">
      <formula>LEN(TRIM(G16))=0</formula>
    </cfRule>
  </conditionalFormatting>
  <conditionalFormatting sqref="G19">
    <cfRule type="containsBlanks" dxfId="2979" priority="44">
      <formula>LEN(TRIM(G19))=0</formula>
    </cfRule>
    <cfRule type="notContainsBlanks" dxfId="2978" priority="76">
      <formula>LEN(TRIM(G19))&gt;0</formula>
    </cfRule>
  </conditionalFormatting>
  <conditionalFormatting sqref="G22:G23">
    <cfRule type="notContainsBlanks" dxfId="2977" priority="48">
      <formula>LEN(TRIM(G22))&gt;0</formula>
    </cfRule>
    <cfRule type="containsBlanks" dxfId="2976" priority="49">
      <formula>LEN(TRIM(G22))=0</formula>
    </cfRule>
  </conditionalFormatting>
  <conditionalFormatting sqref="G28">
    <cfRule type="notContainsBlanks" dxfId="2975" priority="10">
      <formula>LEN(TRIM(G28))&gt;0</formula>
    </cfRule>
    <cfRule type="containsBlanks" dxfId="2974" priority="11">
      <formula>LEN(TRIM(G28))=0</formula>
    </cfRule>
  </conditionalFormatting>
  <conditionalFormatting sqref="G31:G34">
    <cfRule type="containsBlanks" dxfId="2973" priority="61">
      <formula>LEN(TRIM(G31))=0</formula>
    </cfRule>
    <cfRule type="notContainsBlanks" dxfId="2972" priority="60">
      <formula>LEN(TRIM(G31))&gt;0</formula>
    </cfRule>
  </conditionalFormatting>
  <pageMargins left="0.7" right="0.7" top="0.75" bottom="0.75"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7A960-4824-A743-A870-A2DFBED777DA}">
  <sheetPr codeName="Sheet14">
    <tabColor theme="9"/>
  </sheetPr>
  <dimension ref="A1:W89"/>
  <sheetViews>
    <sheetView showGridLines="0" zoomScaleNormal="100" workbookViewId="0">
      <pane ySplit="4" topLeftCell="A5" activePane="bottomLeft" state="frozenSplit"/>
      <selection pane="bottomLeft"/>
    </sheetView>
  </sheetViews>
  <sheetFormatPr baseColWidth="10" defaultColWidth="10.83203125" defaultRowHeight="16"/>
  <cols>
    <col min="1" max="1" width="2.83203125" style="3" customWidth="1"/>
    <col min="2" max="2" width="54.83203125" style="3" customWidth="1"/>
    <col min="3" max="4" width="16.83203125" style="3" customWidth="1"/>
    <col min="5" max="5" width="16.83203125" style="5" customWidth="1"/>
    <col min="6" max="6" width="23.83203125" style="5" customWidth="1"/>
    <col min="7" max="7" width="23.83203125" style="3" customWidth="1"/>
    <col min="8" max="8" width="22.6640625" style="3" bestFit="1" customWidth="1"/>
    <col min="9" max="9" width="22" style="3" bestFit="1" customWidth="1"/>
    <col min="10" max="10" width="29.33203125" style="3" bestFit="1" customWidth="1"/>
    <col min="11" max="11" width="29" style="3" bestFit="1" customWidth="1"/>
    <col min="12" max="12" width="29.33203125" style="3" bestFit="1" customWidth="1"/>
    <col min="13" max="13" width="28.6640625" style="3" bestFit="1" customWidth="1"/>
    <col min="14" max="14" width="36" style="3" bestFit="1" customWidth="1"/>
    <col min="15" max="15" width="35.6640625" style="3" bestFit="1" customWidth="1"/>
    <col min="16" max="16" width="18.5" style="3" bestFit="1" customWidth="1"/>
    <col min="17" max="17" width="13.1640625" style="3" bestFit="1" customWidth="1"/>
    <col min="18" max="18" width="12.33203125" style="3" bestFit="1" customWidth="1"/>
    <col min="19" max="19" width="17" style="3" bestFit="1" customWidth="1"/>
    <col min="20" max="20" width="17.33203125" style="3" bestFit="1" customWidth="1"/>
    <col min="21" max="21" width="12" style="3" bestFit="1" customWidth="1"/>
    <col min="22" max="22" width="12.33203125" style="3" bestFit="1" customWidth="1"/>
    <col min="23" max="23" width="17" style="3" bestFit="1" customWidth="1"/>
    <col min="24" max="16384" width="10.83203125" style="3"/>
  </cols>
  <sheetData>
    <row r="1" spans="1:19" ht="16" customHeight="1">
      <c r="A1" s="6"/>
      <c r="E1" s="3"/>
      <c r="F1" s="3"/>
    </row>
    <row r="2" spans="1:19" ht="54" customHeight="1">
      <c r="B2" s="392" t="s">
        <v>1601</v>
      </c>
      <c r="C2" s="392"/>
      <c r="D2" s="392"/>
      <c r="E2" s="392"/>
      <c r="F2" s="392"/>
      <c r="G2" s="392"/>
      <c r="H2" s="392"/>
      <c r="I2" s="392"/>
      <c r="J2" s="392"/>
      <c r="K2" s="392"/>
      <c r="L2" s="392"/>
      <c r="M2" s="392"/>
      <c r="N2" s="392"/>
      <c r="O2" s="392"/>
      <c r="P2" s="99"/>
      <c r="Q2" s="99"/>
      <c r="R2" s="99"/>
      <c r="S2" s="99"/>
    </row>
    <row r="3" spans="1:19" ht="20" customHeight="1">
      <c r="B3" s="393" t="s">
        <v>1602</v>
      </c>
      <c r="C3" s="393"/>
      <c r="D3" s="393"/>
      <c r="E3" s="393"/>
      <c r="F3" s="393"/>
      <c r="G3" s="393"/>
      <c r="H3" s="393"/>
      <c r="I3" s="393"/>
      <c r="J3" s="393"/>
      <c r="K3" s="393"/>
      <c r="L3" s="393"/>
      <c r="M3" s="393"/>
      <c r="N3" s="393"/>
      <c r="O3" s="393"/>
      <c r="P3" s="100"/>
      <c r="Q3" s="100"/>
      <c r="R3" s="100"/>
      <c r="S3" s="100"/>
    </row>
    <row r="4" spans="1:19" ht="30" customHeight="1">
      <c r="B4" s="484" t="s">
        <v>4216</v>
      </c>
      <c r="C4" s="484"/>
      <c r="D4" s="484"/>
      <c r="E4" s="484"/>
      <c r="F4" s="484"/>
      <c r="G4" s="484"/>
      <c r="H4" s="484"/>
      <c r="I4" s="484"/>
    </row>
    <row r="5" spans="1:19">
      <c r="E5" s="3"/>
      <c r="G5" s="5"/>
      <c r="H5" s="5"/>
    </row>
    <row r="6" spans="1:19" s="4" customFormat="1" ht="34" customHeight="1">
      <c r="B6" s="427" t="s">
        <v>1603</v>
      </c>
      <c r="C6" s="428"/>
      <c r="D6" s="428"/>
      <c r="E6" s="428"/>
      <c r="F6" s="426"/>
      <c r="H6" s="427" t="s">
        <v>1604</v>
      </c>
      <c r="I6" s="428"/>
      <c r="J6" s="426"/>
      <c r="L6" s="427" t="s">
        <v>1605</v>
      </c>
      <c r="M6" s="428"/>
      <c r="N6" s="426"/>
      <c r="O6" s="485"/>
      <c r="P6" s="101"/>
    </row>
    <row r="7" spans="1:19" ht="20" customHeight="1">
      <c r="B7" s="8" t="s">
        <v>478</v>
      </c>
      <c r="C7" s="8" t="s">
        <v>1606</v>
      </c>
      <c r="D7" s="8" t="s">
        <v>1607</v>
      </c>
      <c r="E7" s="8" t="s">
        <v>1608</v>
      </c>
      <c r="F7" s="8" t="s">
        <v>1609</v>
      </c>
      <c r="H7" s="446" t="s">
        <v>1610</v>
      </c>
      <c r="I7" s="464"/>
      <c r="J7" s="8" t="s">
        <v>1095</v>
      </c>
      <c r="L7" s="446" t="s">
        <v>478</v>
      </c>
      <c r="M7" s="464"/>
      <c r="N7" s="8" t="s">
        <v>1609</v>
      </c>
      <c r="O7" s="485"/>
      <c r="P7" s="101"/>
    </row>
    <row r="8" spans="1:19" ht="20" customHeight="1">
      <c r="B8" s="16" t="s">
        <v>353</v>
      </c>
      <c r="C8" s="18">
        <v>1</v>
      </c>
      <c r="D8" s="16">
        <f>sizing_sddc_manager_cpu</f>
        <v>4</v>
      </c>
      <c r="E8" s="16">
        <f>sizing_sddc_manager_ram</f>
        <v>16</v>
      </c>
      <c r="F8" s="16">
        <f>sizing_sddc_manager_disk</f>
        <v>909</v>
      </c>
      <c r="H8" s="449" t="s">
        <v>1611</v>
      </c>
      <c r="I8" s="450"/>
      <c r="J8" s="26">
        <f>MAX(4,(ROUNDUP(((sizing_vm_cpu_requirements / sizing_cpu_oversubscription) / sizing_mgmt_cluster_host_core_count),0)),((ROUNDUP(((sizing_vm_ram_requirements /  sizing_ram_oversubscription) / sizing_mgmt_cluster_host_ram_count),0))+1))</f>
        <v>4</v>
      </c>
      <c r="L8" s="422" t="s">
        <v>1612</v>
      </c>
      <c r="M8" s="424"/>
      <c r="N8" s="16">
        <f>F18</f>
        <v>2509</v>
      </c>
      <c r="O8" s="485"/>
      <c r="P8" s="101"/>
    </row>
    <row r="9" spans="1:19" ht="20" customHeight="1">
      <c r="B9" s="18" t="s">
        <v>1613</v>
      </c>
      <c r="C9" s="18">
        <f>D37</f>
        <v>3</v>
      </c>
      <c r="D9" s="18">
        <f>E38</f>
        <v>3</v>
      </c>
      <c r="E9" s="18">
        <f>F38</f>
        <v>1</v>
      </c>
      <c r="F9" s="18">
        <f>G38</f>
        <v>6</v>
      </c>
      <c r="L9" s="422" t="s">
        <v>1614</v>
      </c>
      <c r="M9" s="424"/>
      <c r="N9" s="16">
        <f>E18</f>
        <v>110</v>
      </c>
      <c r="O9" s="485"/>
      <c r="P9" s="101"/>
    </row>
    <row r="10" spans="1:19" ht="20" customHeight="1">
      <c r="B10" s="16" t="s">
        <v>1615</v>
      </c>
      <c r="C10" s="18">
        <f>D27</f>
        <v>1</v>
      </c>
      <c r="D10" s="16">
        <f>E28</f>
        <v>4</v>
      </c>
      <c r="E10" s="16">
        <f>F28</f>
        <v>21</v>
      </c>
      <c r="F10" s="16">
        <f>G28</f>
        <v>694</v>
      </c>
      <c r="L10" s="422" t="s">
        <v>1616</v>
      </c>
      <c r="M10" s="424"/>
      <c r="N10" s="16">
        <f>N8+N9</f>
        <v>2619</v>
      </c>
      <c r="O10" s="485"/>
      <c r="P10" s="101"/>
    </row>
    <row r="11" spans="1:19" ht="20" customHeight="1">
      <c r="B11" s="16" t="s">
        <v>1617</v>
      </c>
      <c r="C11" s="18">
        <f>D32</f>
        <v>3</v>
      </c>
      <c r="D11" s="16">
        <f>E32</f>
        <v>18</v>
      </c>
      <c r="E11" s="16">
        <f>F32</f>
        <v>72</v>
      </c>
      <c r="F11" s="16">
        <f>G32</f>
        <v>900</v>
      </c>
      <c r="H11" s="484"/>
      <c r="I11" s="484"/>
      <c r="J11" s="484"/>
      <c r="L11" s="422" t="s">
        <v>1618</v>
      </c>
      <c r="M11" s="424"/>
      <c r="N11" s="16">
        <f>N10*2</f>
        <v>5238</v>
      </c>
      <c r="O11" s="485"/>
      <c r="P11" s="101"/>
    </row>
    <row r="12" spans="1:19" ht="20" customHeight="1">
      <c r="B12" s="16" t="s">
        <v>1619</v>
      </c>
      <c r="C12" s="18">
        <f>D34</f>
        <v>0</v>
      </c>
      <c r="D12" s="16">
        <f>E35</f>
        <v>0</v>
      </c>
      <c r="E12" s="16">
        <f>F35</f>
        <v>0</v>
      </c>
      <c r="F12" s="16">
        <f>G35</f>
        <v>0</v>
      </c>
      <c r="H12" s="484"/>
      <c r="I12" s="484"/>
      <c r="J12" s="484"/>
      <c r="L12" s="422" t="s">
        <v>1620</v>
      </c>
      <c r="M12" s="424"/>
      <c r="N12" s="16">
        <f>ROUNDUP(N11*(1+(sizing_virtual_machine_overhead/100)),0)</f>
        <v>6810</v>
      </c>
      <c r="O12" s="485"/>
      <c r="P12" s="101"/>
    </row>
    <row r="13" spans="1:19" ht="20" customHeight="1">
      <c r="B13" s="18" t="s">
        <v>4237</v>
      </c>
      <c r="C13" s="18">
        <f>D40</f>
        <v>0</v>
      </c>
      <c r="D13" s="18">
        <f>E41</f>
        <v>0</v>
      </c>
      <c r="E13" s="16">
        <f>F41</f>
        <v>0</v>
      </c>
      <c r="F13" s="16">
        <f>G40</f>
        <v>0</v>
      </c>
      <c r="H13" s="484"/>
      <c r="I13" s="484"/>
      <c r="J13" s="484"/>
      <c r="L13" s="422" t="s">
        <v>1622</v>
      </c>
      <c r="M13" s="424"/>
      <c r="N13" s="16">
        <f>ROUNDUP(N12*(1+(sizing_estimated_growth/100)),0)</f>
        <v>8172</v>
      </c>
      <c r="O13" s="485"/>
      <c r="P13" s="101"/>
    </row>
    <row r="14" spans="1:19" ht="20" customHeight="1">
      <c r="B14" s="18" t="s">
        <v>1621</v>
      </c>
      <c r="C14" s="18">
        <f>D69</f>
        <v>0</v>
      </c>
      <c r="D14" s="16">
        <f>E69</f>
        <v>0</v>
      </c>
      <c r="E14" s="16">
        <f>F69</f>
        <v>0</v>
      </c>
      <c r="F14" s="16">
        <f>G69</f>
        <v>0</v>
      </c>
      <c r="H14" s="484"/>
      <c r="I14" s="484"/>
      <c r="J14" s="484"/>
      <c r="L14" s="449" t="s">
        <v>1624</v>
      </c>
      <c r="M14" s="450"/>
      <c r="N14" s="26">
        <f>ROUNDUP(N13/(calculated_mgmt_host_count-1),0)</f>
        <v>2724</v>
      </c>
      <c r="O14" s="485"/>
      <c r="P14" s="101"/>
    </row>
    <row r="15" spans="1:19" ht="20" customHeight="1">
      <c r="B15" s="18" t="s">
        <v>1623</v>
      </c>
      <c r="C15" s="18">
        <f>H69+L69</f>
        <v>0</v>
      </c>
      <c r="D15" s="16">
        <f>I69+M69</f>
        <v>0</v>
      </c>
      <c r="E15" s="16">
        <f>J69+N69</f>
        <v>0</v>
      </c>
      <c r="F15" s="16">
        <f>K69+O69</f>
        <v>0</v>
      </c>
      <c r="L15" s="449" t="s">
        <v>1626</v>
      </c>
      <c r="M15" s="450"/>
      <c r="N15" s="26">
        <f>ROUNDUP(N14/sizing_disk_groups_per_host,0)</f>
        <v>1362</v>
      </c>
      <c r="O15" s="485"/>
      <c r="P15" s="101"/>
    </row>
    <row r="16" spans="1:19" ht="20" customHeight="1">
      <c r="B16" s="18" t="s">
        <v>4276</v>
      </c>
      <c r="C16" s="18">
        <f>T69</f>
        <v>0</v>
      </c>
      <c r="D16" s="18">
        <f>U69</f>
        <v>0</v>
      </c>
      <c r="E16" s="18">
        <f>V69</f>
        <v>0</v>
      </c>
      <c r="F16" s="18">
        <f>W69</f>
        <v>0</v>
      </c>
      <c r="L16" s="27"/>
      <c r="M16" s="27"/>
      <c r="N16" s="27"/>
      <c r="O16" s="101"/>
      <c r="P16" s="101"/>
    </row>
    <row r="17" spans="2:19" s="27" customFormat="1" ht="20" customHeight="1">
      <c r="B17" s="18" t="s">
        <v>1625</v>
      </c>
      <c r="C17" s="18">
        <f>C87</f>
        <v>0</v>
      </c>
      <c r="D17" s="16">
        <f>D87</f>
        <v>0</v>
      </c>
      <c r="E17" s="16">
        <f>E87</f>
        <v>0</v>
      </c>
      <c r="F17" s="16">
        <f>F87</f>
        <v>0</v>
      </c>
    </row>
    <row r="18" spans="2:19" s="27" customFormat="1" ht="20" customHeight="1">
      <c r="B18" s="21" t="s">
        <v>1627</v>
      </c>
      <c r="C18" s="18">
        <f>SUM(C8:C17)</f>
        <v>8</v>
      </c>
      <c r="D18" s="26">
        <f>SUM(D8:D17)</f>
        <v>29</v>
      </c>
      <c r="E18" s="26">
        <f>SUM(E8:E17)</f>
        <v>110</v>
      </c>
      <c r="F18" s="26">
        <f>SUM(F8:F17)</f>
        <v>2509</v>
      </c>
    </row>
    <row r="19" spans="2:19">
      <c r="E19" s="3"/>
    </row>
    <row r="20" spans="2:19" s="28" customFormat="1" ht="1" customHeight="1">
      <c r="F20" s="29"/>
    </row>
    <row r="21" spans="2:19">
      <c r="E21" s="3"/>
    </row>
    <row r="22" spans="2:19" ht="54" customHeight="1">
      <c r="B22" s="392" t="s">
        <v>1628</v>
      </c>
      <c r="C22" s="392"/>
      <c r="D22" s="392"/>
      <c r="E22" s="392"/>
      <c r="F22" s="392"/>
      <c r="G22" s="392"/>
      <c r="H22" s="392"/>
      <c r="I22" s="392"/>
      <c r="J22" s="392"/>
      <c r="K22" s="392"/>
      <c r="L22" s="392"/>
      <c r="M22" s="392"/>
      <c r="N22" s="392"/>
      <c r="O22" s="392"/>
      <c r="P22" s="99"/>
      <c r="Q22" s="99"/>
      <c r="R22" s="99"/>
      <c r="S22" s="99"/>
    </row>
    <row r="23" spans="2:19" ht="20" customHeight="1">
      <c r="B23" s="393" t="s">
        <v>1629</v>
      </c>
      <c r="C23" s="393"/>
      <c r="D23" s="393"/>
      <c r="E23" s="393"/>
      <c r="F23" s="393"/>
      <c r="G23" s="393"/>
      <c r="H23" s="393"/>
      <c r="I23" s="393"/>
      <c r="J23" s="393"/>
      <c r="K23" s="393"/>
      <c r="L23" s="393"/>
      <c r="M23" s="393"/>
      <c r="N23" s="393"/>
      <c r="O23" s="393"/>
      <c r="P23" s="100"/>
      <c r="Q23" s="100"/>
      <c r="R23" s="100"/>
      <c r="S23" s="100"/>
    </row>
    <row r="24" spans="2:19">
      <c r="E24" s="3"/>
      <c r="G24" s="5"/>
      <c r="H24" s="5"/>
      <c r="I24" s="5"/>
    </row>
    <row r="25" spans="2:19" ht="34" customHeight="1">
      <c r="B25" s="427" t="s">
        <v>1630</v>
      </c>
      <c r="C25" s="428"/>
      <c r="D25" s="428"/>
      <c r="E25" s="428"/>
      <c r="F25" s="428"/>
      <c r="G25" s="426"/>
    </row>
    <row r="26" spans="2:19" ht="20" customHeight="1">
      <c r="B26" s="8" t="s">
        <v>1631</v>
      </c>
      <c r="C26" s="8" t="s">
        <v>1632</v>
      </c>
      <c r="D26" s="8" t="s">
        <v>1606</v>
      </c>
      <c r="E26" s="8" t="s">
        <v>1607</v>
      </c>
      <c r="F26" s="8" t="s">
        <v>1608</v>
      </c>
      <c r="G26" s="8" t="s">
        <v>1609</v>
      </c>
    </row>
    <row r="27" spans="2:19" ht="20" customHeight="1">
      <c r="B27" s="16" t="s">
        <v>1633</v>
      </c>
      <c r="C27" s="16" t="str">
        <f>IF(sizing_m01_included="Include","Included","Excluded")</f>
        <v>Included</v>
      </c>
      <c r="D27" s="16">
        <v>1</v>
      </c>
      <c r="E27" s="16">
        <f>IF(sizing_m01_included="Include",VLOOKUP(sizing_m01_vcenter_appliance_size,table_vcenter_appliance_cpu,2,FALSE),0)</f>
        <v>4</v>
      </c>
      <c r="F27" s="16">
        <f>IF(sizing_m01_included="Include",VLOOKUP(sizing_m01_vcenter_appliance_size,table_vcenter_appliance_ram,2,FALSE),0)</f>
        <v>21</v>
      </c>
      <c r="G27" s="16">
        <f>IF(sizing_m01_included="Include",VLOOKUP(CONCATENATE(sizing_m01_vcenter_appliance_size,sizing_m01_vcenter_storage_size),table_vcenter_disk_gb,2,FALSE),0)</f>
        <v>694</v>
      </c>
    </row>
    <row r="28" spans="2:19" ht="20" customHeight="1">
      <c r="B28" s="26" t="s">
        <v>1627</v>
      </c>
      <c r="C28" s="26"/>
      <c r="D28" s="26"/>
      <c r="E28" s="26">
        <f>SUMPRODUCT($D$27,E27)</f>
        <v>4</v>
      </c>
      <c r="F28" s="26">
        <f>SUMPRODUCT($D$27,F27)</f>
        <v>21</v>
      </c>
      <c r="G28" s="26">
        <f>SUMPRODUCT($D$27,G27)</f>
        <v>694</v>
      </c>
    </row>
    <row r="29" spans="2:19" ht="20" customHeight="1">
      <c r="B29" s="8" t="s">
        <v>1634</v>
      </c>
      <c r="C29" s="8" t="s">
        <v>1632</v>
      </c>
      <c r="D29" s="8" t="s">
        <v>1606</v>
      </c>
      <c r="E29" s="8" t="s">
        <v>1607</v>
      </c>
      <c r="F29" s="8" t="s">
        <v>1608</v>
      </c>
      <c r="G29" s="8" t="s">
        <v>1609</v>
      </c>
      <c r="H29" s="30"/>
      <c r="I29" s="30"/>
      <c r="J29" s="30"/>
      <c r="K29" s="30"/>
    </row>
    <row r="30" spans="2:19" ht="20" customHeight="1">
      <c r="B30" s="16" t="s">
        <v>1635</v>
      </c>
      <c r="C30" s="16" t="str">
        <f>IF(sizing_m01_included="Include","Included","Excluded")</f>
        <v>Included</v>
      </c>
      <c r="D30" s="16">
        <v>3</v>
      </c>
      <c r="E30" s="16">
        <f>IF(AND(sizing_m01_included="Include",sizing_m01_nsxt_model="Dedicated"),VLOOKUP(sizing_m01_nsxt_appliance_size,table_nsxt_manager_cpu,2,FALSE),0)</f>
        <v>6</v>
      </c>
      <c r="F30" s="16">
        <f>IF(AND(sizing_m01_included="Include",sizing_m01_nsxt_model="Dedicated"),VLOOKUP(sizing_m01_nsxt_appliance_size,table_nsxt_manager_ram,2,FALSE),0)</f>
        <v>24</v>
      </c>
      <c r="G30" s="16">
        <f>IF(AND(sizing_m01_included="Include",sizing_m01_nsxt_model="Dedicated"),VLOOKUP(sizing_m01_nsxt_appliance_size,table_nsxt_manager_disk_gb,2,FALSE),0)</f>
        <v>300</v>
      </c>
      <c r="H30" s="30"/>
      <c r="I30" s="30"/>
      <c r="J30" s="30"/>
      <c r="K30" s="30"/>
    </row>
    <row r="31" spans="2:19" ht="20" customHeight="1">
      <c r="B31" s="16" t="s">
        <v>1636</v>
      </c>
      <c r="C31" s="16" t="str">
        <f>IF(mgmt_nsxt_federation_result="Included","Included","Excluded")</f>
        <v>Excluded</v>
      </c>
      <c r="D31" s="16">
        <f>IF(mgmt_nsxt_federation_result="Excluded",0,3)</f>
        <v>0</v>
      </c>
      <c r="E31" s="16">
        <f>IF(mgmt_nsxt_federation_result="Included",VLOOKUP(sizing_m01_nsxt_gm_appliance_size,table_nsxt_manager_cpu,2,FALSE),0)</f>
        <v>0</v>
      </c>
      <c r="F31" s="16">
        <f>IF(mgmt_nsxt_federation_result="Included",VLOOKUP(sizing_m01_nsxt_gm_appliance_size,table_nsxt_manager_ram,2,FALSE),0)</f>
        <v>0</v>
      </c>
      <c r="G31" s="16">
        <f>IF(mgmt_nsxt_federation_result="Included",VLOOKUP(sizing_m01_nsxt_gm_appliance_size,table_nsxt_manager_disk_gb,2,FALSE),0)</f>
        <v>0</v>
      </c>
      <c r="H31" s="30"/>
      <c r="I31" s="30"/>
      <c r="J31" s="30"/>
      <c r="K31" s="30"/>
    </row>
    <row r="32" spans="2:19" ht="20" customHeight="1">
      <c r="B32" s="26" t="s">
        <v>1627</v>
      </c>
      <c r="C32" s="26"/>
      <c r="D32" s="26">
        <f>SUM(D30:D31)</f>
        <v>3</v>
      </c>
      <c r="E32" s="26">
        <f>SUMPRODUCT($D$30:$D$31,E30:E31)</f>
        <v>18</v>
      </c>
      <c r="F32" s="26">
        <f>SUMPRODUCT($D$30:$D$31,F30:F31)</f>
        <v>72</v>
      </c>
      <c r="G32" s="26">
        <f>SUMPRODUCT($D$30:$D$31,G30:G31)</f>
        <v>900</v>
      </c>
      <c r="H32" s="30"/>
      <c r="I32" s="30"/>
      <c r="J32" s="30"/>
      <c r="K32" s="30"/>
    </row>
    <row r="33" spans="2:23" ht="20" customHeight="1">
      <c r="B33" s="8" t="s">
        <v>1637</v>
      </c>
      <c r="C33" s="8" t="s">
        <v>1632</v>
      </c>
      <c r="D33" s="8" t="s">
        <v>1606</v>
      </c>
      <c r="E33" s="8" t="s">
        <v>1607</v>
      </c>
      <c r="F33" s="8" t="s">
        <v>1608</v>
      </c>
      <c r="G33" s="8" t="s">
        <v>1609</v>
      </c>
      <c r="H33" s="30"/>
      <c r="I33" s="30"/>
      <c r="J33" s="30"/>
      <c r="K33" s="30"/>
    </row>
    <row r="34" spans="2:23" ht="20" customHeight="1">
      <c r="B34" s="16" t="s">
        <v>1638</v>
      </c>
      <c r="C34" s="16" t="str">
        <f>IF(mgmt_vns_result="Included","Included","Excluded")</f>
        <v>Excluded</v>
      </c>
      <c r="D34" s="18">
        <f>IF(AND(sizing_m01_included="Include",sizing_m01_nsxt_model="Dedicated",mgmt_vns_result="Included"),2,0)</f>
        <v>0</v>
      </c>
      <c r="E34" s="18">
        <f>IF(AND(sizing_m01_included="Include",sizing_m01_nsxt_model="Dedicated",mgmt_vns_result="Included"),VLOOKUP(sizing_m01_nsxt_edge_size,table_nsxt_edge_cpu,2,FALSE),0)</f>
        <v>0</v>
      </c>
      <c r="F34" s="18">
        <f>IF(AND(sizing_m01_included="Include",sizing_m01_nsxt_model="Dedicated",mgmt_vns_result="Included"),VLOOKUP(sizing_m01_nsxt_edge_size,table_nsxt_edge_ram,2,FALSE),0)</f>
        <v>0</v>
      </c>
      <c r="G34" s="18">
        <f>IF(AND(sizing_m01_included="Include",sizing_m01_nsxt_model="Dedicated",mgmt_vns_result="Included"),VLOOKUP(sizing_m01_nsxt_edge_size,table_nsxt_edge_disk_gb,2,FALSE),0)</f>
        <v>0</v>
      </c>
      <c r="H34" s="30"/>
      <c r="I34" s="30"/>
      <c r="J34" s="30"/>
      <c r="K34" s="30"/>
    </row>
    <row r="35" spans="2:23" ht="20" customHeight="1">
      <c r="B35" s="26" t="s">
        <v>1627</v>
      </c>
      <c r="C35" s="18"/>
      <c r="D35" s="18"/>
      <c r="E35" s="26">
        <f>SUMPRODUCT($D$34,E34)</f>
        <v>0</v>
      </c>
      <c r="F35" s="26">
        <f>SUMPRODUCT($D$34,F34)</f>
        <v>0</v>
      </c>
      <c r="G35" s="26">
        <f>SUMPRODUCT($D$34,G34)</f>
        <v>0</v>
      </c>
      <c r="H35" s="30"/>
      <c r="I35" s="30"/>
      <c r="J35" s="30"/>
      <c r="K35" s="30"/>
    </row>
    <row r="36" spans="2:23" ht="20" customHeight="1">
      <c r="B36" s="8" t="s">
        <v>1639</v>
      </c>
      <c r="C36" s="8" t="s">
        <v>1632</v>
      </c>
      <c r="D36" s="8" t="s">
        <v>1606</v>
      </c>
      <c r="E36" s="8" t="s">
        <v>1607</v>
      </c>
      <c r="F36" s="8" t="s">
        <v>1608</v>
      </c>
      <c r="G36" s="8" t="s">
        <v>1609</v>
      </c>
      <c r="H36" s="30"/>
      <c r="I36" s="30"/>
      <c r="J36" s="30"/>
      <c r="K36" s="30"/>
      <c r="L36" s="30"/>
      <c r="M36" s="30"/>
      <c r="N36" s="30"/>
      <c r="O36" s="30"/>
      <c r="P36" s="30"/>
    </row>
    <row r="37" spans="2:23" ht="20" customHeight="1">
      <c r="B37" s="16" t="s">
        <v>1640</v>
      </c>
      <c r="C37" s="16" t="str">
        <f>IF(sizing_m01_included="Include","Included","Excluded")</f>
        <v>Included</v>
      </c>
      <c r="D37" s="18">
        <v>3</v>
      </c>
      <c r="E37" s="18">
        <f>sizing_vcls_cpu</f>
        <v>1</v>
      </c>
      <c r="F37" s="18">
        <f>sizing_vcls_ram</f>
        <v>0.125</v>
      </c>
      <c r="G37" s="18">
        <f>sizing_vcls_disk</f>
        <v>2</v>
      </c>
      <c r="H37" s="30"/>
      <c r="I37" s="30"/>
      <c r="J37" s="30"/>
      <c r="K37" s="30"/>
      <c r="L37" s="30"/>
      <c r="M37" s="30"/>
      <c r="N37" s="30"/>
      <c r="O37" s="30"/>
      <c r="P37" s="30"/>
    </row>
    <row r="38" spans="2:23" ht="20" customHeight="1">
      <c r="B38" s="26" t="s">
        <v>1627</v>
      </c>
      <c r="C38" s="16"/>
      <c r="D38" s="18"/>
      <c r="E38" s="26">
        <f>SUMPRODUCT($D$37,E37)</f>
        <v>3</v>
      </c>
      <c r="F38" s="26">
        <f>ROUNDUP(SUMPRODUCT($D$37,F37),0)</f>
        <v>1</v>
      </c>
      <c r="G38" s="26">
        <f>SUMPRODUCT($D$37,G37)</f>
        <v>6</v>
      </c>
      <c r="H38" s="30"/>
      <c r="I38" s="30"/>
      <c r="J38" s="30"/>
      <c r="K38" s="30"/>
      <c r="L38" s="30"/>
      <c r="M38" s="30"/>
      <c r="N38" s="30"/>
      <c r="O38" s="30"/>
      <c r="P38" s="30"/>
    </row>
    <row r="39" spans="2:23" ht="20" customHeight="1">
      <c r="B39" s="8" t="s">
        <v>4270</v>
      </c>
      <c r="C39" s="8" t="s">
        <v>1632</v>
      </c>
      <c r="D39" s="8" t="s">
        <v>1606</v>
      </c>
      <c r="E39" s="8" t="s">
        <v>1607</v>
      </c>
      <c r="F39" s="8" t="s">
        <v>1608</v>
      </c>
      <c r="G39" s="8" t="s">
        <v>1609</v>
      </c>
      <c r="H39" s="30"/>
      <c r="I39" s="30"/>
      <c r="J39" s="30"/>
      <c r="K39" s="30"/>
      <c r="L39" s="30"/>
      <c r="M39" s="30"/>
      <c r="N39" s="30"/>
      <c r="O39" s="30"/>
      <c r="P39" s="30"/>
    </row>
    <row r="40" spans="2:23" ht="20" customHeight="1">
      <c r="B40" s="16" t="s">
        <v>4244</v>
      </c>
      <c r="C40" s="16" t="str">
        <f>IF(sizing_m01_included="Include","Included","Excluded")</f>
        <v>Included</v>
      </c>
      <c r="D40" s="18">
        <f>IF(mgmt_avi_loadbalancer_result="Included",3,0)</f>
        <v>0</v>
      </c>
      <c r="E40" s="18">
        <f>IF(mgmt_avi_loadbalancer_result="Included",VLOOKUP(sizing_mgmt_avi_lb_appliance_size,table_avi_lb_cpu,2,FALSE),0)</f>
        <v>0</v>
      </c>
      <c r="F40" s="18">
        <f>IF(mgmt_avi_loadbalancer_result="Included",VLOOKUP(sizing_mgmt_avi_lb_appliance_size,table_avi_lb_ram,2,FALSE),0)</f>
        <v>0</v>
      </c>
      <c r="G40" s="18">
        <f>IF(mgmt_avi_loadbalancer_result="Included",VLOOKUP(sizing_mgmt_avi_lb_appliance_size,table_avi_lb_disk,2,FALSE),0)</f>
        <v>0</v>
      </c>
      <c r="H40" s="30"/>
      <c r="I40" s="30"/>
      <c r="J40" s="30"/>
      <c r="K40" s="30"/>
      <c r="L40" s="30"/>
      <c r="M40" s="30"/>
      <c r="N40" s="30"/>
      <c r="O40" s="30"/>
      <c r="P40" s="30"/>
    </row>
    <row r="41" spans="2:23" ht="20" customHeight="1">
      <c r="B41" s="26" t="s">
        <v>1627</v>
      </c>
      <c r="C41" s="16"/>
      <c r="D41" s="18"/>
      <c r="E41" s="26">
        <f>SUMPRODUCT($D$40,E40)</f>
        <v>0</v>
      </c>
      <c r="F41" s="26">
        <f>SUMPRODUCT($D$40,F40)</f>
        <v>0</v>
      </c>
      <c r="G41" s="26">
        <f>SUMPRODUCT($D$40,G40)</f>
        <v>0</v>
      </c>
      <c r="H41" s="30"/>
      <c r="I41" s="30"/>
      <c r="J41" s="30"/>
      <c r="K41" s="30"/>
      <c r="L41" s="30"/>
      <c r="M41" s="30"/>
      <c r="N41" s="30"/>
      <c r="O41" s="30"/>
      <c r="P41" s="30"/>
    </row>
    <row r="42" spans="2:23" ht="20" customHeight="1">
      <c r="B42" s="30"/>
      <c r="C42" s="30"/>
      <c r="D42" s="30"/>
      <c r="E42" s="30"/>
      <c r="F42" s="30"/>
      <c r="G42" s="30"/>
      <c r="H42" s="30"/>
      <c r="I42" s="30"/>
      <c r="J42" s="30"/>
      <c r="K42" s="30"/>
      <c r="L42" s="30"/>
      <c r="M42" s="30"/>
      <c r="N42" s="30"/>
      <c r="O42" s="30"/>
      <c r="P42" s="30"/>
    </row>
    <row r="43" spans="2:23" ht="34" customHeight="1">
      <c r="B43" s="482" t="s">
        <v>1641</v>
      </c>
      <c r="C43" s="483"/>
      <c r="D43" s="483"/>
      <c r="E43" s="483"/>
      <c r="F43" s="483"/>
      <c r="G43" s="483"/>
      <c r="H43" s="483"/>
      <c r="I43" s="483"/>
      <c r="J43" s="483"/>
      <c r="K43" s="483"/>
      <c r="L43" s="483"/>
      <c r="M43" s="483"/>
      <c r="N43" s="483"/>
      <c r="O43" s="483"/>
      <c r="P43" s="483"/>
      <c r="Q43" s="483"/>
      <c r="R43" s="483"/>
      <c r="S43" s="483"/>
      <c r="T43" s="483"/>
      <c r="U43" s="483"/>
      <c r="V43" s="483"/>
      <c r="W43" s="483"/>
    </row>
    <row r="44" spans="2:23" ht="20" customHeight="1">
      <c r="B44" s="8" t="s">
        <v>489</v>
      </c>
      <c r="C44" s="8" t="s">
        <v>1632</v>
      </c>
      <c r="D44" s="8" t="s">
        <v>1642</v>
      </c>
      <c r="E44" s="8" t="s">
        <v>1643</v>
      </c>
      <c r="F44" s="8" t="s">
        <v>1644</v>
      </c>
      <c r="G44" s="8" t="s">
        <v>1645</v>
      </c>
      <c r="H44" s="8" t="s">
        <v>1646</v>
      </c>
      <c r="I44" s="8" t="s">
        <v>1647</v>
      </c>
      <c r="J44" s="8" t="s">
        <v>1648</v>
      </c>
      <c r="K44" s="8" t="s">
        <v>1649</v>
      </c>
      <c r="L44" s="8" t="s">
        <v>1650</v>
      </c>
      <c r="M44" s="8" t="s">
        <v>1651</v>
      </c>
      <c r="N44" s="8" t="s">
        <v>1652</v>
      </c>
      <c r="O44" s="8" t="s">
        <v>1653</v>
      </c>
      <c r="P44" s="8" t="s">
        <v>1654</v>
      </c>
      <c r="Q44" s="8" t="s">
        <v>1655</v>
      </c>
      <c r="R44" s="8" t="s">
        <v>408</v>
      </c>
      <c r="S44" s="2" t="s">
        <v>1656</v>
      </c>
      <c r="T44" s="8" t="s">
        <v>4245</v>
      </c>
      <c r="U44" s="8" t="s">
        <v>4246</v>
      </c>
      <c r="V44" s="8" t="s">
        <v>4247</v>
      </c>
      <c r="W44" s="2" t="s">
        <v>4248</v>
      </c>
    </row>
    <row r="45" spans="2:23" ht="20" customHeight="1">
      <c r="B45" s="16" t="s">
        <v>502</v>
      </c>
      <c r="C45" s="16" t="str">
        <f>IF(sizing_w01_result="Included","Included","Excluded")</f>
        <v>Excluded</v>
      </c>
      <c r="D45" s="16">
        <f>IF(sizing_w01_result="Included",1,0)</f>
        <v>0</v>
      </c>
      <c r="E45" s="16">
        <f>IF(sizing_w01_result="Included",VLOOKUP(sizing_w01_vcenter_appliance_size,table_vcenter_appliance_cpu,2,FALSE),0)</f>
        <v>0</v>
      </c>
      <c r="F45" s="16">
        <f>IF(sizing_w01_result="Included",VLOOKUP(sizing_w01_vcenter_appliance_size,table_vcenter_appliance_ram,2,FALSE),0)</f>
        <v>0</v>
      </c>
      <c r="G45" s="16">
        <f>IF(sizing_w01_result="Included",VLOOKUP(CONCATENATE(sizing_w01_vcenter_appliance_size,sizing_w01_vcenter_storage_size),table_vcenter_disk_gb,2,FALSE),0)</f>
        <v>0</v>
      </c>
      <c r="H45" s="16">
        <f>IF(AND(sizing_w01_result="Included",sizing_w01_nsxt_model="Mandatory"),3,0)</f>
        <v>0</v>
      </c>
      <c r="I45" s="16">
        <f>IF(AND(sizing_w01_result="Included",sizing_w01_nsxt_model="Mandatory"),VLOOKUP(sizing_w01_nsxt_appliance_size,table_nsxt_manager_cpu,2,FALSE),0)</f>
        <v>0</v>
      </c>
      <c r="J45" s="16">
        <f>IF(AND(sizing_w01_result="Included",sizing_w01_nsxt_model="Mandatory"),VLOOKUP(sizing_w01_nsxt_appliance_size,table_nsxt_manager_ram,2,FALSE),0)</f>
        <v>0</v>
      </c>
      <c r="K45" s="16">
        <f>IF(AND(sizing_w01_result="Included",sizing_w01_nsxt_model="Mandatory"),VLOOKUP(sizing_w01_nsxt_appliance_size,table_nsxt_manager_disk_gb,2,FALSE),0)</f>
        <v>0</v>
      </c>
      <c r="L45" s="16">
        <f>IF(sizing_w01_gm_result="Included",3,0)</f>
        <v>0</v>
      </c>
      <c r="M45" s="16">
        <f>IF(sizing_w01_gm_result="Included",VLOOKUP(sizing_w01_nsxt_gm_appliance_size,table_nsxt_manager_cpu,2,FALSE),0)</f>
        <v>0</v>
      </c>
      <c r="N45" s="16">
        <f>IF(sizing_w01_gm_result="Included",VLOOKUP(sizing_w01_nsxt_gm_appliance_size,table_nsxt_manager_ram,2,FALSE),0)</f>
        <v>0</v>
      </c>
      <c r="O45" s="16">
        <f>IF(sizing_w01_gm_result="Included",VLOOKUP(sizing_w01_nsxt_gm_appliance_size,table_nsxt_manager_disk_gb,2,FALSE),0)</f>
        <v>0</v>
      </c>
      <c r="P45" s="16">
        <f>IF(AND(sizing_w01_result="Included",sizing_w01_spr_chosen="Include"),1,0)</f>
        <v>0</v>
      </c>
      <c r="Q45" s="18">
        <f>IF(AND(sizing_w01_result="Included",sizing_w01_spr_chosen="Include"),VLOOKUP(input_wld_srm_vm_size,table_srm_cpu,2,FALSE),0)</f>
        <v>0</v>
      </c>
      <c r="R45" s="18">
        <f>IF(AND(sizing_w01_result="Included",sizing_w01_spr_chosen="Include"),VLOOKUP(input_wld_srm_vm_size,table_srm_ram,2,FALSE),0)</f>
        <v>0</v>
      </c>
      <c r="S45" s="18">
        <f>IF(AND(sizing_w01_result="Included",sizing_w01_spr_chosen="Include"),VLOOKUP(input_wld_srm_vm_size,table_srm_disk,2,FALSE),0)</f>
        <v>0</v>
      </c>
      <c r="T45" s="16">
        <f>IF(AND(sizing_w01_result="Included",sizing_w01_avi_chosen="Included"),3,0)</f>
        <v>0</v>
      </c>
      <c r="U45" s="18">
        <f>IF(AND(sizing_w01_result="Included",sizing_w01_avi_chosen="Included"),VLOOKUP(sizing_mgmt_avi_lb_appliance_size,table_avi_lb_cpu,2,FALSE),0)</f>
        <v>0</v>
      </c>
      <c r="V45" s="18">
        <f>IF(AND(sizing_w01_result="Included",sizing_w01_avi_chosen="Included"),VLOOKUP(sizing_mgmt_avi_lb_appliance_size,table_avi_lb_ram,2,FALSE),0)</f>
        <v>0</v>
      </c>
      <c r="W45" s="18">
        <f>IF(AND(sizing_w01_result="Included",sizing_w01_avi_chosen="Included"),VLOOKUP(sizing_mgmt_avi_lb_appliance_size,table_avi_lb_disk,2,FALSE),0)</f>
        <v>0</v>
      </c>
    </row>
    <row r="46" spans="2:23" ht="20" customHeight="1">
      <c r="B46" s="16" t="s">
        <v>504</v>
      </c>
      <c r="C46" s="16" t="str">
        <f>IF(sizing_w02_result="Included","Included","Excluded")</f>
        <v>Excluded</v>
      </c>
      <c r="D46" s="16">
        <f>IF(sizing_w02_result="Included",1,0)</f>
        <v>0</v>
      </c>
      <c r="E46" s="16">
        <f>IF(sizing_w02_result="Included",VLOOKUP(sizing_w02_vcenter_appliance_size,table_vcenter_appliance_cpu,2,FALSE),0)</f>
        <v>0</v>
      </c>
      <c r="F46" s="16">
        <f>IF(sizing_w02_result="Included",VLOOKUP(sizing_w02_vcenter_appliance_size,table_vcenter_appliance_ram,2,FALSE),0)</f>
        <v>0</v>
      </c>
      <c r="G46" s="16">
        <f>IF(sizing_w02_result="Included",VLOOKUP(CONCATENATE(sizing_w02_vcenter_appliance_size,sizing_w02_vcenter_storage_size),table_vcenter_disk_gb,2,FALSE),0)</f>
        <v>0</v>
      </c>
      <c r="H46" s="16">
        <f>IF(AND(sizing_w02_result="Included",sizing_w02_nsxt_model="Dedicated"),3,0)</f>
        <v>0</v>
      </c>
      <c r="I46" s="16">
        <f>IF(AND(sizing_w02_result="Included",sizing_w02_nsxt_model="Dedicated"),VLOOKUP(sizing_w02_nsxt_appliance_size,table_nsxt_manager_cpu,2,FALSE),0)</f>
        <v>0</v>
      </c>
      <c r="J46" s="16">
        <f>IF(AND(sizing_w02_result="Included",sizing_w02_nsxt_model="Dedicated"),VLOOKUP(sizing_w02_nsxt_appliance_size,table_nsxt_manager_ram,2,FALSE),0)</f>
        <v>0</v>
      </c>
      <c r="K46" s="16">
        <f>IF(AND(sizing_w02_result="Included",sizing_w02_nsxt_model="Dedicated"),VLOOKUP(sizing_w02_nsxt_appliance_size,table_nsxt_manager_disk_gb,2,FALSE),0)</f>
        <v>0</v>
      </c>
      <c r="L46" s="16">
        <f>IF(sizing_w02_gm_result="Included",3,0)</f>
        <v>0</v>
      </c>
      <c r="M46" s="16">
        <f>IF(sizing_w02_gm_result="Included",VLOOKUP(sizing_w02_nsxt_gm_appliance_size,table_nsxt_manager_cpu,2,FALSE),0)</f>
        <v>0</v>
      </c>
      <c r="N46" s="16">
        <f>IF(sizing_w02_gm_result="Included",VLOOKUP(sizing_w02_nsxt_gm_appliance_size,table_nsxt_manager_ram,2,FALSE),0)</f>
        <v>0</v>
      </c>
      <c r="O46" s="16">
        <f>IF(sizing_w02_gm_result="Included",VLOOKUP(sizing_w02_nsxt_gm_appliance_size,table_nsxt_manager_disk_gb,2,FALSE),0)</f>
        <v>0</v>
      </c>
      <c r="P46" s="16">
        <f>IF(AND(sizing_w02_result="Included",sizing_w02_spr_chosen="Include"),1,0)</f>
        <v>0</v>
      </c>
      <c r="Q46" s="18">
        <f>IF(AND(sizing_w02_result="Included",sizing_w02_spr_chosen="Include"),VLOOKUP(input_wld_srm_vm_size,table_srm_cpu,2,FALSE),0)</f>
        <v>0</v>
      </c>
      <c r="R46" s="18">
        <f>IF(AND(sizing_w02_result="Included",sizing_w02_spr_chosen="Include"),VLOOKUP(input_wld_srm_vm_size,table_srm_ram,2,FALSE),0)</f>
        <v>0</v>
      </c>
      <c r="S46" s="18">
        <f>IF(AND(sizing_w02_result="Included",sizing_w02_spr_chosen="Include"),VLOOKUP(input_wld_srm_vm_size,table_srm_disk,2,FALSE),0)</f>
        <v>0</v>
      </c>
      <c r="T46" s="16">
        <f>IF(AND(sizing_w02_result="Included",sizing_w02_avi_chosen="Included"),3,0)</f>
        <v>0</v>
      </c>
      <c r="U46" s="18">
        <f>IF(AND(sizing_w02_result="Included",sizing_w02_avi_chosen="Included"),VLOOKUP(sizing_mgmt_avi_lb_appliance_size,table_avi_lb_cpu,2,FALSE),0)</f>
        <v>0</v>
      </c>
      <c r="V46" s="18">
        <f>IF(AND(sizing_w02_result="Included",sizing_w02_avi_chosen="Included"),VLOOKUP(sizing_mgmt_avi_lb_appliance_size,table_avi_lb_ram,2,FALSE),0)</f>
        <v>0</v>
      </c>
      <c r="W46" s="18">
        <f>IF(AND(sizing_w02_result="Included",sizing_w02_avi_chosen="Included"),VLOOKUP(sizing_mgmt_avi_lb_appliance_size,table_avi_lb_disk,2,FALSE),0)</f>
        <v>0</v>
      </c>
    </row>
    <row r="47" spans="2:23" ht="20" customHeight="1">
      <c r="B47" s="16" t="s">
        <v>505</v>
      </c>
      <c r="C47" s="16" t="str">
        <f>IF(sizing_w03_result="Included","Included","Excluded")</f>
        <v>Excluded</v>
      </c>
      <c r="D47" s="16">
        <f>IF(sizing_w03_result="Included",1,0)</f>
        <v>0</v>
      </c>
      <c r="E47" s="16">
        <f>IF(sizing_w03_result="Included",VLOOKUP(sizing_w03_vcenter_appliance_size,table_vcenter_appliance_cpu,2,FALSE),0)</f>
        <v>0</v>
      </c>
      <c r="F47" s="16">
        <f>IF(sizing_w03_result="Included",VLOOKUP(sizing_w03_vcenter_appliance_size,table_vcenter_appliance_ram,2,FALSE),0)</f>
        <v>0</v>
      </c>
      <c r="G47" s="16">
        <f>IF(sizing_w03_result="Included",VLOOKUP(CONCATENATE(sizing_w03_vcenter_appliance_size,sizing_w03_vcenter_storage_size),table_vcenter_disk_gb,2,FALSE),0)</f>
        <v>0</v>
      </c>
      <c r="H47" s="16">
        <f>IF(AND(sizing_w03_result="Included",sizing_w03_nsxt_model="Dedicated"),3,0)</f>
        <v>0</v>
      </c>
      <c r="I47" s="16">
        <f>IF(AND(sizing_w03_result="Included",sizing_w03_nsxt_model="Dedicated"),VLOOKUP(sizing_w03_nsxt_appliance_size,table_nsxt_manager_cpu,2,FALSE),0)</f>
        <v>0</v>
      </c>
      <c r="J47" s="16">
        <f>IF(AND(sizing_w03_result="Included",sizing_w03_nsxt_model="Dedicated"),VLOOKUP(sizing_w03_nsxt_appliance_size,table_nsxt_manager_ram,2,FALSE),0)</f>
        <v>0</v>
      </c>
      <c r="K47" s="16">
        <f>IF(AND(sizing_w03_result="Included",sizing_w03_nsxt_model="Dedicated"),VLOOKUP(sizing_w03_nsxt_appliance_size,table_nsxt_manager_disk_gb,2,FALSE),0)</f>
        <v>0</v>
      </c>
      <c r="L47" s="16">
        <f>IF(sizing_w03_gm_result="Included",3,0)</f>
        <v>0</v>
      </c>
      <c r="M47" s="16">
        <f>IF(sizing_w03_gm_result="Included",VLOOKUP(sizing_w03_nsxt_gm_appliance_size,table_nsxt_manager_cpu,2,FALSE),0)</f>
        <v>0</v>
      </c>
      <c r="N47" s="16">
        <f>IF(sizing_w03_gm_result="Included",VLOOKUP(sizing_w03_nsxt_gm_appliance_size,table_nsxt_manager_ram,2,FALSE),0)</f>
        <v>0</v>
      </c>
      <c r="O47" s="16">
        <f>IF(sizing_w03_gm_result="Included",VLOOKUP(sizing_w03_nsxt_gm_appliance_size,table_nsxt_manager_disk_gb,2,FALSE),0)</f>
        <v>0</v>
      </c>
      <c r="P47" s="16">
        <f>IF(AND(sizing_w03_result="Included",sizing_w03_spr_chosen="Include"),1,0)</f>
        <v>0</v>
      </c>
      <c r="Q47" s="18">
        <f>IF(AND(sizing_w03_result="Included",sizing_w03_spr_chosen="Include"),VLOOKUP(input_wld_srm_vm_size,table_srm_cpu,2,FALSE),0)</f>
        <v>0</v>
      </c>
      <c r="R47" s="18">
        <f>IF(AND(sizing_w03_result="Included",sizing_w03_spr_chosen="Include"),VLOOKUP(input_wld_srm_vm_size,table_srm_ram,2,FALSE),0)</f>
        <v>0</v>
      </c>
      <c r="S47" s="18">
        <f>IF(AND(sizing_w03_result="Included",sizing_w03_spr_chosen="Include"),VLOOKUP(input_wld_srm_vm_size,table_srm_disk,2,FALSE),0)</f>
        <v>0</v>
      </c>
      <c r="T47" s="16">
        <f>IF(AND(sizing_w03_result="Included",sizing_w03_avi_chosen="Included"),3,0)</f>
        <v>0</v>
      </c>
      <c r="U47" s="18">
        <f>IF(AND(sizing_w03_result="Included",sizing_w03_avi_chosen="Included"),VLOOKUP(sizing_mgmt_avi_lb_appliance_size,table_avi_lb_cpu,2,FALSE),0)</f>
        <v>0</v>
      </c>
      <c r="V47" s="18">
        <f>IF(AND(sizing_w03_result="Included",sizing_w03_avi_chosen="Included"),VLOOKUP(sizing_mgmt_avi_lb_appliance_size,table_avi_lb_ram,2,FALSE),0)</f>
        <v>0</v>
      </c>
      <c r="W47" s="18">
        <f>IF(AND(sizing_w03_result="Included",sizing_w03_avi_chosen="Included"),VLOOKUP(sizing_mgmt_avi_lb_appliance_size,table_avi_lb_disk,2,FALSE),0)</f>
        <v>0</v>
      </c>
    </row>
    <row r="48" spans="2:23" ht="20" customHeight="1">
      <c r="B48" s="16" t="s">
        <v>506</v>
      </c>
      <c r="C48" s="16" t="str">
        <f>IF(sizing_w04_result="Included","Included","Excluded")</f>
        <v>Excluded</v>
      </c>
      <c r="D48" s="16">
        <f>IF(sizing_w04_result="Included",1,0)</f>
        <v>0</v>
      </c>
      <c r="E48" s="16">
        <f>IF(sizing_w04_result="Included",VLOOKUP(sizing_w04_vcenter_appliance_size,table_vcenter_appliance_cpu,2,FALSE),0)</f>
        <v>0</v>
      </c>
      <c r="F48" s="16">
        <f>IF(sizing_w04_result="Included",VLOOKUP(sizing_w04_vcenter_appliance_size,table_vcenter_appliance_ram,2,FALSE),0)</f>
        <v>0</v>
      </c>
      <c r="G48" s="16">
        <f>IF(sizing_w04_result="Included",VLOOKUP(CONCATENATE(sizing_w04_vcenter_appliance_size,sizing_w04_vcenter_storage_size),table_vcenter_disk_gb,2,FALSE),0)</f>
        <v>0</v>
      </c>
      <c r="H48" s="16">
        <f>IF(AND(sizing_w04_result="Included",sizing_w04_nsxt_model="Dedicated"),3,0)</f>
        <v>0</v>
      </c>
      <c r="I48" s="16">
        <f>IF(AND(sizing_w04_result="Included",sizing_w04_nsxt_model="Dedicated"),VLOOKUP(sizing_w04_nsxt_appliance_size,table_nsxt_manager_cpu,2,FALSE),0)</f>
        <v>0</v>
      </c>
      <c r="J48" s="16">
        <f>IF(AND(sizing_w04_result="Included",sizing_w04_nsxt_model="Dedicated"),VLOOKUP(sizing_w04_nsxt_appliance_size,table_nsxt_manager_ram,2,FALSE),0)</f>
        <v>0</v>
      </c>
      <c r="K48" s="16">
        <f>IF(AND(sizing_w04_result="Included",sizing_w04_nsxt_model="Dedicated"),VLOOKUP(sizing_w04_nsxt_appliance_size,table_nsxt_manager_disk_gb,2,FALSE),0)</f>
        <v>0</v>
      </c>
      <c r="L48" s="16">
        <f>IF(sizing_w04_gm_result="Included",3,0)</f>
        <v>0</v>
      </c>
      <c r="M48" s="16">
        <f>IF(sizing_w04_gm_result="Included",VLOOKUP(sizing_w04_nsxt_gm_appliance_size,table_nsxt_manager_cpu,2,FALSE),0)</f>
        <v>0</v>
      </c>
      <c r="N48" s="16">
        <f>IF(sizing_w04_gm_result="Included",VLOOKUP(sizing_w04_nsxt_gm_appliance_size,table_nsxt_manager_ram,2,FALSE),0)</f>
        <v>0</v>
      </c>
      <c r="O48" s="16">
        <f>IF(sizing_w04_gm_result="Included",VLOOKUP(sizing_w04_nsxt_gm_appliance_size,table_nsxt_manager_disk_gb,2,FALSE),0)</f>
        <v>0</v>
      </c>
      <c r="P48" s="16">
        <f>IF(AND(sizing_w04_result="Included",sizing_w04_spr_chosen="Include"),1,0)</f>
        <v>0</v>
      </c>
      <c r="Q48" s="18">
        <f>IF(AND(sizing_w04_result="Included",sizing_w04_spr_chosen="Include"),VLOOKUP(input_wld_srm_vm_size,table_srm_cpu,2,FALSE),0)</f>
        <v>0</v>
      </c>
      <c r="R48" s="18">
        <f>IF(AND(sizing_w04_result="Included",sizing_w04_spr_chosen="Include"),VLOOKUP(input_wld_srm_vm_size,table_srm_ram,2,FALSE),0)</f>
        <v>0</v>
      </c>
      <c r="S48" s="18">
        <f>IF(AND(sizing_w04_result="Included",sizing_w04_spr_chosen="Include"),VLOOKUP(input_wld_srm_vm_size,table_srm_disk,2,FALSE),0)</f>
        <v>0</v>
      </c>
      <c r="T48" s="16">
        <f>IF(AND(sizing_w04_result="Included",sizing_w04_avi_chosen="Included"),3,0)</f>
        <v>0</v>
      </c>
      <c r="U48" s="18">
        <f>IF(AND(sizing_w04_result="Included",sizing_w04_avi_chosen="Included"),VLOOKUP(sizing_mgmt_avi_lb_appliance_size,table_avi_lb_cpu,2,FALSE),0)</f>
        <v>0</v>
      </c>
      <c r="V48" s="18">
        <f>IF(AND(sizing_w04_result="Included",sizing_w04_avi_chosen="Included"),VLOOKUP(sizing_mgmt_avi_lb_appliance_size,table_avi_lb_ram,2,FALSE),0)</f>
        <v>0</v>
      </c>
      <c r="W48" s="18">
        <f>IF(AND(sizing_w04_result="Included",sizing_w04_avi_chosen="Included"),VLOOKUP(sizing_mgmt_avi_lb_appliance_size,table_avi_lb_disk,2,FALSE),0)</f>
        <v>0</v>
      </c>
    </row>
    <row r="49" spans="2:23" ht="20" customHeight="1">
      <c r="B49" s="16" t="s">
        <v>507</v>
      </c>
      <c r="C49" s="16" t="str">
        <f>IF(sizing_w05_result="Included","Included","Excluded")</f>
        <v>Excluded</v>
      </c>
      <c r="D49" s="16">
        <f>IF(sizing_w05_result="Included",1,0)</f>
        <v>0</v>
      </c>
      <c r="E49" s="16">
        <f>IF(sizing_w05_result="Included",VLOOKUP(sizing_w05_vcenter_appliance_size,table_vcenter_appliance_cpu,2,FALSE),0)</f>
        <v>0</v>
      </c>
      <c r="F49" s="16">
        <f>IF(sizing_w05_result="Included",VLOOKUP(sizing_w05_vcenter_appliance_size,table_vcenter_appliance_ram,2,FALSE),0)</f>
        <v>0</v>
      </c>
      <c r="G49" s="16">
        <f>IF(sizing_w05_result="Included",VLOOKUP(CONCATENATE(sizing_w05_vcenter_appliance_size,sizing_w05_vcenter_storage_size),table_vcenter_disk_gb,2,FALSE),0)</f>
        <v>0</v>
      </c>
      <c r="H49" s="16">
        <f>IF(AND(sizing_w05_result="Included",sizing_w05_nsxt_model="Dedicated"),3,0)</f>
        <v>0</v>
      </c>
      <c r="I49" s="16">
        <f>IF(AND(sizing_w05_result="Included",sizing_w05_nsxt_model="Dedicated"),VLOOKUP(sizing_w05_nsxt_appliance_size,table_nsxt_manager_cpu,2,FALSE),0)</f>
        <v>0</v>
      </c>
      <c r="J49" s="16">
        <f>IF(AND(sizing_w05_result="Included",sizing_w05_nsxt_model="Dedicated"),VLOOKUP(sizing_w05_nsxt_appliance_size,table_nsxt_manager_ram,2,FALSE),0)</f>
        <v>0</v>
      </c>
      <c r="K49" s="16">
        <f>IF(AND(sizing_w05_result="Included",sizing_w05_nsxt_model="Dedicated"),VLOOKUP(sizing_w05_nsxt_appliance_size,table_nsxt_manager_disk_gb,2,FALSE),0)</f>
        <v>0</v>
      </c>
      <c r="L49" s="16">
        <f>IF(sizing_w05_gm_result="Included",3,0)</f>
        <v>0</v>
      </c>
      <c r="M49" s="16">
        <f>IF(sizing_w05_gm_result="Included",VLOOKUP(sizing_w05_nsxt_gm_appliance_size,table_nsxt_manager_cpu,2,FALSE),0)</f>
        <v>0</v>
      </c>
      <c r="N49" s="16">
        <f>IF(sizing_w05_gm_result="Included",VLOOKUP(sizing_w05_nsxt_gm_appliance_size,table_nsxt_manager_ram,2,FALSE),0)</f>
        <v>0</v>
      </c>
      <c r="O49" s="16">
        <f>IF(sizing_w05_gm_result="Included",VLOOKUP(sizing_w05_nsxt_gm_appliance_size,table_nsxt_manager_disk_gb,2,FALSE),0)</f>
        <v>0</v>
      </c>
      <c r="P49" s="16">
        <f>IF(AND(sizing_w05_result="Included",sizing_w05_spr_chosen="Include"),1,0)</f>
        <v>0</v>
      </c>
      <c r="Q49" s="18">
        <f>IF(AND(sizing_w05_result="Included",sizing_w05_spr_chosen="Include"),VLOOKUP(input_wld_srm_vm_size,table_srm_cpu,2,FALSE),0)</f>
        <v>0</v>
      </c>
      <c r="R49" s="18">
        <f>IF(AND(sizing_w05_result="Included",sizing_w05_spr_chosen="Include"),VLOOKUP(input_wld_srm_vm_size,table_srm_ram,2,FALSE),0)</f>
        <v>0</v>
      </c>
      <c r="S49" s="18">
        <f>IF(AND(sizing_w05_result="Included",sizing_w05_spr_chosen="Include"),VLOOKUP(input_wld_srm_vm_size,table_srm_disk,2,FALSE),0)</f>
        <v>0</v>
      </c>
      <c r="T49" s="16">
        <f>IF(AND(sizing_w05_result="Included",sizing_w05_avi_chosen="Included"),3,0)</f>
        <v>0</v>
      </c>
      <c r="U49" s="18">
        <f>IF(AND(sizing_w05_result="Included",sizing_w05_avi_chosen="Included"),VLOOKUP(sizing_mgmt_avi_lb_appliance_size,table_avi_lb_cpu,2,FALSE),0)</f>
        <v>0</v>
      </c>
      <c r="V49" s="18">
        <f>IF(AND(sizing_w05_result="Included",sizing_w05_avi_chosen="Included"),VLOOKUP(sizing_mgmt_avi_lb_appliance_size,table_avi_lb_ram,2,FALSE),0)</f>
        <v>0</v>
      </c>
      <c r="W49" s="18">
        <f>IF(AND(sizing_w05_result="Included",sizing_w05_avi_chosen="Included"),VLOOKUP(sizing_mgmt_avi_lb_appliance_size,table_avi_lb_disk,2,FALSE),0)</f>
        <v>0</v>
      </c>
    </row>
    <row r="50" spans="2:23" ht="20" customHeight="1">
      <c r="B50" s="16" t="s">
        <v>508</v>
      </c>
      <c r="C50" s="16" t="str">
        <f>IF(sizing_w06_result="Included","Included","Excluded")</f>
        <v>Excluded</v>
      </c>
      <c r="D50" s="16">
        <f>IF(sizing_w06_result="Included",1,0)</f>
        <v>0</v>
      </c>
      <c r="E50" s="16">
        <f>IF(sizing_w06_result="Included",VLOOKUP(sizing_w06_vcenter_appliance_size,table_vcenter_appliance_cpu,2,FALSE),0)</f>
        <v>0</v>
      </c>
      <c r="F50" s="16">
        <f>IF(sizing_w06_result="Included",VLOOKUP(sizing_w06_vcenter_appliance_size,table_vcenter_appliance_ram,2,FALSE),0)</f>
        <v>0</v>
      </c>
      <c r="G50" s="16">
        <f>IF(sizing_w06_result="Included",VLOOKUP(CONCATENATE(sizing_w06_vcenter_appliance_size,sizing_w06_vcenter_storage_size),table_vcenter_disk_gb,2,FALSE),0)</f>
        <v>0</v>
      </c>
      <c r="H50" s="16">
        <f>IF(AND(sizing_w06_result="Included",sizing_w06_nsxt_model="Dedicated"),3,0)</f>
        <v>0</v>
      </c>
      <c r="I50" s="16">
        <f>IF(AND(sizing_w06_result="Included",sizing_w06_nsxt_model="Dedicated"),VLOOKUP(sizing_w06_nsxt_appliance_size,table_nsxt_manager_cpu,2,FALSE),0)</f>
        <v>0</v>
      </c>
      <c r="J50" s="16">
        <f>IF(AND(sizing_w06_result="Included",sizing_w06_nsxt_model="Dedicated"),VLOOKUP(sizing_w06_nsxt_appliance_size,table_nsxt_manager_ram,2,FALSE),0)</f>
        <v>0</v>
      </c>
      <c r="K50" s="16">
        <f>IF(AND(sizing_w06_result="Included",sizing_w06_nsxt_model="Dedicated"),VLOOKUP(sizing_w06_nsxt_appliance_size,table_nsxt_manager_disk_gb,2,FALSE),0)</f>
        <v>0</v>
      </c>
      <c r="L50" s="16">
        <f>IF(sizing_w06_gm_result="Included",3,0)</f>
        <v>0</v>
      </c>
      <c r="M50" s="16">
        <f>IF(sizing_w06_gm_result="Included",VLOOKUP(sizing_w06_nsxt_gm_appliance_size,table_nsxt_manager_cpu,2,FALSE),0)</f>
        <v>0</v>
      </c>
      <c r="N50" s="16">
        <f>IF(sizing_w06_gm_result="Included",VLOOKUP(sizing_w06_nsxt_gm_appliance_size,table_nsxt_manager_ram,2,FALSE),0)</f>
        <v>0</v>
      </c>
      <c r="O50" s="16">
        <f>IF(sizing_w06_gm_result="Included",VLOOKUP(sizing_w06_nsxt_gm_appliance_size,table_nsxt_manager_disk_gb,2,FALSE),0)</f>
        <v>0</v>
      </c>
      <c r="P50" s="16">
        <f>IF(AND(sizing_w06_result="Included",sizing_w06_spr_chosen="Include"),1,0)</f>
        <v>0</v>
      </c>
      <c r="Q50" s="18">
        <f>IF(AND(sizing_w06_result="Included",sizing_w06_spr_chosen="Include"),VLOOKUP(input_wld_srm_vm_size,table_srm_cpu,2,FALSE),0)</f>
        <v>0</v>
      </c>
      <c r="R50" s="18">
        <f>IF(AND(sizing_w06_result="Included",sizing_w06_spr_chosen="Include"),VLOOKUP(input_wld_srm_vm_size,table_srm_ram,2,FALSE),0)</f>
        <v>0</v>
      </c>
      <c r="S50" s="18">
        <f>IF(AND(sizing_w06_result="Included",sizing_w06_spr_chosen="Include"),VLOOKUP(input_wld_srm_vm_size,table_srm_disk,2,FALSE),0)</f>
        <v>0</v>
      </c>
      <c r="T50" s="16">
        <f>IF(AND(sizing_w06_result="Included",sizing_w06_avi_chosen="Included"),3,0)</f>
        <v>0</v>
      </c>
      <c r="U50" s="18">
        <f>IF(AND(sizing_w06_result="Included",sizing_w06_avi_chosen="Included"),VLOOKUP(sizing_mgmt_avi_lb_appliance_size,table_avi_lb_cpu,2,FALSE),0)</f>
        <v>0</v>
      </c>
      <c r="V50" s="18">
        <f>IF(AND(sizing_w06_result="Included",sizing_w06_avi_chosen="Included"),VLOOKUP(sizing_mgmt_avi_lb_appliance_size,table_avi_lb_ram,2,FALSE),0)</f>
        <v>0</v>
      </c>
      <c r="W50" s="18">
        <f>IF(AND(sizing_w06_result="Included",sizing_w06_avi_chosen="Included"),VLOOKUP(sizing_mgmt_avi_lb_appliance_size,table_avi_lb_disk,2,FALSE),0)</f>
        <v>0</v>
      </c>
    </row>
    <row r="51" spans="2:23" ht="20" customHeight="1">
      <c r="B51" s="16" t="s">
        <v>509</v>
      </c>
      <c r="C51" s="16" t="str">
        <f>IF(sizing_w07_result="Included","Included","Excluded")</f>
        <v>Excluded</v>
      </c>
      <c r="D51" s="16">
        <f>IF(sizing_w07_result="Included",1,0)</f>
        <v>0</v>
      </c>
      <c r="E51" s="16">
        <f>IF(sizing_w07_result="Included",VLOOKUP(sizing_w07_vcenter_appliance_size,table_vcenter_appliance_cpu,2,FALSE),0)</f>
        <v>0</v>
      </c>
      <c r="F51" s="16">
        <f>IF(sizing_w07_result="Included",VLOOKUP(sizing_w07_vcenter_appliance_size,table_vcenter_appliance_ram,2,FALSE),0)</f>
        <v>0</v>
      </c>
      <c r="G51" s="16">
        <f>IF(sizing_w07_result="Included",VLOOKUP(CONCATENATE(sizing_w07_vcenter_appliance_size,sizing_w07_vcenter_storage_size),table_vcenter_disk_gb,2,FALSE),0)</f>
        <v>0</v>
      </c>
      <c r="H51" s="16">
        <f>IF(AND(sizing_w07_result="Included",sizing_w07_nsxt_model="Dedicated"),3,0)</f>
        <v>0</v>
      </c>
      <c r="I51" s="16">
        <f>IF(AND(sizing_w07_result="Included",sizing_w07_nsxt_model="Dedicated"),VLOOKUP(sizing_w07_nsxt_appliance_size,table_nsxt_manager_cpu,2,FALSE),0)</f>
        <v>0</v>
      </c>
      <c r="J51" s="16">
        <f>IF(AND(sizing_w07_result="Included",sizing_w07_nsxt_model="Dedicated"),VLOOKUP(sizing_w07_nsxt_appliance_size,table_nsxt_manager_ram,2,FALSE),0)</f>
        <v>0</v>
      </c>
      <c r="K51" s="16">
        <f>IF(AND(sizing_w07_result="Included",sizing_w07_nsxt_model="Dedicated"),VLOOKUP(sizing_w07_nsxt_appliance_size,table_nsxt_manager_disk_gb,2,FALSE),0)</f>
        <v>0</v>
      </c>
      <c r="L51" s="16">
        <f>IF(sizing_w07_gm_result="Included",3,0)</f>
        <v>0</v>
      </c>
      <c r="M51" s="16">
        <f>IF(sizing_w07_gm_result="Included",VLOOKUP(sizing_w07_nsxt_gm_appliance_size,table_nsxt_manager_cpu,2,FALSE),0)</f>
        <v>0</v>
      </c>
      <c r="N51" s="16">
        <f>IF(sizing_w07_gm_result="Included",VLOOKUP(sizing_w07_nsxt_gm_appliance_size,table_nsxt_manager_ram,2,FALSE),0)</f>
        <v>0</v>
      </c>
      <c r="O51" s="16">
        <f>IF(sizing_w07_gm_result="Included",VLOOKUP(sizing_w07_nsxt_gm_appliance_size,table_nsxt_manager_disk_gb,2,FALSE),0)</f>
        <v>0</v>
      </c>
      <c r="P51" s="16">
        <f>IF(AND(sizing_w07_result="Included",sizing_w07_spr_chosen="Include"),1,0)</f>
        <v>0</v>
      </c>
      <c r="Q51" s="18">
        <f>IF(AND(sizing_w07_result="Included",sizing_w07_spr_chosen="Include"),VLOOKUP(input_wld_srm_vm_size,table_srm_cpu,2,FALSE),0)</f>
        <v>0</v>
      </c>
      <c r="R51" s="18">
        <f>IF(AND(sizing_w07_result="Included",sizing_w07_spr_chosen="Include"),VLOOKUP(input_wld_srm_vm_size,table_srm_ram,2,FALSE),0)</f>
        <v>0</v>
      </c>
      <c r="S51" s="18">
        <f>IF(AND(sizing_w07_result="Included",sizing_w07_spr_chosen="Include"),VLOOKUP(input_wld_srm_vm_size,table_srm_disk,2,FALSE),0)</f>
        <v>0</v>
      </c>
      <c r="T51" s="16">
        <f>IF(AND(sizing_w07_result="Included",sizing_w07_avi_chosen="Included"),3,0)</f>
        <v>0</v>
      </c>
      <c r="U51" s="18">
        <f>IF(AND(sizing_w07_result="Included",sizing_w07_avi_chosen="Included"),VLOOKUP(sizing_mgmt_avi_lb_appliance_size,table_avi_lb_cpu,2,FALSE),0)</f>
        <v>0</v>
      </c>
      <c r="V51" s="18">
        <f>IF(AND(sizing_w07_result="Included",sizing_w07_avi_chosen="Included"),VLOOKUP(sizing_mgmt_avi_lb_appliance_size,table_avi_lb_ram,2,FALSE),0)</f>
        <v>0</v>
      </c>
      <c r="W51" s="18">
        <f>IF(AND(sizing_w07_result="Included",sizing_w07_avi_chosen="Included"),VLOOKUP(sizing_mgmt_avi_lb_appliance_size,table_avi_lb_disk,2,FALSE),0)</f>
        <v>0</v>
      </c>
    </row>
    <row r="52" spans="2:23" ht="20" customHeight="1">
      <c r="B52" s="16" t="s">
        <v>510</v>
      </c>
      <c r="C52" s="16" t="str">
        <f>IF(sizing_w08_result="Included","Included","Excluded")</f>
        <v>Excluded</v>
      </c>
      <c r="D52" s="16">
        <f>IF(sizing_w08_result="Included",1,0)</f>
        <v>0</v>
      </c>
      <c r="E52" s="16">
        <f>IF(sizing_w08_result="Included",VLOOKUP(sizing_w08_vcenter_appliance_size,table_vcenter_appliance_cpu,2,FALSE),0)</f>
        <v>0</v>
      </c>
      <c r="F52" s="16">
        <f>IF(sizing_w08_result="Included",VLOOKUP(sizing_w08_vcenter_appliance_size,table_vcenter_appliance_ram,2,FALSE),0)</f>
        <v>0</v>
      </c>
      <c r="G52" s="16">
        <f>IF(sizing_w08_result="Included",VLOOKUP(CONCATENATE(sizing_w08_vcenter_appliance_size,sizing_w08_vcenter_storage_size),table_vcenter_disk_gb,2,FALSE),0)</f>
        <v>0</v>
      </c>
      <c r="H52" s="16">
        <f>IF(AND(sizing_w08_result="Included",sizing_w08_nsxt_model="Dedicated"),3,0)</f>
        <v>0</v>
      </c>
      <c r="I52" s="16">
        <f>IF(AND(sizing_w08_result="Included",sizing_w08_nsxt_model="Dedicated"),VLOOKUP(sizing_w08_nsxt_appliance_size,table_nsxt_manager_cpu,2,FALSE),0)</f>
        <v>0</v>
      </c>
      <c r="J52" s="16">
        <f>IF(AND(sizing_w08_result="Included",sizing_w08_nsxt_model="Dedicated"),VLOOKUP(sizing_w08_nsxt_appliance_size,table_nsxt_manager_ram,2,FALSE),0)</f>
        <v>0</v>
      </c>
      <c r="K52" s="16">
        <f>IF(AND(sizing_w08_result="Included",sizing_w08_nsxt_model="Dedicated"),VLOOKUP(sizing_w08_nsxt_appliance_size,table_nsxt_manager_disk_gb,2,FALSE),0)</f>
        <v>0</v>
      </c>
      <c r="L52" s="16">
        <f>IF(sizing_w08_gm_result="Included",3,0)</f>
        <v>0</v>
      </c>
      <c r="M52" s="16">
        <f>IF(sizing_w08_gm_result="Included",VLOOKUP(sizing_w08_nsxt_gm_appliance_size,table_nsxt_manager_cpu,2,FALSE),0)</f>
        <v>0</v>
      </c>
      <c r="N52" s="16">
        <f>IF(sizing_w08_gm_result="Included",VLOOKUP(sizing_w08_nsxt_gm_appliance_size,table_nsxt_manager_ram,2,FALSE),0)</f>
        <v>0</v>
      </c>
      <c r="O52" s="16">
        <f>IF(sizing_w08_gm_result="Included",VLOOKUP(sizing_w08_nsxt_gm_appliance_size,table_nsxt_manager_disk_gb,2,FALSE),0)</f>
        <v>0</v>
      </c>
      <c r="P52" s="16">
        <f>IF(AND(sizing_w08_result="Included",sizing_w08_spr_chosen="Include"),1,0)</f>
        <v>0</v>
      </c>
      <c r="Q52" s="18">
        <f>IF(AND(sizing_w08_result="Included",sizing_w08_spr_chosen="Include"),VLOOKUP(input_wld_srm_vm_size,table_srm_cpu,2,FALSE),0)</f>
        <v>0</v>
      </c>
      <c r="R52" s="18">
        <f>IF(AND(sizing_w08_result="Included",sizing_w08_spr_chosen="Include"),VLOOKUP(input_wld_srm_vm_size,table_srm_ram,2,FALSE),0)</f>
        <v>0</v>
      </c>
      <c r="S52" s="18">
        <f>IF(AND(sizing_w08_result="Included",sizing_w08_spr_chosen="Include"),VLOOKUP(input_wld_srm_vm_size,table_srm_disk,2,FALSE),0)</f>
        <v>0</v>
      </c>
      <c r="T52" s="16">
        <f>IF(AND(sizing_w08_result="Included",sizing_w08_avi_chosen="Included"),3,0)</f>
        <v>0</v>
      </c>
      <c r="U52" s="18">
        <f>IF(AND(sizing_w08_result="Included",sizing_w08_avi_chosen="Included"),VLOOKUP(sizing_mgmt_avi_lb_appliance_size,table_avi_lb_cpu,2,FALSE),0)</f>
        <v>0</v>
      </c>
      <c r="V52" s="18">
        <f>IF(AND(sizing_w08_result="Included",sizing_w08_avi_chosen="Included"),VLOOKUP(sizing_mgmt_avi_lb_appliance_size,table_avi_lb_ram,2,FALSE),0)</f>
        <v>0</v>
      </c>
      <c r="W52" s="18">
        <f>IF(AND(sizing_w08_result="Included",sizing_w08_avi_chosen="Included"),VLOOKUP(sizing_mgmt_avi_lb_appliance_size,table_avi_lb_disk,2,FALSE),0)</f>
        <v>0</v>
      </c>
    </row>
    <row r="53" spans="2:23" ht="20" customHeight="1">
      <c r="B53" s="16" t="s">
        <v>511</v>
      </c>
      <c r="C53" s="16" t="str">
        <f>IF(sizing_w09_result="Included","Included","Excluded")</f>
        <v>Excluded</v>
      </c>
      <c r="D53" s="16">
        <f>IF(sizing_w09_result="Included",1,0)</f>
        <v>0</v>
      </c>
      <c r="E53" s="16">
        <f>IF(sizing_w09_result="Included",VLOOKUP(sizing_w09_vcenter_appliance_size,table_vcenter_appliance_cpu,2,FALSE),0)</f>
        <v>0</v>
      </c>
      <c r="F53" s="16">
        <f>IF(sizing_w09_result="Included",VLOOKUP(sizing_w09_vcenter_appliance_size,table_vcenter_appliance_ram,2,FALSE),0)</f>
        <v>0</v>
      </c>
      <c r="G53" s="16">
        <f>IF(sizing_w09_result="Included",VLOOKUP(CONCATENATE(sizing_w09_vcenter_appliance_size,sizing_w09_vcenter_storage_size),table_vcenter_disk_gb,2,FALSE),0)</f>
        <v>0</v>
      </c>
      <c r="H53" s="16">
        <f>IF(AND(sizing_w09_result="Included",sizing_w09_nsxt_model="Dedicated"),3,0)</f>
        <v>0</v>
      </c>
      <c r="I53" s="16">
        <f>IF(AND(sizing_w09_result="Included",sizing_w09_nsxt_model="Dedicated"),VLOOKUP(sizing_w09_nsxt_appliance_size,table_nsxt_manager_cpu,2,FALSE),0)</f>
        <v>0</v>
      </c>
      <c r="J53" s="16">
        <f>IF(AND(sizing_w09_result="Included",sizing_w09_nsxt_model="Dedicated"),VLOOKUP(sizing_w09_nsxt_appliance_size,table_nsxt_manager_ram,2,FALSE),0)</f>
        <v>0</v>
      </c>
      <c r="K53" s="16">
        <f>IF(AND(sizing_w09_result="Included",sizing_w09_nsxt_model="Dedicated"),VLOOKUP(sizing_w09_nsxt_appliance_size,table_nsxt_manager_disk_gb,2,FALSE),0)</f>
        <v>0</v>
      </c>
      <c r="L53" s="16">
        <f>IF(sizing_w09_gm_result="Included",3,0)</f>
        <v>0</v>
      </c>
      <c r="M53" s="16">
        <f>IF(sizing_w09_gm_result="Included",VLOOKUP(sizing_w09_nsxt_gm_appliance_size,table_nsxt_manager_cpu,2,FALSE),0)</f>
        <v>0</v>
      </c>
      <c r="N53" s="16">
        <f>IF(sizing_w09_gm_result="Included",VLOOKUP(sizing_w09_nsxt_gm_appliance_size,table_nsxt_manager_ram,2,FALSE),0)</f>
        <v>0</v>
      </c>
      <c r="O53" s="16">
        <f>IF(sizing_w09_gm_result="Included",VLOOKUP(sizing_w09_nsxt_gm_appliance_size,table_nsxt_manager_disk_gb,2,FALSE),0)</f>
        <v>0</v>
      </c>
      <c r="P53" s="16">
        <f>IF(AND(sizing_w09_result="Included",sizing_w09_spr_chosen="Include"),1,0)</f>
        <v>0</v>
      </c>
      <c r="Q53" s="18">
        <f>IF(AND(sizing_w09_result="Included",sizing_w09_spr_chosen="Include"),VLOOKUP(input_wld_srm_vm_size,table_srm_cpu,2,FALSE),0)</f>
        <v>0</v>
      </c>
      <c r="R53" s="18">
        <f>IF(AND(sizing_w09_result="Included",sizing_w09_spr_chosen="Include"),VLOOKUP(input_wld_srm_vm_size,table_srm_ram,2,FALSE),0)</f>
        <v>0</v>
      </c>
      <c r="S53" s="18">
        <f>IF(AND(sizing_w09_result="Included",sizing_w09_spr_chosen="Include"),VLOOKUP(input_wld_srm_vm_size,table_srm_disk,2,FALSE),0)</f>
        <v>0</v>
      </c>
      <c r="T53" s="16">
        <f>IF(AND(sizing_w09_result="Included",sizing_w09_avi_chosen="Included"),3,0)</f>
        <v>0</v>
      </c>
      <c r="U53" s="18">
        <f>IF(AND(sizing_w09_result="Included",sizing_w09_avi_chosen="Included"),VLOOKUP(sizing_mgmt_avi_lb_appliance_size,table_avi_lb_cpu,2,FALSE),0)</f>
        <v>0</v>
      </c>
      <c r="V53" s="18">
        <f>IF(AND(sizing_w09_result="Included",sizing_w09_avi_chosen="Included"),VLOOKUP(sizing_mgmt_avi_lb_appliance_size,table_avi_lb_ram,2,FALSE),0)</f>
        <v>0</v>
      </c>
      <c r="W53" s="18">
        <f>IF(AND(sizing_w09_result="Included",sizing_w09_avi_chosen="Included"),VLOOKUP(sizing_mgmt_avi_lb_appliance_size,table_avi_lb_disk,2,FALSE),0)</f>
        <v>0</v>
      </c>
    </row>
    <row r="54" spans="2:23" ht="20" customHeight="1">
      <c r="B54" s="16" t="s">
        <v>512</v>
      </c>
      <c r="C54" s="16" t="str">
        <f>IF(sizing_w10_result="Included","Included","Excluded")</f>
        <v>Excluded</v>
      </c>
      <c r="D54" s="16">
        <f>IF(sizing_w10_result="Included",1,0)</f>
        <v>0</v>
      </c>
      <c r="E54" s="16">
        <f>IF(sizing_w10_result="Included",VLOOKUP(sizing_w10_vcenter_appliance_size,table_vcenter_appliance_cpu,2,FALSE),0)</f>
        <v>0</v>
      </c>
      <c r="F54" s="16">
        <f>IF(sizing_w10_result="Included",VLOOKUP(sizing_w10_vcenter_appliance_size,table_vcenter_appliance_ram,2,FALSE),0)</f>
        <v>0</v>
      </c>
      <c r="G54" s="16">
        <f>IF(sizing_w10_result="Included",VLOOKUP(CONCATENATE(sizing_w10_vcenter_appliance_size,sizing_w10_vcenter_storage_size),table_vcenter_disk_gb,2,FALSE),0)</f>
        <v>0</v>
      </c>
      <c r="H54" s="16">
        <f>IF(AND(sizing_w10_result="Included",sizing_w10_nsxt_model="Dedicated"),3,0)</f>
        <v>0</v>
      </c>
      <c r="I54" s="16">
        <f>IF(AND(sizing_w10_result="Included",sizing_w10_nsxt_model="Dedicated"),VLOOKUP(sizing_w10_nsxt_appliance_size,table_nsxt_manager_cpu,2,FALSE),0)</f>
        <v>0</v>
      </c>
      <c r="J54" s="16">
        <f>IF(AND(sizing_w10_result="Included",sizing_w10_nsxt_model="Dedicated"),VLOOKUP(sizing_w10_nsxt_appliance_size,table_nsxt_manager_ram,2,FALSE),0)</f>
        <v>0</v>
      </c>
      <c r="K54" s="16">
        <f>IF(AND(sizing_w10_result="Included",sizing_w10_nsxt_model="Dedicated"),VLOOKUP(sizing_w10_nsxt_appliance_size,table_nsxt_manager_disk_gb,2,FALSE),0)</f>
        <v>0</v>
      </c>
      <c r="L54" s="16">
        <f>IF(sizing_w10_gm_result="Included",3,0)</f>
        <v>0</v>
      </c>
      <c r="M54" s="16">
        <f>IF(sizing_w10_gm_result="Included",VLOOKUP(sizing_w10_nsxt_gm_appliance_size,table_nsxt_manager_cpu,2,FALSE),0)</f>
        <v>0</v>
      </c>
      <c r="N54" s="16">
        <f>IF(sizing_w10_gm_result="Included",VLOOKUP(sizing_w10_nsxt_gm_appliance_size,table_nsxt_manager_ram,2,FALSE),0)</f>
        <v>0</v>
      </c>
      <c r="O54" s="16">
        <f>IF(sizing_w10_gm_result="Included",VLOOKUP(sizing_w10_nsxt_gm_appliance_size,table_nsxt_manager_disk_gb,2,FALSE),0)</f>
        <v>0</v>
      </c>
      <c r="P54" s="16">
        <f>IF(AND(sizing_w10_result="Included",sizing_w10_spr_chosen="Include"),1,0)</f>
        <v>0</v>
      </c>
      <c r="Q54" s="18">
        <f>IF(AND(sizing_w10_result="Included",sizing_w10_spr_chosen="Include"),VLOOKUP(input_wld_srm_vm_size,table_srm_cpu,2,FALSE),0)</f>
        <v>0</v>
      </c>
      <c r="R54" s="18">
        <f>IF(AND(sizing_w10_result="Included",sizing_w10_spr_chosen="Include"),VLOOKUP(input_wld_srm_vm_size,table_srm_ram,2,FALSE),0)</f>
        <v>0</v>
      </c>
      <c r="S54" s="18">
        <f>IF(AND(sizing_w10_result="Included",sizing_w10_spr_chosen="Include"),VLOOKUP(input_wld_srm_vm_size,table_srm_disk,2,FALSE),0)</f>
        <v>0</v>
      </c>
      <c r="T54" s="16">
        <f>IF(AND(sizing_w10_result="Included",sizing_w10_avi_chosen="Included"),3,0)</f>
        <v>0</v>
      </c>
      <c r="U54" s="18">
        <f>IF(AND(sizing_w10_result="Included",sizing_w10_avi_chosen="Included"),VLOOKUP(sizing_mgmt_avi_lb_appliance_size,table_avi_lb_cpu,2,FALSE),0)</f>
        <v>0</v>
      </c>
      <c r="V54" s="18">
        <f>IF(AND(sizing_w10_result="Included",sizing_w10_avi_chosen="Included"),VLOOKUP(sizing_mgmt_avi_lb_appliance_size,table_avi_lb_ram,2,FALSE),0)</f>
        <v>0</v>
      </c>
      <c r="W54" s="18">
        <f>IF(AND(sizing_w10_result="Included",sizing_w10_avi_chosen="Included"),VLOOKUP(sizing_mgmt_avi_lb_appliance_size,table_avi_lb_disk,2,FALSE),0)</f>
        <v>0</v>
      </c>
    </row>
    <row r="55" spans="2:23" ht="20" customHeight="1">
      <c r="B55" s="16" t="s">
        <v>513</v>
      </c>
      <c r="C55" s="16" t="str">
        <f>IF(sizing_w11_result="Included","Included","Excluded")</f>
        <v>Excluded</v>
      </c>
      <c r="D55" s="16">
        <f>IF(sizing_w11_result="Included",1,0)</f>
        <v>0</v>
      </c>
      <c r="E55" s="16">
        <f>IF(sizing_w11_result="Included",VLOOKUP(sizing_w11_vcenter_appliance_size,table_vcenter_appliance_cpu,2,FALSE),0)</f>
        <v>0</v>
      </c>
      <c r="F55" s="16">
        <f>IF(sizing_w11_result="Included",VLOOKUP(sizing_w11_vcenter_appliance_size,table_vcenter_appliance_ram,2,FALSE),0)</f>
        <v>0</v>
      </c>
      <c r="G55" s="16">
        <f>IF(sizing_w11_result="Included",VLOOKUP(CONCATENATE(sizing_w11_vcenter_appliance_size,sizing_w11_vcenter_storage_size),table_vcenter_disk_gb,2,FALSE),0)</f>
        <v>0</v>
      </c>
      <c r="H55" s="16">
        <f>IF(AND(sizing_w11_result="Included",sizing_w11_nsxt_model="Dedicated"),3,0)</f>
        <v>0</v>
      </c>
      <c r="I55" s="16">
        <f>IF(AND(sizing_w11_result="Included",sizing_w11_nsxt_model="Dedicated"),VLOOKUP(sizing_w11_nsxt_appliance_size,table_nsxt_manager_cpu,2,FALSE),0)</f>
        <v>0</v>
      </c>
      <c r="J55" s="16">
        <f>IF(AND(sizing_w11_result="Included",sizing_w11_nsxt_model="Dedicated"),VLOOKUP(sizing_w11_nsxt_appliance_size,table_nsxt_manager_ram,2,FALSE),0)</f>
        <v>0</v>
      </c>
      <c r="K55" s="16">
        <f>IF(AND(sizing_w11_result="Included",sizing_w11_nsxt_model="Dedicated"),VLOOKUP(sizing_w11_nsxt_appliance_size,table_nsxt_manager_disk_gb,2,FALSE),0)</f>
        <v>0</v>
      </c>
      <c r="L55" s="16">
        <f>IF(sizing_w11_gm_result="Included",3,0)</f>
        <v>0</v>
      </c>
      <c r="M55" s="16">
        <f>IF(sizing_w11_gm_result="Included",VLOOKUP(sizing_w11_nsxt_gm_appliance_size,table_nsxt_manager_cpu,2,FALSE),0)</f>
        <v>0</v>
      </c>
      <c r="N55" s="16">
        <f>IF(sizing_w11_gm_result="Included",VLOOKUP(sizing_w11_nsxt_gm_appliance_size,table_nsxt_manager_ram,2,FALSE),0)</f>
        <v>0</v>
      </c>
      <c r="O55" s="16">
        <f>IF(sizing_w11_gm_result="Included",VLOOKUP(sizing_w11_nsxt_gm_appliance_size,table_nsxt_manager_disk_gb,2,FALSE),0)</f>
        <v>0</v>
      </c>
      <c r="P55" s="16">
        <f>IF(AND(sizing_w11_result="Included",sizing_w11_spr_chosen="Include"),1,0)</f>
        <v>0</v>
      </c>
      <c r="Q55" s="18">
        <f>IF(AND(sizing_w11_result="Included",sizing_w11_spr_chosen="Include"),VLOOKUP(srm_appliance_size,table_srm_cpu,2,FALSE),0)</f>
        <v>0</v>
      </c>
      <c r="R55" s="18">
        <f>IF(AND(sizing_w11_result="Included",sizing_w11_spr_chosen="Include"),VLOOKUP(input_wld_srm_vm_size,table_srm_ram,2,FALSE),0)</f>
        <v>0</v>
      </c>
      <c r="S55" s="18">
        <f>IF(AND(sizing_w11_result="Included",sizing_w11_spr_chosen="Include"),VLOOKUP(input_wld_srm_vm_size,table_srm_disk,2,FALSE),0)</f>
        <v>0</v>
      </c>
      <c r="T55" s="16">
        <f>IF(AND(sizing_w11_result="Included",sizing_w11_avi_chosen="Included"),3,0)</f>
        <v>0</v>
      </c>
      <c r="U55" s="18">
        <f>IF(AND(sizing_w11_result="Included",sizing_w11_avi_chosen="Included"),VLOOKUP(sizing_mgmt_avi_lb_appliance_size,table_avi_lb_cpu,2,FALSE),0)</f>
        <v>0</v>
      </c>
      <c r="V55" s="18">
        <f>IF(AND(sizing_w11_result="Included",sizing_w11_avi_chosen="Included"),VLOOKUP(sizing_mgmt_avi_lb_appliance_size,table_avi_lb_ram,2,FALSE),0)</f>
        <v>0</v>
      </c>
      <c r="W55" s="18">
        <f>IF(AND(sizing_w11_result="Included",sizing_w11_avi_chosen="Included"),VLOOKUP(sizing_mgmt_avi_lb_appliance_size,table_avi_lb_disk,2,FALSE),0)</f>
        <v>0</v>
      </c>
    </row>
    <row r="56" spans="2:23" ht="20" customHeight="1">
      <c r="B56" s="16" t="s">
        <v>514</v>
      </c>
      <c r="C56" s="16" t="str">
        <f>IF(sizing_w12_result="Included","Included","Excluded")</f>
        <v>Excluded</v>
      </c>
      <c r="D56" s="16">
        <f>IF(sizing_w12_result="Included",1,0)</f>
        <v>0</v>
      </c>
      <c r="E56" s="16">
        <f>IF(sizing_w12_result="Included",VLOOKUP(sizing_w12_vcenter_appliance_size,table_vcenter_appliance_cpu,2,FALSE),0)</f>
        <v>0</v>
      </c>
      <c r="F56" s="16">
        <f>IF(sizing_w12_result="Included",VLOOKUP(sizing_w12_vcenter_appliance_size,table_vcenter_appliance_ram,2,FALSE),0)</f>
        <v>0</v>
      </c>
      <c r="G56" s="16">
        <f>IF(sizing_w12_result="Included",VLOOKUP(CONCATENATE(sizing_w12_vcenter_appliance_size,sizing_w12_vcenter_storage_size),table_vcenter_disk_gb,2,FALSE),0)</f>
        <v>0</v>
      </c>
      <c r="H56" s="16">
        <f>IF(AND(sizing_w12_result="Included",sizing_w12_nsxt_model="Dedicated"),3,0)</f>
        <v>0</v>
      </c>
      <c r="I56" s="16">
        <f>IF(AND(sizing_w12_result="Included",sizing_w12_nsxt_model="Dedicated"),VLOOKUP(sizing_w12_nsxt_appliance_size,table_nsxt_manager_cpu,2,FALSE),0)</f>
        <v>0</v>
      </c>
      <c r="J56" s="16">
        <f>IF(AND(sizing_w12_result="Included",sizing_w12_nsxt_model="Dedicated"),VLOOKUP(sizing_w12_nsxt_appliance_size,table_nsxt_manager_ram,2,FALSE),0)</f>
        <v>0</v>
      </c>
      <c r="K56" s="16">
        <f>IF(AND(sizing_w12_result="Included",sizing_w12_nsxt_model="Dedicated"),VLOOKUP(sizing_w12_nsxt_appliance_size,table_nsxt_manager_disk_gb,2,FALSE),0)</f>
        <v>0</v>
      </c>
      <c r="L56" s="16">
        <f>IF(sizing_w12_gm_result="Included",3,0)</f>
        <v>0</v>
      </c>
      <c r="M56" s="16">
        <f>IF(sizing_w12_gm_result="Included",VLOOKUP(sizing_w12_nsxt_gm_appliance_size,table_nsxt_manager_cpu,2,FALSE),0)</f>
        <v>0</v>
      </c>
      <c r="N56" s="16">
        <f>IF(sizing_w12_gm_result="Included",VLOOKUP(sizing_w12_nsxt_gm_appliance_size,table_nsxt_manager_ram,2,FALSE),0)</f>
        <v>0</v>
      </c>
      <c r="O56" s="16">
        <f>IF(sizing_w12_gm_result="Included",VLOOKUP(sizing_w12_nsxt_gm_appliance_size,table_nsxt_manager_disk_gb,2,FALSE),0)</f>
        <v>0</v>
      </c>
      <c r="P56" s="16">
        <f>IF(AND(sizing_w12_result="Included",sizing_w12_spr_chosen="Include"),1,0)</f>
        <v>0</v>
      </c>
      <c r="Q56" s="18">
        <f>IF(AND(sizing_w12_result="Included",sizing_w12_spr_chosen="Include"),VLOOKUP(input_wld_srm_vm_size,table_srm_cpu,2,FALSE),0)</f>
        <v>0</v>
      </c>
      <c r="R56" s="18">
        <f>IF(AND(sizing_w12_result="Included",sizing_w12_spr_chosen="Include"),VLOOKUP(input_wld_srm_vm_size,table_srm_ram,2,FALSE),0)</f>
        <v>0</v>
      </c>
      <c r="S56" s="18">
        <f>IF(AND(sizing_w12_result="Included",sizing_w12_spr_chosen="Include"),VLOOKUP(input_wld_srm_vm_size,table_srm_disk,2,FALSE),0)</f>
        <v>0</v>
      </c>
      <c r="T56" s="16">
        <f>IF(AND(sizing_w12_result="Included",sizing_w12_avi_chosen="Included"),3,0)</f>
        <v>0</v>
      </c>
      <c r="U56" s="18">
        <f>IF(AND(sizing_w12_result="Included",sizing_w12_avi_chosen="Included"),VLOOKUP(sizing_mgmt_avi_lb_appliance_size,table_avi_lb_cpu,2,FALSE),0)</f>
        <v>0</v>
      </c>
      <c r="V56" s="18">
        <f>IF(AND(sizing_w12_result="Included",sizing_w12_avi_chosen="Included"),VLOOKUP(sizing_mgmt_avi_lb_appliance_size,table_avi_lb_ram,2,FALSE),0)</f>
        <v>0</v>
      </c>
      <c r="W56" s="18">
        <f>IF(AND(sizing_w12_result="Included",sizing_w12_avi_chosen="Included"),VLOOKUP(sizing_mgmt_avi_lb_appliance_size,table_avi_lb_disk,2,FALSE),0)</f>
        <v>0</v>
      </c>
    </row>
    <row r="57" spans="2:23" ht="20" customHeight="1">
      <c r="B57" s="16" t="s">
        <v>515</v>
      </c>
      <c r="C57" s="16" t="str">
        <f>IF(sizing_w13_result="Included","Included","Excluded")</f>
        <v>Excluded</v>
      </c>
      <c r="D57" s="16">
        <f>IF(sizing_w13_result="Included",1,0)</f>
        <v>0</v>
      </c>
      <c r="E57" s="16">
        <f>IF(sizing_w13_result="Included",VLOOKUP(sizing_w13_vcenter_appliance_size,table_vcenter_appliance_cpu,2,FALSE),0)</f>
        <v>0</v>
      </c>
      <c r="F57" s="16">
        <f>IF(sizing_w13_result="Included",VLOOKUP(sizing_w13_vcenter_appliance_size,table_vcenter_appliance_ram,2,FALSE),0)</f>
        <v>0</v>
      </c>
      <c r="G57" s="16">
        <f>IF(sizing_w13_result="Included",VLOOKUP(CONCATENATE(sizing_w13_vcenter_appliance_size,sizing_w13_vcenter_storage_size),table_vcenter_disk_gb,2,FALSE),0)</f>
        <v>0</v>
      </c>
      <c r="H57" s="16">
        <f>IF(AND(sizing_w13_result="Included",sizing_w13_nsxt_model="Dedicated"),3,0)</f>
        <v>0</v>
      </c>
      <c r="I57" s="16">
        <f>IF(AND(sizing_w13_result="Included",sizing_w13_nsxt_model="Dedicated"),VLOOKUP(sizing_w13_nsxt_appliance_size,table_nsxt_manager_cpu,2,FALSE),0)</f>
        <v>0</v>
      </c>
      <c r="J57" s="16">
        <f>IF(AND(sizing_w13_result="Included",sizing_w13_nsxt_model="Dedicated"),VLOOKUP(sizing_w13_nsxt_appliance_size,table_nsxt_manager_ram,2,FALSE),0)</f>
        <v>0</v>
      </c>
      <c r="K57" s="16">
        <f>IF(AND(sizing_w13_result="Included",sizing_w13_nsxt_model="Dedicated"),VLOOKUP(sizing_w13_nsxt_appliance_size,table_nsxt_manager_disk_gb,2,FALSE),0)</f>
        <v>0</v>
      </c>
      <c r="L57" s="16">
        <f>IF(sizing_w13_gm_result="Included",3,0)</f>
        <v>0</v>
      </c>
      <c r="M57" s="16">
        <f>IF(sizing_w13_gm_result="Included",VLOOKUP(sizing_w13_nsxt_gm_appliance_size,table_nsxt_manager_cpu,2,FALSE),0)</f>
        <v>0</v>
      </c>
      <c r="N57" s="16">
        <f>IF(sizing_w13_gm_result="Included",VLOOKUP(sizing_w13_nsxt_gm_appliance_size,table_nsxt_manager_ram,2,FALSE),0)</f>
        <v>0</v>
      </c>
      <c r="O57" s="16">
        <f>IF(sizing_w13_gm_result="Included",VLOOKUP(sizing_w13_nsxt_gm_appliance_size,table_nsxt_manager_disk_gb,2,FALSE),0)</f>
        <v>0</v>
      </c>
      <c r="P57" s="16">
        <f>IF(AND(sizing_w13_result="Included",sizing_w13_spr_chosen="Include"),1,0)</f>
        <v>0</v>
      </c>
      <c r="Q57" s="18">
        <f>IF(AND(sizing_w13_result="Included",sizing_w13_spr_chosen="Include"),VLOOKUP(input_wld_srm_vm_size,table_srm_cpu,2,FALSE),0)</f>
        <v>0</v>
      </c>
      <c r="R57" s="18">
        <f>IF(AND(sizing_w13_result="Included",sizing_w13_spr_chosen="Include"),VLOOKUP(input_wld_srm_vm_size,table_srm_ram,2,FALSE),0)</f>
        <v>0</v>
      </c>
      <c r="S57" s="18">
        <f>IF(AND(sizing_w13_result="Included",sizing_w13_spr_chosen="Include"),VLOOKUP(input_wld_srm_vm_size,table_srm_disk,2,FALSE),0)</f>
        <v>0</v>
      </c>
      <c r="T57" s="16">
        <f>IF(AND(sizing_w13_result="Included",sizing_w13_avi_chosen="Included"),3,0)</f>
        <v>0</v>
      </c>
      <c r="U57" s="18">
        <f>IF(AND(sizing_w13_result="Included",sizing_w13_avi_chosen="Included"),VLOOKUP(sizing_mgmt_avi_lb_appliance_size,table_avi_lb_cpu,2,FALSE),0)</f>
        <v>0</v>
      </c>
      <c r="V57" s="18">
        <f>IF(AND(sizing_w13_result="Included",sizing_w13_avi_chosen="Included"),VLOOKUP(sizing_mgmt_avi_lb_appliance_size,table_avi_lb_ram,2,FALSE),0)</f>
        <v>0</v>
      </c>
      <c r="W57" s="18">
        <f>IF(AND(sizing_w13_result="Included",sizing_w13_avi_chosen="Included"),VLOOKUP(sizing_mgmt_avi_lb_appliance_size,table_avi_lb_disk,2,FALSE),0)</f>
        <v>0</v>
      </c>
    </row>
    <row r="58" spans="2:23" ht="20" customHeight="1">
      <c r="B58" s="16" t="s">
        <v>516</v>
      </c>
      <c r="C58" s="16" t="str">
        <f>IF(sizing_w14_result="Included","Included","Excluded")</f>
        <v>Excluded</v>
      </c>
      <c r="D58" s="16">
        <f>IF(sizing_w14_result="Included",1,0)</f>
        <v>0</v>
      </c>
      <c r="E58" s="16">
        <f>IF(sizing_w14_result="Included",VLOOKUP(sizing_w14_vcenter_appliance_size,table_vcenter_appliance_cpu,2,FALSE),0)</f>
        <v>0</v>
      </c>
      <c r="F58" s="16">
        <f>IF(sizing_w14_result="Included",VLOOKUP(sizing_w14_vcenter_appliance_size,table_vcenter_appliance_ram,2,FALSE),0)</f>
        <v>0</v>
      </c>
      <c r="G58" s="16">
        <f>IF(sizing_w14_result="Included",VLOOKUP(CONCATENATE(sizing_w14_vcenter_appliance_size,sizing_w14_vcenter_storage_size),table_vcenter_disk_gb,2,FALSE),0)</f>
        <v>0</v>
      </c>
      <c r="H58" s="16">
        <f>IF(AND(sizing_w14_result="Included",sizing_w14_nsxt_model="Dedicated"),3,0)</f>
        <v>0</v>
      </c>
      <c r="I58" s="16">
        <f>IF(AND(sizing_w14_result="Included",sizing_w14_nsxt_model="Dedicated"),VLOOKUP(sizing_w14_nsxt_appliance_size,table_nsxt_manager_cpu,2,FALSE),0)</f>
        <v>0</v>
      </c>
      <c r="J58" s="16">
        <f>IF(AND(sizing_w14_result="Included",sizing_w14_nsxt_model="Dedicated"),VLOOKUP(sizing_w14_nsxt_appliance_size,table_nsxt_manager_ram,2,FALSE),0)</f>
        <v>0</v>
      </c>
      <c r="K58" s="16">
        <f>IF(AND(sizing_w14_result="Included",sizing_w14_nsxt_model="Dedicated"),VLOOKUP(sizing_w14_nsxt_appliance_size,table_nsxt_manager_disk_gb,2,FALSE),0)</f>
        <v>0</v>
      </c>
      <c r="L58" s="16">
        <f>IF(sizing_w14_gm_result="Included",3,0)</f>
        <v>0</v>
      </c>
      <c r="M58" s="16">
        <f>IF(sizing_w14_gm_result="Included",VLOOKUP(sizing_w14_nsxt_gm_appliance_size,table_nsxt_manager_cpu,2,FALSE),0)</f>
        <v>0</v>
      </c>
      <c r="N58" s="16">
        <f>IF(sizing_w14_gm_result="Included",VLOOKUP(sizing_w14_nsxt_gm_appliance_size,table_nsxt_manager_ram,2,FALSE),0)</f>
        <v>0</v>
      </c>
      <c r="O58" s="16">
        <f>IF(sizing_w14_gm_result="Included",VLOOKUP(sizing_w14_nsxt_gm_appliance_size,table_nsxt_manager_disk_gb,2,FALSE),0)</f>
        <v>0</v>
      </c>
      <c r="P58" s="16">
        <f>IF(AND(sizing_w14_result="Included",sizing_w14_spr_chosen="Include"),1,0)</f>
        <v>0</v>
      </c>
      <c r="Q58" s="18">
        <f>IF(AND(sizing_w14_result="Included",sizing_w14_spr_chosen="Include"),VLOOKUP(input_wld_srm_vm_size,table_srm_cpu,2,FALSE),0)</f>
        <v>0</v>
      </c>
      <c r="R58" s="18">
        <f>IF(AND(sizing_w14_result="Included",sizing_w14_spr_chosen="Include"),VLOOKUP(input_wld_srm_vm_size,table_srm_ram,2,FALSE),0)</f>
        <v>0</v>
      </c>
      <c r="S58" s="18">
        <f>IF(AND(sizing_w14_result="Included",sizing_w14_spr_chosen="Include"),VLOOKUP(input_wld_srm_vm_size,table_srm_disk,2,FALSE),0)</f>
        <v>0</v>
      </c>
      <c r="T58" s="16">
        <f>IF(AND(sizing_w14_result="Included",sizing_w14_avi_chosen="Included"),3,0)</f>
        <v>0</v>
      </c>
      <c r="U58" s="18">
        <f>IF(AND(sizing_w14_result="Included",sizing_w14_avi_chosen="Included"),VLOOKUP(sizing_mgmt_avi_lb_appliance_size,table_avi_lb_cpu,2,FALSE),0)</f>
        <v>0</v>
      </c>
      <c r="V58" s="18">
        <f>IF(AND(sizing_w14_result="Included",sizing_w14_avi_chosen="Included"),VLOOKUP(sizing_mgmt_avi_lb_appliance_size,table_avi_lb_ram,2,FALSE),0)</f>
        <v>0</v>
      </c>
      <c r="W58" s="18">
        <f>IF(AND(sizing_w14_result="Included",sizing_w14_avi_chosen="Included"),VLOOKUP(sizing_mgmt_avi_lb_appliance_size,table_avi_lb_disk,2,FALSE),0)</f>
        <v>0</v>
      </c>
    </row>
    <row r="59" spans="2:23" ht="20" customHeight="1">
      <c r="B59" s="16" t="s">
        <v>517</v>
      </c>
      <c r="C59" s="16" t="str">
        <f>IF(sizing_w15_result="Included","Included","Excluded")</f>
        <v>Excluded</v>
      </c>
      <c r="D59" s="16">
        <f>IF(sizing_w15_result="Included",1,0)</f>
        <v>0</v>
      </c>
      <c r="E59" s="16">
        <f>IF(sizing_w15_result="Included",VLOOKUP(sizing_w15_vcenter_appliance_size,table_vcenter_appliance_cpu,2,FALSE),0)</f>
        <v>0</v>
      </c>
      <c r="F59" s="16">
        <f>IF(sizing_w15_result="Included",VLOOKUP(sizing_w15_vcenter_appliance_size,table_vcenter_appliance_ram,2,FALSE),0)</f>
        <v>0</v>
      </c>
      <c r="G59" s="16">
        <f>IF(sizing_w15_result="Included",VLOOKUP(CONCATENATE(sizing_w15_vcenter_appliance_size,sizing_w15_vcenter_storage_size),table_vcenter_disk_gb,2,FALSE),0)</f>
        <v>0</v>
      </c>
      <c r="H59" s="16" cm="1">
        <f t="array" ref="H59">IF(AND(sizing_w15_result="Included",sizing_w15_nsxt_model="Dedicated"),3,0)</f>
        <v>0</v>
      </c>
      <c r="I59" s="16" cm="1">
        <f t="array" ref="I59">IF(AND(sizing_w15_result="Included",sizing_w15_nsxt_model="Dedicated"),VLOOKUP(sizing_w15_nsxt_appliance_size,table_nsxt_manager_cpu,2,FALSE),0)</f>
        <v>0</v>
      </c>
      <c r="J59" s="16" cm="1">
        <f t="array" ref="J59">IF(AND(sizing_w15_result="Included",sizing_w15_nsxt_model="Dedicated"),VLOOKUP(sizing_w15_nsxt_appliance_size,table_nsxt_manager_ram,2,FALSE),0)</f>
        <v>0</v>
      </c>
      <c r="K59" s="16">
        <f>IF(AND(sizing_w15_result="Included",sizing_w15_nsxt_model="Dedicated"),VLOOKUP(sizing_w15_nsxt_appliance_size,table_nsxt_manager_disk_gb,2,FALSE),0)</f>
        <v>0</v>
      </c>
      <c r="L59" s="16">
        <f>IF(sizing_w15_gm_result="Included",3,0)</f>
        <v>0</v>
      </c>
      <c r="M59" s="16">
        <f>IF(sizing_w15_gm_result="Included",VLOOKUP(sizing_w15_nsxt_gm_appliance_size,table_nsxt_manager_cpu,2,FALSE),0)</f>
        <v>0</v>
      </c>
      <c r="N59" s="16">
        <f>IF(sizing_w15_gm_result="Included",VLOOKUP(sizing_w15_nsxt_gm_appliance_size,table_nsxt_manager_ram,2,FALSE),0)</f>
        <v>0</v>
      </c>
      <c r="O59" s="16">
        <f>IF(sizing_w15_gm_result="Included",VLOOKUP(sizing_w15_nsxt_gm_appliance_size,table_nsxt_manager_disk_gb,2,FALSE),0)</f>
        <v>0</v>
      </c>
      <c r="P59" s="16">
        <f>IF(AND(sizing_w15_result="Included",sizing_w15_spr_chosen="Include"),1,0)</f>
        <v>0</v>
      </c>
      <c r="Q59" s="18">
        <f>IF(AND(sizing_w15_result="Included",sizing_w15_spr_chosen="Include"),VLOOKUP(input_wld_srm_vm_size,table_srm_cpu,2,FALSE),0)</f>
        <v>0</v>
      </c>
      <c r="R59" s="18">
        <f>IF(AND(sizing_w15_result="Included",sizing_w15_spr_chosen="Include"),VLOOKUP(input_wld_srm_vm_size,table_srm_ram,2,FALSE),0)</f>
        <v>0</v>
      </c>
      <c r="S59" s="18">
        <f>IF(AND(sizing_w15_result="Included",sizing_w15_spr_chosen="Include"),VLOOKUP(input_wld_srm_vm_size,table_srm_disk,2,FALSE),0)</f>
        <v>0</v>
      </c>
      <c r="T59" s="16">
        <f>IF(AND(sizing_w15_result="Included",sizing_w15_avi_chosen="Included"),3,0)</f>
        <v>0</v>
      </c>
      <c r="U59" s="18">
        <f>IF(AND(sizing_w15_result="Included",sizing_w15_avi_chosen="Included"),VLOOKUP(sizing_mgmt_avi_lb_appliance_size,table_avi_lb_cpu,2,FALSE),0)</f>
        <v>0</v>
      </c>
      <c r="V59" s="18">
        <f>IF(AND(sizing_w15_result="Included",sizing_w15_avi_chosen="Included"),VLOOKUP(sizing_mgmt_avi_lb_appliance_size,table_avi_lb_ram,2,FALSE),0)</f>
        <v>0</v>
      </c>
      <c r="W59" s="18">
        <f>IF(AND(sizing_w15_result="Included",sizing_w15_avi_chosen="Included"),VLOOKUP(sizing_mgmt_avi_lb_appliance_size,table_avi_lb_disk,2,FALSE),0)</f>
        <v>0</v>
      </c>
    </row>
    <row r="60" spans="2:23" ht="20" customHeight="1">
      <c r="B60" s="16" t="s">
        <v>518</v>
      </c>
      <c r="C60" s="16" t="str">
        <f>IF(sizing_w16_result="Included","Included","Excluded")</f>
        <v>Excluded</v>
      </c>
      <c r="D60" s="16">
        <f>IF(sizing_w16_result="Included",1,0)</f>
        <v>0</v>
      </c>
      <c r="E60" s="16">
        <f>IF(sizing_w16_result="Included",VLOOKUP(sizing_w16_vcenter_appliance_size,table_vcenter_appliance_cpu,2,FALSE),0)</f>
        <v>0</v>
      </c>
      <c r="F60" s="16">
        <f>IF(sizing_w16_result="Included",VLOOKUP(sizing_w16_vcenter_appliance_size,table_vcenter_appliance_ram,2,FALSE),0)</f>
        <v>0</v>
      </c>
      <c r="G60" s="16">
        <f>IF(sizing_w16_result="Included",VLOOKUP(CONCATENATE(sizing_w16_vcenter_appliance_size,sizing_w16_vcenter_storage_size),table_vcenter_disk_gb,2,FALSE),0)</f>
        <v>0</v>
      </c>
      <c r="H60" s="16" cm="1">
        <f t="array" ref="H60">IF(AND(sizing_w16_result="Included",sizing_w16_nsxt_model="Dedicated"),3,0)</f>
        <v>0</v>
      </c>
      <c r="I60" s="16" cm="1">
        <f t="array" ref="I60">IF(AND(sizing_w16_result="Included",sizing_w16_nsxt_model="Dedicated"),VLOOKUP(sizing_w16_nsxt_appliance_size,table_nsxt_manager_cpu,2,FALSE),0)</f>
        <v>0</v>
      </c>
      <c r="J60" s="16" cm="1">
        <f t="array" ref="J60">IF(AND(sizing_w16_result="Included",sizing_w16_nsxt_model="Dedicated"),VLOOKUP(sizing_w16_nsxt_appliance_size,table_nsxt_manager_ram,2,FALSE),0)</f>
        <v>0</v>
      </c>
      <c r="K60" s="16">
        <f>IF(AND(sizing_w16_result="Included",sizing_w16_nsxt_model="Dedicated"),VLOOKUP(sizing_w16_nsxt_appliance_size,table_nsxt_manager_disk_gb,2,FALSE),0)</f>
        <v>0</v>
      </c>
      <c r="L60" s="16">
        <f>IF(sizing_w16_gm_result="Included",3,0)</f>
        <v>0</v>
      </c>
      <c r="M60" s="16">
        <f>IF(sizing_w16_gm_result="Included",VLOOKUP(sizing_w16_nsxt_gm_appliance_size,table_nsxt_manager_cpu,2,FALSE),0)</f>
        <v>0</v>
      </c>
      <c r="N60" s="16">
        <f>IF(sizing_w16_gm_result="Included",VLOOKUP(sizing_w16_nsxt_gm_appliance_size,table_nsxt_manager_ram,2,FALSE),0)</f>
        <v>0</v>
      </c>
      <c r="O60" s="16">
        <f>IF(sizing_w16_gm_result="Included",VLOOKUP(sizing_w16_nsxt_gm_appliance_size,table_nsxt_manager_disk_gb,2,FALSE),0)</f>
        <v>0</v>
      </c>
      <c r="P60" s="16">
        <f>IF(AND(sizing_w16_result="Included",sizing_w16_spr_chosen="Include"),1,0)</f>
        <v>0</v>
      </c>
      <c r="Q60" s="18">
        <f>IF(AND(sizing_w16_result="Included",sizing_w16_spr_chosen="Include"),VLOOKUP(input_wld_srm_vm_size,table_srm_cpu,2,FALSE),0)</f>
        <v>0</v>
      </c>
      <c r="R60" s="18">
        <f>IF(AND(sizing_w16_result="Included",sizing_w16_spr_chosen="Include"),VLOOKUP(input_wld_srm_vm_size,table_srm_ram,2,FALSE),0)</f>
        <v>0</v>
      </c>
      <c r="S60" s="18">
        <f>IF(AND(sizing_w16_result="Included",sizing_w16_spr_chosen="Include"),VLOOKUP(input_wld_srm_vm_size,table_srm_disk,2,FALSE),0)</f>
        <v>0</v>
      </c>
      <c r="T60" s="16">
        <f>IF(AND(sizing_w16_result="Included",sizing_w16_avi_chosen="Included"),3,0)</f>
        <v>0</v>
      </c>
      <c r="U60" s="18">
        <f>IF(AND(sizing_w16_result="Included",sizing_w16_avi_chosen="Included"),VLOOKUP(sizing_mgmt_avi_lb_appliance_size,table_avi_lb_cpu,2,FALSE),0)</f>
        <v>0</v>
      </c>
      <c r="V60" s="18">
        <f>IF(AND(sizing_w16_result="Included",sizing_w16_avi_chosen="Included"),VLOOKUP(sizing_mgmt_avi_lb_appliance_size,table_avi_lb_ram,2,FALSE),0)</f>
        <v>0</v>
      </c>
      <c r="W60" s="18">
        <f>IF(AND(sizing_w16_result="Included",sizing_w16_avi_chosen="Included"),VLOOKUP(sizing_mgmt_avi_lb_appliance_size,table_avi_lb_disk,2,FALSE),0)</f>
        <v>0</v>
      </c>
    </row>
    <row r="61" spans="2:23" ht="20" customHeight="1">
      <c r="B61" s="16" t="s">
        <v>519</v>
      </c>
      <c r="C61" s="16" t="str">
        <f>IF(sizing_w17_result="Included","Included","Excluded")</f>
        <v>Excluded</v>
      </c>
      <c r="D61" s="16">
        <f>IF(sizing_w17_result="Included",1,0)</f>
        <v>0</v>
      </c>
      <c r="E61" s="16">
        <f>IF(sizing_w17_result="Included",VLOOKUP(sizing_w17_vcenter_appliance_size,table_vcenter_appliance_cpu,2,FALSE),0)</f>
        <v>0</v>
      </c>
      <c r="F61" s="16">
        <f>IF(sizing_w17_result="Included",VLOOKUP(sizing_w17_vcenter_appliance_size,table_vcenter_appliance_ram,2,FALSE),0)</f>
        <v>0</v>
      </c>
      <c r="G61" s="16">
        <f>IF(sizing_w17_result="Included",VLOOKUP(CONCATENATE(sizing_w17_vcenter_appliance_size,sizing_w17_vcenter_storage_size),table_vcenter_disk_gb,2,FALSE),0)</f>
        <v>0</v>
      </c>
      <c r="H61" s="16" cm="1">
        <f t="array" ref="H61">IF(AND(sizing_w16_result="Included",sizing_w16_nsxt_model="Dedicated"),3,0)</f>
        <v>0</v>
      </c>
      <c r="I61" s="16" cm="1">
        <f t="array" ref="I61">IF(AND(sizing_w17_result="Included",sizing_w17_nsxt_model="Dedicated"),VLOOKUP(sizing_w17_nsxt_appliance_size,table_nsxt_manager_cpu,2,FALSE),0)</f>
        <v>0</v>
      </c>
      <c r="J61" s="16" cm="1">
        <f t="array" ref="J61">IF(AND(sizing_w17_result="Included",sizing_w17_nsxt_model="Dedicated"),VLOOKUP(sizing_w17_nsxt_appliance_size,table_nsxt_manager_ram,2,FALSE),0)</f>
        <v>0</v>
      </c>
      <c r="K61" s="16">
        <f>IF(AND(sizing_w17_result="Included",sizing_w17_nsxt_model="Dedicated"),VLOOKUP(sizing_w17_nsxt_appliance_size,table_nsxt_manager_disk_gb,2,FALSE),0)</f>
        <v>0</v>
      </c>
      <c r="L61" s="16">
        <f>IF(sizing_w17_gm_result="Included",3,0)</f>
        <v>0</v>
      </c>
      <c r="M61" s="16">
        <f>IF(sizing_w17_gm_result="Included",VLOOKUP(sizing_w17_nsxt_gm_appliance_size,table_nsxt_manager_cpu,2,FALSE),0)</f>
        <v>0</v>
      </c>
      <c r="N61" s="16">
        <f>IF(sizing_w17_gm_result="Included",VLOOKUP(sizing_w17_nsxt_gm_appliance_size,table_nsxt_manager_ram,2,FALSE),0)</f>
        <v>0</v>
      </c>
      <c r="O61" s="16">
        <f>IF(sizing_w17_gm_result="Included",VLOOKUP(sizing_w17_nsxt_gm_appliance_size,table_nsxt_manager_disk_gb,2,FALSE),0)</f>
        <v>0</v>
      </c>
      <c r="P61" s="16">
        <f>IF(AND(sizing_w17_result="Included",sizing_w17_spr_chosen="Include"),1,0)</f>
        <v>0</v>
      </c>
      <c r="Q61" s="18">
        <f>IF(AND(sizing_w17_result="Included",sizing_w17_spr_chosen="Include"),VLOOKUP(input_wld_srm_vm_size,table_srm_cpu,2,FALSE),0)</f>
        <v>0</v>
      </c>
      <c r="R61" s="18">
        <f>IF(AND(sizing_w17_result="Included",sizing_w17_spr_chosen="Include"),VLOOKUP(input_wld_srm_vm_size,table_srm_ram,2,FALSE),0)</f>
        <v>0</v>
      </c>
      <c r="S61" s="18">
        <f>IF(AND(sizing_w17_result="Included",sizing_w17_spr_chosen="Include"),VLOOKUP(input_wld_srm_vm_size,table_srm_disk,2,FALSE),0)</f>
        <v>0</v>
      </c>
      <c r="T61" s="16">
        <f>IF(AND(sizing_w17_result="Included",sizing_w17_avi_chosen="Included"),3,0)</f>
        <v>0</v>
      </c>
      <c r="U61" s="18">
        <f>IF(AND(sizing_w17_result="Included",sizing_w17_avi_chosen="Included"),VLOOKUP(sizing_mgmt_avi_lb_appliance_size,table_avi_lb_cpu,2,FALSE),0)</f>
        <v>0</v>
      </c>
      <c r="V61" s="18">
        <f>IF(AND(sizing_w17_result="Included",sizing_w17_avi_chosen="Included"),VLOOKUP(sizing_mgmt_avi_lb_appliance_size,table_avi_lb_ram,2,FALSE),0)</f>
        <v>0</v>
      </c>
      <c r="W61" s="18">
        <f>IF(AND(sizing_w17_result="Included",sizing_w17_avi_chosen="Included"),VLOOKUP(sizing_mgmt_avi_lb_appliance_size,table_avi_lb_disk,2,FALSE),0)</f>
        <v>0</v>
      </c>
    </row>
    <row r="62" spans="2:23" ht="20" customHeight="1">
      <c r="B62" s="16" t="s">
        <v>520</v>
      </c>
      <c r="C62" s="16" t="str">
        <f>IF(sizing_w18_result="Included","Included","Excluded")</f>
        <v>Excluded</v>
      </c>
      <c r="D62" s="16">
        <f>IF(sizing_w18_result="Included",1,0)</f>
        <v>0</v>
      </c>
      <c r="E62" s="16">
        <f>IF(sizing_w18_result="Included",VLOOKUP(sizing_w18_vcenter_appliance_size,table_vcenter_appliance_cpu,2,FALSE),0)</f>
        <v>0</v>
      </c>
      <c r="F62" s="16">
        <f>IF(sizing_w18_result="Included",VLOOKUP(sizing_w18_vcenter_appliance_size,table_vcenter_appliance_ram,2,FALSE),0)</f>
        <v>0</v>
      </c>
      <c r="G62" s="16">
        <f>IF(sizing_w18_result="Included",VLOOKUP(CONCATENATE(sizing_w18_vcenter_appliance_size,sizing_w18_vcenter_storage_size),table_vcenter_disk_gb,2,FALSE),0)</f>
        <v>0</v>
      </c>
      <c r="H62" s="16" cm="1">
        <f t="array" ref="H62">IF(AND(sizing_w18_result="Included",sizing_w18_nsxt_model="Dedicated"),3,0)</f>
        <v>0</v>
      </c>
      <c r="I62" s="16" cm="1">
        <f t="array" ref="I62">IF(AND(sizing_w18_result="Included",sizing_w18_nsxt_model="Dedicated"),VLOOKUP(sizing_w18_nsxt_appliance_size,table_nsxt_manager_cpu,2,FALSE),0)</f>
        <v>0</v>
      </c>
      <c r="J62" s="16" cm="1">
        <f t="array" ref="J62">IF(AND(sizing_w18_result="Included",sizing_w18_nsxt_model="Dedicated"),VLOOKUP(sizing_w18_nsxt_appliance_size,table_nsxt_manager_ram,2,FALSE),0)</f>
        <v>0</v>
      </c>
      <c r="K62" s="16">
        <f>IF(AND(sizing_w18_result="Included",sizing_w18_nsxt_model="Dedicated"),VLOOKUP(sizing_w18_nsxt_appliance_size,table_nsxt_manager_disk_gb,2,FALSE),0)</f>
        <v>0</v>
      </c>
      <c r="L62" s="16">
        <f>IF(sizing_w18_gm_result="Included",3,0)</f>
        <v>0</v>
      </c>
      <c r="M62" s="16">
        <f>IF(sizing_w18_gm_result="Included",VLOOKUP(sizing_w18_nsxt_gm_appliance_size,table_nsxt_manager_cpu,2,FALSE),0)</f>
        <v>0</v>
      </c>
      <c r="N62" s="16">
        <f>IF(sizing_w18_gm_result="Included",VLOOKUP(sizing_w18_nsxt_gm_appliance_size,table_nsxt_manager_ram,2,FALSE),0)</f>
        <v>0</v>
      </c>
      <c r="O62" s="16">
        <f>IF(sizing_w18_gm_result="Included",VLOOKUP(sizing_w18_nsxt_gm_appliance_size,table_nsxt_manager_disk_gb,2,FALSE),0)</f>
        <v>0</v>
      </c>
      <c r="P62" s="16">
        <f>IF(AND(sizing_w18_result="Included",sizing_w18_spr_chosen="Include"),1,0)</f>
        <v>0</v>
      </c>
      <c r="Q62" s="18">
        <f>IF(AND(sizing_w18_result="Included",sizing_w18_spr_chosen="Include"),VLOOKUP(input_wld_srm_vm_size,table_srm_cpu,2,FALSE),0)</f>
        <v>0</v>
      </c>
      <c r="R62" s="18">
        <f>IF(AND(sizing_w18_result="Included",sizing_w18_spr_chosen="Include"),VLOOKUP(input_wld_srm_vm_size,table_srm_ram,2,FALSE),0)</f>
        <v>0</v>
      </c>
      <c r="S62" s="18">
        <f>IF(AND(sizing_w18_result="Included",sizing_w18_spr_chosen="Include"),VLOOKUP(input_wld_srm_vm_size,table_srm_disk,2,FALSE),0)</f>
        <v>0</v>
      </c>
      <c r="T62" s="16">
        <f>IF(AND(sizing_w18_result="Included",sizing_w18_avi_chosen="Included"),3,0)</f>
        <v>0</v>
      </c>
      <c r="U62" s="18">
        <f>IF(AND(sizing_w18_result="Included",sizing_w18_avi_chosen="Included"),VLOOKUP(sizing_mgmt_avi_lb_appliance_size,table_avi_lb_cpu,2,FALSE),0)</f>
        <v>0</v>
      </c>
      <c r="V62" s="18">
        <f>IF(AND(sizing_w18_result="Included",sizing_w18_avi_chosen="Included"),VLOOKUP(sizing_mgmt_avi_lb_appliance_size,table_avi_lb_ram,2,FALSE),0)</f>
        <v>0</v>
      </c>
      <c r="W62" s="18">
        <f>IF(AND(sizing_w18_result="Included",sizing_w18_avi_chosen="Included"),VLOOKUP(sizing_mgmt_avi_lb_appliance_size,table_avi_lb_disk,2,FALSE),0)</f>
        <v>0</v>
      </c>
    </row>
    <row r="63" spans="2:23" ht="20" customHeight="1">
      <c r="B63" s="16" t="s">
        <v>521</v>
      </c>
      <c r="C63" s="16" t="str">
        <f>IF(sizing_w19_result="Included","Included","Excluded")</f>
        <v>Excluded</v>
      </c>
      <c r="D63" s="16">
        <f>IF(sizing_w19_result="Included",1,0)</f>
        <v>0</v>
      </c>
      <c r="E63" s="16">
        <f>IF(sizing_w19_result="Included",VLOOKUP(sizing_w19_vcenter_appliance_size,table_vcenter_appliance_cpu,2,FALSE),0)</f>
        <v>0</v>
      </c>
      <c r="F63" s="16">
        <f>IF(sizing_w19_result="Included",VLOOKUP(sizing_w19_vcenter_appliance_size,table_vcenter_appliance_ram,2,FALSE),0)</f>
        <v>0</v>
      </c>
      <c r="G63" s="16">
        <f>IF(sizing_w19_result="Included",VLOOKUP(CONCATENATE(sizing_w19_vcenter_appliance_size,sizing_w19_vcenter_storage_size),table_vcenter_disk_gb,2,FALSE),0)</f>
        <v>0</v>
      </c>
      <c r="H63" s="16" cm="1">
        <f t="array" ref="H63">IF(AND(sizing_w19_result="Included",sizing_w19_nsxt_model="Dedicated"),3,0)</f>
        <v>0</v>
      </c>
      <c r="I63" s="16">
        <f>IF(AND(sizing_w19_result="Included",sizing_w19_nsxt_model="Dedicated"),VLOOKUP(sizing_w19_nsxt_appliance_size,table_nsxt_manager_cpu,2,FALSE),0)</f>
        <v>0</v>
      </c>
      <c r="J63" s="16" cm="1">
        <f t="array" ref="J63">IF(AND(sizing_w19_result="Included",sizing_w19_nsxt_model="Dedicated"),VLOOKUP(sizing_w19_nsxt_appliance_size,table_nsxt_manager_ram,2,FALSE),0)</f>
        <v>0</v>
      </c>
      <c r="K63" s="16">
        <f>IF(AND(sizing_w19_result="Included",sizing_w19_nsxt_model="Dedicated"),VLOOKUP(sizing_w19_nsxt_appliance_size,table_nsxt_manager_disk_gb,2,FALSE),0)</f>
        <v>0</v>
      </c>
      <c r="L63" s="16">
        <f>IF(sizing_w19_gm_result="Included",3,0)</f>
        <v>0</v>
      </c>
      <c r="M63" s="16">
        <f>IF(sizing_w19_gm_result="Included",VLOOKUP(sizing_w19_nsxt_gm_appliance_size,table_nsxt_manager_cpu,2,FALSE),0)</f>
        <v>0</v>
      </c>
      <c r="N63" s="16">
        <f>IF(sizing_w19_gm_result="Included",VLOOKUP(sizing_w19_nsxt_gm_appliance_size,table_nsxt_manager_ram,2,FALSE),0)</f>
        <v>0</v>
      </c>
      <c r="O63" s="16">
        <f>IF(sizing_w19_gm_result="Included",VLOOKUP(sizing_w19_nsxt_gm_appliance_size,table_nsxt_manager_disk_gb,2,FALSE),0)</f>
        <v>0</v>
      </c>
      <c r="P63" s="16">
        <f>IF(AND(sizing_w19_result="Included",sizing_w19_spr_chosen="Include"),1,0)</f>
        <v>0</v>
      </c>
      <c r="Q63" s="18">
        <f>IF(AND(sizing_w19_result="Included",sizing_w19_spr_chosen="Include"),VLOOKUP(input_wld_srm_vm_size,table_srm_cpu,2,FALSE),0)</f>
        <v>0</v>
      </c>
      <c r="R63" s="18">
        <f>IF(AND(sizing_w19_result="Included",sizing_w19_spr_chosen="Include"),VLOOKUP(input_wld_srm_vm_size,table_srm_ram,2,FALSE),0)</f>
        <v>0</v>
      </c>
      <c r="S63" s="18">
        <f>IF(AND(sizing_w19_result="Included",sizing_w19_spr_chosen="Include"),VLOOKUP(input_wld_srm_vm_size,table_srm_disk,2,FALSE),0)</f>
        <v>0</v>
      </c>
      <c r="T63" s="16">
        <f>IF(AND(sizing_w19_result="Included",sizing_w19_avi_chosen="Included"),3,0)</f>
        <v>0</v>
      </c>
      <c r="U63" s="18">
        <f>IF(AND(sizing_w19_result="Included",sizing_w19_avi_chosen="Included"),VLOOKUP(sizing_mgmt_avi_lb_appliance_size,table_avi_lb_cpu,2,FALSE),0)</f>
        <v>0</v>
      </c>
      <c r="V63" s="18">
        <f>IF(AND(sizing_w19_result="Included",sizing_w19_avi_chosen="Included"),VLOOKUP(sizing_mgmt_avi_lb_appliance_size,table_avi_lb_ram,2,FALSE),0)</f>
        <v>0</v>
      </c>
      <c r="W63" s="18">
        <f>IF(AND(sizing_w19_result="Included",sizing_w19_avi_chosen="Included"),VLOOKUP(sizing_mgmt_avi_lb_appliance_size,table_avi_lb_disk,2,FALSE),0)</f>
        <v>0</v>
      </c>
    </row>
    <row r="64" spans="2:23" ht="20" customHeight="1">
      <c r="B64" s="16" t="s">
        <v>522</v>
      </c>
      <c r="C64" s="16" t="str">
        <f>IF(sizing_w20_result="Included","Included","Excluded")</f>
        <v>Excluded</v>
      </c>
      <c r="D64" s="16">
        <f>IF(sizing_w20_result="Included",1,0)</f>
        <v>0</v>
      </c>
      <c r="E64" s="16">
        <f>IF(sizing_w20_result="Included",VLOOKUP(sizing_w20_vcenter_appliance_size,table_vcenter_appliance_cpu,2,FALSE),0)</f>
        <v>0</v>
      </c>
      <c r="F64" s="16">
        <f>IF(sizing_w20_result="Included",VLOOKUP(sizing_w20_vcenter_appliance_size,table_vcenter_appliance_ram,2,FALSE),0)</f>
        <v>0</v>
      </c>
      <c r="G64" s="16">
        <f>IF(sizing_w20_result="Included",VLOOKUP(CONCATENATE(sizing_w20_vcenter_appliance_size,sizing_w20_vcenter_storage_size),table_vcenter_disk_gb,2,FALSE),0)</f>
        <v>0</v>
      </c>
      <c r="H64" s="16" cm="1">
        <f t="array" ref="H64">IF(AND(sizing_w20_result="Included",sizing_w20_nsxt_model="Dedicated"),3,0)</f>
        <v>0</v>
      </c>
      <c r="I64" s="16">
        <f>IF(AND(sizing_w20_result="Included",sizing_w20_nsxt_model="Dedicated"),VLOOKUP(sizing_w20_nsxt_appliance_size,table_nsxt_manager_cpu,2,FALSE),0)</f>
        <v>0</v>
      </c>
      <c r="J64" s="16" cm="1">
        <f t="array" ref="J64">IF(AND(sizing_w20_result="Included",sizing_w20_nsxt_model="Dedicated"),VLOOKUP(sizing_w20_nsxt_appliance_size,table_nsxt_manager_ram,2,FALSE),0)</f>
        <v>0</v>
      </c>
      <c r="K64" s="16">
        <f>IF(AND(sizing_w20_result="Included",sizing_w20_nsxt_model="Dedicated"),VLOOKUP(sizing_w20_nsxt_appliance_size,table_nsxt_manager_disk_gb,2,FALSE),0)</f>
        <v>0</v>
      </c>
      <c r="L64" s="16">
        <f>IF(sizing_w20_gm_result="Included",3,0)</f>
        <v>0</v>
      </c>
      <c r="M64" s="16">
        <f>IF(sizing_w20_gm_result="Included",VLOOKUP(sizing_w20_nsxt_gm_appliance_size,table_nsxt_manager_cpu,2,FALSE),0)</f>
        <v>0</v>
      </c>
      <c r="N64" s="16">
        <f>IF(sizing_w20_gm_result="Included",VLOOKUP(sizing_w20_nsxt_gm_appliance_size,table_nsxt_manager_ram,2,FALSE),0)</f>
        <v>0</v>
      </c>
      <c r="O64" s="16">
        <f>IF(sizing_w20_gm_result="Included",VLOOKUP(sizing_w20_nsxt_gm_appliance_size,table_nsxt_manager_disk_gb,2,FALSE),0)</f>
        <v>0</v>
      </c>
      <c r="P64" s="16">
        <f>IF(AND(sizing_w20_result="Included",sizing_w20_spr_chosen="Include"),1,0)</f>
        <v>0</v>
      </c>
      <c r="Q64" s="18">
        <f>IF(AND(sizing_w20_result="Included",sizing_w20_spr_chosen="Include"),VLOOKUP(input_wld_srm_vm_size,table_srm_cpu,2,FALSE),0)</f>
        <v>0</v>
      </c>
      <c r="R64" s="18">
        <f>IF(AND(sizing_w20_result="Included",sizing_w20_spr_chosen="Include"),VLOOKUP(input_wld_srm_vm_size,table_srm_ram,2,FALSE),0)</f>
        <v>0</v>
      </c>
      <c r="S64" s="18">
        <f>IF(AND(sizing_w20_result="Included",sizing_w20_spr_chosen="Include"),VLOOKUP(input_wld_srm_vm_size,table_srm_disk,2,FALSE),0)</f>
        <v>0</v>
      </c>
      <c r="T64" s="16">
        <f>IF(AND(sizing_w20_result="Included",sizing_w20_avi_chosen="Included"),3,0)</f>
        <v>0</v>
      </c>
      <c r="U64" s="18">
        <f>IF(AND(sizing_w20_result="Included",sizing_w20_avi_chosen="Included"),VLOOKUP(sizing_mgmt_avi_lb_appliance_size,table_avi_lb_cpu,2,FALSE),0)</f>
        <v>0</v>
      </c>
      <c r="V64" s="18">
        <f>IF(AND(sizing_w20_result="Included",sizing_w20_avi_chosen="Included"),VLOOKUP(sizing_mgmt_avi_lb_appliance_size,table_avi_lb_ram,2,FALSE),0)</f>
        <v>0</v>
      </c>
      <c r="W64" s="18">
        <f>IF(AND(sizing_w20_result="Included",sizing_w20_avi_chosen="Included"),VLOOKUP(sizing_mgmt_avi_lb_appliance_size,table_avi_lb_disk,2,FALSE),0)</f>
        <v>0</v>
      </c>
    </row>
    <row r="65" spans="2:23" ht="20" customHeight="1">
      <c r="B65" s="16" t="s">
        <v>523</v>
      </c>
      <c r="C65" s="16" t="str">
        <f>IF(sizing_w21_result="Included","Included","Excluded")</f>
        <v>Excluded</v>
      </c>
      <c r="D65" s="16">
        <f>IF(sizing_w21_result="Included",1,0)</f>
        <v>0</v>
      </c>
      <c r="E65" s="16">
        <f>IF(sizing_w21_result="Included",VLOOKUP(sizing_w21_vcenter_appliance_size,table_vcenter_appliance_cpu,2,FALSE),0)</f>
        <v>0</v>
      </c>
      <c r="F65" s="16">
        <f>IF(sizing_w21_result="Included",VLOOKUP(sizing_w21_vcenter_appliance_size,table_vcenter_appliance_ram,2,FALSE),0)</f>
        <v>0</v>
      </c>
      <c r="G65" s="16">
        <f>IF(sizing_w21_result="Included",VLOOKUP(CONCATENATE(sizing_w21_vcenter_appliance_size,sizing_w21_vcenter_storage_size),table_vcenter_disk_gb,2,FALSE),0)</f>
        <v>0</v>
      </c>
      <c r="H65" s="16" cm="1">
        <f t="array" ref="H65">IF(AND(sizing_w21_result="Included",sizing_w21_nsxt_model="Dedicated"),3,0)</f>
        <v>0</v>
      </c>
      <c r="I65" s="16">
        <f>IF(AND(sizing_w21_result="Included",sizing_w21_nsxt_model="Dedicated"),VLOOKUP(sizing_w21_nsxt_appliance_size,table_nsxt_manager_cpu,2,FALSE),0)</f>
        <v>0</v>
      </c>
      <c r="J65" s="16" cm="1">
        <f t="array" ref="J65">IF(AND(sizing_w21_result="Included",sizing_w21_nsxt_model="Dedicated"),VLOOKUP(sizing_w21_nsxt_appliance_size,table_nsxt_manager_ram,2,FALSE),0)</f>
        <v>0</v>
      </c>
      <c r="K65" s="16">
        <f>IF(AND(sizing_w21_result="Included",sizing_w21_nsxt_model="Dedicated"),VLOOKUP(sizing_w21_nsxt_appliance_size,table_nsxt_manager_disk_gb,2,FALSE),0)</f>
        <v>0</v>
      </c>
      <c r="L65" s="16">
        <f>IF(sizing_w21_gm_result="Included",3,0)</f>
        <v>0</v>
      </c>
      <c r="M65" s="16">
        <f>IF(sizing_w21_gm_result="Included",VLOOKUP(sizing_w21_nsxt_gm_appliance_size,table_nsxt_manager_cpu,2,FALSE),0)</f>
        <v>0</v>
      </c>
      <c r="N65" s="16">
        <f>IF(sizing_w21_gm_result="Included",VLOOKUP(sizing_w21_nsxt_gm_appliance_size,table_nsxt_manager_ram,2,FALSE),0)</f>
        <v>0</v>
      </c>
      <c r="O65" s="16">
        <f>IF(sizing_w21_gm_result="Included",VLOOKUP(sizing_w21_nsxt_gm_appliance_size,table_nsxt_manager_disk_gb,2,FALSE),0)</f>
        <v>0</v>
      </c>
      <c r="P65" s="16">
        <f>IF(AND(sizing_w21_result="Included",sizing_w21_spr_chosen="Include"),1,0)</f>
        <v>0</v>
      </c>
      <c r="Q65" s="18">
        <f>IF(AND(sizing_w21_result="Included",sizing_w21_spr_chosen="Include"),VLOOKUP(input_wld_srm_vm_size,table_srm_cpu,2,FALSE),0)</f>
        <v>0</v>
      </c>
      <c r="R65" s="18">
        <f>IF(AND(sizing_w21_result="Included",sizing_w21_spr_chosen="Include"),VLOOKUP(input_wld_srm_vm_size,table_srm_ram,2,FALSE),0)</f>
        <v>0</v>
      </c>
      <c r="S65" s="18">
        <f>IF(AND(sizing_w21_result="Included",sizing_w21_spr_chosen="Include"),VLOOKUP(input_wld_srm_vm_size,table_srm_disk,2,FALSE),0)</f>
        <v>0</v>
      </c>
      <c r="T65" s="16">
        <f>IF(AND(sizing_w21_result="Included",sizing_w21_avi_chosen="Included"),3,0)</f>
        <v>0</v>
      </c>
      <c r="U65" s="18">
        <f>IF(AND(sizing_w21_result="Included",sizing_w21_avi_chosen="Included"),VLOOKUP(sizing_mgmt_avi_lb_appliance_size,table_avi_lb_cpu,2,FALSE),0)</f>
        <v>0</v>
      </c>
      <c r="V65" s="18">
        <f>IF(AND(sizing_w21_result="Included",sizing_w21_avi_chosen="Included"),VLOOKUP(sizing_mgmt_avi_lb_appliance_size,table_avi_lb_ram,2,FALSE),0)</f>
        <v>0</v>
      </c>
      <c r="W65" s="18">
        <f>IF(AND(sizing_w21_result="Included",sizing_w21_avi_chosen="Included"),VLOOKUP(sizing_mgmt_avi_lb_appliance_size,table_avi_lb_disk,2,FALSE),0)</f>
        <v>0</v>
      </c>
    </row>
    <row r="66" spans="2:23" ht="20" customHeight="1">
      <c r="B66" s="16" t="s">
        <v>524</v>
      </c>
      <c r="C66" s="16" t="str">
        <f>IF(sizing_w22_result="Included","Included","Excluded")</f>
        <v>Excluded</v>
      </c>
      <c r="D66" s="16">
        <f>IF(sizing_w22_result="Included",1,0)</f>
        <v>0</v>
      </c>
      <c r="E66" s="16">
        <f>IF(sizing_w22_result="Included",VLOOKUP(sizing_w22_vcenter_appliance_size,table_vcenter_appliance_cpu,2,FALSE),0)</f>
        <v>0</v>
      </c>
      <c r="F66" s="16">
        <f>IF(sizing_w22_result="Included",VLOOKUP(sizing_w22_vcenter_appliance_size,table_vcenter_appliance_ram,2,FALSE),0)</f>
        <v>0</v>
      </c>
      <c r="G66" s="16">
        <f>IF(sizing_w22_result="Included",VLOOKUP(CONCATENATE(sizing_w22_vcenter_appliance_size,sizing_w22_vcenter_storage_size),table_vcenter_disk_gb,2,FALSE),0)</f>
        <v>0</v>
      </c>
      <c r="H66" s="16" cm="1">
        <f t="array" ref="H66">IF(AND(sizing_w22_result="Included",sizing_w22_nsxt_model="Dedicated"),3,0)</f>
        <v>0</v>
      </c>
      <c r="I66" s="16" cm="1">
        <f t="array" ref="I66">IF(AND(sizing_w22_result="Included",sizing_w22_nsxt_model="Dedicated"),VLOOKUP(sizing_w22_nsxt_appliance_size,table_nsxt_manager_cpu,2,FALSE),0)</f>
        <v>0</v>
      </c>
      <c r="J66" s="16" cm="1">
        <f t="array" ref="J66">IF(AND(sizing_w22_result="Included",sizing_w22_nsxt_model="Dedicated"),VLOOKUP(sizing_w22_nsxt_appliance_size,table_nsxt_manager_ram,2,FALSE),0)</f>
        <v>0</v>
      </c>
      <c r="K66" s="16" cm="1">
        <f t="array" ref="K66">IF(AND(sizing_w22_result="Included",sizing_w22_nsxt_model="Dedicated"),VLOOKUP(sizing_w22_nsxt_appliance_size,table_nsxt_manager_disk_gb,2,FALSE),0)</f>
        <v>0</v>
      </c>
      <c r="L66" s="16">
        <f>IF(sizing_w22_gm_result="Included",3,0)</f>
        <v>0</v>
      </c>
      <c r="M66" s="16">
        <f>IF(sizing_w22_gm_result="Included",VLOOKUP(sizing_w22_nsxt_gm_appliance_size,table_nsxt_manager_cpu,2,FALSE),0)</f>
        <v>0</v>
      </c>
      <c r="N66" s="16">
        <f>IF(sizing_w22_gm_result="Included",VLOOKUP(sizing_w22_nsxt_gm_appliance_size,table_nsxt_manager_ram,2,FALSE),0)</f>
        <v>0</v>
      </c>
      <c r="O66" s="16">
        <f>IF(sizing_w22_gm_result="Included",VLOOKUP(sizing_w22_nsxt_gm_appliance_size,table_nsxt_manager_disk_gb,2,FALSE),0)</f>
        <v>0</v>
      </c>
      <c r="P66" s="16">
        <f>IF(AND(sizing_w22_result="Included",sizing_w22_spr_chosen="Include"),1,0)</f>
        <v>0</v>
      </c>
      <c r="Q66" s="18">
        <f>IF(AND(sizing_w22_result="Included",sizing_w22_spr_chosen="Include"),VLOOKUP(input_wld_srm_vm_size,table_srm_cpu,2,FALSE),0)</f>
        <v>0</v>
      </c>
      <c r="R66" s="18">
        <f>IF(AND(sizing_w22_result="Included",sizing_w22_spr_chosen="Include"),VLOOKUP(input_wld_srm_vm_size,table_srm_ram,2,FALSE),0)</f>
        <v>0</v>
      </c>
      <c r="S66" s="18">
        <f>IF(AND(sizing_w22_result="Included",sizing_w22_spr_chosen="Include"),VLOOKUP(input_wld_srm_vm_size,table_srm_disk,2,FALSE),0)</f>
        <v>0</v>
      </c>
      <c r="T66" s="16">
        <f>IF(AND(sizing_w22_result="Included",sizing_w22_avi_chosen="Included"),3,0)</f>
        <v>0</v>
      </c>
      <c r="U66" s="18">
        <f>IF(AND(sizing_w22_result="Included",sizing_w22_avi_chosen="Included"),VLOOKUP(sizing_mgmt_avi_lb_appliance_size,table_avi_lb_cpu,2,FALSE),0)</f>
        <v>0</v>
      </c>
      <c r="V66" s="18">
        <f>IF(AND(sizing_w22_result="Included",sizing_w22_avi_chosen="Included"),VLOOKUP(sizing_mgmt_avi_lb_appliance_size,table_avi_lb_ram,2,FALSE),0)</f>
        <v>0</v>
      </c>
      <c r="W66" s="18">
        <f>IF(AND(sizing_w22_result="Included",sizing_w22_avi_chosen="Included"),VLOOKUP(sizing_mgmt_avi_lb_appliance_size,table_avi_lb_disk,2,FALSE),0)</f>
        <v>0</v>
      </c>
    </row>
    <row r="67" spans="2:23" ht="20" customHeight="1">
      <c r="B67" s="16" t="s">
        <v>525</v>
      </c>
      <c r="C67" s="16" t="str">
        <f>IF(sizing_w23_result="Included","Included","Excluded")</f>
        <v>Excluded</v>
      </c>
      <c r="D67" s="16">
        <f>IF(sizing_w23_result="Included",1,0)</f>
        <v>0</v>
      </c>
      <c r="E67" s="16">
        <f>IF(sizing_w23_result="Included",VLOOKUP(sizing_w23_vcenter_appliance_size,table_vcenter_appliance_cpu,2,FALSE),0)</f>
        <v>0</v>
      </c>
      <c r="F67" s="16">
        <f>IF(sizing_w23_result="Included",VLOOKUP(sizing_w23_vcenter_appliance_size,table_vcenter_appliance_ram,2,FALSE),0)</f>
        <v>0</v>
      </c>
      <c r="G67" s="16">
        <f>IF(sizing_w23_result="Included",VLOOKUP(CONCATENATE(sizing_w23_vcenter_appliance_size,sizing_w23_vcenter_storage_size),table_vcenter_disk_gb,2,FALSE),0)</f>
        <v>0</v>
      </c>
      <c r="H67" s="16" cm="1">
        <f t="array" ref="H67">IF(AND(sizing_w23_result="Included",sizing_w23_nsxt_model="Dedicated"),3,0)</f>
        <v>0</v>
      </c>
      <c r="I67" s="16">
        <f>IF(AND(sizing_w23_result="Included",sizing_w23_nsxt_model="Dedicated"),VLOOKUP(sizing_w23_nsxt_appliance_size,table_nsxt_manager_cpu,2,FALSE),0)</f>
        <v>0</v>
      </c>
      <c r="J67" s="16" cm="1">
        <f t="array" ref="J67">IF(AND(sizing_w23_result="Included",sizing_w23_nsxt_model="Dedicated"),VLOOKUP(sizing_w23_nsxt_appliance_size,table_nsxt_manager_ram,2,FALSE),0)</f>
        <v>0</v>
      </c>
      <c r="K67" s="16">
        <f>IF(AND(sizing_w23_result="Included",sizing_w23_nsxt_model="Dedicated"),VLOOKUP(sizing_w23_nsxt_appliance_size,table_nsxt_manager_disk_gb,2,FALSE),0)</f>
        <v>0</v>
      </c>
      <c r="L67" s="16">
        <f>IF(sizing_w23_gm_result="Included",3,0)</f>
        <v>0</v>
      </c>
      <c r="M67" s="16">
        <f>IF(sizing_w23_gm_result="Included",VLOOKUP(sizing_w23_nsxt_gm_appliance_size,table_nsxt_manager_cpu,2,FALSE),0)</f>
        <v>0</v>
      </c>
      <c r="N67" s="16">
        <f>IF(sizing_w23_gm_result="Included",VLOOKUP(sizing_w23_nsxt_gm_appliance_size,table_nsxt_manager_ram,2,FALSE),0)</f>
        <v>0</v>
      </c>
      <c r="O67" s="16">
        <f>IF(sizing_w23_gm_result="Included",VLOOKUP(sizing_w23_nsxt_gm_appliance_size,table_nsxt_manager_disk_gb,2,FALSE),0)</f>
        <v>0</v>
      </c>
      <c r="P67" s="16">
        <f>IF(AND(sizing_w23_result="Included",sizing_w23_spr_chosen="Include"),1,0)</f>
        <v>0</v>
      </c>
      <c r="Q67" s="18">
        <f>IF(AND(sizing_w23_result="Included",sizing_w23_spr_chosen="Include"),VLOOKUP(input_wld_srm_vm_size,table_srm_cpu,2,FALSE),0)</f>
        <v>0</v>
      </c>
      <c r="R67" s="18">
        <f>IF(AND(sizing_w23_result="Included",sizing_w23_spr_chosen="Include"),VLOOKUP(input_wld_srm_vm_size,table_srm_ram,2,FALSE),0)</f>
        <v>0</v>
      </c>
      <c r="S67" s="18">
        <f>IF(AND(sizing_w23_result="Included",sizing_w23_spr_chosen="Include"),VLOOKUP(input_wld_srm_vm_size,table_srm_disk,2,FALSE),0)</f>
        <v>0</v>
      </c>
      <c r="T67" s="16">
        <f>IF(AND(sizing_w23_result="Included",sizing_w23_avi_chosen="Included"),3,0)</f>
        <v>0</v>
      </c>
      <c r="U67" s="18">
        <f>IF(AND(sizing_w23_result="Included",sizing_w23_avi_chosen="Included"),VLOOKUP(sizing_mgmt_avi_lb_appliance_size,table_avi_lb_cpu,2,FALSE),0)</f>
        <v>0</v>
      </c>
      <c r="V67" s="18">
        <f>IF(AND(sizing_w23_result="Included",sizing_w23_avi_chosen="Included"),VLOOKUP(sizing_mgmt_avi_lb_appliance_size,table_avi_lb_ram,2,FALSE),0)</f>
        <v>0</v>
      </c>
      <c r="W67" s="18">
        <f>IF(AND(sizing_w23_result="Included",sizing_w23_avi_chosen="Included"),VLOOKUP(sizing_mgmt_avi_lb_appliance_size,table_avi_lb_disk,2,FALSE),0)</f>
        <v>0</v>
      </c>
    </row>
    <row r="68" spans="2:23" ht="20" customHeight="1">
      <c r="B68" s="16" t="s">
        <v>526</v>
      </c>
      <c r="C68" s="16" t="str">
        <f>IF(sizing_w24_result="Included","Included","Excluded")</f>
        <v>Excluded</v>
      </c>
      <c r="D68" s="16">
        <f>IF(sizing_w24_result="Included",1,0)</f>
        <v>0</v>
      </c>
      <c r="E68" s="16">
        <f>IF(sizing_w24_result="Included",VLOOKUP(sizing_w24_vcenter_appliance_size,table_vcenter_appliance_cpu,2,FALSE),0)</f>
        <v>0</v>
      </c>
      <c r="F68" s="16">
        <f>IF(sizing_w24_result="Included",VLOOKUP(sizing_w24_vcenter_appliance_size,table_vcenter_appliance_ram,2,FALSE),0)</f>
        <v>0</v>
      </c>
      <c r="G68" s="16">
        <f>IF(sizing_w24_result="Included",VLOOKUP(CONCATENATE(sizing_w24_vcenter_appliance_size,sizing_w24_vcenter_storage_size),table_vcenter_disk_gb,2,FALSE),0)</f>
        <v>0</v>
      </c>
      <c r="H68" s="16" cm="1">
        <f t="array" ref="H68">IF(AND(sizing_w24_result="Included",sizing_w24_nsxt_model="Dedicated"),3,0)</f>
        <v>0</v>
      </c>
      <c r="I68" s="16">
        <f>IF(AND(sizing_w23_result="Included",sizing_w24_nsxt_model="Dedicated"),VLOOKUP(sizing_w24_nsxt_appliance_size,table_nsxt_manager_cpu,2,FALSE),0)</f>
        <v>0</v>
      </c>
      <c r="J68" s="16" cm="1">
        <f t="array" ref="J68">IF(AND(sizing_w24_result="Included",sizing_w24_nsxt_model="Dedicated"),VLOOKUP(sizing_w24_nsxt_appliance_size,table_nsxt_manager_ram,2,FALSE),0)</f>
        <v>0</v>
      </c>
      <c r="K68" s="16">
        <f>IF(AND(sizing_w24_result="Included",sizing_w24_nsxt_model="Dedicated"),VLOOKUP(sizing_w24_nsxt_appliance_size,table_nsxt_manager_disk_gb,2,FALSE),0)</f>
        <v>0</v>
      </c>
      <c r="L68" s="16">
        <f>IF(sizing_w24_gm_result="Included",3,0)</f>
        <v>0</v>
      </c>
      <c r="M68" s="16">
        <f>IF(sizing_w24_gm_result="Included",VLOOKUP(sizing_w24_nsxt_gm_appliance_size,table_nsxt_manager_cpu,2,FALSE),0)</f>
        <v>0</v>
      </c>
      <c r="N68" s="16">
        <f>IF(sizing_w24_gm_result="Included",VLOOKUP(sizing_w24_nsxt_gm_appliance_size,table_nsxt_manager_ram,2,FALSE),0)</f>
        <v>0</v>
      </c>
      <c r="O68" s="16">
        <f>IF(sizing_w24_gm_result="Included",VLOOKUP(sizing_w24_nsxt_gm_appliance_size,table_nsxt_manager_disk_gb,2,FALSE),0)</f>
        <v>0</v>
      </c>
      <c r="P68" s="16">
        <f>IF(AND(sizing_w24_result="Included",sizing_w24_spr_chosen="Include"),1,0)</f>
        <v>0</v>
      </c>
      <c r="Q68" s="18">
        <f>IF(AND(sizing_w24_result="Included",sizing_w24_spr_chosen="Include"),VLOOKUP(input_wld_srm_vm_size,table_srm_cpu,2,FALSE),0)</f>
        <v>0</v>
      </c>
      <c r="R68" s="18">
        <f>IF(AND(sizing_w24_result="Included",sizing_w24_spr_chosen="Include"),VLOOKUP(input_wld_srm_vm_size,table_srm_ram,2,FALSE),0)</f>
        <v>0</v>
      </c>
      <c r="S68" s="18">
        <f>IF(AND(sizing_w24_result="Included",sizing_w24_spr_chosen="Include"),VLOOKUP(input_wld_srm_vm_size,table_srm_disk,2,FALSE),0)</f>
        <v>0</v>
      </c>
      <c r="T68" s="16">
        <f>IF(AND(sizing_w24_result="Included",sizing_w24_avi_chosen="Included"),3,0)</f>
        <v>0</v>
      </c>
      <c r="U68" s="18">
        <f>IF(AND(sizing_w24_result="Included",sizing_w24_avi_chosen="Included"),VLOOKUP(sizing_mgmt_avi_lb_appliance_size,table_avi_lb_cpu,2,FALSE),0)</f>
        <v>0</v>
      </c>
      <c r="V68" s="18">
        <f>IF(AND(sizing_w24_result="Included",sizing_w24_avi_chosen="Included"),VLOOKUP(sizing_mgmt_avi_lb_appliance_size,table_avi_lb_ram,2,FALSE),0)</f>
        <v>0</v>
      </c>
      <c r="W68" s="18">
        <f>IF(AND(sizing_w24_result="Included",sizing_w24_avi_chosen="Included"),VLOOKUP(sizing_mgmt_avi_lb_appliance_size,table_avi_lb_disk,2,FALSE),0)</f>
        <v>0</v>
      </c>
    </row>
    <row r="69" spans="2:23" ht="20" customHeight="1">
      <c r="B69" s="26" t="s">
        <v>1657</v>
      </c>
      <c r="C69" s="26"/>
      <c r="D69" s="26">
        <f>SUM(D45:D68)</f>
        <v>0</v>
      </c>
      <c r="E69" s="26">
        <f>SUMPRODUCT($D$45:$D$68,E45:E68)</f>
        <v>0</v>
      </c>
      <c r="F69" s="26">
        <f>SUMPRODUCT($D$45:$D$68,F45:F68)</f>
        <v>0</v>
      </c>
      <c r="G69" s="26">
        <f>SUMPRODUCT($D$45:$D$68,G45:G68)</f>
        <v>0</v>
      </c>
      <c r="H69" s="26">
        <f>SUM(H45:H68)</f>
        <v>0</v>
      </c>
      <c r="I69" s="26">
        <f>SUMPRODUCT($H$45:$H$68,I45:I68)</f>
        <v>0</v>
      </c>
      <c r="J69" s="26">
        <f>SUMPRODUCT($H$45:$H$68,J45:J68)</f>
        <v>0</v>
      </c>
      <c r="K69" s="26">
        <f>SUMPRODUCT($H$45:$H$68,K45:K68)</f>
        <v>0</v>
      </c>
      <c r="L69" s="26">
        <f>SUM(L45:L68)</f>
        <v>0</v>
      </c>
      <c r="M69" s="26">
        <f>SUMPRODUCT($L$45:$L$68,M45:M68)</f>
        <v>0</v>
      </c>
      <c r="N69" s="26">
        <f>SUMPRODUCT($L$45:$L$68,N45:N68)</f>
        <v>0</v>
      </c>
      <c r="O69" s="26">
        <f>SUMPRODUCT($L$45:$L$68,O45:O68)</f>
        <v>0</v>
      </c>
      <c r="P69" s="26">
        <f>SUM(P45:P68)</f>
        <v>0</v>
      </c>
      <c r="Q69" s="26">
        <f>SUMPRODUCT($P$45:$P$68,Q45:Q68)</f>
        <v>0</v>
      </c>
      <c r="R69" s="26">
        <f>SUMPRODUCT($P$45:$P$68,R45:R68)</f>
        <v>0</v>
      </c>
      <c r="S69" s="26">
        <f>SUMPRODUCT($P$45:$P$68,S45:S68)</f>
        <v>0</v>
      </c>
      <c r="T69" s="26">
        <f>SUM(T45:T68)</f>
        <v>0</v>
      </c>
      <c r="U69" s="26">
        <f>SUMPRODUCT($T$45:$T$68,U45:U68)</f>
        <v>0</v>
      </c>
      <c r="V69" s="26">
        <f>SUMPRODUCT($T$45:$T$68,V45:V68)</f>
        <v>0</v>
      </c>
      <c r="W69" s="26">
        <f>SUMPRODUCT($T$45:$T$68,W45:W68)</f>
        <v>0</v>
      </c>
    </row>
    <row r="70" spans="2:23">
      <c r="E70" s="3"/>
      <c r="G70" s="5"/>
      <c r="H70" s="5"/>
    </row>
    <row r="71" spans="2:23" s="4" customFormat="1" ht="34" customHeight="1">
      <c r="B71" s="344" t="s">
        <v>4217</v>
      </c>
      <c r="C71" s="344"/>
      <c r="D71" s="344"/>
      <c r="E71" s="344"/>
      <c r="F71" s="344"/>
      <c r="G71" s="3"/>
      <c r="H71" s="3"/>
      <c r="I71" s="3"/>
      <c r="J71" s="3"/>
    </row>
    <row r="72" spans="2:23" ht="20" customHeight="1">
      <c r="B72" s="8" t="s">
        <v>478</v>
      </c>
      <c r="C72" s="8" t="s">
        <v>1606</v>
      </c>
      <c r="D72" s="8" t="s">
        <v>1607</v>
      </c>
      <c r="E72" s="8" t="s">
        <v>1608</v>
      </c>
      <c r="F72" s="8" t="s">
        <v>1609</v>
      </c>
    </row>
    <row r="73" spans="2:23" ht="20" customHeight="1">
      <c r="B73" s="18" t="s">
        <v>3330</v>
      </c>
      <c r="C73" s="18">
        <f>IF(vrslcm_result="Excluded",0,1)</f>
        <v>0</v>
      </c>
      <c r="D73" s="16">
        <f>IF(vrslcm_result="Excluded",0,sizing_vrslcm_cpu)</f>
        <v>0</v>
      </c>
      <c r="E73" s="16">
        <f>IF(vrslcm_result="Excluded",0,sizing_vrslcm_ram)</f>
        <v>0</v>
      </c>
      <c r="F73" s="16">
        <f>IF(vrslcm_result="Excluded",0,sizing_vrslcm_disk)</f>
        <v>0</v>
      </c>
    </row>
    <row r="74" spans="2:23" ht="20" customHeight="1">
      <c r="B74" s="16" t="s">
        <v>703</v>
      </c>
      <c r="C74" s="16">
        <f>IF(vcf_aware_wsa_result="Excluded",0,IF(vcf_aware_wsa_chosen="Standard",1,3))</f>
        <v>0</v>
      </c>
      <c r="D74" s="16">
        <f>IF(vcf_aware_wsa_result="Included",VLOOKUP(xreg_wsa_node_size,table_wsa_appliance_cpu,2,FALSE),0)</f>
        <v>0</v>
      </c>
      <c r="E74" s="16">
        <f>IF(vcf_aware_wsa_result="Included",VLOOKUP(xreg_wsa_node_size,table_wsa_appliance_ram,2,FALSE),0)</f>
        <v>0</v>
      </c>
      <c r="F74" s="16">
        <f>IF(vcf_aware_wsa_result="Included",VLOOKUP(xreg_wsa_node_size,table_wsa_appliance_disk,2,FALSE),0)</f>
        <v>0</v>
      </c>
    </row>
    <row r="75" spans="2:23" ht="20" customHeight="1">
      <c r="B75" s="16" t="s">
        <v>3400</v>
      </c>
      <c r="C75" s="16">
        <f>IF(iom_id_result="True",3,0)</f>
        <v>0</v>
      </c>
      <c r="D75" s="16">
        <f>IF(intelligent_operations_result="Included",VLOOKUP(xreg_vrops_appliance_size,table_vrops_appliance_cpu,2,FALSE),0)</f>
        <v>0</v>
      </c>
      <c r="E75" s="16">
        <f>IF(intelligent_operations_result="Included",VLOOKUP(xreg_vrops_appliance_size,table_vrops_appliance_ram,2,FALSE),0)</f>
        <v>0</v>
      </c>
      <c r="F75" s="16">
        <f>IF(intelligent_operations_result="Included",VLOOKUP(xreg_vrops_appliance_size,table_vrops_appliance_disk,2,FALSE),0)</f>
        <v>0</v>
      </c>
    </row>
    <row r="76" spans="2:23" ht="20" customHeight="1">
      <c r="B76" s="16" t="s">
        <v>3401</v>
      </c>
      <c r="C76" s="16">
        <f>IF(intelligent_operations_result="Excluded",0,2)</f>
        <v>0</v>
      </c>
      <c r="D76" s="16">
        <f>IF(intelligent_operations_result="Included",VLOOKUP(xreg_vrops_rc_size,table_vrops_rc_cpu,2,FALSE),0)</f>
        <v>0</v>
      </c>
      <c r="E76" s="16">
        <f>IF(intelligent_operations_result="Included",VLOOKUP(xreg_vrops_rc_size,table_vrops_rc_ram,2,FALSE),0)</f>
        <v>0</v>
      </c>
      <c r="F76" s="16">
        <f>IF(intelligent_operations_result="Included",VLOOKUP(xreg_vrops_rc_size,table_vrops_rc_disk,2,FALSE),0)</f>
        <v>0</v>
      </c>
    </row>
    <row r="77" spans="2:23" ht="20" customHeight="1">
      <c r="B77" s="18" t="s">
        <v>3188</v>
      </c>
      <c r="C77" s="18">
        <f>IF(intelligent_logging_result="Excluded",0,3)</f>
        <v>0</v>
      </c>
      <c r="D77" s="16">
        <f>IF(intelligent_logging_result="Included",VLOOKUP(region_vrli_appliance_size,table_vrli_appliance_cpu,2,FALSE),0)</f>
        <v>0</v>
      </c>
      <c r="E77" s="16">
        <f>IF(intelligent_logging_result="Included",VLOOKUP(region_vrli_appliance_size,table_vrli_appliance_ram,2,FALSE),0)</f>
        <v>0</v>
      </c>
      <c r="F77" s="16">
        <f>IF(intelligent_logging_result="Included",VLOOKUP(region_vrli_appliance_size,table_vrli_appliance_disk,2,FALSE),0)</f>
        <v>0</v>
      </c>
    </row>
    <row r="78" spans="2:23" s="32" customFormat="1" ht="20" customHeight="1">
      <c r="B78" s="16" t="s">
        <v>3251</v>
      </c>
      <c r="C78" s="16">
        <f>IF(pca_id_result="True",3,0)</f>
        <v>0</v>
      </c>
      <c r="D78" s="16">
        <f>IF(pca_id_result="True",VLOOKUP(xreg_vra_appliance_size,table_vra_appliance_cpu,2,FALSE),0)</f>
        <v>0</v>
      </c>
      <c r="E78" s="16">
        <f>IF(pca_id_result="True",VLOOKUP(xreg_vra_appliance_size,table_vra_appliance_ram,2,FALSE),0)</f>
        <v>0</v>
      </c>
      <c r="F78" s="16">
        <f>IF(pca_id_result="True",VLOOKUP(xreg_vra_appliance_size,table_vra_appliance_disk,2,FALSE),0)</f>
        <v>0</v>
      </c>
    </row>
    <row r="79" spans="2:23" s="32" customFormat="1" ht="20" customHeight="1">
      <c r="B79" s="16" t="s">
        <v>1658</v>
      </c>
      <c r="C79" s="16">
        <f>IF(OR((spr_mo_result="True"),(spr_mw_result="True")),1,0)</f>
        <v>0</v>
      </c>
      <c r="D79" s="16">
        <f>IF(OR((spr_mo_result="True"),(spr_mw_result="True")),VLOOKUP(input_mgmt_vrms_vm_size,table_vrms_cpu,2,FALSE),0)</f>
        <v>0</v>
      </c>
      <c r="E79" s="16">
        <f>IF(OR((spr_mo_result="True"),(spr_mw_result="True")),VLOOKUP(vrms_appliance_size,table_vrms_ram,2,FALSE),0)</f>
        <v>0</v>
      </c>
      <c r="F79" s="16">
        <f>IF(OR((spr_mo_result="True"),(spr_mw_result="True")),VLOOKUP(vrms_appliance_size,table_vrms_disk,2,FALSE),0)</f>
        <v>0</v>
      </c>
    </row>
    <row r="80" spans="2:23" s="32" customFormat="1" ht="20" customHeight="1">
      <c r="B80" s="16" t="s">
        <v>1659</v>
      </c>
      <c r="C80" s="16">
        <f>IF(spr_mo_result="True",1,0)</f>
        <v>0</v>
      </c>
      <c r="D80" s="16">
        <f>IF(spr_mo_result="True",VLOOKUP(input_mgmt_srm_vm_size,table_srm_cpu,2,FALSE),0)</f>
        <v>0</v>
      </c>
      <c r="E80" s="16">
        <f>IF(spr_mo_result="True",VLOOKUP(srm_appliance_size,table_srm_ram,2,FALSE),0)</f>
        <v>0</v>
      </c>
      <c r="F80" s="16">
        <f>IF(spr_mo_result="True",VLOOKUP(srm_appliance_size,table_srm_disk,2,FALSE),0)</f>
        <v>0</v>
      </c>
    </row>
    <row r="81" spans="2:6" s="32" customFormat="1" ht="20" customHeight="1">
      <c r="B81" s="16" t="s">
        <v>1660</v>
      </c>
      <c r="C81" s="16">
        <f>P69</f>
        <v>0</v>
      </c>
      <c r="D81" s="16">
        <f>Q69</f>
        <v>0</v>
      </c>
      <c r="E81" s="16">
        <f>R69</f>
        <v>0</v>
      </c>
      <c r="F81" s="16">
        <f>S69</f>
        <v>0</v>
      </c>
    </row>
    <row r="82" spans="2:6" ht="20" customHeight="1">
      <c r="B82" s="18" t="s">
        <v>3743</v>
      </c>
      <c r="C82" s="18">
        <f>IF(inv_result="Excluded",0,1)</f>
        <v>0</v>
      </c>
      <c r="D82" s="18">
        <f>IF(inv_result="Excluded",0,sizing_inv_platform_node_cpu)</f>
        <v>0</v>
      </c>
      <c r="E82" s="16">
        <f>IF(inv_result="Excluded",0,sizing_inv_platform_node_ram)</f>
        <v>0</v>
      </c>
      <c r="F82" s="16">
        <f>IF(inv_result="Excluded",0,sizing_inv_platform_node_disk)</f>
        <v>0</v>
      </c>
    </row>
    <row r="83" spans="2:6" ht="20" customHeight="1">
      <c r="B83" s="18" t="s">
        <v>3744</v>
      </c>
      <c r="C83" s="18">
        <f>IF(inv_result ="Excluded",0,1)</f>
        <v>0</v>
      </c>
      <c r="D83" s="18">
        <f>IF(inv_result="Excluded",0,sizing_inv_cpu)</f>
        <v>0</v>
      </c>
      <c r="E83" s="16">
        <f>IF(inv_result="Excluded",0,sizing_inv_ram)</f>
        <v>0</v>
      </c>
      <c r="F83" s="16">
        <f>IF(inv_result="Excluded",0,sizing_inv_disk)</f>
        <v>0</v>
      </c>
    </row>
    <row r="84" spans="2:6" ht="20" customHeight="1">
      <c r="B84" s="18" t="s">
        <v>3553</v>
      </c>
      <c r="C84" s="18">
        <f>IF(cbr_result="Excluded",0,2)</f>
        <v>0</v>
      </c>
      <c r="D84" s="18">
        <f>IF(cbr_result="Excluded",0,sizing_cbr_cpu)</f>
        <v>0</v>
      </c>
      <c r="E84" s="16">
        <f>IF(cbr_result="Excluded",0,sizing_cbr_ram)</f>
        <v>0</v>
      </c>
      <c r="F84" s="16">
        <f>IF(cbr_result="Excluded",0,sizing_cbr_disk)</f>
        <v>0</v>
      </c>
    </row>
    <row r="85" spans="2:6" ht="20" customHeight="1">
      <c r="B85" s="18" t="s">
        <v>3166</v>
      </c>
      <c r="C85" s="18">
        <f>IF(ccm_result="Excluded",0,1)</f>
        <v>0</v>
      </c>
      <c r="D85" s="18" cm="1">
        <f t="array" ref="D85">IF(ccm_result="Excluded",0,sizing_ccm_hcx_cpu)</f>
        <v>0</v>
      </c>
      <c r="E85" s="16" cm="1">
        <f t="array" ref="E85">IF(ccm_result="Excluded",0,sizing_ccm_hcx_ram)</f>
        <v>0</v>
      </c>
      <c r="F85" s="16" cm="1">
        <f t="array" ref="F85">IF(ccm_result="Excluded",0,sizing_ccm_hcx_disk)</f>
        <v>0</v>
      </c>
    </row>
    <row r="86" spans="2:6" ht="20" customHeight="1">
      <c r="B86" s="18" t="s">
        <v>410</v>
      </c>
      <c r="C86" s="18">
        <f>IF(hrm_result="Excluded",0,1)</f>
        <v>0</v>
      </c>
      <c r="D86" s="18">
        <f>IF(hrm_result="Excluded",0,sizing_hrm_hvm_cpu)</f>
        <v>0</v>
      </c>
      <c r="E86" s="16">
        <f>IF(hrm_result="Excluded",0,sizing_hrm_hvm_ram)</f>
        <v>0</v>
      </c>
      <c r="F86" s="16">
        <f>IF(hrm_result="Excluded",0,sizing_hrm_hvm_disk)</f>
        <v>0</v>
      </c>
    </row>
    <row r="87" spans="2:6" ht="20" customHeight="1">
      <c r="B87" s="31" t="s">
        <v>1627</v>
      </c>
      <c r="C87" s="31">
        <f>SUM(C73:C86)</f>
        <v>0</v>
      </c>
      <c r="D87" s="31">
        <f>SUMPRODUCT($C$73:$C$86,D73:D86)</f>
        <v>0</v>
      </c>
      <c r="E87" s="31">
        <f>SUMPRODUCT($C$73:$C$86,E73:E86)</f>
        <v>0</v>
      </c>
      <c r="F87" s="31">
        <f>SUMPRODUCT($C$73:$C$86,F73:F86)</f>
        <v>0</v>
      </c>
    </row>
    <row r="88" spans="2:6" ht="20" customHeight="1"/>
    <row r="89" spans="2:6" ht="20" customHeight="1"/>
  </sheetData>
  <sheetProtection algorithmName="SHA-512" hashValue="Q0EaxVmxvqWvg8m2lbBbnBKRUrT2Zgz5YSz+wSa7d11kGnaqgfwVRbU73b/PKspE9gM0DJF5NQ09RLkpVndHhQ==" saltValue="brC+FtWDDPnlzn5GlOCE8w==" spinCount="100000" sheet="1" objects="1" scenarios="1" selectLockedCells="1"/>
  <mergeCells count="24">
    <mergeCell ref="L10:M10"/>
    <mergeCell ref="O6:O15"/>
    <mergeCell ref="H11:J14"/>
    <mergeCell ref="L11:M11"/>
    <mergeCell ref="L12:M12"/>
    <mergeCell ref="L13:M13"/>
    <mergeCell ref="L7:M7"/>
    <mergeCell ref="L8:M8"/>
    <mergeCell ref="B43:W43"/>
    <mergeCell ref="B4:I4"/>
    <mergeCell ref="B2:O2"/>
    <mergeCell ref="B3:O3"/>
    <mergeCell ref="B71:F71"/>
    <mergeCell ref="B22:O22"/>
    <mergeCell ref="B23:O23"/>
    <mergeCell ref="B25:G25"/>
    <mergeCell ref="B6:F6"/>
    <mergeCell ref="L14:M14"/>
    <mergeCell ref="L15:M15"/>
    <mergeCell ref="H6:J6"/>
    <mergeCell ref="L6:N6"/>
    <mergeCell ref="H7:I7"/>
    <mergeCell ref="H8:I8"/>
    <mergeCell ref="L9:M9"/>
  </mergeCells>
  <conditionalFormatting sqref="B73:F73">
    <cfRule type="expression" dxfId="2971" priority="103">
      <formula>vrslcm_result="Excluded"</formula>
    </cfRule>
  </conditionalFormatting>
  <conditionalFormatting sqref="B73:F74">
    <cfRule type="expression" dxfId="2970" priority="162">
      <formula>AND((VRLI_Result="Excluded"),(VROPS_Result="Excluded"),(VRA_Result="Excluded"))</formula>
    </cfRule>
  </conditionalFormatting>
  <conditionalFormatting sqref="B74:F74">
    <cfRule type="expression" dxfId="2969" priority="102">
      <formula>vcf_aware_wsa_result="Excluded"</formula>
    </cfRule>
  </conditionalFormatting>
  <conditionalFormatting sqref="B75:F75">
    <cfRule type="expression" dxfId="2968" priority="160">
      <formula>iom_id_result="False"</formula>
    </cfRule>
  </conditionalFormatting>
  <conditionalFormatting sqref="B76:F76">
    <cfRule type="expression" dxfId="2967" priority="101">
      <formula>intelligent_operations_result="Excluded"</formula>
    </cfRule>
  </conditionalFormatting>
  <conditionalFormatting sqref="B77:F77">
    <cfRule type="expression" dxfId="2966" priority="100">
      <formula>intelligent_logging_result="Excluded"</formula>
    </cfRule>
  </conditionalFormatting>
  <conditionalFormatting sqref="B78:F78">
    <cfRule type="expression" dxfId="2965" priority="89">
      <formula>pca_id_result="false"</formula>
    </cfRule>
  </conditionalFormatting>
  <conditionalFormatting sqref="B79:F79">
    <cfRule type="expression" dxfId="2964" priority="140">
      <formula>protected_mgmt_result="False"</formula>
    </cfRule>
  </conditionalFormatting>
  <conditionalFormatting sqref="B80:F80">
    <cfRule type="expression" dxfId="2963" priority="87">
      <formula>OR(spr_mo_result="False")</formula>
    </cfRule>
  </conditionalFormatting>
  <conditionalFormatting sqref="B81:F81">
    <cfRule type="expression" dxfId="2962" priority="88">
      <formula>$P$69&lt;=0</formula>
    </cfRule>
  </conditionalFormatting>
  <conditionalFormatting sqref="B82:F83">
    <cfRule type="expression" dxfId="2961" priority="97">
      <formula>inv_result="Excluded"</formula>
    </cfRule>
  </conditionalFormatting>
  <conditionalFormatting sqref="B84:F84">
    <cfRule type="expression" dxfId="2960" priority="50">
      <formula>cbr_result="Excluded"</formula>
    </cfRule>
  </conditionalFormatting>
  <conditionalFormatting sqref="B85:F85">
    <cfRule type="expression" dxfId="2959" priority="52">
      <formula>ccm_result="Excluded"</formula>
    </cfRule>
  </conditionalFormatting>
  <conditionalFormatting sqref="B86:F86">
    <cfRule type="expression" dxfId="2958" priority="95">
      <formula>hrm_result="Excluded"</formula>
    </cfRule>
  </conditionalFormatting>
  <conditionalFormatting sqref="B31:G31">
    <cfRule type="expression" dxfId="2957" priority="157">
      <formula>(mgmt_nsxt_federation_result="Excluded")</formula>
    </cfRule>
  </conditionalFormatting>
  <conditionalFormatting sqref="B39:G41">
    <cfRule type="expression" dxfId="2956" priority="1">
      <formula>mgmt_avi_loadbalancer_result="Excluded"</formula>
    </cfRule>
  </conditionalFormatting>
  <conditionalFormatting sqref="B45:K45">
    <cfRule type="expression" dxfId="2955" priority="176">
      <formula>(sizing_w01_result="Excluded")</formula>
    </cfRule>
  </conditionalFormatting>
  <conditionalFormatting sqref="B46:K46">
    <cfRule type="expression" dxfId="2954" priority="177">
      <formula>(sizing_w02_result="Excluded")</formula>
    </cfRule>
  </conditionalFormatting>
  <conditionalFormatting sqref="B47:K47">
    <cfRule type="expression" dxfId="2953" priority="175">
      <formula>(sizing_w03_result="Excluded")</formula>
    </cfRule>
  </conditionalFormatting>
  <conditionalFormatting sqref="B48:K48">
    <cfRule type="expression" dxfId="2952" priority="174" stopIfTrue="1">
      <formula>(sizing_w04_result="Excluded")</formula>
    </cfRule>
  </conditionalFormatting>
  <conditionalFormatting sqref="B49:K49">
    <cfRule type="expression" dxfId="2951" priority="173">
      <formula>(sizing_w05_result="Excluded")</formula>
    </cfRule>
  </conditionalFormatting>
  <conditionalFormatting sqref="B50:K50">
    <cfRule type="expression" dxfId="2950" priority="172">
      <formula>(sizing_w06_result="Excluded")</formula>
    </cfRule>
  </conditionalFormatting>
  <conditionalFormatting sqref="B51:K51">
    <cfRule type="expression" dxfId="2949" priority="171">
      <formula>(sizing_w07_result="Excluded")</formula>
    </cfRule>
  </conditionalFormatting>
  <conditionalFormatting sqref="B52:K52">
    <cfRule type="expression" dxfId="2948" priority="170">
      <formula>(sizing_w08_result="Excluded")</formula>
    </cfRule>
  </conditionalFormatting>
  <conditionalFormatting sqref="B53:K53">
    <cfRule type="expression" dxfId="2947" priority="169">
      <formula>(sizing_w09_result="Excluded")</formula>
    </cfRule>
  </conditionalFormatting>
  <conditionalFormatting sqref="B54:K54">
    <cfRule type="expression" dxfId="2946" priority="168">
      <formula>(sizing_w10_result="Excluded")</formula>
    </cfRule>
  </conditionalFormatting>
  <conditionalFormatting sqref="B55:K55">
    <cfRule type="expression" dxfId="2945" priority="167">
      <formula>(sizing_w11_result="Excluded")</formula>
    </cfRule>
  </conditionalFormatting>
  <conditionalFormatting sqref="B56:K56">
    <cfRule type="expression" dxfId="2944" priority="166">
      <formula>(sizing_w12_result="Excluded")</formula>
    </cfRule>
  </conditionalFormatting>
  <conditionalFormatting sqref="B57:K57">
    <cfRule type="expression" dxfId="2943" priority="165">
      <formula>(sizing_w13_result="Excluded")</formula>
    </cfRule>
  </conditionalFormatting>
  <conditionalFormatting sqref="B58:K58">
    <cfRule type="expression" dxfId="2942" priority="164">
      <formula>(sizing_w14_result="Excluded")</formula>
    </cfRule>
  </conditionalFormatting>
  <conditionalFormatting sqref="B59:K59">
    <cfRule type="expression" dxfId="2941" priority="83">
      <formula>(sizing_w15_result="Excluded")</formula>
    </cfRule>
  </conditionalFormatting>
  <conditionalFormatting sqref="B60:K60">
    <cfRule type="expression" dxfId="2940" priority="82">
      <formula>(sizing_w16_result="Excluded")</formula>
    </cfRule>
  </conditionalFormatting>
  <conditionalFormatting sqref="B61:K61">
    <cfRule type="expression" dxfId="2939" priority="81">
      <formula>(sizing_w17_result="Excluded")</formula>
    </cfRule>
  </conditionalFormatting>
  <conditionalFormatting sqref="B62:K62">
    <cfRule type="expression" dxfId="2938" priority="80">
      <formula>(sizing_w18_result="Excluded")</formula>
    </cfRule>
  </conditionalFormatting>
  <conditionalFormatting sqref="B63:K63">
    <cfRule type="expression" dxfId="2937" priority="79">
      <formula>(sizing_w19_result="Excluded")</formula>
    </cfRule>
  </conditionalFormatting>
  <conditionalFormatting sqref="B64:K64">
    <cfRule type="expression" dxfId="2936" priority="78">
      <formula>(sizing_w20_result="Excluded")</formula>
    </cfRule>
  </conditionalFormatting>
  <conditionalFormatting sqref="B65:K65">
    <cfRule type="expression" dxfId="2935" priority="77">
      <formula>(sizing_w21_result="Excluded")</formula>
    </cfRule>
  </conditionalFormatting>
  <conditionalFormatting sqref="B66:K66">
    <cfRule type="expression" dxfId="2934" priority="76">
      <formula>(sizing_w22_result="Excluded")</formula>
    </cfRule>
  </conditionalFormatting>
  <conditionalFormatting sqref="B67:K67">
    <cfRule type="expression" dxfId="2933" priority="75">
      <formula>(sizing_w23_result="Excluded")</formula>
    </cfRule>
  </conditionalFormatting>
  <conditionalFormatting sqref="B68:K68">
    <cfRule type="expression" dxfId="2932" priority="74">
      <formula>(sizing_w24_result="Excluded")</formula>
    </cfRule>
  </conditionalFormatting>
  <conditionalFormatting sqref="L15:N15">
    <cfRule type="expression" dxfId="2931" priority="51">
      <formula>mgmt_principal_storage_chosen="vSAN-ESA"</formula>
    </cfRule>
  </conditionalFormatting>
  <conditionalFormatting sqref="L45:O45">
    <cfRule type="expression" dxfId="2930" priority="133">
      <formula>(sizing_w01_gm_result="Excluded")</formula>
    </cfRule>
  </conditionalFormatting>
  <conditionalFormatting sqref="L46:O46">
    <cfRule type="expression" dxfId="2929" priority="130">
      <formula>(sizing_w02_gm_result="Excluded")</formula>
    </cfRule>
  </conditionalFormatting>
  <conditionalFormatting sqref="L47:O47">
    <cfRule type="expression" dxfId="2928" priority="129">
      <formula>(sizing_w03_gm_result="Excluded")</formula>
    </cfRule>
  </conditionalFormatting>
  <conditionalFormatting sqref="L48:O48">
    <cfRule type="expression" dxfId="2927" priority="128">
      <formula>(sizing_w04_gm_result="Excluded")</formula>
    </cfRule>
  </conditionalFormatting>
  <conditionalFormatting sqref="L49:O49">
    <cfRule type="expression" dxfId="2926" priority="127">
      <formula>(sizing_w05_gm_result="Excluded")</formula>
    </cfRule>
  </conditionalFormatting>
  <conditionalFormatting sqref="L50:O50">
    <cfRule type="expression" dxfId="2925" priority="126">
      <formula>(sizing_w06_gm_result="Excluded")</formula>
    </cfRule>
  </conditionalFormatting>
  <conditionalFormatting sqref="L51:O51">
    <cfRule type="expression" dxfId="2924" priority="125">
      <formula>(sizing_w07_gm_result="Excluded")</formula>
    </cfRule>
  </conditionalFormatting>
  <conditionalFormatting sqref="L52:O52">
    <cfRule type="expression" dxfId="2923" priority="124">
      <formula>(sizing_w08_gm_result="Excluded")</formula>
    </cfRule>
  </conditionalFormatting>
  <conditionalFormatting sqref="L53:O53">
    <cfRule type="expression" dxfId="2922" priority="123">
      <formula>(sizing_w09_gm_result="Excluded")</formula>
    </cfRule>
  </conditionalFormatting>
  <conditionalFormatting sqref="L54:O54">
    <cfRule type="expression" dxfId="2921" priority="122">
      <formula>(sizing_w10_gm_result="Excluded")</formula>
    </cfRule>
  </conditionalFormatting>
  <conditionalFormatting sqref="L55:O55">
    <cfRule type="expression" dxfId="2920" priority="121">
      <formula>(sizing_w11_gm_result="Excluded")</formula>
    </cfRule>
  </conditionalFormatting>
  <conditionalFormatting sqref="L56:O56">
    <cfRule type="expression" dxfId="2919" priority="120">
      <formula>(sizing_w12_gm_result="Excluded")</formula>
    </cfRule>
  </conditionalFormatting>
  <conditionalFormatting sqref="L57:O57">
    <cfRule type="expression" dxfId="2918" priority="119">
      <formula>(sizing_w13_gm_result="Excluded")</formula>
    </cfRule>
  </conditionalFormatting>
  <conditionalFormatting sqref="L58:O58">
    <cfRule type="expression" dxfId="2917" priority="118">
      <formula>(sizing_w14_gm_result="Excluded")</formula>
    </cfRule>
  </conditionalFormatting>
  <conditionalFormatting sqref="L59:O59">
    <cfRule type="expression" dxfId="2916" priority="73">
      <formula>(sizing_w15_gm_result="Excluded")</formula>
    </cfRule>
  </conditionalFormatting>
  <conditionalFormatting sqref="L60:O60">
    <cfRule type="expression" dxfId="2915" priority="72">
      <formula>(sizing_w16_gm_result="Excluded")</formula>
    </cfRule>
  </conditionalFormatting>
  <conditionalFormatting sqref="L61:O61">
    <cfRule type="expression" dxfId="2914" priority="71">
      <formula>(sizing_w17_gm_result="Excluded")</formula>
    </cfRule>
  </conditionalFormatting>
  <conditionalFormatting sqref="L62:O62">
    <cfRule type="expression" dxfId="2913" priority="70">
      <formula>(sizing_w18_gm_result="Excluded")</formula>
    </cfRule>
  </conditionalFormatting>
  <conditionalFormatting sqref="L63:O63">
    <cfRule type="expression" dxfId="2912" priority="69">
      <formula>(sizing_w19_gm_result="Excluded")</formula>
    </cfRule>
  </conditionalFormatting>
  <conditionalFormatting sqref="L64:O64">
    <cfRule type="expression" dxfId="2911" priority="68">
      <formula>(sizing_w20_gm_result="Excluded")</formula>
    </cfRule>
  </conditionalFormatting>
  <conditionalFormatting sqref="L65:O65">
    <cfRule type="expression" dxfId="2910" priority="67">
      <formula>(sizing_w21_gm_result="Excluded")</formula>
    </cfRule>
  </conditionalFormatting>
  <conditionalFormatting sqref="L66:O66">
    <cfRule type="expression" dxfId="2909" priority="66">
      <formula>(sizing_w22_gm_result="Excluded")</formula>
    </cfRule>
  </conditionalFormatting>
  <conditionalFormatting sqref="L67:O67">
    <cfRule type="expression" dxfId="2908" priority="65">
      <formula>(sizing_w23_gm_result="Excluded")</formula>
    </cfRule>
  </conditionalFormatting>
  <conditionalFormatting sqref="L68:O68">
    <cfRule type="expression" dxfId="2907" priority="64">
      <formula>(sizing_w24_gm_result="Excluded")</formula>
    </cfRule>
  </conditionalFormatting>
  <conditionalFormatting sqref="P45:S45">
    <cfRule type="expression" dxfId="2906" priority="26">
      <formula>OR((sizing_w01_result="Excluded"),(sizing_w01_spr_chosen="Exclude"))</formula>
    </cfRule>
  </conditionalFormatting>
  <conditionalFormatting sqref="P46:S46">
    <cfRule type="expression" dxfId="2905" priority="117">
      <formula>OR((sizing_w02_result="Excluded"),(sizing_w02_spr_chosen="Exclude"))</formula>
    </cfRule>
  </conditionalFormatting>
  <conditionalFormatting sqref="P47:S47">
    <cfRule type="expression" dxfId="2904" priority="116">
      <formula>OR((sizing_w03_result="Excluded"),(sizing_w03_spr_chosen="Exclude"))</formula>
    </cfRule>
  </conditionalFormatting>
  <conditionalFormatting sqref="P48:S48">
    <cfRule type="expression" dxfId="2903" priority="115">
      <formula>OR((sizing_w04_result="Excluded"),(sizing_w04_spr_chosen="Exclude"))</formula>
    </cfRule>
  </conditionalFormatting>
  <conditionalFormatting sqref="P49:S49">
    <cfRule type="expression" dxfId="2902" priority="114">
      <formula>OR((sizing_w05_result="Excluded"),(sizing_w05_spr_chosen="Exclude"))</formula>
    </cfRule>
  </conditionalFormatting>
  <conditionalFormatting sqref="P50:S50">
    <cfRule type="expression" dxfId="2901" priority="113">
      <formula>OR((sizing_w06_result="Excluded"),(sizing_w06_spr_chosen="Exclude"))</formula>
    </cfRule>
  </conditionalFormatting>
  <conditionalFormatting sqref="P51:S51">
    <cfRule type="expression" dxfId="2900" priority="112">
      <formula>OR((sizing_w07_result="Excluded"),(sizing_w07_spr_chosen="Exclude"))</formula>
    </cfRule>
  </conditionalFormatting>
  <conditionalFormatting sqref="P52:S52">
    <cfRule type="expression" dxfId="2899" priority="111">
      <formula>OR((sizing_w08_result="Excluded"),(sizing_w08_spr_chosen="Exclude"))</formula>
    </cfRule>
  </conditionalFormatting>
  <conditionalFormatting sqref="P53:S53">
    <cfRule type="expression" dxfId="2898" priority="110">
      <formula>OR((sizing_w09_result="Excluded"),(sizing_w09_spr_chosen="Exclude"))</formula>
    </cfRule>
  </conditionalFormatting>
  <conditionalFormatting sqref="P54:S54">
    <cfRule type="expression" dxfId="2897" priority="109">
      <formula>OR((sizing_w10_result="Excluded"),(sizing_w10_spr_chosen="Exclude"))</formula>
    </cfRule>
  </conditionalFormatting>
  <conditionalFormatting sqref="P55:S55">
    <cfRule type="expression" dxfId="2896" priority="108">
      <formula>OR((sizing_w11_result="Excluded"),(sizing_w11_spr_chosen="Exclude"))</formula>
    </cfRule>
  </conditionalFormatting>
  <conditionalFormatting sqref="P56:S56">
    <cfRule type="expression" dxfId="2895" priority="107">
      <formula>OR((sizing_w12_result="Excluded"),(sizing_w12_spr_chosen="Exclude"))</formula>
    </cfRule>
  </conditionalFormatting>
  <conditionalFormatting sqref="P57:S57">
    <cfRule type="expression" dxfId="2894" priority="106">
      <formula>OR((sizing_w13_result="Excluded"),(sizing_w13_spr_chosen="Exclude"))</formula>
    </cfRule>
  </conditionalFormatting>
  <conditionalFormatting sqref="P58:S58">
    <cfRule type="expression" dxfId="2893" priority="105">
      <formula>OR((sizing_w14_result="Excluded"),(sizing_w14_spr_chosen="Exclude"))</formula>
    </cfRule>
  </conditionalFormatting>
  <conditionalFormatting sqref="P59:S59">
    <cfRule type="expression" dxfId="2892" priority="63">
      <formula>OR((sizing_w15_result="Excluded"),(sizing_w15_spr_chosen="Exclude"))</formula>
    </cfRule>
  </conditionalFormatting>
  <conditionalFormatting sqref="P60:S60">
    <cfRule type="expression" dxfId="2891" priority="62">
      <formula>OR((sizing_w16_result="Excluded"),(sizing_w16_spr_chosen="Exclude"))</formula>
    </cfRule>
  </conditionalFormatting>
  <conditionalFormatting sqref="P61:S61">
    <cfRule type="expression" dxfId="2890" priority="61">
      <formula>OR((sizing_w17_result="Excluded"),(sizing_w17_spr_chosen="Exclude"))</formula>
    </cfRule>
  </conditionalFormatting>
  <conditionalFormatting sqref="P62:S62">
    <cfRule type="expression" dxfId="2889" priority="60">
      <formula>OR((sizing_w18_result="Excluded"),(sizing_w18_spr_chosen="Exclude"))</formula>
    </cfRule>
  </conditionalFormatting>
  <conditionalFormatting sqref="P63:S63">
    <cfRule type="expression" dxfId="2888" priority="59">
      <formula>OR((sizing_w19_result="Excluded"),(sizing_w19_spr_chosen="Exclude"))</formula>
    </cfRule>
  </conditionalFormatting>
  <conditionalFormatting sqref="P64:S64">
    <cfRule type="expression" dxfId="2887" priority="58">
      <formula>OR((sizing_w20_result="Excluded"),(sizing_w20_spr_chosen="Exclude"))</formula>
    </cfRule>
  </conditionalFormatting>
  <conditionalFormatting sqref="P65:S65">
    <cfRule type="expression" dxfId="2886" priority="57">
      <formula>OR((sizing_w21_result="Excluded"),(sizing_w21_spr_chosen="Exclude"))</formula>
    </cfRule>
  </conditionalFormatting>
  <conditionalFormatting sqref="P66:S66">
    <cfRule type="expression" dxfId="2885" priority="56">
      <formula>OR((sizing_w22_result="Excluded"),(sizing_w22_spr_chosen="Exclude"))</formula>
    </cfRule>
  </conditionalFormatting>
  <conditionalFormatting sqref="P67:S67">
    <cfRule type="expression" dxfId="2884" priority="55">
      <formula>OR((sizing_w23_result="Excluded"),(sizing_w23_spr_chosen="Exclude"))</formula>
    </cfRule>
  </conditionalFormatting>
  <conditionalFormatting sqref="P68:S68">
    <cfRule type="expression" dxfId="2883" priority="54">
      <formula>OR((sizing_w24_result="Excluded"),(sizing_w24_spr_chosen="Exclude"))</formula>
    </cfRule>
  </conditionalFormatting>
  <conditionalFormatting sqref="T45:W45">
    <cfRule type="expression" dxfId="2882" priority="143">
      <formula>OR((sizing_w01_result="Excluded"),(sizing_w01_avi_chosen="Excluded"))</formula>
    </cfRule>
  </conditionalFormatting>
  <conditionalFormatting sqref="T46:W46">
    <cfRule type="expression" dxfId="2881" priority="25">
      <formula>OR((sizing_w02_result="Excluded"),(sizing_w02_avi_chosen="Excluded"))</formula>
    </cfRule>
  </conditionalFormatting>
  <conditionalFormatting sqref="T47:W47">
    <cfRule type="expression" dxfId="2880" priority="23">
      <formula>OR((sizing_w03_result="Excluded"),(sizing_w03_avi_chosen="Excluded"))</formula>
    </cfRule>
  </conditionalFormatting>
  <conditionalFormatting sqref="T48:W48">
    <cfRule type="expression" dxfId="2879" priority="22">
      <formula>OR((sizing_w04_result="Excluded"),(sizing_w04_avi_chosen="Excluded"))</formula>
    </cfRule>
  </conditionalFormatting>
  <conditionalFormatting sqref="T49:W49">
    <cfRule type="expression" dxfId="2878" priority="21">
      <formula>OR((sizing_w05_result="Excluded"),(sizing_w05_avi_chosen="Excluded"))</formula>
    </cfRule>
  </conditionalFormatting>
  <conditionalFormatting sqref="T50:W50">
    <cfRule type="expression" dxfId="2877" priority="20">
      <formula>OR((sizing_w06_result="Excluded"),(sizing_w06_avi_chosen="Excluded"))</formula>
    </cfRule>
  </conditionalFormatting>
  <conditionalFormatting sqref="T51:W51">
    <cfRule type="expression" dxfId="2876" priority="19">
      <formula>OR((sizing_w07_result="Excluded"),(sizing_w07_avi_chosen="Excluded"))</formula>
    </cfRule>
  </conditionalFormatting>
  <conditionalFormatting sqref="T52:W52">
    <cfRule type="expression" dxfId="2875" priority="18">
      <formula>OR((sizing_w08_result="Excluded"),(sizing_w08_avi_chosen="Excluded"))</formula>
    </cfRule>
  </conditionalFormatting>
  <conditionalFormatting sqref="T53:W53">
    <cfRule type="expression" dxfId="2874" priority="17">
      <formula>OR((sizing_w09_result="Excluded"),(sizing_w09_avi_chosen="Excluded"))</formula>
    </cfRule>
  </conditionalFormatting>
  <conditionalFormatting sqref="T54:W54">
    <cfRule type="expression" dxfId="2873" priority="16">
      <formula>OR((sizing_w10_result="Excluded"),(sizing_w10_avi_chosen="Excluded"))</formula>
    </cfRule>
  </conditionalFormatting>
  <conditionalFormatting sqref="T55:W55">
    <cfRule type="expression" dxfId="2872" priority="15">
      <formula>OR((sizing_w11_result="Excluded"),(sizing_w11_avi_chosen="Excluded"))</formula>
    </cfRule>
  </conditionalFormatting>
  <conditionalFormatting sqref="T56:W56">
    <cfRule type="expression" dxfId="2871" priority="14">
      <formula>OR((sizing_w12_result="Excluded"),(sizing_w12_avi_chosen="Excluded"))</formula>
    </cfRule>
  </conditionalFormatting>
  <conditionalFormatting sqref="T57:W57">
    <cfRule type="expression" dxfId="2870" priority="13">
      <formula>OR((sizing_w13_result="Excluded"),(sizing_w13_avi_chosen="Excluded"))</formula>
    </cfRule>
  </conditionalFormatting>
  <conditionalFormatting sqref="T58:W58">
    <cfRule type="expression" dxfId="2869" priority="12">
      <formula>OR((sizing_w14_result="Excluded"),(sizing_w14_avi_chosen="Excluded"))</formula>
    </cfRule>
  </conditionalFormatting>
  <conditionalFormatting sqref="T59:W60">
    <cfRule type="expression" dxfId="2868" priority="10">
      <formula>OR((sizing_w15_result="Excluded"),(sizing_w15_avi_chosen="Excluded"))</formula>
    </cfRule>
  </conditionalFormatting>
  <conditionalFormatting sqref="T61:W61">
    <cfRule type="expression" dxfId="2867" priority="9">
      <formula>OR((sizing_w17_result="Excluded"),(sizing_w17_avi_chosen="Excluded"))</formula>
    </cfRule>
  </conditionalFormatting>
  <conditionalFormatting sqref="T62:W62">
    <cfRule type="expression" dxfId="2866" priority="8">
      <formula>OR((sizing_w18_result="Excluded"),(sizing_w18_avi_chosen="Excluded"))</formula>
    </cfRule>
  </conditionalFormatting>
  <conditionalFormatting sqref="T63:W63">
    <cfRule type="expression" dxfId="2865" priority="7">
      <formula>OR((sizing_w19_result="Excluded"),(sizing_w19_avi_chosen="Excluded"))</formula>
    </cfRule>
  </conditionalFormatting>
  <conditionalFormatting sqref="T64:W64">
    <cfRule type="expression" dxfId="2864" priority="6">
      <formula>OR((sizing_w20_result="Excluded"),(sizing_w20_avi_chosen="Excluded"))</formula>
    </cfRule>
  </conditionalFormatting>
  <conditionalFormatting sqref="T65:W65">
    <cfRule type="expression" dxfId="2863" priority="5">
      <formula>OR((sizing_w21_result="Excluded"),(sizing_w21_avi_chosen="Excluded"))</formula>
    </cfRule>
  </conditionalFormatting>
  <conditionalFormatting sqref="T66:W66">
    <cfRule type="expression" dxfId="2862" priority="4">
      <formula>OR((sizing_w22_result="Excluded"),(sizing_w22_avi_chosen="Excluded"))</formula>
    </cfRule>
  </conditionalFormatting>
  <conditionalFormatting sqref="T67:W67">
    <cfRule type="expression" dxfId="2861" priority="3">
      <formula>OR((sizing_w23_result="Excluded"),(sizing_w23_avi_chosen="Excluded"))</formula>
    </cfRule>
  </conditionalFormatting>
  <conditionalFormatting sqref="T68:W68">
    <cfRule type="expression" dxfId="2860" priority="2">
      <formula>OR((sizing_w24_result="Excluded"),(sizing_w24_avi_chosen="Excluded"))</formula>
    </cfRule>
  </conditionalFormatting>
  <pageMargins left="0.7" right="0.7" top="0.75" bottom="0.75" header="0.3" footer="0.3"/>
  <pageSetup paperSize="9" orientation="portrait" horizontalDpi="0" verticalDpi="0"/>
  <ignoredErrors>
    <ignoredError sqref="C59 F38 T69"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C5D5-2C9F-5548-A1C4-EF4C41EBAECB}">
  <sheetPr codeName="Sheet4">
    <tabColor theme="9"/>
  </sheetPr>
  <dimension ref="A1:P4"/>
  <sheetViews>
    <sheetView workbookViewId="0"/>
  </sheetViews>
  <sheetFormatPr baseColWidth="10" defaultColWidth="10.83203125" defaultRowHeight="16"/>
  <cols>
    <col min="1" max="1" width="33.6640625" style="13" bestFit="1" customWidth="1"/>
    <col min="2" max="15" width="30.83203125" style="13" customWidth="1"/>
    <col min="16" max="16" width="20.83203125" style="13" customWidth="1"/>
    <col min="17" max="17" width="10.83203125" style="13" customWidth="1"/>
    <col min="18" max="16384" width="10.83203125" style="13"/>
  </cols>
  <sheetData>
    <row r="1" spans="1:16">
      <c r="A1" s="13" t="s">
        <v>735</v>
      </c>
      <c r="B1" s="13" t="s">
        <v>1661</v>
      </c>
      <c r="C1" s="13" t="s">
        <v>1662</v>
      </c>
      <c r="D1" s="13" t="s">
        <v>1663</v>
      </c>
      <c r="E1" s="13" t="s">
        <v>1664</v>
      </c>
      <c r="F1" s="13" t="s">
        <v>1665</v>
      </c>
      <c r="G1" s="13" t="s">
        <v>1666</v>
      </c>
      <c r="H1" s="13" t="s">
        <v>1667</v>
      </c>
      <c r="I1" s="13" t="s">
        <v>1668</v>
      </c>
      <c r="J1" s="13" t="s">
        <v>1669</v>
      </c>
      <c r="K1" s="13" t="s">
        <v>1670</v>
      </c>
      <c r="L1" s="13" t="s">
        <v>1671</v>
      </c>
      <c r="M1" s="13" t="s">
        <v>1672</v>
      </c>
      <c r="N1" s="13" t="s">
        <v>1673</v>
      </c>
      <c r="O1" s="13" t="s">
        <v>1674</v>
      </c>
      <c r="P1" s="13" t="s">
        <v>1675</v>
      </c>
    </row>
    <row r="2" spans="1:16">
      <c r="A2" s="13" t="s">
        <v>4898</v>
      </c>
      <c r="B2" t="str">
        <f>IF(AND((mgmt_nsxt_federation_result="Included"),(mgmt_nsxt_federation_chosen&lt;&gt;"Connect Instance")),mgmt_nsxt_gm_vip_fqdn,"n/a")</f>
        <v>n/a</v>
      </c>
      <c r="C2" t="str">
        <f>IF(AND((mgmt_nsxt_federation_result="Included"),(mgmt_nsxt_federation_chosen&lt;&gt;"Connect Instance")),mgmt_nsxt_global_mgra_fqdn,"n/a")</f>
        <v>n/a</v>
      </c>
      <c r="D2" t="str">
        <f>IF(AND((mgmt_nsxt_federation_result="Included"),(mgmt_nsxt_federation_chosen&lt;&gt;"Connect Instance")),mgmt_nsxt_global_mgrb_fqdn,"n/a")</f>
        <v>n/a</v>
      </c>
      <c r="E2" t="str">
        <f>IF(AND((mgmt_nsxt_federation_result="Included"),(mgmt_nsxt_federation_chosen&lt;&gt;"Connect Instance")),mgmt_nsxt_global_mgrc_fqdn,"n/a")</f>
        <v>n/a</v>
      </c>
      <c r="F2"/>
      <c r="G2"/>
      <c r="H2"/>
      <c r="I2"/>
      <c r="J2"/>
      <c r="K2"/>
      <c r="L2"/>
      <c r="M2"/>
      <c r="N2"/>
      <c r="O2"/>
      <c r="P2" t="str">
        <f>IF(AND((mgmt_nsxt_federation_result="Included"),(mgmt_nsxt_federation_chosen&lt;&gt;"Connect Instance")),mgmt_nsxt_gm_hostname,"n/a")</f>
        <v>n/a</v>
      </c>
    </row>
    <row r="3" spans="1:16">
      <c r="B3"/>
      <c r="C3"/>
      <c r="D3"/>
      <c r="E3"/>
      <c r="F3"/>
      <c r="G3"/>
      <c r="H3"/>
      <c r="I3"/>
      <c r="J3"/>
      <c r="K3"/>
      <c r="L3"/>
      <c r="M3"/>
      <c r="N3"/>
      <c r="O3"/>
      <c r="P3"/>
    </row>
    <row r="4" spans="1:16">
      <c r="B4" s="13" t="s">
        <v>1676</v>
      </c>
    </row>
  </sheetData>
  <sheetProtection algorithmName="SHA-512" hashValue="pc6MQ31DdIIQFOGoQAzy2mVy5f1ZsBwl1iWHyMyum3KgpicxU7yeQimzXsAgm/hZ6mGmlv5ozthFnh5zEJEDlQ==" saltValue="KjrXqLRbgG+e4MeG68qrHA==" spinCount="100000" sheet="1" objects="1" scenarios="1"/>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85C4C-85BC-E74D-8F4E-FE2BE7A461EE}">
  <sheetPr codeName="Sheet9">
    <tabColor theme="9"/>
  </sheetPr>
  <dimension ref="A1:J707"/>
  <sheetViews>
    <sheetView showGridLines="0" zoomScaleNormal="100" workbookViewId="0">
      <pane ySplit="4" topLeftCell="A5" activePane="bottomLeft" state="frozen"/>
      <selection pane="bottomLeft"/>
    </sheetView>
  </sheetViews>
  <sheetFormatPr baseColWidth="10" defaultColWidth="11" defaultRowHeight="16"/>
  <cols>
    <col min="1" max="1" width="2.83203125" customWidth="1"/>
    <col min="2" max="2" width="61.83203125" customWidth="1"/>
    <col min="3" max="3" width="100.83203125" hidden="1" customWidth="1"/>
    <col min="4" max="4" width="100.83203125" customWidth="1"/>
    <col min="5" max="5" width="80.83203125" customWidth="1"/>
    <col min="6" max="6" width="10.83203125" customWidth="1"/>
  </cols>
  <sheetData>
    <row r="1" spans="1:10" s="3" customFormat="1" ht="16" customHeight="1">
      <c r="A1" s="6"/>
      <c r="F1"/>
      <c r="G1"/>
      <c r="H1"/>
      <c r="I1"/>
      <c r="J1"/>
    </row>
    <row r="2" spans="1:10" s="3" customFormat="1" ht="54" customHeight="1">
      <c r="B2" s="490"/>
      <c r="C2" s="491"/>
      <c r="D2" s="470" t="s">
        <v>1677</v>
      </c>
      <c r="E2" s="470"/>
      <c r="F2"/>
      <c r="G2"/>
      <c r="H2"/>
      <c r="I2"/>
      <c r="J2"/>
    </row>
    <row r="3" spans="1:10" s="3" customFormat="1" ht="20" customHeight="1">
      <c r="B3" s="341" t="s">
        <v>1678</v>
      </c>
      <c r="C3" s="342"/>
      <c r="D3" s="342"/>
      <c r="E3" s="343"/>
      <c r="F3"/>
      <c r="G3"/>
      <c r="H3"/>
      <c r="I3"/>
      <c r="J3"/>
    </row>
    <row r="4" spans="1:10" s="3" customFormat="1">
      <c r="D4" s="7"/>
      <c r="E4" s="5"/>
      <c r="F4" s="5"/>
    </row>
    <row r="5" spans="1:10" ht="16" customHeight="1"/>
    <row r="6" spans="1:10" ht="34" customHeight="1">
      <c r="B6" s="386" t="s">
        <v>1679</v>
      </c>
      <c r="C6" s="387"/>
      <c r="D6" s="387"/>
      <c r="E6" s="387"/>
    </row>
    <row r="7" spans="1:10" ht="16" customHeight="1"/>
    <row r="8" spans="1:10" ht="34" customHeight="1">
      <c r="B8" s="344" t="s">
        <v>1680</v>
      </c>
      <c r="C8" s="344"/>
      <c r="D8" s="344"/>
      <c r="E8" s="344"/>
    </row>
    <row r="9" spans="1:10" ht="20" customHeight="1">
      <c r="B9" s="8" t="s">
        <v>735</v>
      </c>
      <c r="C9" s="8" t="s">
        <v>554</v>
      </c>
      <c r="D9" s="20" t="s">
        <v>555</v>
      </c>
      <c r="E9" s="8" t="s">
        <v>222</v>
      </c>
    </row>
    <row r="10" spans="1:10" ht="20" customHeight="1">
      <c r="B10" s="21" t="s">
        <v>1681</v>
      </c>
      <c r="C10" s="22" t="str">
        <f>sample_cloudbuilder_target_fqdn</f>
        <v>infra-esx01.rainpole.io</v>
      </c>
      <c r="D10" s="18" t="str">
        <f>cloudbuilder_target_fqdn</f>
        <v>Value Missing</v>
      </c>
      <c r="E10" s="53"/>
    </row>
    <row r="11" spans="1:10" ht="20" customHeight="1">
      <c r="B11" s="21" t="s">
        <v>838</v>
      </c>
      <c r="C11" s="22" t="str">
        <f>sample_cloudbuilder_target_datastore</f>
        <v>infra-vmfs01</v>
      </c>
      <c r="D11" s="18" t="str">
        <f>cloudbuilder_target_datastore</f>
        <v>Value Missing</v>
      </c>
      <c r="E11" s="53"/>
    </row>
    <row r="12" spans="1:10" ht="20" customHeight="1">
      <c r="B12" s="21" t="s">
        <v>1682</v>
      </c>
      <c r="C12" s="22" t="str">
        <f>sample_cloudbuilder_target_network</f>
        <v>infra-portgroup01</v>
      </c>
      <c r="D12" s="18" t="str">
        <f>cloudbuilder_target_network</f>
        <v>Value Missing</v>
      </c>
      <c r="E12" s="53"/>
    </row>
    <row r="13" spans="1:10" ht="20" customHeight="1">
      <c r="B13" s="21" t="s">
        <v>1683</v>
      </c>
      <c r="C13" s="22" t="str">
        <f>sample_cloudbuilder_admin_username</f>
        <v>admin</v>
      </c>
      <c r="D13" s="18" t="str">
        <f>cloudbuilder_admin_username</f>
        <v>Value Missing</v>
      </c>
      <c r="E13" s="53"/>
    </row>
    <row r="14" spans="1:10" ht="20" customHeight="1">
      <c r="B14" s="21" t="s">
        <v>1684</v>
      </c>
      <c r="C14" s="22" t="str">
        <f>sample_cloudbuilder_admin_password</f>
        <v>VMw@re1!VMw@re1!</v>
      </c>
      <c r="D14" s="18" t="str">
        <f>cloudbuilder_admin_password</f>
        <v>Value Missing</v>
      </c>
      <c r="E14" s="53"/>
    </row>
    <row r="15" spans="1:10" ht="20" customHeight="1">
      <c r="B15" s="21" t="s">
        <v>1685</v>
      </c>
      <c r="C15" s="22" t="str">
        <f>sample_cloudbuilder_root_password</f>
        <v>VMw@re1!VMw@re1!</v>
      </c>
      <c r="D15" s="18" t="str">
        <f>cloudbuilder_root_password</f>
        <v>Value Missing</v>
      </c>
      <c r="E15" s="53"/>
    </row>
    <row r="16" spans="1:10" ht="20" customHeight="1">
      <c r="B16" s="21" t="s">
        <v>1686</v>
      </c>
      <c r="C16" s="22" t="str">
        <f>sample_cloudbuilder_hostname</f>
        <v>sfo-cb01</v>
      </c>
      <c r="D16" s="18" t="str">
        <f>cloudbuilder_hostname</f>
        <v>Value Missing</v>
      </c>
      <c r="E16" s="53"/>
    </row>
    <row r="17" spans="2:5" ht="20" customHeight="1">
      <c r="B17" s="21" t="s">
        <v>1687</v>
      </c>
      <c r="C17" s="22" t="str">
        <f>sample_cloudbuilder_ip</f>
        <v>10.11.10.60</v>
      </c>
      <c r="D17" s="18" t="str">
        <f>cloudbuilder_ip</f>
        <v>Value Missing</v>
      </c>
      <c r="E17" s="53"/>
    </row>
    <row r="18" spans="2:5" ht="20" customHeight="1">
      <c r="B18" s="21" t="s">
        <v>1688</v>
      </c>
      <c r="C18" s="22" t="str">
        <f>VLOOKUP(INT(RIGHT(sample_mgmt_az1_mgmt_cidr,LEN(sample_mgmt_az1_mgmt_cidr)-FIND("/",sample_mgmt_az1_mgmt_cidr))),table_cidr_to_mask,2,FALSE)</f>
        <v>255.255.255.0</v>
      </c>
      <c r="D18" s="18" t="str">
        <f>mgmt_az1_mgmt_mask</f>
        <v>Value Missing</v>
      </c>
      <c r="E18" s="53"/>
    </row>
    <row r="19" spans="2:5" ht="20" customHeight="1">
      <c r="B19" s="21" t="s">
        <v>1689</v>
      </c>
      <c r="C19" s="22" t="str">
        <f>sample_mgmt_az1_mgmt_gateway_ip</f>
        <v>10.11.11.1</v>
      </c>
      <c r="D19" s="18" t="str">
        <f>mgmt_az1_vm_gateway_ip</f>
        <v>Value Missing</v>
      </c>
      <c r="E19" s="53"/>
    </row>
    <row r="20" spans="2:5" ht="20" customHeight="1">
      <c r="B20" s="21" t="s">
        <v>1690</v>
      </c>
      <c r="C20" s="22" t="str">
        <f>CONCATENATE(sample_region_dns1_ip,",",sample_region_dns2_ip)</f>
        <v>10.11.10.4,10.11.10.5</v>
      </c>
      <c r="D20" s="18" t="str">
        <f>IF(ISBLANK(input_region_dns1_ip),"Value Missing",region_dns1_ip)&amp;","&amp;IF(ISBLANK(input_region_dns2_ip),"Value Missing",region_dns2_ip)</f>
        <v>Value Missing,Value Missing</v>
      </c>
      <c r="E20" s="53"/>
    </row>
    <row r="21" spans="2:5" ht="20" customHeight="1">
      <c r="B21" s="21" t="s">
        <v>1691</v>
      </c>
      <c r="C21" s="22" t="str">
        <f>sample_child_dns_zone</f>
        <v>sfo.rainpole.io</v>
      </c>
      <c r="D21" s="18" t="str">
        <f>child_dns_zone</f>
        <v>Value Missing</v>
      </c>
      <c r="E21" s="53"/>
    </row>
    <row r="22" spans="2:5" ht="20" customHeight="1">
      <c r="B22" s="21" t="s">
        <v>1692</v>
      </c>
      <c r="C22" s="22" t="str">
        <f>sample_child_dns_zone</f>
        <v>sfo.rainpole.io</v>
      </c>
      <c r="D22" s="18" t="str">
        <f>child_dns_zone</f>
        <v>Value Missing</v>
      </c>
      <c r="E22" s="53"/>
    </row>
    <row r="23" spans="2:5" ht="20" customHeight="1">
      <c r="B23" s="21" t="s">
        <v>1693</v>
      </c>
      <c r="C23" s="22" t="str">
        <f>IF(AND((NOT(ISBLANK(sample_region_ntp2_server))),(sample_region_ntp2_server &lt;&gt; "n/a")),CONCATENATE(sample_region_ntp1_server,",",sample_region_ntp2_server),sample_region_ntp1_server)</f>
        <v>ntp.sfo.rainpole.io</v>
      </c>
      <c r="D23" s="18" t="str">
        <f>IF(AND((NOT(ISBLANK(region_ntp2_server))),(region_ntp2_server &lt;&gt; "n/a"),(region_ntp2_server &lt;&gt; "")),region_ntp1_server&amp;","&amp;region_ntp2_server,region_ntp1_server)</f>
        <v>Value Missing,Value Missing</v>
      </c>
      <c r="E23" s="53"/>
    </row>
    <row r="24" spans="2:5" ht="16" customHeight="1"/>
    <row r="25" spans="2:5" ht="34" customHeight="1">
      <c r="B25" s="344" t="s">
        <v>1694</v>
      </c>
      <c r="C25" s="344"/>
      <c r="D25" s="344"/>
      <c r="E25" s="344"/>
    </row>
    <row r="26" spans="2:5" ht="20" customHeight="1">
      <c r="B26" s="8" t="s">
        <v>735</v>
      </c>
      <c r="C26" s="8" t="s">
        <v>554</v>
      </c>
      <c r="D26" s="20" t="s">
        <v>555</v>
      </c>
      <c r="E26" s="8" t="s">
        <v>222</v>
      </c>
    </row>
    <row r="27" spans="2:5" ht="20" customHeight="1">
      <c r="B27" s="21" t="s">
        <v>1695</v>
      </c>
      <c r="C27" s="22" t="str">
        <f>sample_esxi_root_password</f>
        <v>VMw@re1!</v>
      </c>
      <c r="D27" s="18" t="str">
        <f>esxi_root_password</f>
        <v>Value Missing</v>
      </c>
      <c r="E27" s="53"/>
    </row>
    <row r="28" spans="2:5" ht="16" customHeight="1"/>
    <row r="29" spans="2:5" ht="34" customHeight="1">
      <c r="B29" s="344" t="s">
        <v>1696</v>
      </c>
      <c r="C29" s="344"/>
      <c r="D29" s="344"/>
      <c r="E29" s="344"/>
    </row>
    <row r="30" spans="2:5" ht="20" customHeight="1">
      <c r="B30" s="8" t="s">
        <v>735</v>
      </c>
      <c r="C30" s="8" t="s">
        <v>554</v>
      </c>
      <c r="D30" s="20" t="s">
        <v>555</v>
      </c>
      <c r="E30" s="8" t="s">
        <v>222</v>
      </c>
    </row>
    <row r="31" spans="2:5" ht="20" customHeight="1">
      <c r="B31" s="21" t="s">
        <v>1695</v>
      </c>
      <c r="C31" s="22" t="str">
        <f>sample_esxi_root_password</f>
        <v>VMw@re1!</v>
      </c>
      <c r="D31" s="18" t="str">
        <f>esxi_root_password</f>
        <v>Value Missing</v>
      </c>
      <c r="E31" s="53"/>
    </row>
    <row r="32" spans="2:5" ht="20" customHeight="1">
      <c r="B32" s="21" t="s">
        <v>1697</v>
      </c>
      <c r="C32" s="22" t="str">
        <f>sample_mgmt_az1_mgmt_vlan</f>
        <v>1111</v>
      </c>
      <c r="D32" s="18" t="str">
        <f>mgmt_az1_mgmt_vlan</f>
        <v>Value Missing</v>
      </c>
      <c r="E32" s="53"/>
    </row>
    <row r="33" spans="2:5" ht="20" customHeight="1">
      <c r="B33" s="21" t="s">
        <v>1698</v>
      </c>
      <c r="C33" s="22" t="str">
        <f>sample_mgmt_az1_host1_mgmt_ip</f>
        <v>10.11.11.101</v>
      </c>
      <c r="D33" s="18" t="str">
        <f>mgmt_az1_host1_mgmt_ip</f>
        <v>Value Missing</v>
      </c>
      <c r="E33" s="53"/>
    </row>
    <row r="34" spans="2:5" ht="20" customHeight="1">
      <c r="B34" s="21" t="s">
        <v>1699</v>
      </c>
      <c r="C34" s="22" t="str">
        <f>sample_mgmt_az1_host2_mgmt_ip</f>
        <v>10.11.11.102</v>
      </c>
      <c r="D34" s="18" t="str">
        <f>mgmt_az1_host2_mgmt_ip</f>
        <v>Value Missing</v>
      </c>
      <c r="E34" s="53"/>
    </row>
    <row r="35" spans="2:5" ht="20" customHeight="1">
      <c r="B35" s="21" t="s">
        <v>1700</v>
      </c>
      <c r="C35" s="22" t="str">
        <f>sample_mgmt_az1_host3_mgmt_ip</f>
        <v>10.11.11.103</v>
      </c>
      <c r="D35" s="18" t="str">
        <f>mgmt_az1_host3_mgmt_ip</f>
        <v>Value Missing</v>
      </c>
      <c r="E35" s="53"/>
    </row>
    <row r="36" spans="2:5" ht="20" customHeight="1">
      <c r="B36" s="21" t="s">
        <v>1701</v>
      </c>
      <c r="C36" s="22" t="str">
        <f>sample_mgmt_az1_host4_mgmt_ip</f>
        <v>10.11.11.104</v>
      </c>
      <c r="D36" s="18" t="str">
        <f>mgmt_az1_host4_mgmt_ip</f>
        <v>Value Missing</v>
      </c>
      <c r="E36" s="53"/>
    </row>
    <row r="37" spans="2:5" ht="20" customHeight="1">
      <c r="B37" s="21" t="s">
        <v>1702</v>
      </c>
      <c r="C37" s="22" t="str">
        <f>VLOOKUP(INT(RIGHT(sample_mgmt_az1_mgmt_cidr,LEN(sample_mgmt_az1_mgmt_cidr)-FIND("/",sample_mgmt_az1_mgmt_cidr))),table_cidr_to_mask,2,FALSE)</f>
        <v>255.255.255.0</v>
      </c>
      <c r="D37" s="18" t="str">
        <f>mgmt_az1_mgmt_mask</f>
        <v>Value Missing</v>
      </c>
      <c r="E37" s="53"/>
    </row>
    <row r="38" spans="2:5" ht="20" customHeight="1">
      <c r="B38" s="21" t="s">
        <v>1689</v>
      </c>
      <c r="C38" s="22" t="str">
        <f>sample_mgmt_az1_mgmt_gateway_ip</f>
        <v>10.11.11.1</v>
      </c>
      <c r="D38" s="18" t="str">
        <f>mgmt_az1_mgmt_gateway_ip</f>
        <v>Value Missing</v>
      </c>
      <c r="E38" s="53"/>
    </row>
    <row r="39" spans="2:5" ht="20" customHeight="1">
      <c r="B39" s="21" t="s">
        <v>1703</v>
      </c>
      <c r="C39" s="22" t="str">
        <f>sample_region_dns1_ip</f>
        <v>10.11.10.4</v>
      </c>
      <c r="D39" s="18" t="str">
        <f>region_dns1_ip</f>
        <v>Value Missing</v>
      </c>
      <c r="E39" s="53"/>
    </row>
    <row r="40" spans="2:5" ht="20" customHeight="1">
      <c r="B40" s="21" t="s">
        <v>1704</v>
      </c>
      <c r="C40" s="22" t="str">
        <f>sample_region_dns2_ip</f>
        <v>10.11.10.5</v>
      </c>
      <c r="D40" s="18" t="str">
        <f>region_dns2_ip</f>
        <v>Value Missing</v>
      </c>
      <c r="E40" s="53"/>
    </row>
    <row r="41" spans="2:5" ht="20" customHeight="1">
      <c r="B41" s="21" t="s">
        <v>1705</v>
      </c>
      <c r="C41" s="22" t="str">
        <f>sample_mgmt_az1_host1_hostname</f>
        <v>sfo01-m01-r01-esx01</v>
      </c>
      <c r="D41" s="18" t="str">
        <f>mgmt_az1_host1_hostname</f>
        <v>Value Missing</v>
      </c>
      <c r="E41" s="53"/>
    </row>
    <row r="42" spans="2:5" ht="20" customHeight="1">
      <c r="B42" s="21" t="s">
        <v>1706</v>
      </c>
      <c r="C42" s="22" t="str">
        <f>sample_mgmt_az1_host2_hostname</f>
        <v>sfo01-m01-r01-esx02</v>
      </c>
      <c r="D42" s="18" t="str">
        <f>mgmt_az1_host2_hostname</f>
        <v>Value Missing</v>
      </c>
      <c r="E42" s="53"/>
    </row>
    <row r="43" spans="2:5" ht="20" customHeight="1">
      <c r="B43" s="21" t="s">
        <v>1707</v>
      </c>
      <c r="C43" s="22" t="str">
        <f>sample_mgmt_az1_host3_hostname</f>
        <v>sfo01-m01-r01-esx03</v>
      </c>
      <c r="D43" s="18" t="str">
        <f>mgmt_az1_host3_hostname</f>
        <v>Value Missing</v>
      </c>
      <c r="E43" s="53"/>
    </row>
    <row r="44" spans="2:5" ht="20" customHeight="1">
      <c r="B44" s="52" t="s">
        <v>1708</v>
      </c>
      <c r="C44" s="22" t="str">
        <f>sample_mgmt_az1_host4_hostname</f>
        <v>sfo01-m01-r01-esx04</v>
      </c>
      <c r="D44" s="18" t="str">
        <f>mgmt_az1_host4_hostname</f>
        <v>Value Missing</v>
      </c>
      <c r="E44" s="53"/>
    </row>
    <row r="45" spans="2:5" ht="16" customHeight="1"/>
    <row r="46" spans="2:5" ht="34" customHeight="1">
      <c r="B46" s="344" t="s">
        <v>1709</v>
      </c>
      <c r="C46" s="344"/>
      <c r="D46" s="344"/>
      <c r="E46" s="344"/>
    </row>
    <row r="47" spans="2:5" ht="20" customHeight="1">
      <c r="B47" s="8" t="s">
        <v>735</v>
      </c>
      <c r="C47" s="8" t="s">
        <v>554</v>
      </c>
      <c r="D47" s="20" t="s">
        <v>555</v>
      </c>
      <c r="E47" s="8" t="s">
        <v>222</v>
      </c>
    </row>
    <row r="48" spans="2:5" ht="20" customHeight="1">
      <c r="B48" s="52" t="s">
        <v>1710</v>
      </c>
      <c r="C48" s="22" t="str">
        <f>sample_mgmt_az1_host1_hostname</f>
        <v>sfo01-m01-r01-esx01</v>
      </c>
      <c r="D48" s="18" t="str">
        <f>mgmt_az1_host1_hostname</f>
        <v>Value Missing</v>
      </c>
      <c r="E48" s="53"/>
    </row>
    <row r="49" spans="2:5" ht="20" customHeight="1">
      <c r="B49" s="52" t="s">
        <v>1711</v>
      </c>
      <c r="C49" s="22" t="str">
        <f>sample_mgmt_az1_host2_hostname</f>
        <v>sfo01-m01-r01-esx02</v>
      </c>
      <c r="D49" s="18" t="str">
        <f>mgmt_az1_host2_hostname</f>
        <v>Value Missing</v>
      </c>
      <c r="E49" s="53"/>
    </row>
    <row r="50" spans="2:5" ht="20" customHeight="1">
      <c r="B50" s="52" t="s">
        <v>1712</v>
      </c>
      <c r="C50" s="22" t="str">
        <f>sample_mgmt_az1_host3_hostname</f>
        <v>sfo01-m01-r01-esx03</v>
      </c>
      <c r="D50" s="18" t="str">
        <f>mgmt_az1_host3_hostname</f>
        <v>Value Missing</v>
      </c>
      <c r="E50" s="53"/>
    </row>
    <row r="51" spans="2:5" ht="20" customHeight="1">
      <c r="B51" s="52" t="s">
        <v>1713</v>
      </c>
      <c r="C51" s="22" t="str">
        <f>sample_mgmt_az1_host4_hostname</f>
        <v>sfo01-m01-r01-esx04</v>
      </c>
      <c r="D51" s="18" t="str">
        <f>mgmt_az1_host4_hostname</f>
        <v>Value Missing</v>
      </c>
      <c r="E51" s="53"/>
    </row>
    <row r="52" spans="2:5" ht="20" customHeight="1">
      <c r="B52" s="52" t="s">
        <v>3466</v>
      </c>
      <c r="C52" s="22" t="str">
        <f>sample_mgmt_az1_mgmt_vlan</f>
        <v>1111</v>
      </c>
      <c r="D52" s="18" t="str">
        <f>mgmt_az1_mgmt_vlan</f>
        <v>Value Missing</v>
      </c>
      <c r="E52" s="53"/>
    </row>
    <row r="53" spans="2:5" ht="16" customHeight="1"/>
    <row r="54" spans="2:5" ht="34" customHeight="1">
      <c r="B54" s="344" t="s">
        <v>1714</v>
      </c>
      <c r="C54" s="344"/>
      <c r="D54" s="344"/>
      <c r="E54" s="344"/>
    </row>
    <row r="55" spans="2:5" ht="20" customHeight="1">
      <c r="B55" s="8" t="s">
        <v>735</v>
      </c>
      <c r="C55" s="8" t="s">
        <v>554</v>
      </c>
      <c r="D55" s="20" t="s">
        <v>555</v>
      </c>
      <c r="E55" s="8" t="s">
        <v>222</v>
      </c>
    </row>
    <row r="56" spans="2:5" ht="20" customHeight="1">
      <c r="B56" s="52" t="s">
        <v>1710</v>
      </c>
      <c r="C56" s="22" t="str">
        <f>sample_mgmt_az1_host1_hostname</f>
        <v>sfo01-m01-r01-esx01</v>
      </c>
      <c r="D56" s="18" t="str">
        <f>mgmt_az1_host1_hostname</f>
        <v>Value Missing</v>
      </c>
      <c r="E56" s="53"/>
    </row>
    <row r="57" spans="2:5" ht="20" customHeight="1">
      <c r="B57" s="52" t="s">
        <v>1711</v>
      </c>
      <c r="C57" s="22" t="str">
        <f>sample_mgmt_az1_host2_hostname</f>
        <v>sfo01-m01-r01-esx02</v>
      </c>
      <c r="D57" s="18" t="str">
        <f>mgmt_az1_host2_hostname</f>
        <v>Value Missing</v>
      </c>
      <c r="E57" s="53"/>
    </row>
    <row r="58" spans="2:5" ht="20" customHeight="1">
      <c r="B58" s="52" t="s">
        <v>1712</v>
      </c>
      <c r="C58" s="22" t="str">
        <f>sample_mgmt_az1_host3_hostname</f>
        <v>sfo01-m01-r01-esx03</v>
      </c>
      <c r="D58" s="18" t="str">
        <f>mgmt_az1_host3_hostname</f>
        <v>Value Missing</v>
      </c>
      <c r="E58" s="53"/>
    </row>
    <row r="59" spans="2:5" ht="20" customHeight="1">
      <c r="B59" s="52" t="s">
        <v>1715</v>
      </c>
      <c r="C59" s="22" t="str">
        <f>sample_mgmt_az1_host4_hostname</f>
        <v>sfo01-m01-r01-esx04</v>
      </c>
      <c r="D59" s="18" t="str">
        <f>mgmt_az1_host4_hostname</f>
        <v>Value Missing</v>
      </c>
      <c r="E59" s="53"/>
    </row>
    <row r="60" spans="2:5" ht="20" customHeight="1">
      <c r="B60" s="52" t="s">
        <v>1716</v>
      </c>
      <c r="C60" s="22" t="str">
        <f>IF(AND((NOT(ISBLANK(sample_region_ntp2_server))),(sample_region_ntp2_server &lt;&gt; "n/a")),CONCATENATE(sample_region_ntp1_server,",",sample_region_ntp2_server),sample_region_ntp1_server)</f>
        <v>ntp.sfo.rainpole.io</v>
      </c>
      <c r="D60" s="18" t="str">
        <f>IF(AND((NOT(ISBLANK(region_ntp2_server))),(region_ntp2_server &lt;&gt; "n/a"),(region_ntp2_server &lt;&gt; "")),region_ntp1_server&amp;","&amp;region_ntp2_server,region_ntp1_server)</f>
        <v>Value Missing,Value Missing</v>
      </c>
      <c r="E60" s="53"/>
    </row>
    <row r="61" spans="2:5" ht="16" customHeight="1"/>
    <row r="62" spans="2:5" ht="34" customHeight="1">
      <c r="B62" s="344" t="s">
        <v>1717</v>
      </c>
      <c r="C62" s="344"/>
      <c r="D62" s="344"/>
      <c r="E62" s="344"/>
    </row>
    <row r="63" spans="2:5" ht="20" customHeight="1">
      <c r="B63" s="8" t="s">
        <v>735</v>
      </c>
      <c r="C63" s="8" t="s">
        <v>554</v>
      </c>
      <c r="D63" s="20" t="s">
        <v>555</v>
      </c>
      <c r="E63" s="8" t="s">
        <v>222</v>
      </c>
    </row>
    <row r="64" spans="2:5" ht="20" customHeight="1">
      <c r="B64" s="52" t="s">
        <v>1718</v>
      </c>
      <c r="C64" s="22" t="str">
        <f>sample_mgmt_az1_host1_hostname</f>
        <v>sfo01-m01-r01-esx01</v>
      </c>
      <c r="D64" s="18" t="str">
        <f>mgmt_az1_host1_hostname</f>
        <v>Value Missing</v>
      </c>
      <c r="E64" s="53"/>
    </row>
    <row r="65" spans="2:5" ht="20" customHeight="1">
      <c r="B65" s="52" t="s">
        <v>1711</v>
      </c>
      <c r="C65" s="22" t="str">
        <f>sample_mgmt_az1_host2_hostname</f>
        <v>sfo01-m01-r01-esx02</v>
      </c>
      <c r="D65" s="18" t="str">
        <f>mgmt_az1_host2_hostname</f>
        <v>Value Missing</v>
      </c>
      <c r="E65" s="53"/>
    </row>
    <row r="66" spans="2:5" ht="20" customHeight="1">
      <c r="B66" s="52" t="s">
        <v>1712</v>
      </c>
      <c r="C66" s="22" t="str">
        <f>sample_mgmt_az1_host3_hostname</f>
        <v>sfo01-m01-r01-esx03</v>
      </c>
      <c r="D66" s="18" t="str">
        <f>mgmt_az1_host3_hostname</f>
        <v>Value Missing</v>
      </c>
      <c r="E66" s="53"/>
    </row>
    <row r="67" spans="2:5" ht="20" customHeight="1">
      <c r="B67" s="52" t="s">
        <v>1715</v>
      </c>
      <c r="C67" s="22" t="str">
        <f>sample_mgmt_az1_host4_hostname</f>
        <v>sfo01-m01-r01-esx04</v>
      </c>
      <c r="D67" s="18" t="str">
        <f>mgmt_az1_host4_hostname</f>
        <v>Value Missing</v>
      </c>
      <c r="E67" s="53"/>
    </row>
    <row r="68" spans="2:5" ht="16" customHeight="1"/>
    <row r="69" spans="2:5" ht="34" customHeight="1">
      <c r="B69" s="344" t="s">
        <v>1719</v>
      </c>
      <c r="C69" s="344"/>
      <c r="D69" s="344"/>
      <c r="E69" s="344"/>
    </row>
    <row r="70" spans="2:5" ht="20" customHeight="1">
      <c r="B70" s="8" t="s">
        <v>735</v>
      </c>
      <c r="C70" s="8" t="s">
        <v>554</v>
      </c>
      <c r="D70" s="20" t="s">
        <v>555</v>
      </c>
      <c r="E70" s="8" t="s">
        <v>222</v>
      </c>
    </row>
    <row r="71" spans="2:5" ht="20" customHeight="1">
      <c r="B71" s="52" t="s">
        <v>1718</v>
      </c>
      <c r="C71" s="22" t="str">
        <f>sample_mgmt_az1_host1_hostname</f>
        <v>sfo01-m01-r01-esx01</v>
      </c>
      <c r="D71" s="18" t="str">
        <f>mgmt_az1_host1_hostname</f>
        <v>Value Missing</v>
      </c>
      <c r="E71" s="53"/>
    </row>
    <row r="72" spans="2:5" ht="20" customHeight="1">
      <c r="B72" s="52" t="s">
        <v>1711</v>
      </c>
      <c r="C72" s="22" t="str">
        <f>sample_mgmt_az1_host2_hostname</f>
        <v>sfo01-m01-r01-esx02</v>
      </c>
      <c r="D72" s="18" t="str">
        <f>mgmt_az1_host2_hostname</f>
        <v>Value Missing</v>
      </c>
      <c r="E72" s="53"/>
    </row>
    <row r="73" spans="2:5" ht="20" customHeight="1">
      <c r="B73" s="52" t="s">
        <v>1720</v>
      </c>
      <c r="C73" s="22" t="str">
        <f>sample_mgmt_az1_host3_hostname</f>
        <v>sfo01-m01-r01-esx03</v>
      </c>
      <c r="D73" s="18" t="str">
        <f>mgmt_az1_host3_hostname</f>
        <v>Value Missing</v>
      </c>
      <c r="E73" s="53"/>
    </row>
    <row r="74" spans="2:5" ht="20" customHeight="1">
      <c r="B74" s="52" t="s">
        <v>1713</v>
      </c>
      <c r="C74" s="22" t="str">
        <f>sample_mgmt_az1_host4_hostname</f>
        <v>sfo01-m01-r01-esx04</v>
      </c>
      <c r="D74" s="18" t="str">
        <f>mgmt_az1_host4_hostname</f>
        <v>Value Missing</v>
      </c>
      <c r="E74" s="53"/>
    </row>
    <row r="75" spans="2:5" ht="16" customHeight="1"/>
    <row r="76" spans="2:5" ht="34" customHeight="1">
      <c r="B76" s="344" t="s">
        <v>1721</v>
      </c>
      <c r="C76" s="344"/>
      <c r="D76" s="344"/>
      <c r="E76" s="344"/>
    </row>
    <row r="77" spans="2:5" ht="20" customHeight="1">
      <c r="B77" s="8" t="s">
        <v>735</v>
      </c>
      <c r="C77" s="8" t="s">
        <v>554</v>
      </c>
      <c r="D77" s="20" t="s">
        <v>555</v>
      </c>
      <c r="E77" s="8" t="s">
        <v>222</v>
      </c>
    </row>
    <row r="78" spans="2:5" ht="20" customHeight="1">
      <c r="B78" s="52" t="s">
        <v>1722</v>
      </c>
      <c r="C78" s="22" t="str">
        <f>sample_cloudbuilder_ip</f>
        <v>10.11.10.60</v>
      </c>
      <c r="D78" s="18" t="str">
        <f>cloudbuilder_ip</f>
        <v>Value Missing</v>
      </c>
      <c r="E78" s="53"/>
    </row>
    <row r="79" spans="2:5" ht="20" customHeight="1">
      <c r="B79" s="21" t="s">
        <v>1683</v>
      </c>
      <c r="C79" s="22" t="str">
        <f>sample_cloudbuilder_admin_username</f>
        <v>admin</v>
      </c>
      <c r="D79" s="18" t="str">
        <f>cloudbuilder_admin_username</f>
        <v>Value Missing</v>
      </c>
      <c r="E79" s="53"/>
    </row>
    <row r="80" spans="2:5" ht="20" customHeight="1">
      <c r="B80" s="21" t="s">
        <v>1684</v>
      </c>
      <c r="C80" s="22" t="str">
        <f>sample_cloudbuilder_admin_password</f>
        <v>VMw@re1!VMw@re1!</v>
      </c>
      <c r="D80" s="18" t="str">
        <f>cloudbuilder_admin_password</f>
        <v>Value Missing</v>
      </c>
      <c r="E80" s="53"/>
    </row>
    <row r="81" spans="2:5" ht="16" customHeight="1"/>
    <row r="82" spans="2:5" ht="34" customHeight="1">
      <c r="B82" s="344" t="s">
        <v>1723</v>
      </c>
      <c r="C82" s="344"/>
      <c r="D82" s="344"/>
      <c r="E82" s="344"/>
    </row>
    <row r="83" spans="2:5" ht="20" customHeight="1">
      <c r="B83" s="492" t="s">
        <v>1724</v>
      </c>
      <c r="C83" s="493"/>
      <c r="D83" s="493"/>
      <c r="E83" s="494"/>
    </row>
    <row r="84" spans="2:5" ht="20" customHeight="1">
      <c r="B84" s="472" t="s">
        <v>639</v>
      </c>
      <c r="C84" s="472"/>
      <c r="D84" s="472"/>
      <c r="E84" s="472"/>
    </row>
    <row r="85" spans="2:5" ht="20" customHeight="1">
      <c r="B85" s="8" t="s">
        <v>735</v>
      </c>
      <c r="C85" s="8" t="s">
        <v>554</v>
      </c>
      <c r="D85" s="20" t="s">
        <v>555</v>
      </c>
      <c r="E85" s="8" t="s">
        <v>222</v>
      </c>
    </row>
    <row r="86" spans="2:5" ht="20" customHeight="1">
      <c r="B86" s="52" t="s">
        <v>1352</v>
      </c>
      <c r="C86" s="89" t="str">
        <f>sample_esxi_root_password</f>
        <v>VMw@re1!</v>
      </c>
      <c r="D86" s="18" t="str">
        <f>esxi_root_password</f>
        <v>Value Missing</v>
      </c>
      <c r="E86" s="90"/>
    </row>
    <row r="87" spans="2:5" ht="20" customHeight="1">
      <c r="B87" s="472" t="s">
        <v>637</v>
      </c>
      <c r="C87" s="472"/>
      <c r="D87" s="472"/>
      <c r="E87" s="472"/>
    </row>
    <row r="88" spans="2:5" ht="20" customHeight="1">
      <c r="B88" s="8" t="s">
        <v>735</v>
      </c>
      <c r="C88" s="8" t="s">
        <v>554</v>
      </c>
      <c r="D88" s="20" t="s">
        <v>555</v>
      </c>
      <c r="E88" s="8" t="s">
        <v>222</v>
      </c>
    </row>
    <row r="89" spans="2:5" ht="20" customHeight="1">
      <c r="B89" s="52" t="s">
        <v>1045</v>
      </c>
      <c r="C89" s="89" t="str">
        <f>sample_administrator_vsphere_local_password</f>
        <v>VMw@re1!</v>
      </c>
      <c r="D89" s="18" t="str">
        <f>_xlfn.SINGLE(administrator_vsphere_local_password)</f>
        <v>Value Missing</v>
      </c>
      <c r="E89" s="90"/>
    </row>
    <row r="90" spans="2:5" ht="20" customHeight="1">
      <c r="B90" s="52" t="s">
        <v>1352</v>
      </c>
      <c r="C90" s="89" t="str">
        <f>sample_vcenter_root_password</f>
        <v>VMw@re1!</v>
      </c>
      <c r="D90" s="18" t="str">
        <f>vcenter_root_password</f>
        <v>Value Missing</v>
      </c>
      <c r="E90" s="90"/>
    </row>
    <row r="91" spans="2:5" ht="20" customHeight="1">
      <c r="B91" s="472" t="s">
        <v>648</v>
      </c>
      <c r="C91" s="472"/>
      <c r="D91" s="472"/>
      <c r="E91" s="472"/>
    </row>
    <row r="92" spans="2:5" ht="20" customHeight="1">
      <c r="B92" s="8" t="s">
        <v>735</v>
      </c>
      <c r="C92" s="8" t="s">
        <v>554</v>
      </c>
      <c r="D92" s="20" t="s">
        <v>555</v>
      </c>
      <c r="E92" s="8" t="s">
        <v>222</v>
      </c>
    </row>
    <row r="93" spans="2:5" ht="20" customHeight="1">
      <c r="B93" s="52" t="s">
        <v>1352</v>
      </c>
      <c r="C93" s="89" t="str">
        <f>sample_nsxt_lm_root_password</f>
        <v>VMw@re1!VMw@re1!</v>
      </c>
      <c r="D93" s="18" t="str">
        <f>nsxt_lm_root_password</f>
        <v>Value Missing</v>
      </c>
      <c r="E93" s="90"/>
    </row>
    <row r="94" spans="2:5" ht="20" customHeight="1">
      <c r="B94" s="52" t="s">
        <v>746</v>
      </c>
      <c r="C94" s="89" t="str">
        <f>sample_nsxt_lm_admin_password</f>
        <v>VMw@re1!VMw@re1!</v>
      </c>
      <c r="D94" s="18" t="str">
        <f>nsxt_lm_admin_password</f>
        <v>Value Missing</v>
      </c>
      <c r="E94" s="90"/>
    </row>
    <row r="95" spans="2:5" ht="20" customHeight="1">
      <c r="B95" s="52" t="s">
        <v>1725</v>
      </c>
      <c r="C95" s="89" t="str">
        <f>sample_nsxt_lm_audit_password</f>
        <v>VMw@re1!VMw@re1!</v>
      </c>
      <c r="D95" s="18" t="str">
        <f>nsxt_lm_audit_password</f>
        <v>Value Missing</v>
      </c>
      <c r="E95" s="90"/>
    </row>
    <row r="96" spans="2:5" ht="20" customHeight="1">
      <c r="B96" s="472" t="s">
        <v>353</v>
      </c>
      <c r="C96" s="472"/>
      <c r="D96" s="472"/>
      <c r="E96" s="472"/>
    </row>
    <row r="97" spans="2:5" ht="20" customHeight="1">
      <c r="B97" s="8" t="s">
        <v>735</v>
      </c>
      <c r="C97" s="8" t="s">
        <v>554</v>
      </c>
      <c r="D97" s="20" t="s">
        <v>555</v>
      </c>
      <c r="E97" s="8" t="s">
        <v>222</v>
      </c>
    </row>
    <row r="98" spans="2:5" ht="20" customHeight="1">
      <c r="B98" s="52" t="s">
        <v>1352</v>
      </c>
      <c r="C98" s="89" t="str">
        <f>sample_sddc_mgr_root_password</f>
        <v>VMw@re1!VMw@re1!</v>
      </c>
      <c r="D98" s="18" t="str">
        <f>sddc_mgr_root_password</f>
        <v>Value Missing</v>
      </c>
      <c r="E98" s="90"/>
    </row>
    <row r="99" spans="2:5" ht="20" customHeight="1">
      <c r="B99" s="52" t="s">
        <v>1726</v>
      </c>
      <c r="C99" s="89" t="str">
        <f>sample_sddc_mgr_vcf_password</f>
        <v>VMw@re1!VMw@re1!</v>
      </c>
      <c r="D99" s="18" t="str">
        <f>sddc_mgr_vcf_password</f>
        <v>Value Missing</v>
      </c>
      <c r="E99" s="90"/>
    </row>
    <row r="100" spans="2:5" ht="20" customHeight="1">
      <c r="B100" s="52" t="s">
        <v>1727</v>
      </c>
      <c r="C100" s="89" t="str">
        <f>sample_sddc_mgr_admin_local_password</f>
        <v>VMw@re1!VMw@re1!</v>
      </c>
      <c r="D100" s="18" t="str">
        <f>sddc_mgr_admin_local_password</f>
        <v>Value Missing</v>
      </c>
      <c r="E100" s="90"/>
    </row>
    <row r="101" spans="2:5" ht="20" customHeight="1">
      <c r="B101" s="492" t="s">
        <v>1728</v>
      </c>
      <c r="C101" s="493"/>
      <c r="D101" s="493"/>
      <c r="E101" s="494"/>
    </row>
    <row r="102" spans="2:5" ht="20" customHeight="1">
      <c r="B102" s="472" t="s">
        <v>1729</v>
      </c>
      <c r="C102" s="472"/>
      <c r="D102" s="472"/>
      <c r="E102" s="472"/>
    </row>
    <row r="103" spans="2:5" ht="20" customHeight="1">
      <c r="B103" s="8" t="s">
        <v>735</v>
      </c>
      <c r="C103" s="8" t="s">
        <v>554</v>
      </c>
      <c r="D103" s="20" t="s">
        <v>555</v>
      </c>
      <c r="E103" s="8" t="s">
        <v>222</v>
      </c>
    </row>
    <row r="104" spans="2:5" ht="20" customHeight="1">
      <c r="B104" s="52" t="s">
        <v>3473</v>
      </c>
      <c r="C104" s="89" t="str">
        <f>sample_mgmt_az1_mgmt_vm_vlan</f>
        <v>1110</v>
      </c>
      <c r="D104" s="18" t="str">
        <f>mgmt_az1_mgmt_vm_vlan</f>
        <v>Value Missing</v>
      </c>
      <c r="E104" s="90"/>
    </row>
    <row r="105" spans="2:5" ht="20" customHeight="1">
      <c r="B105" s="52" t="s">
        <v>1730</v>
      </c>
      <c r="C105" s="89" t="str">
        <f>sample_mgmt_az1_mgmt_vlan</f>
        <v>1111</v>
      </c>
      <c r="D105" s="18" t="str">
        <f>mgmt_az1_mgmt_vlan</f>
        <v>Value Missing</v>
      </c>
      <c r="E105" s="90"/>
    </row>
    <row r="106" spans="2:5" ht="20" customHeight="1">
      <c r="B106" s="52" t="s">
        <v>1731</v>
      </c>
      <c r="C106" s="89" t="str">
        <f>sample_mgmt_az1_vmotion_vlan</f>
        <v>1112</v>
      </c>
      <c r="D106" s="18" t="str">
        <f>mgmt_az1_vmotion_vlan</f>
        <v>Value Missing</v>
      </c>
      <c r="E106" s="90"/>
    </row>
    <row r="107" spans="2:5" ht="20" customHeight="1">
      <c r="B107" s="52" t="s">
        <v>1732</v>
      </c>
      <c r="C107" s="89" t="str">
        <f>sample_mgmt_az1_vsan_vlan</f>
        <v>1113</v>
      </c>
      <c r="D107" s="18" t="str">
        <f>mgmt_az1_vsan_vlan</f>
        <v>Value Missing</v>
      </c>
      <c r="E107" s="90"/>
    </row>
    <row r="108" spans="2:5" ht="20" customHeight="1">
      <c r="B108" s="52" t="s">
        <v>4942</v>
      </c>
      <c r="C108" s="89"/>
      <c r="D108" s="18" t="str">
        <f>mgmt_cl01_az1_mgmt_vm_pg</f>
        <v>Value Missing</v>
      </c>
      <c r="E108" s="90"/>
    </row>
    <row r="109" spans="2:5" ht="20" customHeight="1">
      <c r="B109" s="52" t="s">
        <v>1733</v>
      </c>
      <c r="C109" s="89" t="str">
        <f>sample_mgmt_cl01_az1_mgmt_pg</f>
        <v>sfo-m01-cl01-vds01-pg-esxi-mgmt</v>
      </c>
      <c r="D109" s="18" t="str">
        <f>mgmt_cl01_az1_mgmt_pg</f>
        <v>Value Missing</v>
      </c>
      <c r="E109" s="90"/>
    </row>
    <row r="110" spans="2:5" ht="20" customHeight="1">
      <c r="B110" s="52" t="s">
        <v>1734</v>
      </c>
      <c r="C110" s="89" t="str">
        <f>sample_mgmt_cl01_az1_vmotion_pg</f>
        <v>sfo-m01-cl01-vds01-pg-vmotion</v>
      </c>
      <c r="D110" s="18" t="str">
        <f>mgmt_cl01_az1_vmotion_pg</f>
        <v>Value Missing</v>
      </c>
      <c r="E110" s="90"/>
    </row>
    <row r="111" spans="2:5" ht="20" customHeight="1">
      <c r="B111" s="52" t="s">
        <v>1735</v>
      </c>
      <c r="C111" s="89" t="str">
        <f>sample_mgmt_cl01_az1_vsan_pg</f>
        <v>sfo-m01-cl01-vds01-pg-vsan</v>
      </c>
      <c r="D111" s="18" t="str">
        <f>mgmt_cl01_az1_vsan_pg</f>
        <v>Value Missing</v>
      </c>
      <c r="E111" s="90"/>
    </row>
    <row r="112" spans="2:5" ht="20" customHeight="1">
      <c r="B112" s="52" t="s">
        <v>1736</v>
      </c>
      <c r="C112" s="89" t="str">
        <f>sample_mgmt_az1_mgmt_cidr</f>
        <v>10.11.11.0/24</v>
      </c>
      <c r="D112" s="18" t="str">
        <f>mgmt_az1_mgmt_cidr</f>
        <v>Value Missing</v>
      </c>
      <c r="E112" s="90"/>
    </row>
    <row r="113" spans="2:5" ht="20" customHeight="1">
      <c r="B113" s="52" t="s">
        <v>1737</v>
      </c>
      <c r="C113" s="89" t="str">
        <f>sample_mgmt_az1_vmotion_cidr</f>
        <v>10.11.12.0/24</v>
      </c>
      <c r="D113" s="18" t="str">
        <f>mgmt_az1_vmotion_cidr</f>
        <v>Value Missing</v>
      </c>
      <c r="E113" s="90"/>
    </row>
    <row r="114" spans="2:5" ht="20" customHeight="1">
      <c r="B114" s="52" t="s">
        <v>1738</v>
      </c>
      <c r="C114" s="89" t="str">
        <f>sample_mgmt_az1_vsan_cidr</f>
        <v>10.11.13.0/24</v>
      </c>
      <c r="D114" s="18" t="str">
        <f>mgmt_az1_vsan_cidr</f>
        <v>Value Missing</v>
      </c>
      <c r="E114" s="90"/>
    </row>
    <row r="115" spans="2:5" ht="20" customHeight="1">
      <c r="B115" s="52" t="s">
        <v>1739</v>
      </c>
      <c r="C115" s="89" t="str">
        <f>sample_mgmt_az1_mgmt_gateway_ip</f>
        <v>10.11.11.1</v>
      </c>
      <c r="D115" s="18" t="str">
        <f>mgmt_az1_mgmt_gateway_ip</f>
        <v>Value Missing</v>
      </c>
      <c r="E115" s="90"/>
    </row>
    <row r="116" spans="2:5" ht="20" customHeight="1">
      <c r="B116" s="52" t="s">
        <v>1740</v>
      </c>
      <c r="C116" s="89" t="str">
        <f>sample_mgmt_az1_vmotion_gateway_ip</f>
        <v>10.11.12.1</v>
      </c>
      <c r="D116" s="18" t="str">
        <f>mgmt_az1_vmotion_gateway_ip</f>
        <v>Value Missing</v>
      </c>
      <c r="E116" s="90"/>
    </row>
    <row r="117" spans="2:5" ht="20" customHeight="1">
      <c r="B117" s="52" t="s">
        <v>1741</v>
      </c>
      <c r="C117" s="89" t="str">
        <f>sample_mgmt_az1_vsan_gateway_ip</f>
        <v>10.11.13.1</v>
      </c>
      <c r="D117" s="18" t="str">
        <f>mgmt_az1_vsan_gateway_ip</f>
        <v>Value Missing</v>
      </c>
      <c r="E117" s="90"/>
    </row>
    <row r="118" spans="2:5" ht="20" customHeight="1">
      <c r="B118" s="52" t="s">
        <v>1742</v>
      </c>
      <c r="C118" s="89">
        <f>sample_mgmt_az1_mgmt_mtu</f>
        <v>1500</v>
      </c>
      <c r="D118" s="18" t="str">
        <f>mgmt_az1_mgmt_mtu</f>
        <v>Value Missing</v>
      </c>
      <c r="E118" s="90"/>
    </row>
    <row r="119" spans="2:5" ht="20" customHeight="1">
      <c r="B119" s="52" t="s">
        <v>1743</v>
      </c>
      <c r="C119" s="89">
        <f>sample_mgmt_az1_vmotion_mtu</f>
        <v>9000</v>
      </c>
      <c r="D119" s="18" t="str">
        <f>mgmt_az1_vmotion_mtu</f>
        <v>Value Missing</v>
      </c>
      <c r="E119" s="90"/>
    </row>
    <row r="120" spans="2:5" ht="20" customHeight="1">
      <c r="B120" s="52" t="s">
        <v>1744</v>
      </c>
      <c r="C120" s="89">
        <f>sample_mgmt_az1_vsan_mtu</f>
        <v>9000</v>
      </c>
      <c r="D120" s="18" t="str">
        <f>mgmt_az1_vsan_mtu</f>
        <v>Value Missing</v>
      </c>
      <c r="E120" s="90"/>
    </row>
    <row r="121" spans="2:5" ht="20" customHeight="1">
      <c r="B121" s="52" t="s">
        <v>4452</v>
      </c>
      <c r="C121" s="89"/>
      <c r="D121" s="18" t="str" cm="1">
        <f t="array" ref="D121">mgmt_cl01_vss_switch</f>
        <v>Value Missing</v>
      </c>
      <c r="E121" s="90"/>
    </row>
    <row r="122" spans="2:5" ht="20" customHeight="1">
      <c r="B122" s="52" t="s">
        <v>1745</v>
      </c>
      <c r="C122" s="89" t="str">
        <f>sample_mgmt_cl01_vds01_name</f>
        <v>sfo-m01-cl01-vds01</v>
      </c>
      <c r="D122" s="18" t="str">
        <f>mgmt_cl01_vds01_name</f>
        <v>Value Missing</v>
      </c>
      <c r="E122" s="90"/>
    </row>
    <row r="123" spans="2:5" ht="20" customHeight="1">
      <c r="B123" s="52" t="s">
        <v>1746</v>
      </c>
      <c r="C123" s="89" t="str">
        <f>sample_mgmt_cl01_vds01_pnics</f>
        <v>vmnic0,vmnic1</v>
      </c>
      <c r="D123" s="18" t="str">
        <f>mgmt_cl01_vds01_pnics</f>
        <v>Value Missing</v>
      </c>
      <c r="E123" s="90"/>
    </row>
    <row r="124" spans="2:5" ht="20" customHeight="1">
      <c r="B124" s="52" t="s">
        <v>1747</v>
      </c>
      <c r="C124" s="89" t="str">
        <f>sample_mgmt_cl01_vds01_mtu</f>
        <v>9000</v>
      </c>
      <c r="D124" s="18" t="str">
        <f>mgmt_cl01_vds01_mtu</f>
        <v>Value Missing</v>
      </c>
      <c r="E124" s="90"/>
    </row>
    <row r="125" spans="2:5" ht="20" customHeight="1">
      <c r="B125" s="52" t="s">
        <v>1748</v>
      </c>
      <c r="C125" s="89" t="str">
        <f>sample_mgmt_cl01_vds02_name</f>
        <v>sfo-m01-cl01-vds02</v>
      </c>
      <c r="D125" s="18" t="str">
        <f>mgmt_cl01_vds02_name</f>
        <v>Optional Value not Specified</v>
      </c>
      <c r="E125" s="90"/>
    </row>
    <row r="126" spans="2:5" ht="20" customHeight="1">
      <c r="B126" s="52" t="s">
        <v>1749</v>
      </c>
      <c r="C126" s="89" t="str">
        <f>sample_mgmt_cl01_vds02_pnics</f>
        <v>vmnic2,vmnic3</v>
      </c>
      <c r="D126" s="18" t="str">
        <f>mgmt_cl01_vds02_pnics</f>
        <v>Optional Value not Specified</v>
      </c>
      <c r="E126" s="90"/>
    </row>
    <row r="127" spans="2:5" ht="20" customHeight="1">
      <c r="B127" s="52" t="s">
        <v>1750</v>
      </c>
      <c r="C127" s="89" t="str">
        <f>sample_mgmt_cl01_vds02_mtu</f>
        <v>9000</v>
      </c>
      <c r="D127" s="18" t="str">
        <f>mgmt_cl01_vds02_mtu</f>
        <v>Optional Value not Specified</v>
      </c>
      <c r="E127" s="90"/>
    </row>
    <row r="128" spans="2:5" ht="20" customHeight="1">
      <c r="B128" s="52" t="s">
        <v>801</v>
      </c>
      <c r="C128" s="89" t="str">
        <f>sample_mgmt_cl01_vds_profile</f>
        <v>Profile-1</v>
      </c>
      <c r="D128" s="18" t="str">
        <f>input_mgmt_cl01_vds_profile</f>
        <v>Profile-1</v>
      </c>
      <c r="E128" s="90"/>
    </row>
    <row r="129" spans="2:5" ht="20" customHeight="1">
      <c r="B129" s="472" t="s">
        <v>1751</v>
      </c>
      <c r="C129" s="472"/>
      <c r="D129" s="472"/>
      <c r="E129" s="472"/>
    </row>
    <row r="130" spans="2:5" ht="20" customHeight="1">
      <c r="B130" s="8" t="s">
        <v>735</v>
      </c>
      <c r="C130" s="8" t="s">
        <v>554</v>
      </c>
      <c r="D130" s="20" t="s">
        <v>555</v>
      </c>
      <c r="E130" s="8" t="s">
        <v>222</v>
      </c>
    </row>
    <row r="131" spans="2:5" ht="20" customHeight="1">
      <c r="B131" s="52" t="s">
        <v>1718</v>
      </c>
      <c r="C131" s="22" t="str">
        <f>sample_mgmt_az1_host1_hostname</f>
        <v>sfo01-m01-r01-esx01</v>
      </c>
      <c r="D131" s="18" t="str">
        <f>mgmt_az1_host1_hostname</f>
        <v>Value Missing</v>
      </c>
      <c r="E131" s="53"/>
    </row>
    <row r="132" spans="2:5" ht="20" customHeight="1">
      <c r="B132" s="52" t="s">
        <v>1752</v>
      </c>
      <c r="C132" s="22" t="str">
        <f>sample_mgmt_az1_host2_hostname</f>
        <v>sfo01-m01-r01-esx02</v>
      </c>
      <c r="D132" s="18" t="str">
        <f>mgmt_az1_host2_hostname</f>
        <v>Value Missing</v>
      </c>
      <c r="E132" s="53"/>
    </row>
    <row r="133" spans="2:5" ht="20" customHeight="1">
      <c r="B133" s="52" t="s">
        <v>1720</v>
      </c>
      <c r="C133" s="22" t="str">
        <f>sample_mgmt_az1_host3_hostname</f>
        <v>sfo01-m01-r01-esx03</v>
      </c>
      <c r="D133" s="18" t="str">
        <f>mgmt_az1_host3_hostname</f>
        <v>Value Missing</v>
      </c>
      <c r="E133" s="53"/>
    </row>
    <row r="134" spans="2:5" ht="20" customHeight="1">
      <c r="B134" s="52" t="s">
        <v>1713</v>
      </c>
      <c r="C134" s="22" t="str">
        <f>sample_mgmt_az1_host4_hostname</f>
        <v>sfo01-m01-r01-esx04</v>
      </c>
      <c r="D134" s="18" t="str">
        <f>mgmt_az1_host4_hostname</f>
        <v>Value Missing</v>
      </c>
      <c r="E134" s="53"/>
    </row>
    <row r="135" spans="2:5" ht="20" customHeight="1">
      <c r="B135" s="21" t="s">
        <v>1753</v>
      </c>
      <c r="C135" s="22" t="str">
        <f>sample_mgmt_az1_host1_mgmt_ip</f>
        <v>10.11.11.101</v>
      </c>
      <c r="D135" s="18" t="str">
        <f>mgmt_az1_host1_mgmt_ip</f>
        <v>Value Missing</v>
      </c>
      <c r="E135" s="53"/>
    </row>
    <row r="136" spans="2:5" ht="20" customHeight="1">
      <c r="B136" s="21" t="s">
        <v>1754</v>
      </c>
      <c r="C136" s="22" t="str">
        <f>sample_mgmt_az1_host2_mgmt_ip</f>
        <v>10.11.11.102</v>
      </c>
      <c r="D136" s="18" t="str">
        <f>mgmt_az1_host2_mgmt_ip</f>
        <v>Value Missing</v>
      </c>
      <c r="E136" s="53"/>
    </row>
    <row r="137" spans="2:5" ht="20" customHeight="1">
      <c r="B137" s="21" t="s">
        <v>1755</v>
      </c>
      <c r="C137" s="22" t="str">
        <f>sample_mgmt_az1_host3_mgmt_ip</f>
        <v>10.11.11.103</v>
      </c>
      <c r="D137" s="18" t="str">
        <f>mgmt_az1_host3_mgmt_ip</f>
        <v>Value Missing</v>
      </c>
      <c r="E137" s="53"/>
    </row>
    <row r="138" spans="2:5" ht="20" customHeight="1">
      <c r="B138" s="21" t="s">
        <v>1756</v>
      </c>
      <c r="C138" s="22" t="str">
        <f>sample_mgmt_az1_host4_mgmt_ip</f>
        <v>10.11.11.104</v>
      </c>
      <c r="D138" s="18" t="str">
        <f>mgmt_az1_host4_mgmt_ip</f>
        <v>Value Missing</v>
      </c>
      <c r="E138" s="53"/>
    </row>
    <row r="139" spans="2:5" ht="20" customHeight="1">
      <c r="B139" s="21" t="s">
        <v>1757</v>
      </c>
      <c r="C139" s="22" t="str">
        <f>sample_mgmt_az1_vmotion_pool_start_ip</f>
        <v>10.11.12.101</v>
      </c>
      <c r="D139" s="18" t="str">
        <f>mgmt_az1_vmotion_pool_start_ip</f>
        <v>Value Missing</v>
      </c>
      <c r="E139" s="53"/>
    </row>
    <row r="140" spans="2:5" ht="20" customHeight="1">
      <c r="B140" s="21" t="s">
        <v>1758</v>
      </c>
      <c r="C140" s="22" t="str">
        <f>sample_mgmt_az1_vmotion_pool_end_ip</f>
        <v>10.11.12.116</v>
      </c>
      <c r="D140" s="18" t="str">
        <f>mgmt_az1_vmotion_pool_end_ip</f>
        <v>Value Missing</v>
      </c>
      <c r="E140" s="53"/>
    </row>
    <row r="141" spans="2:5" ht="20" customHeight="1">
      <c r="B141" s="21" t="s">
        <v>1759</v>
      </c>
      <c r="C141" s="22" t="str">
        <f>sample_mgmt_az1_vsan_pool_start_ip</f>
        <v>10.11.13.101</v>
      </c>
      <c r="D141" s="18" t="str">
        <f>mgmt_az1_vsan_pool_start_ip</f>
        <v>Value Missing</v>
      </c>
      <c r="E141" s="53"/>
    </row>
    <row r="142" spans="2:5" ht="20" customHeight="1">
      <c r="B142" s="21" t="s">
        <v>1760</v>
      </c>
      <c r="C142" s="22" t="str">
        <f>sample_mgmt_az1_vsan_pool_end_ip</f>
        <v>10.11.13.116</v>
      </c>
      <c r="D142" s="18" t="str">
        <f>mgmt_az1_vsan_pool_end_ip</f>
        <v>Value Missing</v>
      </c>
      <c r="E142" s="53"/>
    </row>
    <row r="143" spans="2:5" ht="20" customHeight="1">
      <c r="B143" s="21" t="s">
        <v>1761</v>
      </c>
      <c r="C143" s="22" t="str">
        <f>sample_esxi_thumbprint_validation</f>
        <v>No</v>
      </c>
      <c r="D143" s="18" t="str">
        <f>esxi_thumbprint_validation</f>
        <v>Value Missing</v>
      </c>
      <c r="E143" s="53"/>
    </row>
    <row r="144" spans="2:5" ht="20" customHeight="1">
      <c r="B144" s="21" t="s">
        <v>1762</v>
      </c>
      <c r="C144" s="22" t="str">
        <f>sample_mgmt_host1_sshfingerprint</f>
        <v>SHA256:RBA2O5XImupEfJSaoBcYYzc0aR9gWjlkY8VqptIub9w</v>
      </c>
      <c r="D144" s="18" t="str">
        <f>mgmt_host1_sshfingerprint</f>
        <v>Value Missing</v>
      </c>
      <c r="E144" s="53"/>
    </row>
    <row r="145" spans="2:5" ht="20" customHeight="1">
      <c r="B145" s="21" t="s">
        <v>1763</v>
      </c>
      <c r="C145" s="22" t="str">
        <f>sample_mgmt_host2_sshfingerprint</f>
        <v>SHA256:gC6mtEWkCIcYH/AvrP68XTOkynMFVqgN3OsI292dnWE</v>
      </c>
      <c r="D145" s="18" t="str">
        <f>mgmt_host2_sshfingerprint</f>
        <v>Value Missing</v>
      </c>
      <c r="E145" s="53"/>
    </row>
    <row r="146" spans="2:5" ht="20" customHeight="1">
      <c r="B146" s="21" t="s">
        <v>1764</v>
      </c>
      <c r="C146" s="22" t="str">
        <f>sample_mgmt_host3_sshfingerprint</f>
        <v>SHA256:8XZOzXNJrTFV1pAsWcran3EXpvRmA8NbWBZ8UyCII0Q</v>
      </c>
      <c r="D146" s="18" t="str">
        <f>mgmt_host3_sshfingerprint</f>
        <v>Value Missing</v>
      </c>
      <c r="E146" s="53"/>
    </row>
    <row r="147" spans="2:5" ht="20" customHeight="1">
      <c r="B147" s="21" t="s">
        <v>1765</v>
      </c>
      <c r="C147" s="22" t="str">
        <f>sample_mgmt_host4_sshfingerprint</f>
        <v>SHA256:OIPBfY9cc1huP0VLY8zNJLBcAM3UPmDBbzMVZvjmnLo</v>
      </c>
      <c r="D147" s="18" t="str">
        <f>mgmt_host4_sshfingerprint</f>
        <v>Value Missing</v>
      </c>
      <c r="E147" s="53"/>
    </row>
    <row r="148" spans="2:5" ht="20" customHeight="1">
      <c r="B148" s="21" t="s">
        <v>1766</v>
      </c>
      <c r="C148" s="22" t="str">
        <f>sample_mgmt_host1_thumbprint</f>
        <v>31:BC:7F:B3:CF:8C:AC:F4:69:8F:8B:20:EA:CB:60:A8:45:70:23:84:E7:5A:11:DC:4C:AC:94:AD:23:EF:10:2A</v>
      </c>
      <c r="D148" s="18" t="str">
        <f>mgmt_host1_thumbprint</f>
        <v>Value Missing</v>
      </c>
      <c r="E148" s="53"/>
    </row>
    <row r="149" spans="2:5" ht="20" customHeight="1">
      <c r="B149" s="21" t="s">
        <v>1767</v>
      </c>
      <c r="C149" s="22" t="str">
        <f>sample_mgmt_host2_thumbprint</f>
        <v>E3:33:4D:5B:87:5C:5E:39:B1:06:CA:0B:23:B4:43:BA:1D:AE:8B:AB:B:60:A8:45:70:23:84:E7:5A:11::A3:77</v>
      </c>
      <c r="D149" s="18" t="str">
        <f>mgmt_host2_thumbprint</f>
        <v>Value Missing</v>
      </c>
      <c r="E149" s="53"/>
    </row>
    <row r="150" spans="2:5" ht="20" customHeight="1">
      <c r="B150" s="21" t="s">
        <v>1768</v>
      </c>
      <c r="C150" s="22" t="str">
        <f>sample_mgmt_host3_thumbprint</f>
        <v>EB:A3:F2:55:00:46:EE:2B:9F:89:3D:A3:5A:A8:65:6B:A3:77:57:87:39:B1:06:CA:0B:23:B4:43:BA:0E:24:0A</v>
      </c>
      <c r="D150" s="18" t="str">
        <f>mgmt_host3_thumbprint</f>
        <v>Value Missing</v>
      </c>
      <c r="E150" s="53"/>
    </row>
    <row r="151" spans="2:5" ht="20" customHeight="1">
      <c r="B151" s="21" t="s">
        <v>1769</v>
      </c>
      <c r="C151" s="22" t="str">
        <f>sample_mgmt_host4_thumbprint</f>
        <v>13:42:5E:6A:B7:1A:3A:5E:5E:AA:54:0E:24:0A:AD:FF:55:FA:14:4D:02:EA:CB:60:A8:45:70:23:84:E7:5A:1F</v>
      </c>
      <c r="D151" s="18" t="str">
        <f>mgmt_host4_thumbprint</f>
        <v>Value Missing</v>
      </c>
      <c r="E151" s="53"/>
    </row>
    <row r="152" spans="2:5" ht="20" customHeight="1">
      <c r="B152" s="472" t="str">
        <f>IF(mgmt_host_overlay_addressing_chosen="Static","NSX-T Host Overlay Network - STATIC","NSX-T Host Overlay Network - DHCP")</f>
        <v>NSX-T Host Overlay Network - STATIC</v>
      </c>
      <c r="C152" s="472"/>
      <c r="D152" s="472"/>
      <c r="E152" s="472"/>
    </row>
    <row r="153" spans="2:5" ht="20" customHeight="1">
      <c r="B153" s="8" t="s">
        <v>735</v>
      </c>
      <c r="C153" s="8" t="s">
        <v>554</v>
      </c>
      <c r="D153" s="20" t="s">
        <v>555</v>
      </c>
      <c r="E153" s="8" t="s">
        <v>222</v>
      </c>
    </row>
    <row r="154" spans="2:5" ht="20" customHeight="1">
      <c r="B154" s="21" t="s">
        <v>1697</v>
      </c>
      <c r="C154" s="22" t="str">
        <f>sample_mgmt_az1_host_overlay_vlan</f>
        <v>1114</v>
      </c>
      <c r="D154" s="18" t="str">
        <f>mgmt_az1_host_overlay_vlan</f>
        <v>Value Missing</v>
      </c>
      <c r="E154" s="53"/>
    </row>
    <row r="155" spans="2:5" ht="20" customHeight="1">
      <c r="B155" s="21" t="s">
        <v>1770</v>
      </c>
      <c r="C155" s="22" t="s">
        <v>790</v>
      </c>
      <c r="D155" s="18" t="str">
        <f>IF(mgmt_host_overlay_addressing_chosen="Static","Yes","No")</f>
        <v>Yes</v>
      </c>
      <c r="E155" s="53"/>
    </row>
    <row r="156" spans="2:5" ht="20" customHeight="1">
      <c r="B156" s="21" t="s">
        <v>1771</v>
      </c>
      <c r="C156" s="22" t="str">
        <f>sample_mgmt_az1_host_overlay_network_pool_description</f>
        <v>ESXi Host Overlay TEP IP Pool</v>
      </c>
      <c r="D156" s="18" t="str">
        <f>mgmt_az1_host_overlay_network_pool_description</f>
        <v>ESXi Host Overlay TEP IP Pool</v>
      </c>
      <c r="E156" s="53"/>
    </row>
    <row r="157" spans="2:5" ht="20" customHeight="1">
      <c r="B157" s="21" t="s">
        <v>1772</v>
      </c>
      <c r="C157" s="22" t="str">
        <f>sample_mgmt_az1_host_overlay_network_pool_name</f>
        <v>sfo-m01-r01-ip-pool01-host</v>
      </c>
      <c r="D157" s="18" t="str">
        <f>mgmt_az1_host_overlay_network_pool_name</f>
        <v>Value Missing</v>
      </c>
      <c r="E157" s="53"/>
    </row>
    <row r="158" spans="2:5" ht="20" customHeight="1">
      <c r="B158" s="21" t="s">
        <v>1773</v>
      </c>
      <c r="C158" s="22" t="str">
        <f>sample_mgmt_az1_host_overlay_cidr</f>
        <v>10.11.14.0/24</v>
      </c>
      <c r="D158" s="18" t="str">
        <f>mgmt_az1_host_overlay_cidr</f>
        <v>Value Missing</v>
      </c>
      <c r="E158" s="53"/>
    </row>
    <row r="159" spans="2:5" ht="20" customHeight="1">
      <c r="B159" s="21" t="s">
        <v>1774</v>
      </c>
      <c r="C159" s="22" t="str">
        <f>sample_mgmt_az1_host_overlay_gateway_ip</f>
        <v>10.11.14.1</v>
      </c>
      <c r="D159" s="18" t="str">
        <f>mgmt_az1_host_overlay_gateway_ip</f>
        <v>Value Missing</v>
      </c>
      <c r="E159" s="53"/>
    </row>
    <row r="160" spans="2:5" ht="20" customHeight="1">
      <c r="B160" s="21" t="s">
        <v>1775</v>
      </c>
      <c r="C160" s="22" t="str">
        <f>sample_mgmt_az1_host_overlay_pool_start_ip</f>
        <v>10.11.14.101</v>
      </c>
      <c r="D160" s="18" t="str">
        <f>mgmt_az1_host_overlay_pool_start_ip</f>
        <v>Value Missing</v>
      </c>
      <c r="E160" s="53"/>
    </row>
    <row r="161" spans="2:5" ht="20" customHeight="1">
      <c r="B161" s="21" t="s">
        <v>1776</v>
      </c>
      <c r="C161" s="22" t="str">
        <f>sample_mgmt_az1_host_overlay_pool_end_ip</f>
        <v>10.11.14.132</v>
      </c>
      <c r="D161" s="18" t="str">
        <f>mgmt_az1_host_overlay_pool_end_ip</f>
        <v>Value Missing</v>
      </c>
      <c r="E161" s="53"/>
    </row>
    <row r="162" spans="2:5" ht="20" customHeight="1">
      <c r="B162" s="492" t="s">
        <v>4656</v>
      </c>
      <c r="C162" s="493"/>
      <c r="D162" s="493"/>
      <c r="E162" s="494"/>
    </row>
    <row r="163" spans="2:5" ht="20" customHeight="1">
      <c r="B163" s="472" t="s">
        <v>1777</v>
      </c>
      <c r="C163" s="472"/>
      <c r="D163" s="472"/>
      <c r="E163" s="472"/>
    </row>
    <row r="164" spans="2:5" ht="20" customHeight="1">
      <c r="B164" s="8" t="s">
        <v>735</v>
      </c>
      <c r="C164" s="8" t="s">
        <v>554</v>
      </c>
      <c r="D164" s="20" t="s">
        <v>555</v>
      </c>
      <c r="E164" s="8" t="s">
        <v>222</v>
      </c>
    </row>
    <row r="165" spans="2:5" ht="20" customHeight="1">
      <c r="B165" s="21" t="s">
        <v>1778</v>
      </c>
      <c r="C165" s="22" t="str">
        <f>sample_region_dns1_ip</f>
        <v>10.11.10.4</v>
      </c>
      <c r="D165" s="18" t="str">
        <f>region_dns1_ip</f>
        <v>Value Missing</v>
      </c>
      <c r="E165" s="53"/>
    </row>
    <row r="166" spans="2:5" ht="20" customHeight="1">
      <c r="B166" s="21" t="s">
        <v>1779</v>
      </c>
      <c r="C166" s="22" t="str">
        <f>sample_region_dns2_ip</f>
        <v>10.11.10.5</v>
      </c>
      <c r="D166" s="18" t="str">
        <f>region_dns2_ip</f>
        <v>Value Missing</v>
      </c>
      <c r="E166" s="53"/>
    </row>
    <row r="167" spans="2:5" ht="20" customHeight="1">
      <c r="B167" s="21" t="s">
        <v>1780</v>
      </c>
      <c r="C167" s="22" t="str">
        <f>sample_region_ntp1_server</f>
        <v>ntp.sfo.rainpole.io</v>
      </c>
      <c r="D167" s="18" t="str">
        <f>region_ntp1_server</f>
        <v>Value Missing</v>
      </c>
      <c r="E167" s="53"/>
    </row>
    <row r="168" spans="2:5" ht="20" customHeight="1">
      <c r="B168" s="21" t="s">
        <v>1781</v>
      </c>
      <c r="C168" s="22" t="str">
        <f>sample_region_ntp2_server</f>
        <v>n/a</v>
      </c>
      <c r="D168" s="18" t="str">
        <f>region_ntp2_server</f>
        <v>Value Missing</v>
      </c>
      <c r="E168" s="21"/>
    </row>
    <row r="169" spans="2:5" ht="20" customHeight="1">
      <c r="B169" s="21" t="s">
        <v>1782</v>
      </c>
      <c r="C169" s="22" t="str">
        <f>sample_child_dns_zone</f>
        <v>sfo.rainpole.io</v>
      </c>
      <c r="D169" s="18" t="str">
        <f>child_dns_zone</f>
        <v>Value Missing</v>
      </c>
      <c r="E169" s="21"/>
    </row>
    <row r="170" spans="2:5" ht="20" customHeight="1">
      <c r="B170" s="21" t="s">
        <v>1783</v>
      </c>
      <c r="C170" s="22" t="str">
        <f>sample_mgmt_ceip_status</f>
        <v>Yes</v>
      </c>
      <c r="D170" s="18" t="str">
        <f>mgmt_ceip_status</f>
        <v>Value Missing</v>
      </c>
      <c r="E170" s="21"/>
    </row>
    <row r="171" spans="2:5" ht="20" customHeight="1">
      <c r="B171" s="21" t="s">
        <v>1784</v>
      </c>
      <c r="C171" s="22" t="str">
        <f>sample_mgmt_fips_status</f>
        <v>No</v>
      </c>
      <c r="D171" s="18" t="str">
        <f>mgmt_fips_status</f>
        <v>Value Missing</v>
      </c>
      <c r="E171" s="21"/>
    </row>
    <row r="172" spans="2:5" ht="20" customHeight="1">
      <c r="B172" s="472" t="s">
        <v>1785</v>
      </c>
      <c r="C172" s="472"/>
      <c r="D172" s="472"/>
      <c r="E172" s="472"/>
    </row>
    <row r="173" spans="2:5" ht="20" customHeight="1">
      <c r="B173" s="8" t="s">
        <v>735</v>
      </c>
      <c r="C173" s="8" t="s">
        <v>554</v>
      </c>
      <c r="D173" s="20" t="s">
        <v>555</v>
      </c>
      <c r="E173" s="8" t="s">
        <v>222</v>
      </c>
    </row>
    <row r="174" spans="2:5" ht="20" customHeight="1">
      <c r="B174" s="21" t="s">
        <v>4657</v>
      </c>
      <c r="C174" s="22" t="s">
        <v>452</v>
      </c>
      <c r="D174" s="18" t="str">
        <f>vcf_license_now_output</f>
        <v>Yes</v>
      </c>
      <c r="E174" s="21"/>
    </row>
    <row r="175" spans="2:5" ht="20" customHeight="1">
      <c r="B175" s="21" t="s">
        <v>639</v>
      </c>
      <c r="C175" s="22" t="s">
        <v>452</v>
      </c>
      <c r="D175" s="18" t="str">
        <f>esx_std_license</f>
        <v>Value Missing</v>
      </c>
      <c r="E175" s="21"/>
    </row>
    <row r="176" spans="2:5" ht="20" customHeight="1">
      <c r="B176" s="21" t="s">
        <v>43</v>
      </c>
      <c r="C176" s="22" t="s">
        <v>452</v>
      </c>
      <c r="D176" s="18" t="str">
        <f>vsan_license</f>
        <v>Value Missing</v>
      </c>
      <c r="E176" s="21"/>
    </row>
    <row r="177" spans="2:5" ht="20" customHeight="1">
      <c r="B177" s="21" t="s">
        <v>637</v>
      </c>
      <c r="C177" s="22" t="s">
        <v>452</v>
      </c>
      <c r="D177" s="18" t="str">
        <f>vc_license</f>
        <v>Value Missing</v>
      </c>
      <c r="E177" s="21"/>
    </row>
    <row r="178" spans="2:5" ht="20" customHeight="1">
      <c r="B178" s="21" t="s">
        <v>648</v>
      </c>
      <c r="C178" s="22" t="s">
        <v>452</v>
      </c>
      <c r="D178" s="18" t="str">
        <f>nsxt_license</f>
        <v>Value Missing</v>
      </c>
      <c r="E178" s="21"/>
    </row>
    <row r="179" spans="2:5" ht="20" customHeight="1">
      <c r="B179" s="472" t="s">
        <v>1786</v>
      </c>
      <c r="C179" s="472"/>
      <c r="D179" s="472"/>
      <c r="E179" s="472"/>
    </row>
    <row r="180" spans="2:5" ht="20" customHeight="1">
      <c r="B180" s="8" t="s">
        <v>735</v>
      </c>
      <c r="C180" s="8" t="s">
        <v>554</v>
      </c>
      <c r="D180" s="20" t="s">
        <v>555</v>
      </c>
      <c r="E180" s="8" t="s">
        <v>222</v>
      </c>
    </row>
    <row r="181" spans="2:5" ht="20" customHeight="1">
      <c r="B181" s="21" t="s">
        <v>1787</v>
      </c>
      <c r="C181" s="22" t="str">
        <f>sample_mgmt_vc_hostname</f>
        <v>sfo-m01-vc01</v>
      </c>
      <c r="D181" s="18" t="str">
        <f>mgmt_vc_hostname</f>
        <v>Value Missing</v>
      </c>
      <c r="E181" s="21"/>
    </row>
    <row r="182" spans="2:5" ht="20" customHeight="1">
      <c r="B182" s="21" t="s">
        <v>1788</v>
      </c>
      <c r="C182" s="22" t="str">
        <f>sample_mgmt_vc_ip</f>
        <v>10.11.10.70</v>
      </c>
      <c r="D182" s="18" t="str">
        <f>mgmt_vc_ip</f>
        <v>Value Missing</v>
      </c>
      <c r="E182" s="21"/>
    </row>
    <row r="183" spans="2:5" ht="20" customHeight="1">
      <c r="B183" s="21" t="s">
        <v>1789</v>
      </c>
      <c r="C183" s="22" t="s">
        <v>1790</v>
      </c>
      <c r="D183" s="18" t="str">
        <f>sizing_m01_vcenter_appliance_size</f>
        <v>Small</v>
      </c>
      <c r="E183" s="21"/>
    </row>
    <row r="184" spans="2:5" ht="20" customHeight="1">
      <c r="B184" s="21" t="s">
        <v>1791</v>
      </c>
      <c r="C184" s="22" t="s">
        <v>1792</v>
      </c>
      <c r="D184" s="18" t="str">
        <f>sizing_m01_vcenter_storage_size</f>
        <v>Default</v>
      </c>
      <c r="E184" s="21"/>
    </row>
    <row r="185" spans="2:5" ht="20" customHeight="1">
      <c r="B185" s="21" t="s">
        <v>842</v>
      </c>
      <c r="C185" s="22" t="str">
        <f>sample_mgmt_datacenter</f>
        <v>sfo-m01-dc01</v>
      </c>
      <c r="D185" s="18" t="str">
        <f>mgmt_datacenter</f>
        <v>Value Missing</v>
      </c>
      <c r="E185" s="21"/>
    </row>
    <row r="186" spans="2:5" ht="20" customHeight="1">
      <c r="B186" s="21" t="s">
        <v>906</v>
      </c>
      <c r="C186" s="22" t="str">
        <f>sample_mgmt_cl01_cluster</f>
        <v>sfo-m01-cl01</v>
      </c>
      <c r="D186" s="18" t="str">
        <f>mgmt_cl01_cluster</f>
        <v>Value Missing</v>
      </c>
      <c r="E186" s="21"/>
    </row>
    <row r="187" spans="2:5" ht="20" customHeight="1">
      <c r="B187" s="21" t="s">
        <v>1793</v>
      </c>
      <c r="C187" s="22" t="str">
        <f>sample_mgmt_cl01_evc_mode</f>
        <v>N/A</v>
      </c>
      <c r="D187" s="18" t="s">
        <v>452</v>
      </c>
      <c r="E187" s="21"/>
    </row>
    <row r="188" spans="2:5" ht="20" customHeight="1">
      <c r="B188" s="21" t="s">
        <v>1794</v>
      </c>
      <c r="C188" s="22" t="str">
        <f>IF(mgmt_consolidated_result="Included","Consolidated","Standard")</f>
        <v>Standard</v>
      </c>
      <c r="D188" s="18" t="str">
        <f>IF(mgmt_consolidated_result="Included","Consolidated","Standard")</f>
        <v>Standard</v>
      </c>
      <c r="E188" s="21"/>
    </row>
    <row r="189" spans="2:5" ht="20" customHeight="1">
      <c r="B189" s="21" t="s">
        <v>847</v>
      </c>
      <c r="C189" s="22" t="str">
        <f>sample_mgmt_mgmt_rp</f>
        <v>sfo-m01-cl01-rp-sddc-mgmt</v>
      </c>
      <c r="D189" s="18" t="str">
        <f>mgmt_mgmt_rp</f>
        <v>Value Missing</v>
      </c>
      <c r="E189" s="21"/>
    </row>
    <row r="190" spans="2:5" ht="20" customHeight="1">
      <c r="B190" s="21" t="s">
        <v>848</v>
      </c>
      <c r="C190" s="22" t="str">
        <f>sample_mgmt_nsx_rp</f>
        <v>sfo-m01-cl01-rp-sddc-edge</v>
      </c>
      <c r="D190" s="18" t="str">
        <f>mgmt_nsx_rp</f>
        <v>Value Missing</v>
      </c>
      <c r="E190" s="21"/>
    </row>
    <row r="191" spans="2:5" ht="20" customHeight="1">
      <c r="B191" s="21" t="s">
        <v>849</v>
      </c>
      <c r="C191" s="22" t="str">
        <f>sample_mgmt_user_edge_rp</f>
        <v>sfo-m01-cl01-rp-user-edge</v>
      </c>
      <c r="D191" s="18" t="str">
        <f>mgmt_user_edge_rp</f>
        <v>Value Missing</v>
      </c>
      <c r="E191" s="21"/>
    </row>
    <row r="192" spans="2:5" ht="20" customHeight="1">
      <c r="B192" s="21" t="s">
        <v>850</v>
      </c>
      <c r="C192" s="22" t="str">
        <f>sample_mgmt_user_vm_rp</f>
        <v>sfo-m01-cl01-rp-user-vm</v>
      </c>
      <c r="D192" s="18" t="str">
        <f>mgmt_user_vm_rp</f>
        <v>Value Missing</v>
      </c>
      <c r="E192" s="21"/>
    </row>
    <row r="193" spans="2:7" ht="20" customHeight="1">
      <c r="B193" s="21" t="s">
        <v>839</v>
      </c>
      <c r="C193" s="22" t="str">
        <f>sample_mgmt_cl01_vsan_datastore</f>
        <v>sfo-m01-cl01-ds-vsan01</v>
      </c>
      <c r="D193" s="18" t="str">
        <f>mgmt_cl01_vsan_datastore</f>
        <v>Value Missing</v>
      </c>
      <c r="E193" s="21"/>
    </row>
    <row r="194" spans="2:7" ht="20" customHeight="1">
      <c r="B194" s="21" t="s">
        <v>840</v>
      </c>
      <c r="C194" s="22" t="str">
        <f>sample_mgmt_cl01_vsan_dedupe_compression</f>
        <v>Configured</v>
      </c>
      <c r="D194" s="18" t="str">
        <f>mgmt_cl01_vsan_dedupe_compression</f>
        <v>Value Missing</v>
      </c>
      <c r="E194" s="21"/>
    </row>
    <row r="195" spans="2:7" ht="16" customHeight="1"/>
    <row r="196" spans="2:7" ht="34" customHeight="1">
      <c r="B196" s="486" t="s">
        <v>1803</v>
      </c>
      <c r="C196" s="344"/>
      <c r="D196" s="344"/>
      <c r="E196" s="344"/>
    </row>
    <row r="197" spans="2:7" ht="34" customHeight="1">
      <c r="B197" s="8" t="s">
        <v>735</v>
      </c>
      <c r="C197" s="8" t="s">
        <v>554</v>
      </c>
      <c r="D197" s="156" t="s">
        <v>555</v>
      </c>
      <c r="E197" s="8" t="s">
        <v>222</v>
      </c>
    </row>
    <row r="198" spans="2:7" ht="20" customHeight="1">
      <c r="B198" s="21" t="s">
        <v>1804</v>
      </c>
      <c r="C198" s="22" t="str">
        <f>sample_sftp_server</f>
        <v>20.10.5.10</v>
      </c>
      <c r="D198" s="18" t="str">
        <f>sftp_server_ip</f>
        <v>Value Missing</v>
      </c>
      <c r="E198" s="21"/>
      <c r="G198" s="91"/>
    </row>
    <row r="199" spans="2:7" ht="20" customHeight="1">
      <c r="B199" s="21" t="s">
        <v>883</v>
      </c>
      <c r="C199" s="22">
        <f>sample_sftp_server_port</f>
        <v>22</v>
      </c>
      <c r="D199" s="18" t="str">
        <f>sftp_server_port</f>
        <v>Value Missing</v>
      </c>
      <c r="E199" s="21"/>
    </row>
    <row r="200" spans="2:7" ht="20" customHeight="1">
      <c r="B200" s="21" t="s">
        <v>1805</v>
      </c>
      <c r="C200" s="22" t="str">
        <f>sample_sftp_server_protocol</f>
        <v>SFTP</v>
      </c>
      <c r="D200" s="18" t="str">
        <f>sftp_server_protocol</f>
        <v>Value Missing</v>
      </c>
      <c r="E200" s="21"/>
    </row>
    <row r="201" spans="2:7" ht="20" customHeight="1">
      <c r="B201" s="21" t="s">
        <v>1806</v>
      </c>
      <c r="C201" s="22" t="str">
        <f>sample_svc_vcf_bck_user</f>
        <v>svc-vcf-bck</v>
      </c>
      <c r="D201" s="18" t="str">
        <f>user_svc_vcf_bck</f>
        <v>Value Missing</v>
      </c>
      <c r="E201" s="21"/>
    </row>
    <row r="202" spans="2:7" ht="20" customHeight="1">
      <c r="B202" s="21" t="s">
        <v>1796</v>
      </c>
      <c r="C202" s="22" t="str">
        <f>sample_svc_vcf_bck_password</f>
        <v>VMw@re1!</v>
      </c>
      <c r="D202" s="18" t="str">
        <f>svc_vcf_bck_password</f>
        <v>Value Missing</v>
      </c>
      <c r="E202" s="21"/>
    </row>
    <row r="203" spans="2:7" ht="20" customHeight="1">
      <c r="B203" s="21" t="s">
        <v>886</v>
      </c>
      <c r="C203" s="22" t="str">
        <f>sample_sftp_server_backup_dir</f>
        <v>/backups/</v>
      </c>
      <c r="D203" s="18" t="str">
        <f>sftp_server_backup_dir</f>
        <v>Value Missing</v>
      </c>
      <c r="E203" s="21"/>
    </row>
    <row r="204" spans="2:7" ht="20" customHeight="1">
      <c r="B204" s="21" t="s">
        <v>1807</v>
      </c>
      <c r="C204" s="22" t="str">
        <f>sample_sftp_server_sshfingerprint</f>
        <v>SHA256:JYFI4GSJS3V9BpPzHMX8NDpo3R0sAJvM5QpB0cWs61Y</v>
      </c>
      <c r="D204" s="18" t="str">
        <f>sftp_server_sshfingerprint</f>
        <v>Value Missing</v>
      </c>
      <c r="E204" s="21"/>
    </row>
    <row r="205" spans="2:7" ht="20" customHeight="1">
      <c r="B205" s="21" t="s">
        <v>890</v>
      </c>
      <c r="C205" s="22" t="str">
        <f>sample_sftp_server_passphrase</f>
        <v>VMw@re1!</v>
      </c>
      <c r="D205" s="18" t="str">
        <f>sftp_server_passphrase</f>
        <v>Value Missing</v>
      </c>
      <c r="E205" s="21"/>
    </row>
    <row r="206" spans="2:7" ht="16" customHeight="1"/>
    <row r="207" spans="2:7" ht="34" customHeight="1">
      <c r="B207" s="386" t="s">
        <v>24</v>
      </c>
      <c r="C207" s="387"/>
      <c r="D207" s="387"/>
      <c r="E207" s="387"/>
    </row>
    <row r="208" spans="2:7" ht="16" customHeight="1"/>
    <row r="209" spans="2:5" ht="34" customHeight="1">
      <c r="B209" s="344" t="s">
        <v>1808</v>
      </c>
      <c r="C209" s="344"/>
      <c r="D209" s="344"/>
      <c r="E209" s="344"/>
    </row>
    <row r="210" spans="2:5" ht="20" customHeight="1">
      <c r="B210" s="8" t="s">
        <v>735</v>
      </c>
      <c r="C210" s="8" t="s">
        <v>554</v>
      </c>
      <c r="D210" s="20" t="s">
        <v>555</v>
      </c>
      <c r="E210" s="8" t="s">
        <v>222</v>
      </c>
    </row>
    <row r="211" spans="2:5" ht="20" customHeight="1">
      <c r="B211" s="21" t="s">
        <v>1799</v>
      </c>
      <c r="C211" s="22" t="str">
        <f>sample_certificate_authority_fqdn</f>
        <v>rpl-ad01.rainpole.io</v>
      </c>
      <c r="D211" s="18" t="str">
        <f>certificate_authority_fqdn</f>
        <v>Value Missing</v>
      </c>
      <c r="E211" s="21"/>
    </row>
    <row r="212" spans="2:5" ht="20" customHeight="1">
      <c r="B212" s="21" t="s">
        <v>1809</v>
      </c>
      <c r="C212" s="22" t="str">
        <f>sample_ca_administrator_username</f>
        <v>Administrator</v>
      </c>
      <c r="D212" s="18" t="str">
        <f>ca_administrator_username</f>
        <v>Value Missing</v>
      </c>
      <c r="E212" s="21"/>
    </row>
    <row r="213" spans="2:5" ht="20" customHeight="1">
      <c r="B213" s="21" t="s">
        <v>1796</v>
      </c>
      <c r="C213" s="22" t="str">
        <f>sample_ca_administrator_password</f>
        <v>VMw@re1!</v>
      </c>
      <c r="D213" s="18" t="str">
        <f>ca_administrator_password</f>
        <v>Value Missing</v>
      </c>
      <c r="E213" s="21"/>
    </row>
    <row r="214" spans="2:5" ht="16" customHeight="1"/>
    <row r="215" spans="2:5" ht="34" customHeight="1">
      <c r="B215" s="344" t="s">
        <v>1810</v>
      </c>
      <c r="C215" s="344"/>
      <c r="D215" s="344"/>
      <c r="E215" s="344"/>
    </row>
    <row r="216" spans="2:5" ht="20" customHeight="1">
      <c r="B216" s="8" t="s">
        <v>735</v>
      </c>
      <c r="C216" s="8" t="s">
        <v>554</v>
      </c>
      <c r="D216" s="20" t="s">
        <v>555</v>
      </c>
      <c r="E216" s="8" t="s">
        <v>222</v>
      </c>
    </row>
    <row r="217" spans="2:5" ht="20" customHeight="1">
      <c r="B217" s="21" t="s">
        <v>1799</v>
      </c>
      <c r="C217" s="22" t="str">
        <f>sample_certificate_authority_fqdn</f>
        <v>rpl-ad01.rainpole.io</v>
      </c>
      <c r="D217" s="18" t="str">
        <f>certificate_authority_fqdn</f>
        <v>Value Missing</v>
      </c>
      <c r="E217" s="21"/>
    </row>
    <row r="218" spans="2:5" ht="20" customHeight="1">
      <c r="B218" s="21" t="s">
        <v>1809</v>
      </c>
      <c r="C218" s="22" t="str">
        <f>sample_ca_administrator_username</f>
        <v>Administrator</v>
      </c>
      <c r="D218" s="18" t="str">
        <f>ca_administrator_username</f>
        <v>Value Missing</v>
      </c>
      <c r="E218" s="21"/>
    </row>
    <row r="219" spans="2:5" ht="20" customHeight="1">
      <c r="B219" s="21" t="s">
        <v>1796</v>
      </c>
      <c r="C219" s="22" t="str">
        <f>sample_ca_administrator_password</f>
        <v>VMw@re1!</v>
      </c>
      <c r="D219" s="18" t="str">
        <f>ca_administrator_password</f>
        <v>Value Missing</v>
      </c>
      <c r="E219" s="21"/>
    </row>
    <row r="220" spans="2:5" ht="20" customHeight="1">
      <c r="B220" s="21" t="s">
        <v>1811</v>
      </c>
      <c r="C220" s="22" t="str">
        <f>sample_certificate_authority_fqdn</f>
        <v>rpl-ad01.rainpole.io</v>
      </c>
      <c r="D220" s="18" t="str">
        <f>certificate_authority_fqdn</f>
        <v>Value Missing</v>
      </c>
      <c r="E220" s="21"/>
    </row>
    <row r="221" spans="2:5" ht="16" customHeight="1"/>
    <row r="222" spans="2:5" ht="34" customHeight="1">
      <c r="B222" s="427" t="s">
        <v>1812</v>
      </c>
      <c r="C222" s="428"/>
      <c r="D222" s="428"/>
      <c r="E222" s="426"/>
    </row>
    <row r="223" spans="2:5" ht="20" customHeight="1">
      <c r="B223" s="8" t="s">
        <v>735</v>
      </c>
      <c r="C223" s="8" t="s">
        <v>554</v>
      </c>
      <c r="D223" s="20" t="s">
        <v>555</v>
      </c>
      <c r="E223" s="8" t="s">
        <v>222</v>
      </c>
    </row>
    <row r="224" spans="2:5" ht="20" customHeight="1">
      <c r="B224" s="21" t="s">
        <v>1799</v>
      </c>
      <c r="C224" s="22" t="str">
        <f>sample_certificate_authority_fqdn</f>
        <v>rpl-ad01.rainpole.io</v>
      </c>
      <c r="D224" s="18" t="str">
        <f>certificate_authority_fqdn</f>
        <v>Value Missing</v>
      </c>
      <c r="E224" s="21"/>
    </row>
    <row r="225" spans="2:5" ht="20" customHeight="1">
      <c r="B225" s="21" t="s">
        <v>1809</v>
      </c>
      <c r="C225" s="22" t="str">
        <f>sample_ca_administrator_username</f>
        <v>Administrator</v>
      </c>
      <c r="D225" s="18" t="str">
        <f>ca_administrator_username</f>
        <v>Value Missing</v>
      </c>
      <c r="E225" s="21"/>
    </row>
    <row r="226" spans="2:5" ht="20" customHeight="1">
      <c r="B226" s="21" t="s">
        <v>1796</v>
      </c>
      <c r="C226" s="22" t="str">
        <f>sample_ca_administrator_password</f>
        <v>VMw@re1!</v>
      </c>
      <c r="D226" s="18" t="str">
        <f>ca_administrator_password</f>
        <v>Value Missing</v>
      </c>
      <c r="E226" s="21"/>
    </row>
    <row r="227" spans="2:5" ht="20" customHeight="1">
      <c r="B227" s="21" t="s">
        <v>1813</v>
      </c>
      <c r="C227" s="22" t="str">
        <f>sample_ca_template_name</f>
        <v>VMware</v>
      </c>
      <c r="D227" s="18" t="str">
        <f>ca_template_name</f>
        <v>Value Missing</v>
      </c>
      <c r="E227" s="21"/>
    </row>
    <row r="228" spans="2:5" ht="16" customHeight="1"/>
    <row r="229" spans="2:5" ht="34" customHeight="1">
      <c r="B229" s="344" t="s">
        <v>1814</v>
      </c>
      <c r="C229" s="344"/>
      <c r="D229" s="344"/>
      <c r="E229" s="344"/>
    </row>
    <row r="230" spans="2:5" ht="20" customHeight="1">
      <c r="B230" s="8" t="s">
        <v>735</v>
      </c>
      <c r="C230" s="8" t="s">
        <v>554</v>
      </c>
      <c r="D230" s="20" t="s">
        <v>555</v>
      </c>
      <c r="E230" s="8" t="s">
        <v>222</v>
      </c>
    </row>
    <row r="231" spans="2:5" ht="20" customHeight="1">
      <c r="B231" s="21" t="s">
        <v>1799</v>
      </c>
      <c r="C231" s="22" t="str">
        <f>sample_certificate_authority_fqdn</f>
        <v>rpl-ad01.rainpole.io</v>
      </c>
      <c r="D231" s="18" t="str">
        <f>certificate_authority_fqdn</f>
        <v>Value Missing</v>
      </c>
      <c r="E231" s="21"/>
    </row>
    <row r="232" spans="2:5" ht="20" customHeight="1">
      <c r="B232" s="21" t="s">
        <v>1809</v>
      </c>
      <c r="C232" s="22" t="str">
        <f>sample_ca_administrator_username</f>
        <v>Administrator</v>
      </c>
      <c r="D232" s="18" t="str">
        <f>ca_administrator_username</f>
        <v>Value Missing</v>
      </c>
      <c r="E232" s="21"/>
    </row>
    <row r="233" spans="2:5" ht="20" customHeight="1">
      <c r="B233" s="21" t="s">
        <v>1796</v>
      </c>
      <c r="C233" s="22" t="str">
        <f>sample_ca_administrator_password</f>
        <v>VMw@re1!</v>
      </c>
      <c r="D233" s="18" t="str">
        <f>ca_administrator_password</f>
        <v>Value Missing</v>
      </c>
      <c r="E233" s="21"/>
    </row>
    <row r="234" spans="2:5" ht="20" customHeight="1">
      <c r="B234" s="21" t="s">
        <v>1815</v>
      </c>
      <c r="C234" s="22" t="str">
        <f>sample_svc_vcf_ca_vcf_user</f>
        <v>svc-vcf-ca</v>
      </c>
      <c r="D234" s="18" t="str">
        <f>user_svc_vcf_ca_vcf</f>
        <v>Value Missing</v>
      </c>
      <c r="E234" s="21"/>
    </row>
    <row r="235" spans="2:5" ht="16" customHeight="1"/>
    <row r="236" spans="2:5" ht="34" customHeight="1">
      <c r="B236" s="344" t="s">
        <v>1816</v>
      </c>
      <c r="C236" s="344"/>
      <c r="D236" s="344"/>
      <c r="E236" s="344"/>
    </row>
    <row r="237" spans="2:5" ht="20" customHeight="1">
      <c r="B237" s="8" t="s">
        <v>735</v>
      </c>
      <c r="C237" s="8" t="s">
        <v>554</v>
      </c>
      <c r="D237" s="20" t="s">
        <v>555</v>
      </c>
      <c r="E237" s="8" t="s">
        <v>222</v>
      </c>
    </row>
    <row r="238" spans="2:5" ht="20" customHeight="1">
      <c r="B238" s="21" t="s">
        <v>328</v>
      </c>
      <c r="C238" s="22" t="s">
        <v>1817</v>
      </c>
      <c r="D238" s="18" t="s">
        <v>1817</v>
      </c>
      <c r="E238" s="21"/>
    </row>
    <row r="239" spans="2:5" ht="20" customHeight="1">
      <c r="B239" s="21" t="s">
        <v>1818</v>
      </c>
      <c r="C239" s="22" t="str">
        <f>_xlfn.CONCAT("https://",sample_certificate_authority_fqdn,"/certsrv")</f>
        <v>https://rpl-ad01.rainpole.io/certsrv</v>
      </c>
      <c r="D239" s="18" t="str">
        <f>"https://"&amp;certificate_authority_fqdn&amp;"/certsrv"</f>
        <v>https://Value Missing/certsrv</v>
      </c>
      <c r="E239" s="21"/>
    </row>
    <row r="240" spans="2:5" ht="20" customHeight="1">
      <c r="B240" s="21" t="s">
        <v>1806</v>
      </c>
      <c r="C240" s="22" t="str">
        <f>sample_svc_vcf_ca_vcf_user</f>
        <v>svc-vcf-ca</v>
      </c>
      <c r="D240" s="18" t="str">
        <f>user_svc_vcf_ca_vcf</f>
        <v>Value Missing</v>
      </c>
      <c r="E240" s="21"/>
    </row>
    <row r="241" spans="2:5" ht="20" customHeight="1">
      <c r="B241" s="21" t="s">
        <v>1796</v>
      </c>
      <c r="C241" s="22" t="str">
        <f>sample_svc_vcf_ca_vvd_password</f>
        <v>VMw@re1!</v>
      </c>
      <c r="D241" s="18" t="str">
        <f>svc_vcf_ca_vvd_password</f>
        <v>Value Missing</v>
      </c>
      <c r="E241" s="21"/>
    </row>
    <row r="242" spans="2:5" ht="20" customHeight="1">
      <c r="B242" s="21" t="s">
        <v>866</v>
      </c>
      <c r="C242" s="22" t="str">
        <f>sample_ca_template_name</f>
        <v>VMware</v>
      </c>
      <c r="D242" s="18" t="str">
        <f>ca_template_name</f>
        <v>Value Missing</v>
      </c>
      <c r="E242" s="21"/>
    </row>
    <row r="243" spans="2:5" ht="16" customHeight="1"/>
    <row r="244" spans="2:5" ht="34" customHeight="1">
      <c r="B244" s="344" t="s">
        <v>1819</v>
      </c>
      <c r="C244" s="344"/>
      <c r="D244" s="344"/>
      <c r="E244" s="344"/>
    </row>
    <row r="245" spans="2:5" ht="20" customHeight="1">
      <c r="B245" s="8" t="s">
        <v>735</v>
      </c>
      <c r="C245" s="8" t="s">
        <v>554</v>
      </c>
      <c r="D245" s="20" t="s">
        <v>555</v>
      </c>
      <c r="E245" s="8" t="s">
        <v>222</v>
      </c>
    </row>
    <row r="246" spans="2:5" ht="20" customHeight="1">
      <c r="B246" s="21" t="s">
        <v>870</v>
      </c>
      <c r="C246" s="22" t="str">
        <f>sample_ca_algorithm</f>
        <v>RSA</v>
      </c>
      <c r="D246" s="18" t="str">
        <f>ca_algorithm</f>
        <v>Value Missing</v>
      </c>
      <c r="E246" s="21"/>
    </row>
    <row r="247" spans="2:5" ht="20" customHeight="1">
      <c r="B247" s="21" t="s">
        <v>872</v>
      </c>
      <c r="C247" s="22">
        <f>sample_ca_key_size</f>
        <v>2048</v>
      </c>
      <c r="D247" s="18" t="str">
        <f>ca_key_size</f>
        <v>Value Missing</v>
      </c>
      <c r="E247" s="21"/>
    </row>
    <row r="248" spans="2:5" ht="20" customHeight="1">
      <c r="B248" s="21" t="s">
        <v>873</v>
      </c>
      <c r="C248" s="22" t="str">
        <f>sample_ca_email_address</f>
        <v>administrator@rainpole.io</v>
      </c>
      <c r="D248" s="18" t="str">
        <f t="array" ref="D248">ca_email_address</f>
        <v>Value Missing</v>
      </c>
      <c r="E248" s="21"/>
    </row>
    <row r="249" spans="2:5" ht="20" customHeight="1">
      <c r="B249" s="21" t="s">
        <v>1820</v>
      </c>
      <c r="C249" s="22" t="str">
        <f>sample_ca_organization_unit</f>
        <v>IT</v>
      </c>
      <c r="D249" s="18" t="str">
        <f>ca_organization_unit</f>
        <v>Value Missing</v>
      </c>
      <c r="E249" s="21"/>
    </row>
    <row r="250" spans="2:5" ht="20" customHeight="1">
      <c r="B250" s="21" t="s">
        <v>914</v>
      </c>
      <c r="C250" s="22" t="str">
        <f>sample_ca_organization</f>
        <v>Rainpole</v>
      </c>
      <c r="D250" s="18" t="str">
        <f>ca_organization</f>
        <v>Value Missing</v>
      </c>
      <c r="E250" s="21"/>
    </row>
    <row r="251" spans="2:5" ht="20" customHeight="1">
      <c r="B251" s="21" t="s">
        <v>875</v>
      </c>
      <c r="C251" s="22" t="str">
        <f>sample_ca_locality</f>
        <v>San Francisco</v>
      </c>
      <c r="D251" s="18" t="str">
        <f>ca_locality</f>
        <v>Value Missing</v>
      </c>
      <c r="E251" s="21"/>
    </row>
    <row r="252" spans="2:5" ht="20" customHeight="1">
      <c r="B252" s="21" t="s">
        <v>880</v>
      </c>
      <c r="C252" s="22" t="str">
        <f>sample_ca_state</f>
        <v>CA</v>
      </c>
      <c r="D252" s="18" t="str">
        <f>ca_state</f>
        <v>Value Missing</v>
      </c>
      <c r="E252" s="21"/>
    </row>
    <row r="253" spans="2:5" ht="20" customHeight="1">
      <c r="B253" s="21" t="s">
        <v>868</v>
      </c>
      <c r="C253" s="22" t="str">
        <f>sample_ca_country</f>
        <v>US</v>
      </c>
      <c r="D253" s="18" t="str">
        <f>ca_country</f>
        <v>Value Missing</v>
      </c>
      <c r="E253" s="21"/>
    </row>
    <row r="254" spans="2:5" ht="16" customHeight="1"/>
    <row r="255" spans="2:5" ht="34" customHeight="1">
      <c r="B255" s="344" t="s">
        <v>1821</v>
      </c>
      <c r="C255" s="344"/>
      <c r="D255" s="344"/>
      <c r="E255" s="344"/>
    </row>
    <row r="256" spans="2:5" ht="20" customHeight="1">
      <c r="B256" s="8" t="s">
        <v>735</v>
      </c>
      <c r="C256" s="8" t="s">
        <v>554</v>
      </c>
      <c r="D256" s="20" t="s">
        <v>555</v>
      </c>
      <c r="E256" s="8" t="s">
        <v>222</v>
      </c>
    </row>
    <row r="257" spans="2:5" ht="20" customHeight="1">
      <c r="B257" s="21" t="s">
        <v>328</v>
      </c>
      <c r="C257" s="22" t="s">
        <v>1822</v>
      </c>
      <c r="D257" s="18" t="str">
        <f>C257</f>
        <v>OpenSSL</v>
      </c>
      <c r="E257" s="21"/>
    </row>
    <row r="258" spans="2:5" ht="20" customHeight="1">
      <c r="B258" s="21" t="s">
        <v>1823</v>
      </c>
      <c r="C258" s="22" t="str">
        <f>_xlfn.CONCAT(sample_sddc_mgr_hostname,".",sample_child_dns_zone)</f>
        <v>sfo-vcf01.sfo.rainpole.io</v>
      </c>
      <c r="D258" s="18" t="str">
        <f>sddc_mgr_fqdn</f>
        <v>Value Missing.Value Missing</v>
      </c>
      <c r="E258" s="21"/>
    </row>
    <row r="259" spans="2:5" ht="20" customHeight="1">
      <c r="B259" s="21" t="s">
        <v>1820</v>
      </c>
      <c r="C259" s="22" t="str">
        <f>sample_ca_organization_unit</f>
        <v>IT</v>
      </c>
      <c r="D259" s="18" t="str">
        <f>ca_organization_unit</f>
        <v>Value Missing</v>
      </c>
      <c r="E259" s="21"/>
    </row>
    <row r="260" spans="2:5" ht="20" customHeight="1">
      <c r="B260" s="21" t="s">
        <v>877</v>
      </c>
      <c r="C260" s="22" t="str">
        <f>sample_ca_organization</f>
        <v>Rainpole</v>
      </c>
      <c r="D260" s="18" t="str">
        <f>ca_organization</f>
        <v>Value Missing</v>
      </c>
      <c r="E260" s="21"/>
    </row>
    <row r="261" spans="2:5" ht="20" customHeight="1">
      <c r="B261" s="21" t="s">
        <v>875</v>
      </c>
      <c r="C261" s="22" t="str">
        <f>sample_ca_locality</f>
        <v>San Francisco</v>
      </c>
      <c r="D261" s="18" t="str">
        <f>ca_locality</f>
        <v>Value Missing</v>
      </c>
      <c r="E261" s="21"/>
    </row>
    <row r="262" spans="2:5" ht="20" customHeight="1">
      <c r="B262" s="21" t="s">
        <v>880</v>
      </c>
      <c r="C262" s="22" t="str">
        <f>sample_ca_state</f>
        <v>CA</v>
      </c>
      <c r="D262" s="18" t="str">
        <f>ca_state</f>
        <v>Value Missing</v>
      </c>
      <c r="E262" s="21"/>
    </row>
    <row r="263" spans="2:5" ht="20" customHeight="1">
      <c r="B263" s="21" t="s">
        <v>868</v>
      </c>
      <c r="C263" s="22" t="str">
        <f>sample_ca_country</f>
        <v>US</v>
      </c>
      <c r="D263" s="18" t="str">
        <f>ca_country</f>
        <v>Value Missing</v>
      </c>
      <c r="E263" s="21"/>
    </row>
    <row r="264" spans="2:5" ht="16" customHeight="1"/>
    <row r="265" spans="2:5" ht="34" customHeight="1">
      <c r="B265" s="344" t="s">
        <v>1824</v>
      </c>
      <c r="C265" s="344"/>
      <c r="D265" s="344"/>
      <c r="E265" s="344"/>
    </row>
    <row r="266" spans="2:5" ht="20" customHeight="1">
      <c r="B266" s="8" t="s">
        <v>735</v>
      </c>
      <c r="C266" s="8" t="s">
        <v>554</v>
      </c>
      <c r="D266" s="20" t="s">
        <v>555</v>
      </c>
      <c r="E266" s="8" t="s">
        <v>222</v>
      </c>
    </row>
    <row r="267" spans="2:5" ht="20" customHeight="1">
      <c r="B267" s="21" t="s">
        <v>870</v>
      </c>
      <c r="C267" s="22" t="str">
        <f>sample_ca_algorithm</f>
        <v>RSA</v>
      </c>
      <c r="D267" s="18" t="str">
        <f>ca_algorithm</f>
        <v>Value Missing</v>
      </c>
      <c r="E267" s="21"/>
    </row>
    <row r="268" spans="2:5" ht="20" customHeight="1">
      <c r="B268" s="21" t="s">
        <v>872</v>
      </c>
      <c r="C268" s="22">
        <f>sample_ca_key_size</f>
        <v>2048</v>
      </c>
      <c r="D268" s="18" t="str">
        <f>ca_key_size</f>
        <v>Value Missing</v>
      </c>
      <c r="E268" s="21"/>
    </row>
    <row r="269" spans="2:5" ht="20" customHeight="1">
      <c r="B269" s="21" t="s">
        <v>873</v>
      </c>
      <c r="C269" s="22" t="str">
        <f>sample_ca_email_address</f>
        <v>administrator@rainpole.io</v>
      </c>
      <c r="D269" s="18" t="str">
        <f t="array" ref="D269">ca_email_address</f>
        <v>Value Missing</v>
      </c>
      <c r="E269" s="21"/>
    </row>
    <row r="270" spans="2:5" ht="20" customHeight="1">
      <c r="B270" s="21" t="s">
        <v>1820</v>
      </c>
      <c r="C270" s="22" t="str">
        <f>sample_ca_organization_unit</f>
        <v>IT</v>
      </c>
      <c r="D270" s="18" t="str">
        <f>ca_organization_unit</f>
        <v>Value Missing</v>
      </c>
      <c r="E270" s="21"/>
    </row>
    <row r="271" spans="2:5" ht="20" customHeight="1">
      <c r="B271" s="21" t="s">
        <v>914</v>
      </c>
      <c r="C271" s="22" t="str">
        <f>sample_ca_organization</f>
        <v>Rainpole</v>
      </c>
      <c r="D271" s="18" t="str">
        <f>ca_organization</f>
        <v>Value Missing</v>
      </c>
      <c r="E271" s="21"/>
    </row>
    <row r="272" spans="2:5" ht="20" customHeight="1">
      <c r="B272" s="21" t="s">
        <v>875</v>
      </c>
      <c r="C272" s="22" t="str">
        <f>sample_ca_locality</f>
        <v>San Francisco</v>
      </c>
      <c r="D272" s="18" t="str">
        <f>ca_locality</f>
        <v>Value Missing</v>
      </c>
      <c r="E272" s="21"/>
    </row>
    <row r="273" spans="2:7" ht="20" customHeight="1">
      <c r="B273" s="21" t="s">
        <v>880</v>
      </c>
      <c r="C273" s="22" t="str">
        <f>sample_ca_state</f>
        <v>CA</v>
      </c>
      <c r="D273" s="18" t="str">
        <f>ca_state</f>
        <v>Value Missing</v>
      </c>
      <c r="E273" s="21"/>
    </row>
    <row r="274" spans="2:7" ht="20" customHeight="1">
      <c r="B274" s="21" t="s">
        <v>868</v>
      </c>
      <c r="C274" s="22" t="str">
        <f>sample_ca_country</f>
        <v>US</v>
      </c>
      <c r="D274" s="18" t="str">
        <f>ca_country</f>
        <v>Value Missing</v>
      </c>
      <c r="E274" s="21"/>
    </row>
    <row r="275" spans="2:7" ht="20" customHeight="1">
      <c r="B275" s="21" t="s">
        <v>1795</v>
      </c>
      <c r="C275" s="22" t="str">
        <f>sample_sddc_mgr_vcf_username</f>
        <v>Password (vcf)</v>
      </c>
      <c r="D275" s="18" t="str">
        <f>sample_sddc_mgr_vcf_username</f>
        <v>Password (vcf)</v>
      </c>
      <c r="E275" s="21"/>
    </row>
    <row r="276" spans="2:7" ht="20" customHeight="1">
      <c r="B276" s="21" t="s">
        <v>1796</v>
      </c>
      <c r="C276" s="22" t="str">
        <f>sample_sddc_mgr_vcf_password</f>
        <v>VMw@re1!VMw@re1!</v>
      </c>
      <c r="D276" s="18" t="str">
        <f>sddc_mgr_vcf_password</f>
        <v>Value Missing</v>
      </c>
      <c r="E276" s="21"/>
    </row>
    <row r="277" spans="2:7" ht="16" customHeight="1">
      <c r="B277" s="27"/>
      <c r="C277" s="164"/>
      <c r="D277" s="3"/>
      <c r="E277" s="27"/>
    </row>
    <row r="278" spans="2:7" ht="34" customHeight="1">
      <c r="B278" s="386" t="s">
        <v>4540</v>
      </c>
      <c r="C278" s="387"/>
      <c r="D278" s="387"/>
      <c r="E278" s="387"/>
    </row>
    <row r="279" spans="2:7" ht="20" customHeight="1">
      <c r="B279" s="8" t="s">
        <v>735</v>
      </c>
      <c r="C279" s="8" t="s">
        <v>554</v>
      </c>
      <c r="D279" s="20" t="s">
        <v>555</v>
      </c>
      <c r="E279" s="8" t="s">
        <v>222</v>
      </c>
    </row>
    <row r="280" spans="2:7" ht="20" customHeight="1">
      <c r="B280" s="21" t="s">
        <v>247</v>
      </c>
      <c r="C280" s="22"/>
      <c r="D280" s="18" t="str">
        <f>mgmt_internet_proxy_type</f>
        <v>HTTPS</v>
      </c>
      <c r="E280" s="21"/>
    </row>
    <row r="281" spans="2:7" ht="20" customHeight="1">
      <c r="B281" s="21" t="s">
        <v>4533</v>
      </c>
      <c r="C281" s="22"/>
      <c r="D281" s="18" t="str">
        <f>mgmt_internet_proxy_address</f>
        <v>Value Missing</v>
      </c>
      <c r="E281" s="21"/>
    </row>
    <row r="282" spans="2:7" ht="20" customHeight="1">
      <c r="B282" s="21" t="s">
        <v>883</v>
      </c>
      <c r="C282" s="22"/>
      <c r="D282" s="18" t="str">
        <f>mgmt_internet_proxy_port</f>
        <v>Value Missing</v>
      </c>
      <c r="E282" s="21"/>
    </row>
    <row r="283" spans="2:7" ht="20" customHeight="1">
      <c r="B283" s="21" t="s">
        <v>4539</v>
      </c>
      <c r="C283" s="22"/>
      <c r="D283" s="18" t="str">
        <f>mgmt_internet_proxy_user</f>
        <v>Value Missing</v>
      </c>
      <c r="E283" s="21"/>
    </row>
    <row r="284" spans="2:7" ht="20" customHeight="1">
      <c r="B284" s="21" t="s">
        <v>1796</v>
      </c>
      <c r="C284" s="22"/>
      <c r="D284" s="18" t="str">
        <f>mgmt_internet_proxy_password</f>
        <v>Value Missing</v>
      </c>
      <c r="E284" s="21"/>
    </row>
    <row r="285" spans="2:7" ht="16" customHeight="1">
      <c r="B285" s="27"/>
    </row>
    <row r="286" spans="2:7" ht="34" customHeight="1">
      <c r="B286" s="386" t="s">
        <v>4541</v>
      </c>
      <c r="C286" s="387"/>
      <c r="D286" s="387"/>
      <c r="E286" s="387"/>
      <c r="G286" s="91"/>
    </row>
    <row r="287" spans="2:7" ht="20" customHeight="1">
      <c r="B287" s="8" t="s">
        <v>735</v>
      </c>
      <c r="C287" s="8" t="s">
        <v>554</v>
      </c>
      <c r="D287" s="20" t="s">
        <v>555</v>
      </c>
      <c r="E287" s="8" t="s">
        <v>222</v>
      </c>
    </row>
    <row r="288" spans="2:7" ht="20" customHeight="1">
      <c r="B288" s="21" t="s">
        <v>1686</v>
      </c>
      <c r="C288" s="22"/>
      <c r="D288" s="18" t="str">
        <f>mgmt_offline_depot_hostname</f>
        <v>Value Missing</v>
      </c>
      <c r="E288" s="21"/>
    </row>
    <row r="289" spans="2:5" ht="20" customHeight="1">
      <c r="B289" s="21" t="s">
        <v>883</v>
      </c>
      <c r="C289" s="22"/>
      <c r="D289" s="18" t="str">
        <f>mgmt_offline_depot_port</f>
        <v>Value Missing</v>
      </c>
      <c r="E289" s="21"/>
    </row>
    <row r="290" spans="2:5" ht="20" customHeight="1">
      <c r="B290" s="21" t="s">
        <v>4539</v>
      </c>
      <c r="C290" s="22"/>
      <c r="D290" s="18" t="str">
        <f>mgmt_offline_depot_user</f>
        <v>Value Missing</v>
      </c>
      <c r="E290" s="21"/>
    </row>
    <row r="291" spans="2:5" ht="20" customHeight="1">
      <c r="B291" s="21" t="s">
        <v>1796</v>
      </c>
      <c r="C291" s="53"/>
      <c r="D291" s="18" t="str">
        <f>mgmt_offline_depot_password</f>
        <v>Value Missing</v>
      </c>
      <c r="E291" s="53"/>
    </row>
    <row r="292" spans="2:5" ht="16" customHeight="1">
      <c r="B292" s="27"/>
    </row>
    <row r="293" spans="2:5" ht="34" customHeight="1">
      <c r="B293" s="386" t="s">
        <v>1825</v>
      </c>
      <c r="C293" s="387"/>
      <c r="D293" s="387"/>
      <c r="E293" s="387"/>
    </row>
    <row r="294" spans="2:5" ht="16" customHeight="1"/>
    <row r="295" spans="2:5" ht="34" customHeight="1">
      <c r="B295" s="344" t="s">
        <v>1826</v>
      </c>
      <c r="C295" s="344"/>
      <c r="D295" s="344"/>
      <c r="E295" s="344"/>
    </row>
    <row r="296" spans="2:5" ht="20" customHeight="1">
      <c r="B296" s="8" t="s">
        <v>735</v>
      </c>
      <c r="C296" s="8" t="s">
        <v>554</v>
      </c>
      <c r="D296" s="20" t="s">
        <v>555</v>
      </c>
      <c r="E296" s="8" t="s">
        <v>222</v>
      </c>
    </row>
    <row r="297" spans="2:5" ht="20" customHeight="1">
      <c r="B297" s="472" t="s">
        <v>786</v>
      </c>
      <c r="C297" s="472"/>
      <c r="D297" s="472"/>
      <c r="E297" s="472"/>
    </row>
    <row r="298" spans="2:5" ht="20" customHeight="1">
      <c r="B298" s="21" t="s">
        <v>1827</v>
      </c>
      <c r="C298" s="22" t="str">
        <f>sample_mgmt_ec_name</f>
        <v>sfo-m01-ec01</v>
      </c>
      <c r="D298" s="18" t="str">
        <f>mgmt_ec_name</f>
        <v>Value Missing</v>
      </c>
      <c r="E298" s="21"/>
    </row>
    <row r="299" spans="2:5" ht="20" customHeight="1">
      <c r="B299" s="21" t="s">
        <v>1828</v>
      </c>
      <c r="C299" s="22">
        <v>9000</v>
      </c>
      <c r="D299" s="18">
        <f>9000</f>
        <v>9000</v>
      </c>
      <c r="E299" s="21"/>
    </row>
    <row r="300" spans="2:5" ht="20" customHeight="1">
      <c r="B300" s="21" t="s">
        <v>1829</v>
      </c>
      <c r="C300" s="22" t="str">
        <f>sample_mgmt_en_asn</f>
        <v>65101</v>
      </c>
      <c r="D300" s="18" t="str">
        <f>mgmt_en_asn</f>
        <v>Value Missing</v>
      </c>
      <c r="E300" s="21"/>
    </row>
    <row r="301" spans="2:5" ht="20" customHeight="1">
      <c r="B301" s="21" t="s">
        <v>1830</v>
      </c>
      <c r="C301" s="22" t="str">
        <f>sample_mgmt_tier0_name</f>
        <v>sfo-m01-ec01-t0-gw01</v>
      </c>
      <c r="D301" s="18" t="str">
        <f>mgmt_tier0_name</f>
        <v>Value Missing</v>
      </c>
      <c r="E301" s="21"/>
    </row>
    <row r="302" spans="2:5" ht="20" customHeight="1">
      <c r="B302" s="21" t="s">
        <v>1831</v>
      </c>
      <c r="C302" s="22" t="str">
        <f>sample_mgmt_tier1_name</f>
        <v>sfo-m01-ec01-t1-gw01</v>
      </c>
      <c r="D302" s="18" t="str">
        <f>mgmt_tier1_name</f>
        <v>Value Missing</v>
      </c>
      <c r="E302" s="21"/>
    </row>
    <row r="303" spans="2:5" ht="20" customHeight="1">
      <c r="B303" s="21" t="s">
        <v>1832</v>
      </c>
      <c r="C303" s="22" t="str">
        <f>sample_mgmt_ec_profile_type</f>
        <v>Custom</v>
      </c>
      <c r="D303" s="18" t="str">
        <f>mgmt_ec_profile_type</f>
        <v>Value Missing</v>
      </c>
      <c r="E303" s="21"/>
    </row>
    <row r="304" spans="2:5" ht="20" customHeight="1">
      <c r="B304" s="21" t="s">
        <v>1833</v>
      </c>
      <c r="C304" s="22" t="str">
        <f>sample_mgmt_ec_name</f>
        <v>sfo-m01-ec01</v>
      </c>
      <c r="D304" s="18" t="str">
        <f>mgmt_ec_name</f>
        <v>Value Missing</v>
      </c>
      <c r="E304" s="21"/>
    </row>
    <row r="305" spans="2:5" ht="20" customHeight="1">
      <c r="B305" s="21" t="s">
        <v>1834</v>
      </c>
      <c r="C305" s="22">
        <v>255</v>
      </c>
      <c r="D305" s="18">
        <f>C305</f>
        <v>255</v>
      </c>
      <c r="E305" s="21"/>
    </row>
    <row r="306" spans="2:5" ht="20" customHeight="1">
      <c r="B306" s="21" t="s">
        <v>1835</v>
      </c>
      <c r="C306" s="22">
        <v>3</v>
      </c>
      <c r="D306" s="18">
        <f>C306</f>
        <v>3</v>
      </c>
      <c r="E306" s="21"/>
    </row>
    <row r="307" spans="2:5" ht="20" customHeight="1">
      <c r="B307" s="21" t="s">
        <v>1836</v>
      </c>
      <c r="C307" s="22">
        <v>1000</v>
      </c>
      <c r="D307" s="18">
        <f>C307</f>
        <v>1000</v>
      </c>
      <c r="E307" s="21"/>
    </row>
    <row r="308" spans="2:5" ht="20" customHeight="1">
      <c r="B308" s="21" t="s">
        <v>1837</v>
      </c>
      <c r="C308" s="22">
        <v>30</v>
      </c>
      <c r="D308" s="18">
        <f>C308</f>
        <v>30</v>
      </c>
      <c r="E308" s="21"/>
    </row>
    <row r="309" spans="2:5" ht="20" customHeight="1">
      <c r="B309" s="21" t="s">
        <v>1838</v>
      </c>
      <c r="C309" s="22" t="str">
        <f>sample_nsxt_en_root_password</f>
        <v>VMw@re1!VMw@re1!</v>
      </c>
      <c r="D309" s="18" t="str">
        <f>nsxt_en_root_password</f>
        <v>Value Missing</v>
      </c>
      <c r="E309" s="21"/>
    </row>
    <row r="310" spans="2:5" ht="20" customHeight="1">
      <c r="B310" s="21" t="s">
        <v>1839</v>
      </c>
      <c r="C310" s="22" t="str">
        <f>sample_nsxt_en_admin_password</f>
        <v>VMw@re1!VMw@re1!</v>
      </c>
      <c r="D310" s="18" t="str">
        <f>nsxt_en_admin_password</f>
        <v>Value Missing</v>
      </c>
      <c r="E310" s="21"/>
    </row>
    <row r="311" spans="2:5" ht="20" customHeight="1">
      <c r="B311" s="21" t="s">
        <v>1840</v>
      </c>
      <c r="C311" s="22" t="str">
        <f>sample_nsxt_en_audit_password</f>
        <v>VMw@re1!VMw@re1!</v>
      </c>
      <c r="D311" s="18" t="str">
        <f>nsxt_en_audit_password</f>
        <v>Value Missing</v>
      </c>
      <c r="E311" s="21"/>
    </row>
    <row r="312" spans="2:5" ht="20" customHeight="1">
      <c r="B312" s="472" t="s">
        <v>1841</v>
      </c>
      <c r="C312" s="472"/>
      <c r="D312" s="472"/>
      <c r="E312" s="472"/>
    </row>
    <row r="313" spans="2:5" ht="20" customHeight="1">
      <c r="B313" s="21" t="s">
        <v>1841</v>
      </c>
      <c r="C313" s="22" t="str">
        <f>IF(sizing_m01_nsxt_edge_size&lt;&gt;"Medium","Custom","Application Virtual Networks")</f>
        <v>Application Virtual Networks</v>
      </c>
      <c r="D313" s="18" t="str">
        <f>C313</f>
        <v>Application Virtual Networks</v>
      </c>
      <c r="E313" s="21"/>
    </row>
    <row r="314" spans="2:5" ht="20" customHeight="1">
      <c r="B314" s="21" t="s">
        <v>1842</v>
      </c>
      <c r="C314" s="22" t="s">
        <v>344</v>
      </c>
      <c r="D314" s="18" t="str">
        <f>mgmt_ec_formfactor</f>
        <v>Medium</v>
      </c>
      <c r="E314" s="21" t="str">
        <f>IF(vcf_aware_wsa_chosen="Clustered","Large Edge Form Factor or above recommended due to Workspace One LB ","" )</f>
        <v/>
      </c>
    </row>
    <row r="315" spans="2:5" ht="20" customHeight="1">
      <c r="B315" s="21" t="s">
        <v>1843</v>
      </c>
      <c r="C315" s="22" t="s">
        <v>1844</v>
      </c>
      <c r="D315" s="18" t="str">
        <f>C315</f>
        <v>Active-Active</v>
      </c>
      <c r="E315" s="21"/>
    </row>
    <row r="316" spans="2:5" ht="20" customHeight="1">
      <c r="B316" s="21" t="s">
        <v>1845</v>
      </c>
      <c r="C316" s="22" t="str">
        <f>IF(mgmt_vns_chosen="VLAN-Backed","Static","EBGP")</f>
        <v>EBGP</v>
      </c>
      <c r="D316" s="18" t="str">
        <f>IF(mgmt_vns_chosen="VLAN-Backed","Static","EBGP")</f>
        <v>EBGP</v>
      </c>
      <c r="E316" s="18"/>
    </row>
    <row r="317" spans="2:5" ht="20" customHeight="1">
      <c r="B317" s="472" t="s">
        <v>1846</v>
      </c>
      <c r="C317" s="472"/>
      <c r="D317" s="472"/>
      <c r="E317" s="472"/>
    </row>
    <row r="318" spans="2:5" ht="20" customHeight="1">
      <c r="B318" s="21" t="s">
        <v>1847</v>
      </c>
      <c r="C318" s="22" t="str">
        <f>_xlfn.CONCAT(sample_mgmt_az1_en1_hostname,".",sample_child_dns_zone)</f>
        <v>sfo-m01-r01-en01.sfo.rainpole.io</v>
      </c>
      <c r="D318" s="18" t="str">
        <f>mgmt_az1_en1_fqdn</f>
        <v>Value Missing.Value Missing</v>
      </c>
      <c r="E318" s="21"/>
    </row>
    <row r="319" spans="2:5" ht="20" customHeight="1">
      <c r="B319" s="21" t="s">
        <v>1848</v>
      </c>
      <c r="C319" s="22" t="str">
        <f>_xlfn.CONCAT(sample_mgmt_az1_en1_mgmt_ip,"/",INT(RIGHT(sample_mgmt_az1_mgmt_cidr,LEN(sample_mgmt_az1_mgmt_cidr)-FIND("/",sample_mgmt_az1_mgmt_cidr))))</f>
        <v>10.11.10.75/24</v>
      </c>
      <c r="D319" s="18" t="str">
        <f>IF(OR((mgmt_az1_en1_mgmt_ip="Value Missing"),(mgmt_az1_mgmt_vm_cidr="Value Missing")),"Value Missing",mgmt_az1_en1_mgmt_ip&amp;"/"&amp;INT(RIGHT(mgmt_az1_mgmt_vm_cidr,LEN(mgmt_az1_mgmt_vm_cidr)-FIND("/",mgmt_az1_mgmt_vm_cidr))))</f>
        <v>Value Missing</v>
      </c>
      <c r="E319" s="21"/>
    </row>
    <row r="320" spans="2:5" ht="20" customHeight="1">
      <c r="B320" s="21" t="s">
        <v>1849</v>
      </c>
      <c r="C320" s="22" t="str">
        <f>sample_mgmt_az1_mgmt_gateway_ip</f>
        <v>10.11.11.1</v>
      </c>
      <c r="D320" s="18" t="str">
        <f>mgmt_az1_mgmt_vm_gateway_ip</f>
        <v>Value Missing</v>
      </c>
      <c r="E320" s="21"/>
    </row>
    <row r="321" spans="2:5" ht="20" customHeight="1">
      <c r="B321" s="21" t="s">
        <v>1850</v>
      </c>
      <c r="C321" s="22" t="str">
        <f>_xlfn.CONCAT(sample_mgmt_az1_en1_edge_overlay_interface_ip_1_ip,"/",INT(RIGHT(sample_mgmt_az1_edge_overlay_cidr,LEN(sample_mgmt_az1_edge_overlay_cidr)-FIND("/",sample_mgmt_az1_edge_overlay_cidr))))</f>
        <v>10.11.19.2/24</v>
      </c>
      <c r="D321" s="18" t="str">
        <f>IF(OR((mgmt_az1_en1_edge_overlay_interface_ip_1_ip="Value Missing"),(mgmt_az1_edge_overlay_cidr="Value Missing")),"Value Missing",mgmt_az1_en1_edge_overlay_interface_ip_1_ip&amp;"/"&amp;INT(RIGHT(mgmt_az1_edge_overlay_cidr,LEN(mgmt_az1_edge_overlay_cidr)-FIND("/",mgmt_az1_edge_overlay_cidr))))</f>
        <v>Value Missing</v>
      </c>
      <c r="E321" s="21"/>
    </row>
    <row r="322" spans="2:5" ht="20" customHeight="1">
      <c r="B322" s="21" t="s">
        <v>1851</v>
      </c>
      <c r="C322" s="22" t="str">
        <f>_xlfn.CONCAT(sample_mgmt_az1_en1_edge_overlay_interface_ip_2_ip,"/",INT(RIGHT(sample_mgmt_az1_edge_overlay_cidr,LEN(sample_mgmt_az1_edge_overlay_cidr)-FIND("/",sample_mgmt_az1_edge_overlay_cidr))))</f>
        <v>10.11.19.3/24</v>
      </c>
      <c r="D322" s="18" t="str">
        <f>IF(OR((mgmt_az1_en1_edge_overlay_interface_ip_2_ip="Value Missing"),(mgmt_az1_edge_overlay_cidr="Value Missing")),"Value Missing",mgmt_az1_en1_edge_overlay_interface_ip_2_ip&amp;"/"&amp;INT(RIGHT(mgmt_az1_edge_overlay_cidr,LEN(mgmt_az1_edge_overlay_cidr)-FIND("/",mgmt_az1_edge_overlay_cidr))))</f>
        <v>Value Missing</v>
      </c>
      <c r="E322" s="21"/>
    </row>
    <row r="323" spans="2:5" ht="20" customHeight="1">
      <c r="B323" s="21" t="s">
        <v>1852</v>
      </c>
      <c r="C323" s="22" t="str">
        <f>sample_mgmt_az1_edge_overlay_gateway_ip</f>
        <v>10.11.19.1</v>
      </c>
      <c r="D323" s="18" t="str">
        <f>mgmt_az1_edge_overlay_gateway_ip</f>
        <v>Value Missing</v>
      </c>
      <c r="E323" s="21"/>
    </row>
    <row r="324" spans="2:5" ht="20" customHeight="1">
      <c r="B324" s="21" t="s">
        <v>1853</v>
      </c>
      <c r="C324" s="22" t="str">
        <f>sample_mgmt_az1_edge_overlay_vlan</f>
        <v>1119</v>
      </c>
      <c r="D324" s="18">
        <f>input_mgmt_az1_edge_overlay_vlan</f>
        <v>0</v>
      </c>
      <c r="E324" s="21"/>
    </row>
    <row r="325" spans="2:5" ht="20" customHeight="1">
      <c r="B325" s="21" t="s">
        <v>1854</v>
      </c>
      <c r="C325" s="22" t="str">
        <f>sample_mgmt_cl01_cluster</f>
        <v>sfo-m01-cl01</v>
      </c>
      <c r="D325" s="18" t="str">
        <f>mgmt_cl01_cluster</f>
        <v>Value Missing</v>
      </c>
      <c r="E325" s="21"/>
    </row>
    <row r="326" spans="2:5" ht="20" customHeight="1">
      <c r="B326" s="21" t="s">
        <v>1855</v>
      </c>
      <c r="C326" s="22" t="s">
        <v>1856</v>
      </c>
      <c r="D326" s="18" t="str">
        <f>C326</f>
        <v>L2 Uniform</v>
      </c>
      <c r="E326" s="21"/>
    </row>
    <row r="327" spans="2:5" ht="20" customHeight="1">
      <c r="B327" s="21" t="s">
        <v>1857</v>
      </c>
      <c r="C327" s="22" t="str">
        <f>sample_mgmt_az1_uplink01_vlan</f>
        <v>1117</v>
      </c>
      <c r="D327" s="18">
        <f>input_mgmt_az1_uplink01_vlan</f>
        <v>0</v>
      </c>
      <c r="E327" s="21"/>
    </row>
    <row r="328" spans="2:5" ht="20" customHeight="1">
      <c r="B328" s="21" t="s">
        <v>1858</v>
      </c>
      <c r="C328" s="22" t="str">
        <f>_xlfn.CONCAT(sample_mgmt_az1_en1_uplink01_interface_ip,"/",INT(RIGHT(sample_mgmt_az1_uplink01_cidr,LEN(sample_mgmt_az1_uplink01_cidr)-FIND("/",sample_mgmt_az1_uplink01_cidr))))</f>
        <v>10.11.17.2/24</v>
      </c>
      <c r="D328" s="18" t="str">
        <f>IF(OR((mgmt_az1_en1_uplink01_interface_ip="Value Missing"),(mgmt_az1_uplink01_cidr="Value Missing")),"Value Missing",mgmt_az1_en1_uplink01_interface_ip&amp;"/"&amp;INT(RIGHT(mgmt_az1_uplink01_cidr,LEN(mgmt_az1_uplink01_cidr)-FIND("/",mgmt_az1_uplink01_cidr))))</f>
        <v>Value Missing</v>
      </c>
      <c r="E328" s="21"/>
    </row>
    <row r="329" spans="2:5" ht="20" customHeight="1">
      <c r="B329" s="21" t="s">
        <v>1859</v>
      </c>
      <c r="C329" s="22" t="str">
        <f>_xlfn.CONCAT(sample_mgmt_az1_tor1_peer_ip,"/",INT(RIGHT(sample_mgmt_az1_uplink01_cidr,LEN(sample_mgmt_az1_uplink01_cidr)-FIND("/",sample_mgmt_az1_uplink01_cidr))))</f>
        <v>10.11.17.10/24</v>
      </c>
      <c r="D329" s="18" t="str">
        <f>IF(OR((mgmt_az1_tor1_peer_ip="Value Missing"),(mgmt_az1_uplink01_cidr="Value Missing")),"Value Missing",mgmt_az1_tor1_peer_ip&amp;"/"&amp;INT(RIGHT(mgmt_az1_uplink01_cidr,LEN(_xlfn.SINGLE(mgmt_az1_uplink01_cidr))-FIND("/",mgmt_az1_uplink01_cidr))))</f>
        <v>Value Missing</v>
      </c>
      <c r="E329" s="21"/>
    </row>
    <row r="330" spans="2:5" ht="20" customHeight="1">
      <c r="B330" s="21" t="s">
        <v>1860</v>
      </c>
      <c r="C330" s="22" t="str">
        <f>sample_mgmt_az1_tor1_peer_asn</f>
        <v>65111</v>
      </c>
      <c r="D330" s="18" t="str">
        <f>mgmt_az1_tor1_peer_asn</f>
        <v>Value Missing</v>
      </c>
      <c r="E330" s="21"/>
    </row>
    <row r="331" spans="2:5" ht="20" customHeight="1">
      <c r="B331" s="21" t="s">
        <v>1861</v>
      </c>
      <c r="C331" s="22" t="str">
        <f>sample_mgmt_az1_tor1_peer_bgp_password</f>
        <v>VMw@re1!</v>
      </c>
      <c r="D331" s="18" t="str">
        <f>mgmt_az1_tor1_peer_bgp_password</f>
        <v>Value Missing</v>
      </c>
      <c r="E331" s="21"/>
    </row>
    <row r="332" spans="2:5" ht="20" customHeight="1">
      <c r="B332" s="21" t="s">
        <v>1862</v>
      </c>
      <c r="C332" s="22" t="str">
        <f>sample_mgmt_az1_uplink02_vlan</f>
        <v>1118</v>
      </c>
      <c r="D332" s="18">
        <f>input_mgmt_az1_uplink02_vlan</f>
        <v>0</v>
      </c>
      <c r="E332" s="21"/>
    </row>
    <row r="333" spans="2:5" ht="20" customHeight="1">
      <c r="B333" s="21" t="s">
        <v>1863</v>
      </c>
      <c r="C333" s="22" t="str">
        <f>_xlfn.CONCAT(sample_mgmt_az1_en1_uplink02_interface_ip,"/",INT(RIGHT(sample_mgmt_az1_uplink02_cidr,LEN(sample_mgmt_az1_uplink02_cidr)-FIND("/",sample_mgmt_az1_uplink02_cidr))))</f>
        <v>10.11.18.2/24</v>
      </c>
      <c r="D333" s="18" t="str">
        <f>IF(OR((mgmt_az1_en1_uplink02_interface_ip="Value Missing"),(mgmt_az1_uplink02_cidr="Value Missing")),"Value Missing",mgmt_az1_en1_uplink02_interface_ip&amp;"/"&amp;INT(RIGHT(mgmt_az1_uplink02_cidr,LEN(mgmt_az1_uplink02_cidr)-FIND("/",mgmt_az1_uplink02_cidr))))</f>
        <v>Value Missing</v>
      </c>
      <c r="E333" s="21"/>
    </row>
    <row r="334" spans="2:5" ht="20" customHeight="1">
      <c r="B334" s="21" t="s">
        <v>1859</v>
      </c>
      <c r="C334" s="22" t="str">
        <f>_xlfn.CONCAT(sample_mgmt_az1_tor2_peer_ip,"/",INT(RIGHT(sample_mgmt_az1_uplink02_cidr,LEN(sample_mgmt_az1_uplink02_cidr)-FIND("/",sample_mgmt_az1_uplink02_cidr))))</f>
        <v>10.11.18.10/24</v>
      </c>
      <c r="D334" s="18" t="str">
        <f>IF(OR((mgmt_az1_tor2_peer_ip="Value Missing"),(mgmt_az1_uplink02_cidr="Value Missing")),"Value Missing",mgmt_az1_tor2_peer_ip&amp;"/"&amp;INT(RIGHT(mgmt_az1_uplink02_cidr,LEN(mgmt_az1_uplink02_cidr)-FIND("/",mgmt_az1_uplink02_cidr))))</f>
        <v>Value Missing</v>
      </c>
      <c r="E334" s="21"/>
    </row>
    <row r="335" spans="2:5" ht="20" customHeight="1">
      <c r="B335" s="21" t="s">
        <v>1860</v>
      </c>
      <c r="C335" s="22" t="str">
        <f>sample_mgmt_az1_tor2_peer_asn</f>
        <v>65111</v>
      </c>
      <c r="D335" s="18" t="str">
        <f>mgmt_az1_tor2_peer_asn</f>
        <v>Value Missing</v>
      </c>
      <c r="E335" s="21"/>
    </row>
    <row r="336" spans="2:5" ht="20" customHeight="1">
      <c r="B336" s="21" t="s">
        <v>1861</v>
      </c>
      <c r="C336" s="22" t="str">
        <f>sample_mgmt_az1_tor2_peer_bgp_password</f>
        <v>VMw@re1!</v>
      </c>
      <c r="D336" s="18" t="str">
        <f>mgmt_az1_tor2_peer_bgp_password</f>
        <v>Value Missing</v>
      </c>
      <c r="E336" s="21"/>
    </row>
    <row r="337" spans="2:5" ht="20" customHeight="1">
      <c r="B337" s="21" t="s">
        <v>1864</v>
      </c>
      <c r="C337" s="22" t="str">
        <f>_xlfn.CONCAT(sample_mgmt_az1_en2_hostname,".",sample_child_dns_zone)</f>
        <v>sfo-m01-r01-en02.sfo.rainpole.io</v>
      </c>
      <c r="D337" s="18" t="str">
        <f>mgmt_az1_en2_fqdn</f>
        <v>Value Missing.Value Missing</v>
      </c>
      <c r="E337" s="21"/>
    </row>
    <row r="338" spans="2:5" ht="20" customHeight="1">
      <c r="B338" s="21" t="s">
        <v>1865</v>
      </c>
      <c r="C338" s="22" t="str">
        <f>_xlfn.CONCAT(sample_mgmt_az1_en2_mgmt_ip,"/",INT(RIGHT(sample_mgmt_az1_mgmt_cidr,LEN(sample_mgmt_az1_mgmt_cidr)-FIND("/",sample_mgmt_az1_mgmt_cidr))))</f>
        <v>10.11.10.76/24</v>
      </c>
      <c r="D338" s="18" t="str">
        <f>IF(OR((mgmt_az1_en2_mgmt_ip="Value Missing"),(mgmt_az1_mgmt_vm_cidr="Value Missing")),"Value Missing",mgmt_az1_en2_mgmt_ip&amp;"/"&amp;INT(RIGHT(mgmt_az1_mgmt_vm_cidr,LEN(mgmt_az1_mgmt_vm_cidr)-FIND("/",mgmt_az1_mgmt_vm_cidr))))</f>
        <v>Value Missing</v>
      </c>
      <c r="E338" s="21"/>
    </row>
    <row r="339" spans="2:5" ht="20" customHeight="1">
      <c r="B339" s="21" t="s">
        <v>1866</v>
      </c>
      <c r="C339" s="22" t="str">
        <f>sample_mgmt_az1_mgmt_gateway_ip</f>
        <v>10.11.11.1</v>
      </c>
      <c r="D339" s="18" t="str">
        <f>mgmt_az1_mgmt_vm_gateway_ip</f>
        <v>Value Missing</v>
      </c>
      <c r="E339" s="21"/>
    </row>
    <row r="340" spans="2:5" ht="20" customHeight="1">
      <c r="B340" s="21" t="s">
        <v>1867</v>
      </c>
      <c r="C340" s="22" t="str">
        <f>_xlfn.CONCAT(sample_mgmt_az1_en2_edge_overlay_interface_ip_1_ip,"/",INT(RIGHT(sample_mgmt_az1_edge_overlay_cidr,LEN(sample_mgmt_az1_edge_overlay_cidr)-FIND("/",sample_mgmt_az1_edge_overlay_cidr))))</f>
        <v>10.11.19.4/24</v>
      </c>
      <c r="D340" s="18" t="str">
        <f>IF(OR((mgmt_az1_en2_edge_overlay_interface_ip_1_ip="Value Missing"),(mgmt_az1_edge_overlay_cidr="Value Missing")),"Value Missing",mgmt_az1_en2_edge_overlay_interface_ip_1_ip&amp;"/"&amp;INT(RIGHT(mgmt_az1_edge_overlay_cidr,LEN(mgmt_az1_edge_overlay_cidr)-FIND("/",mgmt_az1_edge_overlay_cidr))))</f>
        <v>Value Missing</v>
      </c>
      <c r="E340" s="21"/>
    </row>
    <row r="341" spans="2:5" ht="20" customHeight="1">
      <c r="B341" s="21" t="s">
        <v>1868</v>
      </c>
      <c r="C341" s="22" t="str">
        <f>_xlfn.CONCAT(sample_mgmt_az1_en2_edge_overlay_interface_ip_2_ip,"/",INT(RIGHT(sample_mgmt_az1_edge_overlay_cidr,LEN(sample_mgmt_az1_edge_overlay_cidr)-FIND("/",sample_mgmt_az1_edge_overlay_cidr))))</f>
        <v>10.11.19.5/24</v>
      </c>
      <c r="D341" s="18" t="str">
        <f>IF(OR((mgmt_az1_en2_edge_overlay_interface_ip_2_ip="Value Missing"),(mgmt_az1_edge_overlay_cidr="Value Missing")),"Value Missing",mgmt_az1_en2_edge_overlay_interface_ip_2_ip&amp;"/"&amp;INT(RIGHT(mgmt_az1_edge_overlay_cidr,LEN(mgmt_az1_edge_overlay_cidr)-FIND("/",mgmt_az1_edge_overlay_cidr))))</f>
        <v>Value Missing</v>
      </c>
      <c r="E341" s="21"/>
    </row>
    <row r="342" spans="2:5" ht="20" customHeight="1">
      <c r="B342" s="21" t="s">
        <v>1869</v>
      </c>
      <c r="C342" s="22" t="str">
        <f>sample_mgmt_az1_edge_overlay_gateway_ip</f>
        <v>10.11.19.1</v>
      </c>
      <c r="D342" s="18" t="str">
        <f>mgmt_az1_edge_overlay_gateway_ip</f>
        <v>Value Missing</v>
      </c>
      <c r="E342" s="21"/>
    </row>
    <row r="343" spans="2:5" ht="20" customHeight="1">
      <c r="B343" s="21" t="s">
        <v>1870</v>
      </c>
      <c r="C343" s="22" t="str">
        <f>sample_mgmt_az1_edge_overlay_vlan</f>
        <v>1119</v>
      </c>
      <c r="D343" s="18">
        <f>input_mgmt_az1_edge_overlay_vlan</f>
        <v>0</v>
      </c>
      <c r="E343" s="21"/>
    </row>
    <row r="344" spans="2:5" ht="20" customHeight="1">
      <c r="B344" s="21" t="s">
        <v>1871</v>
      </c>
      <c r="C344" s="22" t="str">
        <f>sample_mgmt_cl01_cluster</f>
        <v>sfo-m01-cl01</v>
      </c>
      <c r="D344" s="18" t="str">
        <f>mgmt_cl01_cluster</f>
        <v>Value Missing</v>
      </c>
      <c r="E344" s="21"/>
    </row>
    <row r="345" spans="2:5" ht="20" customHeight="1">
      <c r="B345" s="21" t="s">
        <v>1872</v>
      </c>
      <c r="C345" s="22" t="s">
        <v>1856</v>
      </c>
      <c r="D345" s="18" t="str">
        <f>C345</f>
        <v>L2 Uniform</v>
      </c>
      <c r="E345" s="21"/>
    </row>
    <row r="346" spans="2:5" ht="20" customHeight="1">
      <c r="B346" s="21" t="s">
        <v>1873</v>
      </c>
      <c r="C346" s="22" t="str">
        <f>sample_mgmt_az1_uplink01_vlan</f>
        <v>1117</v>
      </c>
      <c r="D346" s="18">
        <f>input_mgmt_az1_uplink01_vlan</f>
        <v>0</v>
      </c>
      <c r="E346" s="21"/>
    </row>
    <row r="347" spans="2:5" ht="20" customHeight="1">
      <c r="B347" s="21" t="s">
        <v>1874</v>
      </c>
      <c r="C347" s="22" t="str">
        <f>_xlfn.CONCAT(sample_mgmt_az1_en2_uplink01_interface_ip,"/",INT(RIGHT(sample_mgmt_az1_uplink01_cidr,LEN(sample_mgmt_az1_uplink01_cidr)-FIND("/",sample_mgmt_az1_uplink01_cidr))))</f>
        <v>10.11.17.3/24</v>
      </c>
      <c r="D347" s="18" t="str">
        <f>IF(OR((mgmt_az1_en2_uplink01_interface_ip="Value Missing"),(mgmt_az1_uplink01_cidr="Value Missing")),"Value Missing",mgmt_az1_en2_uplink01_interface_ip&amp;"/"&amp;INT(RIGHT(mgmt_az1_uplink01_cidr,LEN(mgmt_az1_uplink01_cidr)-FIND("/",mgmt_az1_uplink01_cidr))))</f>
        <v>Value Missing</v>
      </c>
      <c r="E347" s="21"/>
    </row>
    <row r="348" spans="2:5" ht="20" customHeight="1">
      <c r="B348" s="21" t="s">
        <v>1875</v>
      </c>
      <c r="C348" s="22" t="str">
        <f>_xlfn.CONCAT(sample_mgmt_az1_tor1_peer_ip,"/",INT(RIGHT(sample_mgmt_az1_uplink01_cidr,LEN(sample_mgmt_az1_uplink01_cidr)-FIND("/",sample_mgmt_az1_uplink01_cidr))))</f>
        <v>10.11.17.10/24</v>
      </c>
      <c r="D348" s="18" t="str">
        <f>IF(OR((mgmt_az1_en2_uplink01_interface_ip="Value Missing"),(mgmt_az1_uplink01_cidr="Value Missing")),"Value Missing",mgmt_az1_tor1_peer_ip&amp;"/"&amp;INT(RIGHT(mgmt_az1_uplink01_cidr,LEN(mgmt_az1_uplink01_cidr)-FIND("/",mgmt_az1_uplink01_cidr))))</f>
        <v>Value Missing</v>
      </c>
      <c r="E348" s="21"/>
    </row>
    <row r="349" spans="2:5" ht="20" customHeight="1">
      <c r="B349" s="21" t="s">
        <v>1876</v>
      </c>
      <c r="C349" s="22" t="str">
        <f>sample_mgmt_az1_tor1_peer_asn</f>
        <v>65111</v>
      </c>
      <c r="D349" s="18" t="str">
        <f>mgmt_az1_tor1_peer_asn</f>
        <v>Value Missing</v>
      </c>
      <c r="E349" s="21"/>
    </row>
    <row r="350" spans="2:5" ht="20" customHeight="1">
      <c r="B350" s="21" t="s">
        <v>1877</v>
      </c>
      <c r="C350" s="22" t="str">
        <f>sample_mgmt_az1_tor1_peer_bgp_password</f>
        <v>VMw@re1!</v>
      </c>
      <c r="D350" s="18" t="str">
        <f>mgmt_az1_tor1_peer_bgp_password</f>
        <v>Value Missing</v>
      </c>
      <c r="E350" s="21"/>
    </row>
    <row r="351" spans="2:5" ht="20" customHeight="1">
      <c r="B351" s="21" t="s">
        <v>1878</v>
      </c>
      <c r="C351" s="22" t="str">
        <f>sample_mgmt_az1_uplink02_vlan</f>
        <v>1118</v>
      </c>
      <c r="D351" s="18">
        <f>input_mgmt_az1_uplink02_vlan</f>
        <v>0</v>
      </c>
      <c r="E351" s="21"/>
    </row>
    <row r="352" spans="2:5" ht="20" customHeight="1">
      <c r="B352" s="21" t="s">
        <v>1879</v>
      </c>
      <c r="C352" s="22" t="str">
        <f>_xlfn.CONCAT(sample_mgmt_az1_en2_uplink02_interface_ip,"/",INT(RIGHT(sample_mgmt_az1_uplink02_cidr,LEN(sample_mgmt_az1_uplink02_cidr)-FIND("/",sample_mgmt_az1_uplink02_cidr))))</f>
        <v>10.11.18.3/24</v>
      </c>
      <c r="D352" s="18" t="str">
        <f>IF(OR((mgmt_az1_en2_uplink02_interface_ip="Value Missing"),(mgmt_az1_uplink02_cidr="Value Missing")),"Value Missing",mgmt_az1_en2_uplink02_interface_ip&amp;"/"&amp;INT(RIGHT(mgmt_az1_uplink02_cidr,LEN(mgmt_az1_uplink02_cidr)-FIND("/",mgmt_az1_uplink02_cidr))))</f>
        <v>Value Missing</v>
      </c>
      <c r="E352" s="21"/>
    </row>
    <row r="353" spans="2:7" ht="20" customHeight="1">
      <c r="B353" s="21" t="s">
        <v>1875</v>
      </c>
      <c r="C353" s="22" t="str">
        <f>_xlfn.CONCAT(sample_mgmt_az1_tor2_peer_ip,"/",INT(RIGHT(sample_mgmt_az1_uplink02_cidr,LEN(sample_mgmt_az1_uplink02_cidr)-FIND("/",sample_mgmt_az1_uplink02_cidr))))</f>
        <v>10.11.18.10/24</v>
      </c>
      <c r="D353" s="18" t="str">
        <f>IF(OR((mgmt_az1_tor2_peer_ip="Value Missing"),(mgmt_az1_uplink02_cidr="Value Missing")),"Value Missing",mgmt_az1_tor2_peer_ip&amp;"/"&amp;INT(RIGHT(mgmt_az1_uplink02_cidr,LEN(mgmt_az1_uplink02_cidr)-FIND("/",mgmt_az1_uplink02_cidr))))</f>
        <v>Value Missing</v>
      </c>
      <c r="E353" s="21"/>
    </row>
    <row r="354" spans="2:7" ht="20" customHeight="1">
      <c r="B354" s="21" t="s">
        <v>1876</v>
      </c>
      <c r="C354" s="22" t="str">
        <f>sample_mgmt_az1_tor2_peer_asn</f>
        <v>65111</v>
      </c>
      <c r="D354" s="18" t="str">
        <f>mgmt_az1_tor2_peer_asn</f>
        <v>Value Missing</v>
      </c>
      <c r="E354" s="21"/>
    </row>
    <row r="355" spans="2:7" ht="20" customHeight="1">
      <c r="B355" s="21" t="s">
        <v>1877</v>
      </c>
      <c r="C355" s="22" t="str">
        <f>sample_mgmt_az1_tor2_peer_bgp_password</f>
        <v>VMw@re1!</v>
      </c>
      <c r="D355" s="18" t="str">
        <f>mgmt_az1_tor2_peer_bgp_password</f>
        <v>Value Missing</v>
      </c>
      <c r="E355" s="21"/>
    </row>
    <row r="356" spans="2:7" ht="16" customHeight="1">
      <c r="G356" s="91"/>
    </row>
    <row r="357" spans="2:7" ht="34" customHeight="1">
      <c r="B357" s="344" t="s">
        <v>1880</v>
      </c>
      <c r="C357" s="344"/>
      <c r="D357" s="344"/>
      <c r="E357" s="344"/>
    </row>
    <row r="358" spans="2:7" ht="20" customHeight="1">
      <c r="B358" s="8" t="s">
        <v>735</v>
      </c>
      <c r="C358" s="8" t="s">
        <v>554</v>
      </c>
      <c r="D358" s="20" t="s">
        <v>555</v>
      </c>
      <c r="E358" s="8" t="s">
        <v>222</v>
      </c>
    </row>
    <row r="359" spans="2:7" ht="20" customHeight="1">
      <c r="B359" s="472" t="s">
        <v>1881</v>
      </c>
      <c r="C359" s="472"/>
      <c r="D359" s="472"/>
      <c r="E359" s="472"/>
    </row>
    <row r="360" spans="2:7" ht="20" customHeight="1">
      <c r="B360" s="21" t="s">
        <v>1882</v>
      </c>
      <c r="C360" s="22" t="str">
        <f>IF(mgmt_vns_chosen="Exclude","N/A",IF(mgmt_vns_chosen="Overlay-Backed","Overlay AVN","VLAN AVN"))</f>
        <v>N/A</v>
      </c>
      <c r="D360" s="18" t="str">
        <f>IF(mgmt_vns_chosen="Exclude","N/A",IF(mgmt_vns_chosen="Overlay-Backed","Overlay AVN","VLAN AVN"))</f>
        <v>N/A</v>
      </c>
      <c r="E360" s="21"/>
    </row>
    <row r="361" spans="2:7" ht="20" customHeight="1">
      <c r="B361" s="472" t="s">
        <v>1883</v>
      </c>
      <c r="C361" s="472"/>
      <c r="D361" s="472"/>
      <c r="E361" s="472"/>
      <c r="G361" s="91"/>
    </row>
    <row r="362" spans="2:7" ht="20" customHeight="1">
      <c r="B362" s="21" t="s">
        <v>1884</v>
      </c>
      <c r="C362" s="22" t="str">
        <f>sample_mgmt_ec_name</f>
        <v>sfo-m01-ec01</v>
      </c>
      <c r="D362" s="18" t="str">
        <f>mgmt_ec_name</f>
        <v>Value Missing</v>
      </c>
      <c r="E362" s="21"/>
    </row>
    <row r="363" spans="2:7" ht="20" customHeight="1">
      <c r="B363" s="21" t="s">
        <v>1885</v>
      </c>
      <c r="C363" s="22" t="str">
        <f>sample_mgmt_tier0_name</f>
        <v>sfo-m01-ec01-t0-gw01</v>
      </c>
      <c r="D363" s="18" t="str">
        <f>mgmt_tier1_name</f>
        <v>Value Missing</v>
      </c>
      <c r="E363" s="21"/>
    </row>
    <row r="364" spans="2:7" ht="20" customHeight="1">
      <c r="B364" s="472" t="s">
        <v>1886</v>
      </c>
      <c r="C364" s="472"/>
      <c r="D364" s="472"/>
      <c r="E364" s="472"/>
    </row>
    <row r="365" spans="2:7" ht="20" customHeight="1">
      <c r="B365" s="21" t="s">
        <v>1887</v>
      </c>
      <c r="C365" s="22" t="str">
        <f>sample_reg_seg01_name</f>
        <v>sfo-m01-seg01</v>
      </c>
      <c r="D365" s="18" t="str">
        <f>reg_seg01_name</f>
        <v>Value Missing</v>
      </c>
      <c r="E365" s="21"/>
    </row>
    <row r="366" spans="2:7" ht="20" customHeight="1">
      <c r="B366" s="21" t="s">
        <v>1888</v>
      </c>
      <c r="C366" s="22" t="str">
        <f>IF(mgmt_vns_result="Excluded","N/A",LEFT(sample_reg_seg01_cidr,(FIND("/",sample_reg_seg01_cidr,1)-1)))</f>
        <v>N/A</v>
      </c>
      <c r="D366" s="18" t="str">
        <f>IF(mgmt_vns_chosen="Exclude","N/A",IF(reg_seg01_cidr="Value Missing","Value Missing",LEFT(reg_seg01_cidr,(FIND("/",reg_seg01_cidr,1)-1))))</f>
        <v>N/A</v>
      </c>
      <c r="E366" s="21"/>
    </row>
    <row r="367" spans="2:7" ht="20" customHeight="1">
      <c r="B367" s="21" t="s">
        <v>1889</v>
      </c>
      <c r="C367" s="22" t="str">
        <f>IF(mgmt_vns_result="Excluded","N/A",VLOOKUP(INT(RIGHT(sample_reg_seg01_cidr,LEN(sample_reg_seg01_cidr)-FIND("/",sample_reg_seg01_cidr))),table_cidr_to_mask,2,FALSE))</f>
        <v>N/A</v>
      </c>
      <c r="D367" s="18" t="str">
        <f>IF(mgmt_vns_chosen="Exclude","N/A",reg_seg01_mask_overlay_backed)</f>
        <v>N/A</v>
      </c>
      <c r="E367" s="21"/>
    </row>
    <row r="368" spans="2:7" ht="20" customHeight="1">
      <c r="B368" s="21" t="s">
        <v>1890</v>
      </c>
      <c r="C368" s="22" t="str">
        <f>sample_reg_seg01_gateway_ip</f>
        <v>N/A</v>
      </c>
      <c r="D368" s="18" t="str">
        <f>reg_seg01_gateway_ip</f>
        <v>Value Missing</v>
      </c>
      <c r="E368" s="21"/>
    </row>
    <row r="369" spans="2:7" ht="20" customHeight="1">
      <c r="B369" s="21" t="s">
        <v>1891</v>
      </c>
      <c r="C369" s="22">
        <f>sample_reg_seg01_mtu</f>
        <v>9000</v>
      </c>
      <c r="D369" s="18" t="str">
        <f t="array" ref="D369">reg_seg01_mtu</f>
        <v>Value Missing</v>
      </c>
      <c r="E369" s="21"/>
    </row>
    <row r="370" spans="2:7" ht="20" customHeight="1">
      <c r="B370" s="21" t="s">
        <v>1892</v>
      </c>
      <c r="C370" s="22" t="str">
        <f>sample_xreg_seg01_name</f>
        <v>xint-m01-seg01</v>
      </c>
      <c r="D370" s="18" t="str">
        <f>xreg_seg01_name</f>
        <v>Value Missing</v>
      </c>
      <c r="E370" s="21"/>
    </row>
    <row r="371" spans="2:7" ht="20" customHeight="1">
      <c r="B371" s="21" t="s">
        <v>1893</v>
      </c>
      <c r="C371" s="22" t="str">
        <f>IF(mgmt_vns_result="Excluded","N/A",LEFT(sample_xreg_seg01_cidr,(FIND("/",sample_xreg_seg01_cidr,1)-1)))</f>
        <v>N/A</v>
      </c>
      <c r="D371" s="18" t="str" cm="1">
        <f t="array" ref="D371">IF(xreg_seg01_cidr="Value Missing","Value Missing",LEFT(xreg_seg01_cidr,(FIND("/",xreg_seg01_cidr,1)-1)))</f>
        <v>Value Missing</v>
      </c>
      <c r="E371" s="21"/>
    </row>
    <row r="372" spans="2:7" ht="20" customHeight="1">
      <c r="B372" s="21" t="s">
        <v>1894</v>
      </c>
      <c r="C372" s="22" t="str">
        <f>IF(mgmt_vns_result="Excluded","N/A",VLOOKUP(INT(RIGHT(sample_xreg_seg01_cidr,LEN(sample_xreg_seg01_cidr)-FIND("/",sample_xreg_seg01_cidr))),table_cidr_to_mask,2,FALSE))</f>
        <v>N/A</v>
      </c>
      <c r="D372" s="18" t="str">
        <f>xreg_seg01_mask</f>
        <v>Value Missing</v>
      </c>
      <c r="E372" s="21"/>
    </row>
    <row r="373" spans="2:7" ht="20" customHeight="1">
      <c r="B373" s="21" t="s">
        <v>1895</v>
      </c>
      <c r="C373" s="22" t="str">
        <f>sample_xreg_seg01_gateway_ip</f>
        <v>N/A</v>
      </c>
      <c r="D373" s="18" t="str">
        <f>xreg_seg01_gateway_ip</f>
        <v>Value Missing</v>
      </c>
      <c r="E373" s="21"/>
    </row>
    <row r="374" spans="2:7" ht="20" customHeight="1">
      <c r="B374" s="21" t="s">
        <v>1896</v>
      </c>
      <c r="C374" s="22">
        <v>9000</v>
      </c>
      <c r="D374" s="18">
        <f>C374</f>
        <v>9000</v>
      </c>
      <c r="E374" s="21"/>
    </row>
    <row r="375" spans="2:7" ht="16" customHeight="1">
      <c r="G375" s="91"/>
    </row>
    <row r="376" spans="2:7" ht="34" customHeight="1">
      <c r="B376" s="344" t="s">
        <v>4269</v>
      </c>
      <c r="C376" s="344"/>
      <c r="D376" s="344"/>
      <c r="E376" s="344"/>
      <c r="G376" s="91"/>
    </row>
    <row r="377" spans="2:7" ht="20" customHeight="1">
      <c r="B377" s="8" t="s">
        <v>735</v>
      </c>
      <c r="C377" s="8" t="s">
        <v>554</v>
      </c>
      <c r="D377" s="20" t="s">
        <v>555</v>
      </c>
      <c r="E377" s="8" t="s">
        <v>222</v>
      </c>
      <c r="G377" s="91"/>
    </row>
    <row r="378" spans="2:7" ht="20" customHeight="1">
      <c r="B378" s="472" t="s">
        <v>4258</v>
      </c>
      <c r="C378" s="472"/>
      <c r="D378" s="472"/>
      <c r="E378" s="472"/>
    </row>
    <row r="379" spans="2:7" ht="20" customHeight="1">
      <c r="B379" s="21" t="s">
        <v>83</v>
      </c>
      <c r="C379" s="22"/>
      <c r="D379" s="18" t="str">
        <f>mgmt_avilb_cluster_version</f>
        <v>Value Missing</v>
      </c>
      <c r="E379" s="21"/>
    </row>
    <row r="380" spans="2:7" ht="20" customHeight="1">
      <c r="B380" s="472" t="s">
        <v>4259</v>
      </c>
      <c r="C380" s="472"/>
      <c r="D380" s="472"/>
      <c r="E380" s="472"/>
    </row>
    <row r="381" spans="2:7" ht="20" customHeight="1">
      <c r="B381" s="21" t="s">
        <v>1884</v>
      </c>
      <c r="C381" s="22" t="str">
        <f>sizing_mgmt_avi_lb_appliance_size</f>
        <v>Medium</v>
      </c>
      <c r="D381" s="18" t="str">
        <f>sizing_mgmt_avi_lb_appliance_size</f>
        <v>Medium</v>
      </c>
      <c r="E381" s="21"/>
    </row>
    <row r="382" spans="2:7" ht="20" customHeight="1">
      <c r="B382" s="472" t="s">
        <v>4260</v>
      </c>
      <c r="C382" s="472"/>
      <c r="D382" s="472"/>
      <c r="E382" s="472"/>
      <c r="G382" s="91"/>
    </row>
    <row r="383" spans="2:7" ht="20" customHeight="1">
      <c r="B383" s="21" t="s">
        <v>1684</v>
      </c>
      <c r="C383" s="22" t="str">
        <f>sample_avilb_root_password</f>
        <v>VMw@re1!VMw@re1!</v>
      </c>
      <c r="D383" s="18" t="str">
        <f>avilb_root_password</f>
        <v>Value Missing</v>
      </c>
      <c r="E383" s="21"/>
      <c r="G383" s="91"/>
    </row>
    <row r="384" spans="2:7" ht="20" customHeight="1">
      <c r="B384" s="21" t="s">
        <v>4261</v>
      </c>
      <c r="C384" s="22" t="str">
        <f>sample_mgmt_avilb_mgra_ip</f>
        <v>10.11.10.92</v>
      </c>
      <c r="D384" s="18" t="str">
        <f>mgmt_avilb_mgra_ip</f>
        <v>Value Missing</v>
      </c>
      <c r="E384" s="21"/>
    </row>
    <row r="385" spans="2:7" ht="20" customHeight="1">
      <c r="B385" s="21" t="s">
        <v>4262</v>
      </c>
      <c r="C385" s="22" t="str">
        <f>sample_mgmt_avilb_mgrb_ip</f>
        <v>10.11.10.93</v>
      </c>
      <c r="D385" s="18" t="str">
        <f>mgmt_avilb_mgrb_ip</f>
        <v>Value Missing</v>
      </c>
      <c r="E385" s="21"/>
    </row>
    <row r="386" spans="2:7" ht="20" customHeight="1">
      <c r="B386" s="21" t="s">
        <v>4263</v>
      </c>
      <c r="C386" s="22" t="str">
        <f>sample_mgmt_avilb_mgrc_ip</f>
        <v>10.11.10.94</v>
      </c>
      <c r="D386" s="18" t="str">
        <f>mgmt_avilb_mgrc_ip</f>
        <v>Value Missing</v>
      </c>
      <c r="E386" s="21"/>
    </row>
    <row r="387" spans="2:7" ht="20" customHeight="1">
      <c r="B387" s="21" t="s">
        <v>4264</v>
      </c>
      <c r="C387" s="22" t="str">
        <f>sample_mgmt_avilb_ip</f>
        <v>10.11.10.91</v>
      </c>
      <c r="D387" s="18" t="str">
        <f>mgmt_avilb_ip</f>
        <v>Value Missing</v>
      </c>
      <c r="E387" s="21"/>
      <c r="G387" s="91"/>
    </row>
    <row r="388" spans="2:7" ht="20" customHeight="1">
      <c r="B388" s="21" t="s">
        <v>2184</v>
      </c>
      <c r="C388" s="22" t="str">
        <f>_xlfn.CONCAT(sample_mgmt_avilb_hostname,".",sample_child_dns_zone)</f>
        <v>sfo-m01-avlb01.sfo.rainpole.io</v>
      </c>
      <c r="D388" s="18" t="str">
        <f>mgmt_avilb_fqdn</f>
        <v>Value Missing.Value Missing</v>
      </c>
      <c r="E388" s="21"/>
    </row>
    <row r="389" spans="2:7" ht="20" customHeight="1">
      <c r="B389" s="21" t="s">
        <v>906</v>
      </c>
      <c r="C389" s="22" t="str">
        <f>IF(mgmt_vns_result="Excluded","N/A",LEFT(sample_xreg_seg01_cidr,(FIND("/",sample_xreg_seg01_cidr,1)-1)))</f>
        <v>N/A</v>
      </c>
      <c r="D389" s="18" t="str">
        <f>mgmt_avilb_cluster_name</f>
        <v>Value Missing</v>
      </c>
      <c r="E389" s="21"/>
    </row>
    <row r="390" spans="2:7" ht="16" customHeight="1">
      <c r="B390" s="91"/>
    </row>
    <row r="391" spans="2:7" ht="34" customHeight="1">
      <c r="B391" s="344" t="s">
        <v>1897</v>
      </c>
      <c r="C391" s="344"/>
      <c r="D391" s="344"/>
      <c r="E391" s="344"/>
    </row>
    <row r="392" spans="2:7" ht="20" customHeight="1">
      <c r="B392" s="8" t="s">
        <v>735</v>
      </c>
      <c r="C392" s="8" t="s">
        <v>554</v>
      </c>
      <c r="D392" s="20" t="s">
        <v>555</v>
      </c>
      <c r="E392" s="8" t="s">
        <v>222</v>
      </c>
      <c r="G392" s="91"/>
    </row>
    <row r="393" spans="2:7" ht="20" customHeight="1">
      <c r="B393" s="472" t="s">
        <v>1881</v>
      </c>
      <c r="C393" s="472"/>
      <c r="D393" s="472"/>
      <c r="E393" s="472"/>
    </row>
    <row r="394" spans="2:7" ht="20" customHeight="1">
      <c r="B394" s="21" t="s">
        <v>1882</v>
      </c>
      <c r="C394" s="22" t="str">
        <f>IF(mgmt_vns_chosen="Exclude","N/A",IF(mgmt_vns_chosen="Overlay-Backed","Overlay AVN","VLAN AVN"))</f>
        <v>N/A</v>
      </c>
      <c r="D394" s="18" t="str">
        <f>IF(mgmt_vns_chosen="Exclude","N/A",IF(mgmt_vns_chosen="Overlay-Backed","Overlay AVN","VLAN AVN"))</f>
        <v>N/A</v>
      </c>
      <c r="E394" s="21"/>
    </row>
    <row r="395" spans="2:7" ht="20" customHeight="1">
      <c r="B395" s="472" t="s">
        <v>1883</v>
      </c>
      <c r="C395" s="472"/>
      <c r="D395" s="472"/>
      <c r="E395" s="472"/>
    </row>
    <row r="396" spans="2:7" ht="20" customHeight="1">
      <c r="B396" s="21" t="s">
        <v>1884</v>
      </c>
      <c r="C396" s="22" t="str">
        <f>sample_mgmt_ec_name</f>
        <v>sfo-m01-ec01</v>
      </c>
      <c r="D396" s="18" t="str">
        <f>mgmt_ec_name</f>
        <v>Value Missing</v>
      </c>
      <c r="E396" s="21"/>
    </row>
    <row r="397" spans="2:7" ht="20" customHeight="1">
      <c r="B397" s="21" t="s">
        <v>1885</v>
      </c>
      <c r="C397" s="22" t="str">
        <f>sample_mgmt_tier0_name</f>
        <v>sfo-m01-ec01-t0-gw01</v>
      </c>
      <c r="D397" s="18" t="str">
        <f>mgmt_tier1_name</f>
        <v>Value Missing</v>
      </c>
      <c r="E397" s="21"/>
    </row>
    <row r="398" spans="2:7" ht="20" customHeight="1">
      <c r="B398" s="472" t="s">
        <v>1886</v>
      </c>
      <c r="C398" s="472"/>
      <c r="D398" s="472"/>
      <c r="E398" s="472"/>
    </row>
    <row r="399" spans="2:7" ht="20" customHeight="1">
      <c r="B399" s="21" t="s">
        <v>1887</v>
      </c>
      <c r="C399" s="22" t="str">
        <f>sample_reg_seg01_name</f>
        <v>sfo-m01-seg01</v>
      </c>
      <c r="D399" s="18" t="str">
        <f>reg_seg01_name</f>
        <v>Value Missing</v>
      </c>
      <c r="E399" s="21"/>
    </row>
    <row r="400" spans="2:7" ht="20" customHeight="1">
      <c r="B400" s="21" t="s">
        <v>1888</v>
      </c>
      <c r="C400" s="22" t="str">
        <f>IF(mgmt_vns_result="Excluded","N/A",LEFT(sample_reg_seg01_cidr,(FIND("/",sample_reg_seg01_cidr,1)-1)))</f>
        <v>N/A</v>
      </c>
      <c r="D400" s="18" t="str">
        <f>IF(mgmt_vns_chosen="Exclude","N/A",IF(reg_seg01_cidr="Value Missing","Value Missing",LEFT(reg_seg01_cidr,(FIND("/",reg_seg01_cidr,1)-1))))</f>
        <v>N/A</v>
      </c>
      <c r="E400" s="21"/>
      <c r="G400" s="91"/>
    </row>
    <row r="401" spans="2:7" ht="20" customHeight="1">
      <c r="B401" s="21" t="s">
        <v>1889</v>
      </c>
      <c r="C401" s="22" t="str">
        <f>IF(mgmt_vns_result="Excluded","N/A",VLOOKUP(INT(RIGHT(sample_reg_seg01_cidr,LEN(sample_reg_seg01_cidr)-FIND("/",sample_reg_seg01_cidr))),table_cidr_to_mask,2,FALSE))</f>
        <v>N/A</v>
      </c>
      <c r="D401" s="18" t="str">
        <f>IF(mgmt_vns_chosen="Exclude","N/A",reg_seg01_mask_overlay_backed)</f>
        <v>N/A</v>
      </c>
      <c r="E401" s="21"/>
      <c r="G401" s="91"/>
    </row>
    <row r="402" spans="2:7" ht="20" customHeight="1">
      <c r="B402" s="21" t="s">
        <v>1890</v>
      </c>
      <c r="C402" s="22" t="str">
        <f>sample_reg_seg01_gateway_ip</f>
        <v>N/A</v>
      </c>
      <c r="D402" s="18" t="str">
        <f>reg_seg01_gateway_ip</f>
        <v>Value Missing</v>
      </c>
      <c r="E402" s="21"/>
      <c r="G402" s="91"/>
    </row>
    <row r="403" spans="2:7" ht="20" customHeight="1">
      <c r="B403" s="21" t="s">
        <v>1891</v>
      </c>
      <c r="C403" s="22">
        <f>sample_reg_seg01_mtu</f>
        <v>9000</v>
      </c>
      <c r="D403" s="18" t="str">
        <f t="array" ref="D403">reg_seg01_mtu</f>
        <v>Value Missing</v>
      </c>
      <c r="E403" s="21"/>
    </row>
    <row r="404" spans="2:7" ht="20" customHeight="1">
      <c r="B404" s="21" t="s">
        <v>1898</v>
      </c>
      <c r="C404" s="22" t="str">
        <f t="array" ref="C404">sample_reg_seg01_vlan</f>
        <v/>
      </c>
      <c r="D404" s="18" t="str">
        <f>reg_seg01_vlan</f>
        <v>Value Missing</v>
      </c>
      <c r="E404" s="21"/>
    </row>
    <row r="405" spans="2:7" ht="20" customHeight="1">
      <c r="B405" s="21" t="s">
        <v>1892</v>
      </c>
      <c r="C405" s="22" t="str">
        <f>sample_xreg_seg01_name</f>
        <v>xint-m01-seg01</v>
      </c>
      <c r="D405" s="18" t="str">
        <f>xreg_seg01_name</f>
        <v>Value Missing</v>
      </c>
      <c r="E405" s="21"/>
    </row>
    <row r="406" spans="2:7" ht="20" customHeight="1">
      <c r="B406" s="21" t="s">
        <v>1893</v>
      </c>
      <c r="C406" s="22" t="str">
        <f>IF(mgmt_vns_result="Excluded","N/A",LEFT(sample_xreg_seg01_cidr,(FIND("/",sample_xreg_seg01_cidr,1)-1)))</f>
        <v>N/A</v>
      </c>
      <c r="D406" s="18" t="str">
        <f>IF(xreg_seg01_cidr="Value Missing","Value Missing",LEFT(xreg_seg01_cidr,(FIND("/",xreg_seg01_cidr,1)-1)))</f>
        <v>Value Missing</v>
      </c>
      <c r="E406" s="21"/>
    </row>
    <row r="407" spans="2:7" ht="20" customHeight="1">
      <c r="B407" s="21" t="s">
        <v>1894</v>
      </c>
      <c r="C407" s="22" t="str">
        <f>IF(mgmt_vns_result="Excluded","N/A",VLOOKUP(INT(RIGHT(sample_xreg_seg01_cidr,LEN(sample_xreg_seg01_cidr)-FIND("/",sample_xreg_seg01_cidr))),table_cidr_to_mask,2,FALSE))</f>
        <v>N/A</v>
      </c>
      <c r="D407" s="18" t="str">
        <f>xreg_seg01_mask</f>
        <v>Value Missing</v>
      </c>
      <c r="E407" s="21"/>
    </row>
    <row r="408" spans="2:7" ht="20" customHeight="1">
      <c r="B408" s="21" t="s">
        <v>1895</v>
      </c>
      <c r="C408" s="22" t="str">
        <f>sample_xreg_seg01_gateway_ip</f>
        <v>N/A</v>
      </c>
      <c r="D408" s="18" t="str">
        <f>xreg_seg01_gateway_ip</f>
        <v>Value Missing</v>
      </c>
      <c r="E408" s="21"/>
    </row>
    <row r="409" spans="2:7" ht="20" customHeight="1">
      <c r="B409" s="21" t="s">
        <v>1896</v>
      </c>
      <c r="C409" s="22">
        <v>9000</v>
      </c>
      <c r="D409" s="18">
        <f>C409</f>
        <v>9000</v>
      </c>
      <c r="E409" s="21"/>
      <c r="G409" s="91"/>
    </row>
    <row r="410" spans="2:7" ht="20" customHeight="1">
      <c r="B410" s="21" t="s">
        <v>1899</v>
      </c>
      <c r="C410" s="22" t="str">
        <f>sample_xreg_seg01_vlan</f>
        <v>N/A</v>
      </c>
      <c r="D410" s="18" t="str">
        <f>xreg_seg01_vlan</f>
        <v>Value Missing</v>
      </c>
      <c r="E410" s="21"/>
    </row>
    <row r="411" spans="2:7" ht="16" customHeight="1"/>
    <row r="412" spans="2:7" ht="34" customHeight="1">
      <c r="B412" s="386" t="s">
        <v>30</v>
      </c>
      <c r="C412" s="387"/>
      <c r="D412" s="387"/>
      <c r="E412" s="387"/>
    </row>
    <row r="413" spans="2:7" ht="16" customHeight="1"/>
    <row r="414" spans="2:7" ht="34" customHeight="1">
      <c r="B414" s="487" t="s">
        <v>1900</v>
      </c>
      <c r="C414" s="488"/>
      <c r="D414" s="488"/>
      <c r="E414" s="489"/>
    </row>
    <row r="415" spans="2:7" ht="20" customHeight="1">
      <c r="B415" s="8" t="s">
        <v>735</v>
      </c>
      <c r="C415" s="8" t="s">
        <v>554</v>
      </c>
      <c r="D415" s="20" t="s">
        <v>555</v>
      </c>
      <c r="E415" s="8" t="s">
        <v>222</v>
      </c>
      <c r="G415" s="91"/>
    </row>
    <row r="416" spans="2:7" ht="20" customHeight="1">
      <c r="B416" s="21" t="s">
        <v>1901</v>
      </c>
      <c r="C416" s="22" t="str">
        <f>_xlfn.CONCAT(sample_mgmt_witness_zone_vc_hostname,".",sample_witness_dns_zone)</f>
        <v>lax-m01-vc01.lax.rainpole.io</v>
      </c>
      <c r="D416" s="18" t="str">
        <f>mgmt_witness_vc_fqdn</f>
        <v>Value Missing.Value Missing</v>
      </c>
      <c r="E416" s="21"/>
    </row>
    <row r="417" spans="2:7" ht="20" customHeight="1">
      <c r="B417" s="21" t="s">
        <v>1902</v>
      </c>
      <c r="C417" s="22" t="str">
        <f>sample_mgmt_witness_hostname</f>
        <v>sfo-m01-cl01-vsw01</v>
      </c>
      <c r="D417" s="18" t="str">
        <f>mgmt_witness_hostname</f>
        <v>Value Missing</v>
      </c>
      <c r="E417" s="21"/>
      <c r="G417" s="91"/>
    </row>
    <row r="418" spans="2:7" ht="20" customHeight="1">
      <c r="B418" s="21" t="s">
        <v>539</v>
      </c>
      <c r="C418" s="22" t="str">
        <f>sample_mgmt_witness_mgmt_pg</f>
        <v>lax01-m01-cl01-vds01-pg-mgmt</v>
      </c>
      <c r="D418" s="18" t="str">
        <f>mgmt_witness_mgmt_pg</f>
        <v>Value Missing</v>
      </c>
      <c r="E418" s="21"/>
      <c r="G418" s="91"/>
    </row>
    <row r="419" spans="2:7" ht="20" customHeight="1">
      <c r="B419" s="21" t="s">
        <v>1903</v>
      </c>
      <c r="C419" s="22" t="str">
        <f>sample_mgmt_witness_mgmt_pg</f>
        <v>lax01-m01-cl01-vds01-pg-mgmt</v>
      </c>
      <c r="D419" s="18" t="str">
        <f>mgmt_witness_mgmt_pg</f>
        <v>Value Missing</v>
      </c>
      <c r="E419" s="21"/>
    </row>
    <row r="420" spans="2:7" ht="20" customHeight="1">
      <c r="B420" s="21" t="s">
        <v>1904</v>
      </c>
      <c r="C420" s="22" t="str">
        <f>sample_mgmt_witness_root_password</f>
        <v>VMw@re1!</v>
      </c>
      <c r="D420" s="18" t="str">
        <f>mgmt_witness_root_password</f>
        <v>Value Missing</v>
      </c>
      <c r="E420" s="21"/>
    </row>
    <row r="421" spans="2:7" ht="20" customHeight="1">
      <c r="B421" s="21" t="s">
        <v>1800</v>
      </c>
      <c r="C421" s="22" t="str">
        <f>sample_mgmt_witness_ip</f>
        <v>10.21.10.218</v>
      </c>
      <c r="D421" s="18" t="str">
        <f>mgmt_witness_mgmt_ip</f>
        <v>Value Missing</v>
      </c>
      <c r="E421" s="21"/>
      <c r="G421" s="91"/>
    </row>
    <row r="422" spans="2:7" ht="20" customHeight="1">
      <c r="B422" s="21" t="s">
        <v>1905</v>
      </c>
      <c r="C422" s="22" t="str">
        <f>VLOOKUP(INT(RIGHT(sample_mgmt_witnessaz_cidr,LEN(sample_mgmt_witnessaz_cidr)-FIND("/",sample_mgmt_witnessaz_cidr))),table_cidr_to_mask,2,FALSE)</f>
        <v>255.255.255.0</v>
      </c>
      <c r="D422" s="18" t="str">
        <f>mgmt_witness_az_mgmt_mask</f>
        <v>Value Missing</v>
      </c>
      <c r="E422" s="21"/>
    </row>
    <row r="423" spans="2:7" ht="20" customHeight="1">
      <c r="B423" s="21" t="s">
        <v>1774</v>
      </c>
      <c r="C423" s="22" t="str">
        <f>sample_mgmt_witnessaz_gateway_ip</f>
        <v>10.21.10.1</v>
      </c>
      <c r="D423" s="18" t="str">
        <f>mgmt_witnessaz_gateway_ip</f>
        <v>Value Missing</v>
      </c>
      <c r="E423" s="21"/>
    </row>
    <row r="424" spans="2:7" ht="20" customHeight="1">
      <c r="B424" s="21" t="s">
        <v>1906</v>
      </c>
      <c r="C424" s="22" t="str">
        <f>sample_child_dns_zone</f>
        <v>sfo.rainpole.io</v>
      </c>
      <c r="D424" s="18" t="str">
        <f>child_dns_zone</f>
        <v>Value Missing</v>
      </c>
      <c r="E424" s="21"/>
    </row>
    <row r="425" spans="2:7" ht="20" customHeight="1">
      <c r="B425" s="21" t="s">
        <v>1907</v>
      </c>
      <c r="C425" s="22" t="str">
        <f>sample_mgmt_witness_hostname</f>
        <v>sfo-m01-cl01-vsw01</v>
      </c>
      <c r="D425" s="18" t="str">
        <f>mgmt_witness_hostname</f>
        <v>Value Missing</v>
      </c>
      <c r="E425" s="21"/>
    </row>
    <row r="426" spans="2:7" ht="20" customHeight="1">
      <c r="B426" s="21" t="s">
        <v>1690</v>
      </c>
      <c r="C426" s="22" t="str">
        <f>CONCATENATE(sample_witness_dns1_ip,",",sample_witness_dns2_ip)</f>
        <v>10.21.10.4,10.21.10.5</v>
      </c>
      <c r="D426" s="18" t="str">
        <f>IF(ISBLANK(input_witness_dns1_ip),"Value Missing",witness_dns1_ip)&amp;","&amp;IF(ISBLANK(input_witness_dns2_ip),"Value Missing",witness_dns2_ip)</f>
        <v>Value Missing,Value Missing</v>
      </c>
      <c r="E426" s="53"/>
    </row>
    <row r="427" spans="2:7" ht="20" customHeight="1">
      <c r="B427" s="21" t="s">
        <v>1693</v>
      </c>
      <c r="C427" s="22" t="str">
        <f>IF(AND((NOT(ISBLANK(sample_witness_ntp2_server))),(sample_witness_ntp2_server &lt;&gt; "n/a")),CONCATENATE(sample_witness_ntp1_server,",",sample_witness_ntp2_server),sample_witness_ntp1_server)</f>
        <v>ntp.lax.rainpole.io</v>
      </c>
      <c r="D427" s="18" t="str">
        <f>IF(AND((NOT(ISBLANK(witness_ntp2_server))),(witness_ntp2_server &lt;&gt; "n/a"),(witness_ntp2_server &lt;&gt; "")),witness_ntp1_server&amp;","&amp;witness_ntp2_server,witness_ntp1_server)</f>
        <v>Value Missing</v>
      </c>
      <c r="E427" s="21"/>
    </row>
    <row r="428" spans="2:7" ht="16" customHeight="1">
      <c r="B428" s="109"/>
      <c r="C428" s="106"/>
      <c r="E428" s="109"/>
    </row>
    <row r="429" spans="2:7" ht="34" customHeight="1">
      <c r="B429" s="486" t="s">
        <v>1908</v>
      </c>
      <c r="C429" s="344"/>
      <c r="D429" s="344"/>
      <c r="E429" s="344"/>
    </row>
    <row r="430" spans="2:7" ht="20" customHeight="1">
      <c r="B430" s="8" t="s">
        <v>735</v>
      </c>
      <c r="C430" s="8" t="s">
        <v>554</v>
      </c>
      <c r="D430" s="20" t="s">
        <v>555</v>
      </c>
      <c r="E430" s="8" t="s">
        <v>222</v>
      </c>
    </row>
    <row r="431" spans="2:7" ht="20" customHeight="1">
      <c r="B431" s="21" t="s">
        <v>1901</v>
      </c>
      <c r="C431" s="22" t="str">
        <f>_xlfn.CONCAT(sample_mgmt_vc_hostname,".",sample_child_dns_zone)</f>
        <v>sfo-m01-vc01.sfo.rainpole.io</v>
      </c>
      <c r="D431" s="18" t="str">
        <f>mgmt_vc_fqdn</f>
        <v>Value Missing.Value Missing</v>
      </c>
      <c r="E431" s="21"/>
      <c r="G431" s="91"/>
    </row>
    <row r="432" spans="2:7" ht="20" customHeight="1">
      <c r="B432" s="21" t="s">
        <v>1909</v>
      </c>
      <c r="C432" s="22" t="str">
        <f>sample_mgmt_datacenter</f>
        <v>sfo-m01-dc01</v>
      </c>
      <c r="D432" s="18" t="str">
        <f>mgmt_datacenter</f>
        <v>Value Missing</v>
      </c>
      <c r="E432" s="21"/>
    </row>
    <row r="433" spans="2:7" ht="20" customHeight="1">
      <c r="B433" s="21" t="s">
        <v>1799</v>
      </c>
      <c r="C433" s="22" t="str">
        <f>_xlfn.CONCAT(sample_mgmt_witness_hostname,".",sample_child_dns_zone)</f>
        <v>sfo-m01-cl01-vsw01.sfo.rainpole.io</v>
      </c>
      <c r="D433" s="18" t="str">
        <f>mgmt_witness_fqdn</f>
        <v>Value Missing.Value Missing</v>
      </c>
      <c r="E433" s="21"/>
    </row>
    <row r="434" spans="2:7" ht="20" customHeight="1">
      <c r="B434" s="21" t="s">
        <v>1910</v>
      </c>
      <c r="C434" s="22" t="str">
        <f>sample_mgmt_witness_root_password</f>
        <v>VMw@re1!</v>
      </c>
      <c r="D434" s="18" t="str">
        <f>mgmt_witness_root_password</f>
        <v>Value Missing</v>
      </c>
      <c r="E434" s="21"/>
      <c r="G434" s="91"/>
    </row>
    <row r="435" spans="2:7" ht="16" customHeight="1"/>
    <row r="436" spans="2:7" ht="34" customHeight="1">
      <c r="B436" s="486" t="s">
        <v>1911</v>
      </c>
      <c r="C436" s="344"/>
      <c r="D436" s="344"/>
      <c r="E436" s="344"/>
    </row>
    <row r="437" spans="2:7" ht="20" customHeight="1">
      <c r="B437" s="8" t="s">
        <v>735</v>
      </c>
      <c r="C437" s="8" t="s">
        <v>554</v>
      </c>
      <c r="D437" s="20" t="s">
        <v>555</v>
      </c>
      <c r="E437" s="8" t="s">
        <v>222</v>
      </c>
    </row>
    <row r="438" spans="2:7" ht="20" customHeight="1">
      <c r="B438" s="21" t="s">
        <v>1901</v>
      </c>
      <c r="C438" s="22" t="str">
        <f>_xlfn.CONCAT(sample_mgmt_vc_hostname,".",sample_child_dns_zone)</f>
        <v>sfo-m01-vc01.sfo.rainpole.io</v>
      </c>
      <c r="D438" s="18" t="str">
        <f>mgmt_vc_fqdn</f>
        <v>Value Missing.Value Missing</v>
      </c>
      <c r="E438" s="21"/>
      <c r="G438" s="91"/>
    </row>
    <row r="439" spans="2:7" ht="20" customHeight="1">
      <c r="B439" s="21" t="s">
        <v>1912</v>
      </c>
      <c r="C439" s="22" t="str">
        <f>sample_mgmt_witness_hostname</f>
        <v>sfo-m01-cl01-vsw01</v>
      </c>
      <c r="D439" s="18" t="str">
        <f>mgmt_witness_hostname</f>
        <v>Value Missing</v>
      </c>
      <c r="E439" s="21"/>
    </row>
    <row r="440" spans="2:7" ht="20" customHeight="1">
      <c r="B440" s="21" t="s">
        <v>1693</v>
      </c>
      <c r="C440" s="22" t="str">
        <f>IF(AND((NOT(ISBLANK(sample_witness_ntp2_server))),(sample_witness_ntp2_server &lt;&gt; "n/a")),CONCATENATE(sample_witness_ntp1_server,",",sample_witness_ntp2_server),sample_witness_ntp1_server)</f>
        <v>ntp.lax.rainpole.io</v>
      </c>
      <c r="D440" s="18" t="str">
        <f>IF(AND((NOT(ISBLANK(witness_ntp2_server))),(witness_ntp2_server &lt;&gt; "n/a"),(witness_ntp2_server &lt;&gt; "")),witness_ntp1_server&amp;","&amp;witness_ntp2_server,witness_ntp1_server)</f>
        <v>Value Missing</v>
      </c>
      <c r="E440" s="53"/>
    </row>
    <row r="441" spans="2:7" ht="16" customHeight="1">
      <c r="G441" s="91"/>
    </row>
    <row r="442" spans="2:7" ht="34" customHeight="1">
      <c r="B442" s="486" t="s">
        <v>1913</v>
      </c>
      <c r="C442" s="344"/>
      <c r="D442" s="344"/>
      <c r="E442" s="344"/>
    </row>
    <row r="443" spans="2:7" ht="20" customHeight="1">
      <c r="B443" s="8" t="s">
        <v>735</v>
      </c>
      <c r="C443" s="8" t="s">
        <v>554</v>
      </c>
      <c r="D443" s="20" t="s">
        <v>555</v>
      </c>
      <c r="E443" s="108" t="s">
        <v>222</v>
      </c>
      <c r="G443" s="91"/>
    </row>
    <row r="444" spans="2:7" ht="20" customHeight="1">
      <c r="B444" s="21" t="s">
        <v>1901</v>
      </c>
      <c r="C444" s="22" t="str">
        <f>_xlfn.CONCAT(sample_mgmt_vc_hostname,".",sample_child_dns_zone)</f>
        <v>sfo-m01-vc01.sfo.rainpole.io</v>
      </c>
      <c r="D444" s="18" t="str">
        <f>mgmt_vc_fqdn</f>
        <v>Value Missing.Value Missing</v>
      </c>
      <c r="E444" s="21"/>
    </row>
    <row r="445" spans="2:7" ht="20" customHeight="1">
      <c r="B445" s="21" t="s">
        <v>841</v>
      </c>
      <c r="C445" s="22" t="str">
        <f>sample_mgmt_datacenter</f>
        <v>sfo-m01-dc01</v>
      </c>
      <c r="D445" s="18" t="str">
        <f>mgmt_datacenter</f>
        <v>Value Missing</v>
      </c>
      <c r="E445" s="21"/>
    </row>
    <row r="446" spans="2:7" ht="20" customHeight="1">
      <c r="B446" s="21" t="s">
        <v>1686</v>
      </c>
      <c r="C446" s="22" t="str">
        <f>sample_mgmt_witness_hostname</f>
        <v>sfo-m01-cl01-vsw01</v>
      </c>
      <c r="D446" s="18" t="str">
        <f>mgmt_witness_hostname</f>
        <v>Value Missing</v>
      </c>
      <c r="E446" s="21"/>
    </row>
    <row r="447" spans="2:7" ht="16" customHeight="1"/>
    <row r="448" spans="2:7" ht="34" customHeight="1">
      <c r="B448" s="486" t="s">
        <v>1914</v>
      </c>
      <c r="C448" s="344"/>
      <c r="D448" s="344"/>
      <c r="E448" s="344"/>
    </row>
    <row r="449" spans="2:7" ht="20" customHeight="1">
      <c r="B449" s="8" t="s">
        <v>735</v>
      </c>
      <c r="C449" s="8" t="s">
        <v>554</v>
      </c>
      <c r="D449" s="20" t="s">
        <v>555</v>
      </c>
      <c r="E449" s="8" t="s">
        <v>222</v>
      </c>
    </row>
    <row r="450" spans="2:7" ht="20" customHeight="1">
      <c r="B450" s="21" t="s">
        <v>1915</v>
      </c>
      <c r="C450" s="22" t="str">
        <f>sample_mgmt_az2_host1_sddc_id</f>
        <v>64d34a69-104d-443e-bd92-d949e278da83</v>
      </c>
      <c r="D450" s="18" t="str">
        <f>mgmt_az2_host1_sddc_id</f>
        <v>Value Missing</v>
      </c>
      <c r="E450" s="21"/>
    </row>
    <row r="451" spans="2:7" ht="20" customHeight="1">
      <c r="B451" s="21" t="s">
        <v>1916</v>
      </c>
      <c r="C451" s="22" t="str">
        <f>sample_mgmt_az2_host2_sddc_id</f>
        <v>61ae8e47-7dee-420b-83b2-b4136af0aef6</v>
      </c>
      <c r="D451" s="18" t="str">
        <f>mgmt_az2_host2_sddc_id</f>
        <v>Value Missing</v>
      </c>
      <c r="E451" s="21"/>
    </row>
    <row r="452" spans="2:7" ht="20" customHeight="1">
      <c r="B452" s="21" t="s">
        <v>1917</v>
      </c>
      <c r="C452" s="22" t="str">
        <f>sample_mgmt_az2_host3_sddc_id</f>
        <v>785d7869-018a-4185-b08e-f168236adc11</v>
      </c>
      <c r="D452" s="18" t="str">
        <f>mgmt_az2_host3_sddc_id</f>
        <v>Value Missing</v>
      </c>
      <c r="E452" s="21"/>
    </row>
    <row r="453" spans="2:7" ht="20" customHeight="1">
      <c r="B453" s="21" t="s">
        <v>1918</v>
      </c>
      <c r="C453" s="22" t="str">
        <f>sample_mgmt_az2_host4_sddc_id</f>
        <v>eafaa6a2-a673-4dee-9cd8-8d1f4d33065d</v>
      </c>
      <c r="D453" s="18" t="str">
        <f>mgmt_az2_host4_sddc_id</f>
        <v>Value Missing</v>
      </c>
      <c r="E453" s="21"/>
    </row>
    <row r="454" spans="2:7" ht="20" customHeight="1">
      <c r="B454" s="21" t="s">
        <v>1919</v>
      </c>
      <c r="C454" s="22" t="s">
        <v>452</v>
      </c>
      <c r="D454" s="18" t="str">
        <f>esx_std_license</f>
        <v>Value Missing</v>
      </c>
      <c r="E454" s="21"/>
    </row>
    <row r="455" spans="2:7" ht="20" customHeight="1">
      <c r="B455" s="21" t="s">
        <v>4101</v>
      </c>
      <c r="C455" s="22"/>
      <c r="D455" s="18" t="str">
        <f>mgmt_az2_host_overlay_network_profile_name</f>
        <v>Value Missing</v>
      </c>
      <c r="E455" s="21"/>
    </row>
    <row r="456" spans="2:7" ht="20" customHeight="1">
      <c r="B456" s="21" t="s">
        <v>4090</v>
      </c>
      <c r="C456" s="22"/>
      <c r="D456" s="18" t="str">
        <f>mgmt_az2_host_overlay_network_pool_name</f>
        <v>Value Missing</v>
      </c>
      <c r="E456" s="21"/>
    </row>
    <row r="457" spans="2:7" ht="20" customHeight="1">
      <c r="B457" s="21" t="s">
        <v>4100</v>
      </c>
      <c r="C457" s="22"/>
      <c r="D457" s="18" t="str">
        <f>mgmt_az2_host_overlay_uplink_profile_name</f>
        <v>Value Missing</v>
      </c>
      <c r="E457" s="21"/>
    </row>
    <row r="458" spans="2:7" ht="20" customHeight="1">
      <c r="B458" s="21" t="s">
        <v>1920</v>
      </c>
      <c r="C458" s="22" t="str">
        <f>sample_mgmt_az2_host_overlay_vlan</f>
        <v>1214</v>
      </c>
      <c r="D458" s="18" t="str">
        <f>mgmt_az2_host_overlay_vlan</f>
        <v>Value Missing</v>
      </c>
      <c r="E458" s="21"/>
    </row>
    <row r="459" spans="2:7" ht="20" customHeight="1">
      <c r="B459" s="21" t="s">
        <v>1921</v>
      </c>
      <c r="C459" s="22" t="str">
        <f>_xlfn.CONCAT(sample_mgmt_witness_hostname,".",sample_child_dns_zone)</f>
        <v>sfo-m01-cl01-vsw01.sfo.rainpole.io</v>
      </c>
      <c r="D459" s="18" t="str">
        <f>mgmt_witness_fqdn</f>
        <v>Value Missing.Value Missing</v>
      </c>
      <c r="E459" s="21"/>
    </row>
    <row r="460" spans="2:7" ht="20" customHeight="1">
      <c r="B460" s="21" t="s">
        <v>1922</v>
      </c>
      <c r="C460" s="22" t="str">
        <f>sample_mgmt_witnessaz_cidr</f>
        <v>10.21.10.0/24</v>
      </c>
      <c r="D460" s="18" t="str">
        <f>mgmt_witnessaz_cidr</f>
        <v>Value Missing</v>
      </c>
      <c r="E460" s="21"/>
    </row>
    <row r="461" spans="2:7" ht="20" customHeight="1">
      <c r="B461" s="21" t="s">
        <v>1923</v>
      </c>
      <c r="C461" s="22" t="str">
        <f>sample_mgmt_witness_ip</f>
        <v>10.21.10.218</v>
      </c>
      <c r="D461" s="18" t="str">
        <f>mgmt_witness_mgmt_ip</f>
        <v>Value Missing</v>
      </c>
      <c r="E461" s="21"/>
    </row>
    <row r="462" spans="2:7" ht="20" customHeight="1">
      <c r="B462" s="21" t="s">
        <v>1924</v>
      </c>
      <c r="C462" s="22" t="str">
        <f>sample_mgmt_cl01_cluster_sddc_id</f>
        <v>b39f8008-6db0-4f13-82de-c46ccfd03c49</v>
      </c>
      <c r="D462" s="18" t="str">
        <f>mgmt_cl01_cluster_sddc_id</f>
        <v>Value Missing</v>
      </c>
      <c r="E462" s="21"/>
      <c r="G462" s="91"/>
    </row>
    <row r="463" spans="2:7" ht="16" customHeight="1"/>
    <row r="464" spans="2:7" ht="34" customHeight="1">
      <c r="B464" s="486" t="s">
        <v>1925</v>
      </c>
      <c r="C464" s="344"/>
      <c r="D464" s="344"/>
      <c r="E464" s="344"/>
    </row>
    <row r="465" spans="2:5" ht="20" customHeight="1">
      <c r="B465" s="8" t="s">
        <v>735</v>
      </c>
      <c r="C465" s="8" t="s">
        <v>554</v>
      </c>
      <c r="D465" s="20" t="s">
        <v>555</v>
      </c>
      <c r="E465" s="8" t="s">
        <v>222</v>
      </c>
    </row>
    <row r="466" spans="2:5" ht="20" customHeight="1">
      <c r="B466" s="21" t="s">
        <v>1926</v>
      </c>
      <c r="C466" s="22" t="str">
        <f>_xlfn.CONCAT(sample_mgmt_nsxt_hostname,".",sample_child_dns_zone)</f>
        <v>sfo-m01-nsx01.sfo.rainpole.io</v>
      </c>
      <c r="D466" s="18" t="str">
        <f>mgmt_nsxt_vip_fqdn</f>
        <v>Value Missing.Value Missing</v>
      </c>
      <c r="E466" s="21"/>
    </row>
    <row r="467" spans="2:5" ht="16" customHeight="1"/>
    <row r="468" spans="2:5" ht="34" customHeight="1">
      <c r="B468" s="486" t="s">
        <v>1927</v>
      </c>
      <c r="C468" s="344"/>
      <c r="D468" s="344"/>
      <c r="E468" s="344"/>
    </row>
    <row r="469" spans="2:5" ht="20" customHeight="1">
      <c r="B469" s="8" t="s">
        <v>735</v>
      </c>
      <c r="C469" s="8" t="s">
        <v>554</v>
      </c>
      <c r="D469" s="20" t="s">
        <v>555</v>
      </c>
      <c r="E469" s="8" t="s">
        <v>222</v>
      </c>
    </row>
    <row r="470" spans="2:5" ht="20" customHeight="1">
      <c r="B470" s="21" t="s">
        <v>1926</v>
      </c>
      <c r="C470" s="22" t="str">
        <f>_xlfn.CONCAT(sample_mgmt_nsxt_hostname,".",sample_child_dns_zone)</f>
        <v>sfo-m01-nsx01.sfo.rainpole.io</v>
      </c>
      <c r="D470" s="18" t="str">
        <f>mgmt_nsxt_vip_fqdn</f>
        <v>Value Missing.Value Missing</v>
      </c>
      <c r="E470" s="21"/>
    </row>
    <row r="471" spans="2:5" ht="20" customHeight="1">
      <c r="B471" s="21" t="s">
        <v>1928</v>
      </c>
      <c r="C471" s="22" t="str">
        <f>sample_mgmt_en_asn</f>
        <v>65101</v>
      </c>
      <c r="D471" s="18" t="str">
        <f>mgmt_en_asn</f>
        <v>Value Missing</v>
      </c>
      <c r="E471" s="21"/>
    </row>
    <row r="472" spans="2:5" ht="16" customHeight="1"/>
    <row r="473" spans="2:5" ht="34" customHeight="1">
      <c r="B473" s="486" t="s">
        <v>1929</v>
      </c>
      <c r="C473" s="344"/>
      <c r="D473" s="344"/>
      <c r="E473" s="344"/>
    </row>
    <row r="474" spans="2:5" ht="20" customHeight="1">
      <c r="B474" s="8" t="s">
        <v>735</v>
      </c>
      <c r="C474" s="8" t="s">
        <v>554</v>
      </c>
      <c r="D474" s="20" t="s">
        <v>555</v>
      </c>
      <c r="E474" s="8" t="s">
        <v>222</v>
      </c>
    </row>
    <row r="475" spans="2:5" ht="20" customHeight="1">
      <c r="B475" s="21" t="s">
        <v>1926</v>
      </c>
      <c r="C475" s="22" t="str">
        <f>_xlfn.CONCAT(sample_mgmt_nsxt_hostname,".",sample_child_dns_zone)</f>
        <v>sfo-m01-nsx01.sfo.rainpole.io</v>
      </c>
      <c r="D475" s="18" t="str">
        <f>mgmt_nsxt_vip_fqdn</f>
        <v>Value Missing.Value Missing</v>
      </c>
      <c r="E475" s="21"/>
    </row>
    <row r="476" spans="2:5" ht="20" customHeight="1">
      <c r="B476" s="21" t="s">
        <v>1930</v>
      </c>
      <c r="C476" s="22" t="str">
        <f>sample_mgmt_az2_tor1_peer_ip</f>
        <v>10.11.17.11</v>
      </c>
      <c r="D476" s="18" t="str">
        <f>mgmt_az2_tor1_peer_ip</f>
        <v>Value Missing</v>
      </c>
      <c r="E476" s="21"/>
    </row>
    <row r="477" spans="2:5" ht="20" customHeight="1">
      <c r="B477" s="21" t="s">
        <v>1931</v>
      </c>
      <c r="C477" s="22" t="str">
        <f>sample_mgmt_az2_tor1_peer_asn</f>
        <v>65121</v>
      </c>
      <c r="D477" s="18" t="str">
        <f>mgmt_az2_tor1_peer_asn</f>
        <v>Value Missing</v>
      </c>
      <c r="E477" s="21"/>
    </row>
    <row r="478" spans="2:5" ht="20" customHeight="1">
      <c r="B478" s="21" t="s">
        <v>1932</v>
      </c>
      <c r="C478" s="22" t="str">
        <f>sample_mgmt_az1_en1_uplink01_interface_ip</f>
        <v>10.11.17.2</v>
      </c>
      <c r="D478" s="18" t="str">
        <f>mgmt_az1_en1_uplink01_interface_ip</f>
        <v>Value Missing</v>
      </c>
      <c r="E478" s="21"/>
    </row>
    <row r="479" spans="2:5" ht="20" customHeight="1">
      <c r="B479" s="21" t="s">
        <v>1933</v>
      </c>
      <c r="C479" s="22" t="str">
        <f>sample_mgmt_az1_en2_uplink01_interface_ip</f>
        <v>10.11.17.3</v>
      </c>
      <c r="D479" s="18" t="str">
        <f>mgmt_az1_en2_uplink01_interface_ip</f>
        <v>Value Missing</v>
      </c>
      <c r="E479" s="21"/>
    </row>
    <row r="480" spans="2:5" ht="20" customHeight="1">
      <c r="B480" s="21" t="s">
        <v>1934</v>
      </c>
      <c r="C480" s="22" t="str">
        <f>sample_mgmt_az2_tor1_peer_bgp_password</f>
        <v>VMw@re1!</v>
      </c>
      <c r="D480" s="18" t="str">
        <f>mgmt_az2_tor1_peer_bgp_password</f>
        <v>Value Missing</v>
      </c>
      <c r="E480" s="21"/>
    </row>
    <row r="481" spans="2:5" ht="20" customHeight="1">
      <c r="B481" s="21" t="s">
        <v>1935</v>
      </c>
      <c r="C481" s="22" t="str">
        <f>sample_mgmt_az2_tor2_peer_ip</f>
        <v>10.11.18.11</v>
      </c>
      <c r="D481" s="18" t="str">
        <f>mgmt_az2_tor2_peer_ip</f>
        <v>Value Missing</v>
      </c>
      <c r="E481" s="21"/>
    </row>
    <row r="482" spans="2:5" ht="20" customHeight="1">
      <c r="B482" s="21" t="s">
        <v>1932</v>
      </c>
      <c r="C482" s="22" t="str">
        <f>sample_mgmt_az1_en1_uplink02_interface_ip</f>
        <v>10.11.18.2</v>
      </c>
      <c r="D482" s="18" t="str">
        <f>mgmt_az1_en1_uplink02_interface_ip</f>
        <v>Value Missing</v>
      </c>
      <c r="E482" s="21"/>
    </row>
    <row r="483" spans="2:5" ht="20" customHeight="1">
      <c r="B483" s="21" t="s">
        <v>1933</v>
      </c>
      <c r="C483" s="22" t="str">
        <f>sample_mgmt_az1_en2_uplink02_interface_ip</f>
        <v>10.11.18.3</v>
      </c>
      <c r="D483" s="18" t="str">
        <f>mgmt_az1_en2_uplink02_interface_ip</f>
        <v>Value Missing</v>
      </c>
      <c r="E483" s="21"/>
    </row>
    <row r="484" spans="2:5" ht="20" customHeight="1">
      <c r="B484" s="21" t="s">
        <v>1936</v>
      </c>
      <c r="C484" s="22" t="str">
        <f>sample_mgmt_az2_tor2_peer_asn</f>
        <v>65121</v>
      </c>
      <c r="D484" s="18" t="str">
        <f>mgmt_az2_tor2_peer_asn</f>
        <v>Value Missing</v>
      </c>
      <c r="E484" s="21"/>
    </row>
    <row r="485" spans="2:5" ht="20" customHeight="1">
      <c r="B485" s="21" t="s">
        <v>1934</v>
      </c>
      <c r="C485" s="22" t="str">
        <f>sample_mgmt_az2_tor2_peer_bgp_password</f>
        <v>VMw@re1!</v>
      </c>
      <c r="D485" s="18" t="str">
        <f>mgmt_az2_tor2_peer_bgp_password</f>
        <v>Value Missing</v>
      </c>
      <c r="E485" s="21"/>
    </row>
    <row r="486" spans="2:5" ht="16" customHeight="1"/>
    <row r="487" spans="2:5" ht="34" customHeight="1">
      <c r="B487" s="386" t="s">
        <v>29</v>
      </c>
      <c r="C487" s="387"/>
      <c r="D487" s="387"/>
      <c r="E487" s="387"/>
    </row>
    <row r="488" spans="2:5" ht="16" customHeight="1"/>
    <row r="489" spans="2:5" ht="34" customHeight="1">
      <c r="B489" s="486" t="s">
        <v>1937</v>
      </c>
      <c r="C489" s="344"/>
      <c r="D489" s="344"/>
      <c r="E489" s="344"/>
    </row>
    <row r="490" spans="2:5" ht="20" customHeight="1">
      <c r="B490" s="8" t="s">
        <v>735</v>
      </c>
      <c r="C490" s="8" t="s">
        <v>554</v>
      </c>
      <c r="D490" s="20" t="s">
        <v>555</v>
      </c>
      <c r="E490" s="8" t="s">
        <v>222</v>
      </c>
    </row>
    <row r="491" spans="2:5" ht="20" customHeight="1">
      <c r="B491" s="21" t="s">
        <v>1938</v>
      </c>
      <c r="C491" s="22" t="str">
        <f>_xlfn.CONCAT(sample_mgmt_vc_hostname,".",sample_child_dns_zone)</f>
        <v>sfo-m01-vc01.sfo.rainpole.io</v>
      </c>
      <c r="D491" s="18" t="str">
        <f>mgmt_vc_fqdn</f>
        <v>Value Missing.Value Missing</v>
      </c>
      <c r="E491" s="21"/>
    </row>
    <row r="492" spans="2:5" ht="20" customHeight="1">
      <c r="B492" s="21" t="s">
        <v>1939</v>
      </c>
      <c r="C492" s="22" t="str">
        <f>sample_mgmt_nsxt_global_mgra_hostname</f>
        <v>sfo-m01-nsx-gm01a</v>
      </c>
      <c r="D492" s="18" t="str">
        <f>mgmt_nsxt_global_mgra_hostname</f>
        <v>Value Missing</v>
      </c>
      <c r="E492" s="21"/>
    </row>
    <row r="493" spans="2:5" ht="20" customHeight="1">
      <c r="B493" s="21" t="s">
        <v>1940</v>
      </c>
      <c r="C493" s="22" t="str">
        <f>sample_mgmt_datacenter</f>
        <v>sfo-m01-dc01</v>
      </c>
      <c r="D493" s="18" t="str">
        <f>mgmt_datacenter</f>
        <v>Value Missing</v>
      </c>
      <c r="E493" s="21"/>
    </row>
    <row r="494" spans="2:5" ht="20" customHeight="1">
      <c r="B494" s="21" t="s">
        <v>1941</v>
      </c>
      <c r="C494" s="22" t="str">
        <f>sample_mgmt_cl01_cluster</f>
        <v>sfo-m01-cl01</v>
      </c>
      <c r="D494" s="18" t="str">
        <f>mgmt_cl01_cluster</f>
        <v>Value Missing</v>
      </c>
      <c r="E494" s="21"/>
    </row>
    <row r="495" spans="2:5" ht="20" customHeight="1">
      <c r="B495" s="21" t="s">
        <v>1942</v>
      </c>
      <c r="C495" s="22" t="s">
        <v>344</v>
      </c>
      <c r="D495" s="18" t="str">
        <f>sizing_m01_nsxt_gm_appliance_size</f>
        <v>Medium</v>
      </c>
      <c r="E495" s="21"/>
    </row>
    <row r="496" spans="2:5" ht="20" customHeight="1">
      <c r="B496" s="21" t="s">
        <v>1943</v>
      </c>
      <c r="C496" s="22" t="str">
        <f>sample_mgmt_cl01_vsan_datastore</f>
        <v>sfo-m01-cl01-ds-vsan01</v>
      </c>
      <c r="D496" s="18" t="str">
        <f>mgmt_cl01_vsan_datastore</f>
        <v>Value Missing</v>
      </c>
      <c r="E496" s="21"/>
    </row>
    <row r="497" spans="2:5" ht="20" customHeight="1">
      <c r="B497" s="21" t="s">
        <v>1944</v>
      </c>
      <c r="C497" s="22" t="str">
        <f>sample_mgmt_cl01_az1_mgmt_pg</f>
        <v>sfo-m01-cl01-vds01-pg-esxi-mgmt</v>
      </c>
      <c r="D497" s="18" t="str">
        <f>mgmt_cl01_az1_mgmt_pg</f>
        <v>Value Missing</v>
      </c>
      <c r="E497" s="21"/>
    </row>
    <row r="498" spans="2:5" ht="20" customHeight="1">
      <c r="B498" s="21" t="s">
        <v>1945</v>
      </c>
      <c r="C498" s="22" t="str">
        <f>sample_nsxt_gm_root_password</f>
        <v>VMw@re1!VMw@re1!</v>
      </c>
      <c r="D498" s="18" t="str">
        <f>nsxt_gm_root_password</f>
        <v>Value Missing</v>
      </c>
      <c r="E498" s="21"/>
    </row>
    <row r="499" spans="2:5" ht="20" customHeight="1">
      <c r="B499" s="21" t="s">
        <v>1946</v>
      </c>
      <c r="C499" s="22" t="str">
        <f>sample_nsxt_gm_admin_password</f>
        <v>VMw@re1!VMw@re1!</v>
      </c>
      <c r="D499" s="18" t="str">
        <f>nsxt_gm_admin_password</f>
        <v>Value Missing</v>
      </c>
      <c r="E499" s="21"/>
    </row>
    <row r="500" spans="2:5" ht="20" customHeight="1">
      <c r="B500" s="21" t="s">
        <v>1947</v>
      </c>
      <c r="C500" s="22" t="str">
        <f>sample_nsxt_gm_audit_password</f>
        <v>VMw@re1!VMw@re1!</v>
      </c>
      <c r="D500" s="18" t="str">
        <f>nsxt_gm_audit_password</f>
        <v>Value Missing</v>
      </c>
      <c r="E500" s="21"/>
    </row>
    <row r="501" spans="2:5" ht="20" customHeight="1">
      <c r="B501" s="21" t="s">
        <v>1948</v>
      </c>
      <c r="C501" s="22" t="str">
        <f>_xlfn.CONCAT(sample_mgmt_nsxt_global_mgra_hostname,".",sample_child_dns_zone)</f>
        <v>sfo-m01-nsx-gm01a.sfo.rainpole.io</v>
      </c>
      <c r="D501" s="18" t="str">
        <f>mgmt_nsxt_global_mgra_fqdn</f>
        <v>Value Missing.Value Missing</v>
      </c>
      <c r="E501" s="21"/>
    </row>
    <row r="502" spans="2:5" ht="20" customHeight="1">
      <c r="B502" s="21" t="s">
        <v>1949</v>
      </c>
      <c r="C502" s="22" t="str">
        <f>sample_mgmt_nsxt_global_mgra_ip</f>
        <v>10.11.10.82</v>
      </c>
      <c r="D502" s="18" t="str">
        <f>mgmt_nsxt_global_mgra_ip</f>
        <v>Value Missing</v>
      </c>
      <c r="E502" s="21"/>
    </row>
    <row r="503" spans="2:5" ht="20" customHeight="1">
      <c r="B503" s="21" t="s">
        <v>1950</v>
      </c>
      <c r="C503" s="22" t="str">
        <f>VLOOKUP(INT(RIGHT(sample_mgmt_az1_mgmt_cidr,LEN(sample_mgmt_az1_mgmt_cidr)-FIND("/",sample_mgmt_az1_mgmt_cidr))),table_cidr_to_mask,2,FALSE)</f>
        <v>255.255.255.0</v>
      </c>
      <c r="D503" s="18" t="str">
        <f>mgmt_az1_mgmt_vm_mask</f>
        <v>Value Missing</v>
      </c>
      <c r="E503" s="21"/>
    </row>
    <row r="504" spans="2:5" ht="20" customHeight="1">
      <c r="B504" s="21" t="s">
        <v>1951</v>
      </c>
      <c r="C504" s="22" t="str">
        <f>sample_mgmt_az1_mgmt_gateway_ip</f>
        <v>10.11.11.1</v>
      </c>
      <c r="D504" s="18" t="str">
        <f>mgmt_az1_mgmt_vm_gateway_ip</f>
        <v>Value Missing</v>
      </c>
      <c r="E504" s="21"/>
    </row>
    <row r="505" spans="2:5" ht="20" customHeight="1">
      <c r="B505" s="21" t="s">
        <v>1952</v>
      </c>
      <c r="C505" s="22" t="str">
        <f>CONCATENATE(sample_region_dns1_ip,",",sample_region_dns2_ip)</f>
        <v>10.11.10.4,10.11.10.5</v>
      </c>
      <c r="D505" s="18" t="str">
        <f>IF(ISBLANK(input_region_dns1_ip),"Value Missing",region_dns1_ip)&amp;","&amp;IF(ISBLANK(input_region_dns2_ip),"Value Missing",region_dns2_ip)</f>
        <v>Value Missing,Value Missing</v>
      </c>
      <c r="E505" s="21"/>
    </row>
    <row r="506" spans="2:5" ht="20" customHeight="1">
      <c r="B506" s="21" t="s">
        <v>1953</v>
      </c>
      <c r="C506" s="22" t="str">
        <f>sample_child_dns_zone</f>
        <v>sfo.rainpole.io</v>
      </c>
      <c r="D506" s="18" t="str">
        <f>child_dns_zone</f>
        <v>Value Missing</v>
      </c>
      <c r="E506" s="21"/>
    </row>
    <row r="507" spans="2:5" ht="20" customHeight="1">
      <c r="B507" s="21" t="s">
        <v>1954</v>
      </c>
      <c r="C507" s="22" t="str">
        <f>IF(AND((NOT(ISBLANK(sample_region_ntp2_server))),(sample_region_ntp2_server &lt;&gt; "n/a")),CONCATENATE(sample_region_ntp1_server,",",sample_region_ntp2_server),sample_region_ntp1_server)</f>
        <v>ntp.sfo.rainpole.io</v>
      </c>
      <c r="D507" s="18" t="str">
        <f>IF(AND((NOT(ISBLANK(region_ntp2_server))),(region_ntp2_server &lt;&gt; "n/a"),(region_ntp2_server &lt;&gt; "")),region_ntp1_server&amp;","&amp;region_ntp2_server,region_ntp1_server)</f>
        <v>Value Missing,Value Missing</v>
      </c>
      <c r="E507" s="21"/>
    </row>
    <row r="508" spans="2:5" ht="20" customHeight="1">
      <c r="B508" s="21" t="s">
        <v>1955</v>
      </c>
      <c r="C508" s="22" t="str">
        <f>sample_mgmt_nsxt_global_mgrb_hostname</f>
        <v>sfo-m01-nsx-gm01b</v>
      </c>
      <c r="D508" s="18" t="str">
        <f>mgmt_nsxt_global_mgrb_hostname</f>
        <v>Value Missing</v>
      </c>
      <c r="E508" s="21"/>
    </row>
    <row r="509" spans="2:5" ht="20" customHeight="1">
      <c r="B509" s="21" t="s">
        <v>1956</v>
      </c>
      <c r="C509" s="22" t="str">
        <f>sample_mgmt_datacenter</f>
        <v>sfo-m01-dc01</v>
      </c>
      <c r="D509" s="18" t="str">
        <f>mgmt_datacenter</f>
        <v>Value Missing</v>
      </c>
      <c r="E509" s="21"/>
    </row>
    <row r="510" spans="2:5" ht="20" customHeight="1">
      <c r="B510" s="21" t="s">
        <v>1957</v>
      </c>
      <c r="C510" s="22" t="str">
        <f>sample_mgmt_cl01_cluster</f>
        <v>sfo-m01-cl01</v>
      </c>
      <c r="D510" s="18" t="str">
        <f>mgmt_cl01_cluster</f>
        <v>Value Missing</v>
      </c>
      <c r="E510" s="21"/>
    </row>
    <row r="511" spans="2:5" ht="20" customHeight="1">
      <c r="B511" s="21" t="s">
        <v>1958</v>
      </c>
      <c r="C511" s="22" t="s">
        <v>344</v>
      </c>
      <c r="D511" s="18" t="str">
        <f>sizing_m01_nsxt_gm_appliance_size</f>
        <v>Medium</v>
      </c>
      <c r="E511" s="21"/>
    </row>
    <row r="512" spans="2:5" ht="20" customHeight="1">
      <c r="B512" s="21" t="s">
        <v>1959</v>
      </c>
      <c r="C512" s="22" t="str">
        <f>sample_mgmt_cl01_vsan_datastore</f>
        <v>sfo-m01-cl01-ds-vsan01</v>
      </c>
      <c r="D512" s="18" t="str">
        <f>mgmt_cl01_vsan_datastore</f>
        <v>Value Missing</v>
      </c>
      <c r="E512" s="21"/>
    </row>
    <row r="513" spans="2:7" ht="20" customHeight="1">
      <c r="B513" s="21" t="s">
        <v>1960</v>
      </c>
      <c r="C513" s="22" t="str">
        <f>sample_mgmt_cl01_az1_mgmt_pg</f>
        <v>sfo-m01-cl01-vds01-pg-esxi-mgmt</v>
      </c>
      <c r="D513" s="18" t="str">
        <f>mgmt_cl01_az1_mgmt_vm_pg</f>
        <v>Value Missing</v>
      </c>
      <c r="E513" s="21"/>
    </row>
    <row r="514" spans="2:7" ht="20" customHeight="1">
      <c r="B514" s="21" t="s">
        <v>1961</v>
      </c>
      <c r="C514" s="22" t="str">
        <f>sample_nsxt_gm_root_password</f>
        <v>VMw@re1!VMw@re1!</v>
      </c>
      <c r="D514" s="18" t="str">
        <f>nsxt_gm_root_password</f>
        <v>Value Missing</v>
      </c>
      <c r="E514" s="21"/>
    </row>
    <row r="515" spans="2:7" ht="20" customHeight="1">
      <c r="B515" s="21" t="s">
        <v>1962</v>
      </c>
      <c r="C515" s="22" t="str">
        <f>sample_nsxt_gm_admin_password</f>
        <v>VMw@re1!VMw@re1!</v>
      </c>
      <c r="D515" s="18" t="str">
        <f>nsxt_gm_admin_password</f>
        <v>Value Missing</v>
      </c>
      <c r="E515" s="21"/>
      <c r="G515" s="91"/>
    </row>
    <row r="516" spans="2:7" ht="20" customHeight="1">
      <c r="B516" s="21" t="s">
        <v>1963</v>
      </c>
      <c r="C516" s="22" t="str">
        <f>sample_nsxt_gm_audit_password</f>
        <v>VMw@re1!VMw@re1!</v>
      </c>
      <c r="D516" s="18" t="str">
        <f>nsxt_gm_audit_password</f>
        <v>Value Missing</v>
      </c>
      <c r="E516" s="21"/>
    </row>
    <row r="517" spans="2:7" ht="20" customHeight="1">
      <c r="B517" s="21" t="s">
        <v>1964</v>
      </c>
      <c r="C517" s="22" t="str">
        <f>_xlfn.CONCAT(sample_mgmt_nsxt_global_mgrb_hostname,".",sample_child_dns_zone)</f>
        <v>sfo-m01-nsx-gm01b.sfo.rainpole.io</v>
      </c>
      <c r="D517" s="18" t="str">
        <f>mgmt_nsxt_global_mgrb_fqdn</f>
        <v>Value Missing.Value Missing</v>
      </c>
      <c r="E517" s="21"/>
    </row>
    <row r="518" spans="2:7" ht="20" customHeight="1">
      <c r="B518" s="21" t="s">
        <v>1965</v>
      </c>
      <c r="C518" s="22" t="str">
        <f>sample_mgmt_nsxt_global_mgrb_ip</f>
        <v>10.11.10.83</v>
      </c>
      <c r="D518" s="18" t="str">
        <f>mgmt_nsxt_global_mgrb_ip</f>
        <v>Value Missing</v>
      </c>
      <c r="E518" s="21"/>
    </row>
    <row r="519" spans="2:7" ht="20" customHeight="1">
      <c r="B519" s="21" t="s">
        <v>1966</v>
      </c>
      <c r="C519" s="22" t="str">
        <f>VLOOKUP(INT(RIGHT(sample_mgmt_az1_mgmt_cidr,LEN(sample_mgmt_az1_mgmt_cidr)-FIND("/",sample_mgmt_az1_mgmt_cidr))),table_cidr_to_mask,2,FALSE)</f>
        <v>255.255.255.0</v>
      </c>
      <c r="D519" s="18" t="str">
        <f>mgmt_az1_mgmt_vm_mask</f>
        <v>Value Missing</v>
      </c>
      <c r="E519" s="21"/>
    </row>
    <row r="520" spans="2:7" ht="20" customHeight="1">
      <c r="B520" s="21" t="s">
        <v>1967</v>
      </c>
      <c r="C520" s="22" t="str">
        <f>sample_mgmt_az1_mgmt_gateway_ip</f>
        <v>10.11.11.1</v>
      </c>
      <c r="D520" s="18" t="str">
        <f>mgmt_az1_mgmt_vm_gateway_ip</f>
        <v>Value Missing</v>
      </c>
      <c r="E520" s="21"/>
    </row>
    <row r="521" spans="2:7" ht="20" customHeight="1">
      <c r="B521" s="21" t="s">
        <v>1968</v>
      </c>
      <c r="C521" s="22" t="str">
        <f>CONCATENATE(sample_region_dns1_ip,",",sample_region_dns2_ip)</f>
        <v>10.11.10.4,10.11.10.5</v>
      </c>
      <c r="D521" s="18" t="str">
        <f>IF(ISBLANK(input_region_dns1_ip),"Value Missing",region_dns1_ip)&amp;","&amp;IF(ISBLANK(input_region_dns2_ip),"Value Missing",region_dns2_ip)</f>
        <v>Value Missing,Value Missing</v>
      </c>
      <c r="E521" s="21"/>
    </row>
    <row r="522" spans="2:7" ht="20" customHeight="1">
      <c r="B522" s="21" t="s">
        <v>1969</v>
      </c>
      <c r="C522" s="22" t="str">
        <f>CONCATENATE(sample_child_dns_zone,",",sample_parent_dns_zone)</f>
        <v>sfo.rainpole.io,rainpole.io</v>
      </c>
      <c r="D522" s="18" t="str">
        <f>child_dns_zone&amp;","&amp;parent_dns_zone</f>
        <v>Value Missing,Value Missing</v>
      </c>
      <c r="E522" s="21"/>
    </row>
    <row r="523" spans="2:7" ht="20" customHeight="1">
      <c r="B523" s="21" t="s">
        <v>1970</v>
      </c>
      <c r="C523" s="22" t="str">
        <f>IF(AND((NOT(ISBLANK(sample_region_ntp2_server))),(sample_region_ntp2_server &lt;&gt; "n/a")),CONCATENATE(sample_region_ntp1_server,",",sample_region_ntp2_server),sample_region_ntp1_server)</f>
        <v>ntp.sfo.rainpole.io</v>
      </c>
      <c r="D523" s="18" t="str">
        <f>IF(AND((NOT(ISBLANK(region_ntp2_server))),(region_ntp2_server &lt;&gt; "n/a"),(region_ntp2_server &lt;&gt; "")),region_ntp1_server&amp;","&amp;region_ntp2_server,region_ntp1_server)</f>
        <v>Value Missing,Value Missing</v>
      </c>
      <c r="E523" s="21"/>
    </row>
    <row r="524" spans="2:7" ht="20" customHeight="1">
      <c r="B524" s="21" t="s">
        <v>1971</v>
      </c>
      <c r="C524" s="22" t="str">
        <f>sample_mgmt_nsxt_global_mgrc_hostname</f>
        <v>sfo-m01-nsx-gm01c</v>
      </c>
      <c r="D524" s="18" t="str">
        <f>mgmt_nsxt_global_mgrc_hostname</f>
        <v>Value Missing</v>
      </c>
      <c r="E524" s="21"/>
    </row>
    <row r="525" spans="2:7" ht="20" customHeight="1">
      <c r="B525" s="21" t="s">
        <v>1972</v>
      </c>
      <c r="C525" s="22" t="str">
        <f>sample_mgmt_datacenter</f>
        <v>sfo-m01-dc01</v>
      </c>
      <c r="D525" s="18" t="str">
        <f>mgmt_datacenter</f>
        <v>Value Missing</v>
      </c>
      <c r="E525" s="21"/>
    </row>
    <row r="526" spans="2:7" ht="20" customHeight="1">
      <c r="B526" s="21" t="s">
        <v>1973</v>
      </c>
      <c r="C526" s="22" t="str">
        <f>sample_mgmt_cl01_cluster</f>
        <v>sfo-m01-cl01</v>
      </c>
      <c r="D526" s="18" t="str">
        <f>mgmt_cl01_cluster</f>
        <v>Value Missing</v>
      </c>
      <c r="E526" s="21"/>
    </row>
    <row r="527" spans="2:7" ht="20" customHeight="1">
      <c r="B527" s="21" t="s">
        <v>1974</v>
      </c>
      <c r="C527" s="22" t="s">
        <v>344</v>
      </c>
      <c r="D527" s="18" t="str">
        <f>sizing_m01_nsxt_gm_appliance_size</f>
        <v>Medium</v>
      </c>
      <c r="E527" s="21"/>
    </row>
    <row r="528" spans="2:7" ht="20" customHeight="1">
      <c r="B528" s="21" t="s">
        <v>1975</v>
      </c>
      <c r="C528" s="22" t="str">
        <f>sample_mgmt_cl01_vsan_datastore</f>
        <v>sfo-m01-cl01-ds-vsan01</v>
      </c>
      <c r="D528" s="18" t="str">
        <f>mgmt_cl01_vsan_datastore</f>
        <v>Value Missing</v>
      </c>
      <c r="E528" s="21"/>
    </row>
    <row r="529" spans="2:7" ht="20" customHeight="1">
      <c r="B529" s="21" t="s">
        <v>1976</v>
      </c>
      <c r="C529" s="22" t="str">
        <f>sample_mgmt_cl01_az1_mgmt_pg</f>
        <v>sfo-m01-cl01-vds01-pg-esxi-mgmt</v>
      </c>
      <c r="D529" s="18" t="str">
        <f>mgmt_cl01_az1_mgmt_vm_pg</f>
        <v>Value Missing</v>
      </c>
      <c r="E529" s="21"/>
    </row>
    <row r="530" spans="2:7" ht="20" customHeight="1">
      <c r="B530" s="21" t="s">
        <v>1977</v>
      </c>
      <c r="C530" s="22" t="str">
        <f>sample_nsxt_gm_root_password</f>
        <v>VMw@re1!VMw@re1!</v>
      </c>
      <c r="D530" s="18" t="str">
        <f>nsxt_gm_root_password</f>
        <v>Value Missing</v>
      </c>
      <c r="E530" s="21"/>
    </row>
    <row r="531" spans="2:7" ht="20" customHeight="1">
      <c r="B531" s="21" t="s">
        <v>1978</v>
      </c>
      <c r="C531" s="22" t="str">
        <f>sample_nsxt_gm_admin_password</f>
        <v>VMw@re1!VMw@re1!</v>
      </c>
      <c r="D531" s="18" t="str">
        <f>nsxt_gm_admin_password</f>
        <v>Value Missing</v>
      </c>
      <c r="E531" s="21"/>
    </row>
    <row r="532" spans="2:7" ht="20" customHeight="1">
      <c r="B532" s="21" t="s">
        <v>1979</v>
      </c>
      <c r="C532" s="22" t="str">
        <f>sample_nsxt_gm_audit_password</f>
        <v>VMw@re1!VMw@re1!</v>
      </c>
      <c r="D532" s="18" t="str">
        <f>nsxt_gm_audit_password</f>
        <v>Value Missing</v>
      </c>
      <c r="E532" s="21"/>
    </row>
    <row r="533" spans="2:7" ht="20" customHeight="1">
      <c r="B533" s="21" t="s">
        <v>1980</v>
      </c>
      <c r="C533" s="22" t="str">
        <f>_xlfn.CONCAT(sample_mgmt_nsxt_global_mgrc_hostname,".",sample_child_dns_zone)</f>
        <v>sfo-m01-nsx-gm01c.sfo.rainpole.io</v>
      </c>
      <c r="D533" s="18" t="str">
        <f>mgmt_nsxt_global_mgrc_fqdn</f>
        <v>Value Missing.Value Missing</v>
      </c>
      <c r="E533" s="21"/>
      <c r="G533" s="91"/>
    </row>
    <row r="534" spans="2:7" ht="20" customHeight="1">
      <c r="B534" s="21" t="s">
        <v>1981</v>
      </c>
      <c r="C534" s="22" t="str">
        <f>sample_mgmt_nsxt_global_mgrc_ip</f>
        <v>10.11.10.84</v>
      </c>
      <c r="D534" s="18" t="str">
        <f>mgmt_nsxt_global_mgrc_ip</f>
        <v>Value Missing</v>
      </c>
      <c r="E534" s="21"/>
    </row>
    <row r="535" spans="2:7" ht="20" customHeight="1">
      <c r="B535" s="21" t="s">
        <v>1982</v>
      </c>
      <c r="C535" s="22" t="str">
        <f>VLOOKUP(INT(RIGHT(sample_mgmt_az1_mgmt_cidr,LEN(sample_mgmt_az1_mgmt_cidr)-FIND("/",sample_mgmt_az1_mgmt_cidr))),table_cidr_to_mask,2,FALSE)</f>
        <v>255.255.255.0</v>
      </c>
      <c r="D535" s="18" t="str">
        <f>mgmt_az1_mgmt_vm_mask</f>
        <v>Value Missing</v>
      </c>
      <c r="E535" s="21"/>
    </row>
    <row r="536" spans="2:7" ht="20" customHeight="1">
      <c r="B536" s="21" t="s">
        <v>1983</v>
      </c>
      <c r="C536" s="22" t="str">
        <f>sample_mgmt_az1_mgmt_gateway_ip</f>
        <v>10.11.11.1</v>
      </c>
      <c r="D536" s="18" t="str">
        <f>mgmt_az1_mgmt_vm_gateway_ip</f>
        <v>Value Missing</v>
      </c>
      <c r="E536" s="21"/>
    </row>
    <row r="537" spans="2:7" ht="20" customHeight="1">
      <c r="B537" s="21" t="s">
        <v>1984</v>
      </c>
      <c r="C537" s="22" t="str">
        <f>CONCATENATE(sample_region_dns1_ip,",",sample_region_dns2_ip)</f>
        <v>10.11.10.4,10.11.10.5</v>
      </c>
      <c r="D537" s="18" t="str">
        <f>IF(ISBLANK(input_region_dns1_ip),"Value Missing",region_dns1_ip)&amp;","&amp;IF(ISBLANK(input_region_dns2_ip),"Value Missing",region_dns2_ip)</f>
        <v>Value Missing,Value Missing</v>
      </c>
      <c r="E537" s="21"/>
    </row>
    <row r="538" spans="2:7" ht="20" customHeight="1">
      <c r="B538" s="21" t="s">
        <v>1985</v>
      </c>
      <c r="C538" s="22" t="str">
        <f>CONCATENATE(sample_child_dns_zone,",",sample_parent_dns_zone)</f>
        <v>sfo.rainpole.io,rainpole.io</v>
      </c>
      <c r="D538" s="18" t="str">
        <f>child_dns_zone&amp;","&amp;parent_dns_zone</f>
        <v>Value Missing,Value Missing</v>
      </c>
      <c r="E538" s="21"/>
    </row>
    <row r="539" spans="2:7" ht="20" customHeight="1">
      <c r="B539" s="21" t="s">
        <v>1986</v>
      </c>
      <c r="C539" s="22" t="str">
        <f>IF(AND((NOT(ISBLANK(sample_region_ntp2_server))),(sample_region_ntp2_server &lt;&gt; "n/a")),CONCATENATE(sample_region_ntp1_server,",",sample_region_ntp2_server),sample_region_ntp1_server)</f>
        <v>ntp.sfo.rainpole.io</v>
      </c>
      <c r="D539" s="18" t="str">
        <f>IF(AND((NOT(ISBLANK(region_ntp2_server))),(region_ntp2_server &lt;&gt; "n/a"),(region_ntp2_server &lt;&gt; "")),region_ntp1_server&amp;","&amp;region_ntp2_server,region_ntp1_server)</f>
        <v>Value Missing,Value Missing</v>
      </c>
      <c r="E539" s="21"/>
    </row>
    <row r="540" spans="2:7" ht="20" customHeight="1">
      <c r="B540" s="21" t="s">
        <v>1987</v>
      </c>
      <c r="C540" s="22" t="str">
        <f>_xlfn.CONCAT(sample_mgmt_nsxt_global_mgra_hostname,".",sample_child_dns_zone)</f>
        <v>sfo-m01-nsx-gm01a.sfo.rainpole.io</v>
      </c>
      <c r="D540" s="18" t="str">
        <f>mgmt_nsxt_global_mgra_fqdn</f>
        <v>Value Missing.Value Missing</v>
      </c>
      <c r="E540" s="21"/>
    </row>
    <row r="541" spans="2:7" ht="16" customHeight="1">
      <c r="G541" s="91"/>
    </row>
    <row r="542" spans="2:7" ht="34" customHeight="1">
      <c r="B542" s="486" t="s">
        <v>1988</v>
      </c>
      <c r="C542" s="344"/>
      <c r="D542" s="344"/>
      <c r="E542" s="344"/>
    </row>
    <row r="543" spans="2:7" ht="20" customHeight="1">
      <c r="B543" s="8" t="s">
        <v>735</v>
      </c>
      <c r="C543" s="8" t="s">
        <v>554</v>
      </c>
      <c r="D543" s="20" t="s">
        <v>555</v>
      </c>
      <c r="E543" s="8" t="s">
        <v>1989</v>
      </c>
    </row>
    <row r="544" spans="2:7" ht="20" customHeight="1">
      <c r="B544" s="52" t="s">
        <v>1938</v>
      </c>
      <c r="C544" s="22" t="str">
        <f>_xlfn.CONCAT(sample_mgmt_vc_hostname,".",sample_child_dns_zone)</f>
        <v>sfo-m01-vc01.sfo.rainpole.io</v>
      </c>
      <c r="D544" s="18" t="str">
        <f>mgmt_vc_fqdn</f>
        <v>Value Missing.Value Missing</v>
      </c>
      <c r="E544" s="21"/>
    </row>
    <row r="545" spans="2:7" ht="20" customHeight="1">
      <c r="B545" s="52" t="s">
        <v>820</v>
      </c>
      <c r="C545" s="22" t="str">
        <f>sample_mgmt_nsxt_global_mgr_cluster_id</f>
        <v>ca3bd7dc-aa06-4f2d-a9e1-0c4999354c9b</v>
      </c>
      <c r="D545" s="18" t="str">
        <f>mgmt_nsxt_global_mgr_cluster_id</f>
        <v>Value Missing</v>
      </c>
      <c r="E545" s="64" t="s">
        <v>1990</v>
      </c>
    </row>
    <row r="546" spans="2:7" ht="20" customHeight="1">
      <c r="B546" s="52" t="s">
        <v>1991</v>
      </c>
      <c r="C546" s="22" t="str">
        <f>sample_mgmt_nsxt_global_mgr_vmca_signed_thumbprint</f>
        <v>c7a6264cd8f74033e851944a205110afdeb046386af42ce47240939c417acb93</v>
      </c>
      <c r="D546" s="18" t="str">
        <f>mgmt_nsxt_global_mgr_vmca_signed_thumbprint</f>
        <v>Value Missing</v>
      </c>
      <c r="E546" s="64" t="s">
        <v>1990</v>
      </c>
    </row>
    <row r="547" spans="2:7" ht="20" customHeight="1">
      <c r="B547" s="52" t="s">
        <v>1992</v>
      </c>
      <c r="C547" s="22" t="str">
        <f>_xlfn.CONCAT(sample_mgmt_nsxt_global_mgrb_hostname,".",sample_child_dns_zone)</f>
        <v>sfo-m01-nsx-gm01b.sfo.rainpole.io</v>
      </c>
      <c r="D547" s="18" t="str">
        <f>mgmt_nsxt_global_mgrb_fqdn</f>
        <v>Value Missing.Value Missing</v>
      </c>
      <c r="E547" s="64"/>
      <c r="G547" s="91"/>
    </row>
    <row r="548" spans="2:7" ht="20" customHeight="1">
      <c r="B548" s="52" t="s">
        <v>1993</v>
      </c>
      <c r="C548" s="22" t="str">
        <f>sample_mgmt_nsxt_global_mgra_ip</f>
        <v>10.11.10.82</v>
      </c>
      <c r="D548" s="18" t="str">
        <f>mgmt_nsxt_global_mgra_ip</f>
        <v>Value Missing</v>
      </c>
      <c r="E548" s="64"/>
    </row>
    <row r="549" spans="2:7" ht="20" customHeight="1">
      <c r="B549" s="52" t="s">
        <v>1994</v>
      </c>
      <c r="C549" s="22" t="str">
        <f>sample_mgmt_nsxt_global_mgr_cluster_id</f>
        <v>ca3bd7dc-aa06-4f2d-a9e1-0c4999354c9b</v>
      </c>
      <c r="D549" s="18" t="str">
        <f>mgmt_nsxt_global_mgr_cluster_id</f>
        <v>Value Missing</v>
      </c>
      <c r="E549" s="64"/>
    </row>
    <row r="550" spans="2:7" ht="20" customHeight="1">
      <c r="B550" s="52" t="s">
        <v>1995</v>
      </c>
      <c r="C550" s="22" t="s">
        <v>746</v>
      </c>
      <c r="D550" s="18" t="str">
        <f>C550</f>
        <v>admin</v>
      </c>
      <c r="E550" s="64"/>
    </row>
    <row r="551" spans="2:7" ht="20" customHeight="1">
      <c r="B551" s="52" t="s">
        <v>1996</v>
      </c>
      <c r="C551" s="22" t="str">
        <f>sample_nsxt_gm_admin_password</f>
        <v>VMw@re1!VMw@re1!</v>
      </c>
      <c r="D551" s="18" t="str">
        <f>nsxt_gm_admin_password</f>
        <v>Value Missing</v>
      </c>
      <c r="E551" s="64"/>
      <c r="G551" s="91"/>
    </row>
    <row r="552" spans="2:7" ht="20" customHeight="1">
      <c r="B552" s="52" t="s">
        <v>1997</v>
      </c>
      <c r="C552" s="22" t="str">
        <f>sample_mgmt_nsxt_global_mgr_vmca_signed_thumbprint</f>
        <v>c7a6264cd8f74033e851944a205110afdeb046386af42ce47240939c417acb93</v>
      </c>
      <c r="D552" s="18" t="str">
        <f>mgmt_nsxt_global_mgr_vmca_signed_thumbprint</f>
        <v>Value Missing</v>
      </c>
      <c r="E552" s="64"/>
    </row>
    <row r="553" spans="2:7" ht="20" customHeight="1">
      <c r="B553" s="52" t="s">
        <v>1998</v>
      </c>
      <c r="C553" s="22" t="str">
        <f>_xlfn.CONCAT(sample_mgmt_nsxt_global_mgrc_hostname,".",sample_child_dns_zone)</f>
        <v>sfo-m01-nsx-gm01c.sfo.rainpole.io</v>
      </c>
      <c r="D553" s="18" t="str">
        <f>mgmt_nsxt_global_mgrc_fqdn</f>
        <v>Value Missing.Value Missing</v>
      </c>
      <c r="E553" s="64"/>
    </row>
    <row r="554" spans="2:7" ht="20" customHeight="1">
      <c r="B554" s="52" t="s">
        <v>1999</v>
      </c>
      <c r="C554" s="22" t="str">
        <f>sample_mgmt_nsxt_global_mgra_ip</f>
        <v>10.11.10.82</v>
      </c>
      <c r="D554" s="18" t="str">
        <f>mgmt_nsxt_global_mgra_ip</f>
        <v>Value Missing</v>
      </c>
      <c r="E554" s="64"/>
    </row>
    <row r="555" spans="2:7" ht="20" customHeight="1">
      <c r="B555" s="52" t="s">
        <v>2000</v>
      </c>
      <c r="C555" s="22" t="str">
        <f>sample_mgmt_nsxt_global_mgr_cluster_id</f>
        <v>ca3bd7dc-aa06-4f2d-a9e1-0c4999354c9b</v>
      </c>
      <c r="D555" s="18" t="str">
        <f>mgmt_nsxt_global_mgr_cluster_id</f>
        <v>Value Missing</v>
      </c>
      <c r="E555" s="64"/>
    </row>
    <row r="556" spans="2:7" ht="20" customHeight="1">
      <c r="B556" s="52" t="s">
        <v>2001</v>
      </c>
      <c r="C556" s="22" t="s">
        <v>746</v>
      </c>
      <c r="D556" s="18" t="str">
        <f>C556</f>
        <v>admin</v>
      </c>
      <c r="E556" s="64"/>
    </row>
    <row r="557" spans="2:7" ht="20" customHeight="1">
      <c r="B557" s="52" t="s">
        <v>2002</v>
      </c>
      <c r="C557" s="22" t="str">
        <f>sample_nsxt_gm_admin_password</f>
        <v>VMw@re1!VMw@re1!</v>
      </c>
      <c r="D557" s="18" t="str">
        <f>nsxt_gm_admin_password</f>
        <v>Value Missing</v>
      </c>
      <c r="E557" s="64"/>
    </row>
    <row r="558" spans="2:7" ht="20" customHeight="1">
      <c r="B558" s="52" t="s">
        <v>2003</v>
      </c>
      <c r="C558" s="22" t="str">
        <f>sample_mgmt_nsxt_global_mgr_vmca_signed_thumbprint</f>
        <v>c7a6264cd8f74033e851944a205110afdeb046386af42ce47240939c417acb93</v>
      </c>
      <c r="D558" s="18" t="str">
        <f>mgmt_nsxt_global_mgr_vmca_signed_thumbprint</f>
        <v>Value Missing</v>
      </c>
      <c r="E558" s="64"/>
      <c r="G558" s="91"/>
    </row>
    <row r="559" spans="2:7" ht="16" customHeight="1"/>
    <row r="560" spans="2:7" ht="34" customHeight="1">
      <c r="B560" s="487" t="s">
        <v>2004</v>
      </c>
      <c r="C560" s="488"/>
      <c r="D560" s="488"/>
      <c r="E560" s="489"/>
    </row>
    <row r="561" spans="2:7" ht="20" customHeight="1">
      <c r="B561" s="8" t="s">
        <v>735</v>
      </c>
      <c r="C561" s="8" t="s">
        <v>554</v>
      </c>
      <c r="D561" s="20" t="s">
        <v>555</v>
      </c>
      <c r="E561" s="8" t="s">
        <v>222</v>
      </c>
    </row>
    <row r="562" spans="2:7" ht="20" customHeight="1">
      <c r="B562" s="21" t="s">
        <v>1938</v>
      </c>
      <c r="C562" s="22" t="str">
        <f>_xlfn.CONCAT(sample_mgmt_vc_hostname,".",sample_child_dns_zone)</f>
        <v>sfo-m01-vc01.sfo.rainpole.io</v>
      </c>
      <c r="D562" s="18" t="str">
        <f>mgmt_vc_fqdn</f>
        <v>Value Missing.Value Missing</v>
      </c>
      <c r="E562" s="21"/>
    </row>
    <row r="563" spans="2:7" ht="20" customHeight="1">
      <c r="B563" s="21" t="s">
        <v>735</v>
      </c>
      <c r="C563" s="22" t="str">
        <f>sample_mgmt_nsxt_global_mgr_anti_affinity_rule_name</f>
        <v>sfo-m01-anti-affinity-rule-nsx-global-managers</v>
      </c>
      <c r="D563" s="18" t="str">
        <f>mgmt_nsxt_global_mgr_anti_affinity_rule_name</f>
        <v>Value Missing</v>
      </c>
      <c r="E563" s="21"/>
    </row>
    <row r="564" spans="2:7" ht="20" customHeight="1">
      <c r="B564" s="21" t="s">
        <v>2005</v>
      </c>
      <c r="C564" s="22" t="str">
        <f>sample_mgmt_nsxt_global_mgra_hostname</f>
        <v>sfo-m01-nsx-gm01a</v>
      </c>
      <c r="D564" s="18" t="str">
        <f>mgmt_nsxt_global_mgra_hostname</f>
        <v>Value Missing</v>
      </c>
      <c r="E564" s="21"/>
    </row>
    <row r="565" spans="2:7" ht="20" customHeight="1">
      <c r="B565" s="21" t="s">
        <v>2006</v>
      </c>
      <c r="C565" s="22" t="str">
        <f>sample_mgmt_nsxt_global_mgrb_hostname</f>
        <v>sfo-m01-nsx-gm01b</v>
      </c>
      <c r="D565" s="18" t="str">
        <f>mgmt_nsxt_global_mgrb_hostname</f>
        <v>Value Missing</v>
      </c>
      <c r="E565" s="21"/>
      <c r="G565" s="91"/>
    </row>
    <row r="566" spans="2:7" ht="20" customHeight="1">
      <c r="B566" s="21" t="s">
        <v>2007</v>
      </c>
      <c r="C566" s="22" t="str">
        <f>sample_mgmt_nsxt_global_mgrc_hostname</f>
        <v>sfo-m01-nsx-gm01c</v>
      </c>
      <c r="D566" s="18" t="str">
        <f>mgmt_nsxt_global_mgrc_hostname</f>
        <v>Value Missing</v>
      </c>
      <c r="E566" s="21"/>
    </row>
    <row r="567" spans="2:7" ht="16" customHeight="1"/>
    <row r="568" spans="2:7" ht="34" customHeight="1">
      <c r="B568" s="487" t="s">
        <v>2008</v>
      </c>
      <c r="C568" s="488"/>
      <c r="D568" s="488"/>
      <c r="E568" s="489"/>
    </row>
    <row r="569" spans="2:7" ht="20" customHeight="1">
      <c r="B569" s="8" t="s">
        <v>735</v>
      </c>
      <c r="C569" s="8" t="s">
        <v>554</v>
      </c>
      <c r="D569" s="20" t="s">
        <v>555</v>
      </c>
      <c r="E569" s="8" t="s">
        <v>222</v>
      </c>
    </row>
    <row r="570" spans="2:7" ht="20" customHeight="1">
      <c r="B570" s="21" t="s">
        <v>2009</v>
      </c>
      <c r="C570" s="22" t="str">
        <f>_xlfn.CONCAT(sample_mgmt_nsxt_global_mgra_hostname,".",sample_child_dns_zone)</f>
        <v>sfo-m01-nsx-gm01a.sfo.rainpole.io</v>
      </c>
      <c r="D570" s="18" t="str">
        <f>mgmt_nsxt_global_mgra_fqdn</f>
        <v>Value Missing.Value Missing</v>
      </c>
      <c r="E570" s="21"/>
    </row>
    <row r="571" spans="2:7" ht="20" customHeight="1">
      <c r="B571" s="21" t="s">
        <v>2010</v>
      </c>
      <c r="C571" s="22" t="str">
        <f>sample_mgmt_nsxt_gm_ip</f>
        <v>10.11.10.81</v>
      </c>
      <c r="D571" s="18" t="str">
        <f>mgmt_nsxt_gm_ip</f>
        <v>Value Missing</v>
      </c>
      <c r="E571" s="21"/>
    </row>
    <row r="572" spans="2:7" ht="20" customHeight="1">
      <c r="B572" s="21" t="s">
        <v>2011</v>
      </c>
      <c r="C572" s="22" t="str">
        <f>_xlfn.CONCAT(sample_mgmt_nsxt_gm_hostname,".",sample_child_dns_zone)</f>
        <v>sfo-m01-nsx-gm01.sfo.rainpole.io</v>
      </c>
      <c r="D572" s="18" t="str">
        <f>mgmt_nsxt_gm_vip_fqdn</f>
        <v>Value Missing.Value Missing</v>
      </c>
      <c r="E572" s="64"/>
    </row>
    <row r="573" spans="2:7" ht="16" customHeight="1"/>
    <row r="574" spans="2:7" ht="34" customHeight="1">
      <c r="B574" s="487" t="s">
        <v>2012</v>
      </c>
      <c r="C574" s="488"/>
      <c r="D574" s="488"/>
      <c r="E574" s="489"/>
      <c r="G574" s="91"/>
    </row>
    <row r="575" spans="2:7" ht="20" customHeight="1">
      <c r="B575" s="8" t="s">
        <v>735</v>
      </c>
      <c r="C575" s="8" t="s">
        <v>554</v>
      </c>
      <c r="D575" s="20" t="s">
        <v>555</v>
      </c>
      <c r="E575" s="8" t="s">
        <v>222</v>
      </c>
    </row>
    <row r="576" spans="2:7" ht="20" customHeight="1">
      <c r="B576" s="21" t="s">
        <v>2011</v>
      </c>
      <c r="C576" s="22" t="str">
        <f>_xlfn.CONCAT(sample_mgmt_nsxt_gm_hostname,".",sample_child_dns_zone)</f>
        <v>sfo-m01-nsx-gm01.sfo.rainpole.io</v>
      </c>
      <c r="D576" s="18" t="str">
        <f>mgmt_nsxt_gm_vip_fqdn</f>
        <v>Value Missing.Value Missing</v>
      </c>
      <c r="E576" s="64"/>
    </row>
    <row r="577" spans="2:7" ht="16" customHeight="1"/>
    <row r="578" spans="2:7" ht="34" customHeight="1">
      <c r="B578" s="487" t="s">
        <v>2013</v>
      </c>
      <c r="C578" s="488"/>
      <c r="D578" s="488"/>
      <c r="E578" s="489"/>
    </row>
    <row r="579" spans="2:7" ht="20" customHeight="1">
      <c r="B579" s="8" t="s">
        <v>735</v>
      </c>
      <c r="C579" s="8" t="s">
        <v>554</v>
      </c>
      <c r="D579" s="20" t="s">
        <v>555</v>
      </c>
      <c r="E579" s="8" t="s">
        <v>222</v>
      </c>
      <c r="G579" s="91"/>
    </row>
    <row r="580" spans="2:7" ht="20" customHeight="1">
      <c r="B580" s="21" t="s">
        <v>2011</v>
      </c>
      <c r="C580" s="22" t="str">
        <f>_xlfn.CONCAT(sample_mgmt_nsxt_gm_hostname,".",sample_child_dns_zone)</f>
        <v>sfo-m01-nsx-gm01.sfo.rainpole.io</v>
      </c>
      <c r="D580" s="18" t="str">
        <f>mgmt_nsxt_gm_vip_fqdn</f>
        <v>Value Missing.Value Missing</v>
      </c>
      <c r="E580" s="64"/>
    </row>
    <row r="581" spans="2:7" ht="20" customHeight="1">
      <c r="B581" s="21" t="s">
        <v>2014</v>
      </c>
      <c r="C581" s="22" t="str">
        <f>sample_mgmt_nsxt_global_mgr_certificate_id</f>
        <v>a900065b-aeb5-457e-aca6-4612b17d06d9</v>
      </c>
      <c r="D581" s="18" t="str">
        <f>mgmt_nsxt_global_mgr_certificate_id</f>
        <v>Value Missing</v>
      </c>
      <c r="E581" s="64" t="s">
        <v>1990</v>
      </c>
    </row>
    <row r="582" spans="2:7" ht="20" customHeight="1">
      <c r="B582" s="21" t="s">
        <v>2009</v>
      </c>
      <c r="C582" s="22" t="str">
        <f>_xlfn.CONCAT(sample_mgmt_nsxt_global_mgra_hostname,".",sample_child_dns_zone)</f>
        <v>sfo-m01-nsx-gm01a.sfo.rainpole.io</v>
      </c>
      <c r="D582" s="18" t="str">
        <f>mgmt_nsxt_global_mgra_fqdn</f>
        <v>Value Missing.Value Missing</v>
      </c>
      <c r="E582" s="21"/>
    </row>
    <row r="583" spans="2:7" ht="20" customHeight="1">
      <c r="B583" s="21" t="s">
        <v>2015</v>
      </c>
      <c r="C583" s="22" t="str">
        <f>sample_mgmt_nsxt_global_mgr_certificate_id</f>
        <v>a900065b-aeb5-457e-aca6-4612b17d06d9</v>
      </c>
      <c r="D583" s="18" t="str">
        <f>mgmt_nsxt_global_mgr_certificate_id</f>
        <v>Value Missing</v>
      </c>
      <c r="E583" s="64"/>
    </row>
    <row r="584" spans="2:7" ht="16" customHeight="1"/>
    <row r="585" spans="2:7" ht="34" customHeight="1">
      <c r="B585" s="487" t="s">
        <v>2016</v>
      </c>
      <c r="C585" s="488"/>
      <c r="D585" s="488"/>
      <c r="E585" s="489"/>
    </row>
    <row r="586" spans="2:7" ht="20" customHeight="1">
      <c r="B586" s="8" t="s">
        <v>735</v>
      </c>
      <c r="C586" s="8" t="s">
        <v>554</v>
      </c>
      <c r="D586" s="20" t="s">
        <v>555</v>
      </c>
      <c r="E586" s="8" t="s">
        <v>222</v>
      </c>
    </row>
    <row r="587" spans="2:7" ht="20" customHeight="1">
      <c r="B587" s="21" t="s">
        <v>2011</v>
      </c>
      <c r="C587" s="22" t="str">
        <f>_xlfn.CONCAT(sample_mgmt_nsxt_gm_hostname,".",sample_child_dns_zone)</f>
        <v>sfo-m01-nsx-gm01.sfo.rainpole.io</v>
      </c>
      <c r="D587" s="18" t="str">
        <f>mgmt_nsxt_gm_vip_fqdn</f>
        <v>Value Missing.Value Missing</v>
      </c>
      <c r="E587" s="64"/>
    </row>
    <row r="588" spans="2:7" ht="20" customHeight="1">
      <c r="B588" s="21" t="s">
        <v>2017</v>
      </c>
      <c r="C588" s="22" t="str">
        <f>_xlfn.CONCAT(sample_mgmt_nsxt_global_mgrb_hostname,".",sample_child_dns_zone)</f>
        <v>sfo-m01-nsx-gm01b.sfo.rainpole.io</v>
      </c>
      <c r="D588" s="18" t="str">
        <f>mgmt_nsxt_global_mgrb_fqdn</f>
        <v>Value Missing.Value Missing</v>
      </c>
      <c r="E588" s="21"/>
    </row>
    <row r="589" spans="2:7" ht="20" customHeight="1">
      <c r="B589" s="21" t="s">
        <v>2018</v>
      </c>
      <c r="C589" s="22" t="str">
        <f>_xlfn.CONCAT(sample_mgmt_nsxt_global_mgrc_hostname,".",sample_child_dns_zone)</f>
        <v>sfo-m01-nsx-gm01c.sfo.rainpole.io</v>
      </c>
      <c r="D589" s="18" t="str">
        <f>mgmt_nsxt_global_mgrc_fqdn</f>
        <v>Value Missing.Value Missing</v>
      </c>
      <c r="E589" s="21"/>
    </row>
    <row r="590" spans="2:7" ht="20" customHeight="1">
      <c r="B590" s="21" t="s">
        <v>2015</v>
      </c>
      <c r="C590" s="22" t="str">
        <f>sample_mgmt_nsxt_global_mgr_certificate_id</f>
        <v>a900065b-aeb5-457e-aca6-4612b17d06d9</v>
      </c>
      <c r="D590" s="18" t="str">
        <f>mgmt_nsxt_global_mgr_certificate_id</f>
        <v>Value Missing</v>
      </c>
      <c r="E590" s="64"/>
      <c r="G590" s="91"/>
    </row>
    <row r="591" spans="2:7" ht="16" customHeight="1"/>
    <row r="592" spans="2:7" ht="34" customHeight="1">
      <c r="B592" s="487" t="s">
        <v>2019</v>
      </c>
      <c r="C592" s="488"/>
      <c r="D592" s="488"/>
      <c r="E592" s="489"/>
    </row>
    <row r="593" spans="2:7" ht="20" customHeight="1">
      <c r="B593" s="8" t="s">
        <v>735</v>
      </c>
      <c r="C593" s="8" t="s">
        <v>554</v>
      </c>
      <c r="D593" s="20" t="s">
        <v>555</v>
      </c>
      <c r="E593" s="8" t="s">
        <v>222</v>
      </c>
    </row>
    <row r="594" spans="2:7" ht="20" customHeight="1">
      <c r="B594" s="21" t="s">
        <v>2020</v>
      </c>
      <c r="C594" s="22" t="str">
        <f>_xlfn.CONCAT(sample_mgmt_nsxt_hostname,".",sample_child_dns_zone)</f>
        <v>sfo-m01-nsx01.sfo.rainpole.io</v>
      </c>
      <c r="D594" s="18" t="str">
        <f>mgmt_nsxt_vip_fqdn</f>
        <v>Value Missing.Value Missing</v>
      </c>
      <c r="E594" s="21"/>
    </row>
    <row r="595" spans="2:7" ht="20" customHeight="1">
      <c r="B595" s="21" t="s">
        <v>735</v>
      </c>
      <c r="C595" s="22" t="str">
        <f>sample_mgmt_az1_rtep_ip_pool_name</f>
        <v>sfo-m01-r01-ip-pool-rtep</v>
      </c>
      <c r="D595" s="18" t="str">
        <f>mgmt_az1_rtep_ip_pool_name</f>
        <v>Value Missing</v>
      </c>
      <c r="E595" s="21"/>
    </row>
    <row r="596" spans="2:7" ht="20" customHeight="1">
      <c r="B596" s="21" t="s">
        <v>2021</v>
      </c>
      <c r="C596" s="22" t="str">
        <f>_xlfn.CONCAT(sample_mgmt_rtep_overlay_pool_start_ip,"-",sample_mgmt_rtep_overlay_pool_end_ip)</f>
        <v>10.11.20.101-10.11.20.116</v>
      </c>
      <c r="D596" s="18" t="str">
        <f>mgmt_rtep_overlay_pool_start_ip&amp;"-"&amp;mgmt_rtep_overlay_pool_end_ip</f>
        <v>Value Missing-Value Missing</v>
      </c>
      <c r="E596" s="21"/>
    </row>
    <row r="597" spans="2:7" ht="20" customHeight="1">
      <c r="B597" s="21" t="s">
        <v>411</v>
      </c>
      <c r="C597" s="22" t="str">
        <f>sample_mgmt_az1_rtep_overlay_cidr</f>
        <v>10.11.20.0/24</v>
      </c>
      <c r="D597" s="18" t="str">
        <f>mgmt_az1_rtep_overlay_cidr</f>
        <v>Value Missing</v>
      </c>
      <c r="E597" s="21"/>
    </row>
    <row r="598" spans="2:7" ht="20" customHeight="1">
      <c r="B598" s="21" t="s">
        <v>2022</v>
      </c>
      <c r="C598" s="22" t="str">
        <f>sample_mgmt_az1_rtep_overlay_gateway_ip</f>
        <v>10.11.20.1</v>
      </c>
      <c r="D598" s="18" t="str">
        <f>mgmt_az1_rtep_overlay_gateway_ip</f>
        <v>Value Missing</v>
      </c>
      <c r="E598" s="21"/>
    </row>
    <row r="599" spans="2:7" ht="20" customHeight="1">
      <c r="B599" s="21" t="s">
        <v>1828</v>
      </c>
      <c r="C599" s="22">
        <f>sample_mgmt_az1_rtep_overlay_mtu</f>
        <v>9000</v>
      </c>
      <c r="D599" s="18" t="str">
        <f>mgmt_az1_rtep_overlay_mtu</f>
        <v>Value Missing</v>
      </c>
      <c r="E599" s="21"/>
    </row>
    <row r="600" spans="2:7" ht="16" customHeight="1"/>
    <row r="601" spans="2:7" ht="34" customHeight="1">
      <c r="B601" s="487" t="s">
        <v>2023</v>
      </c>
      <c r="C601" s="488"/>
      <c r="D601" s="488"/>
      <c r="E601" s="489"/>
    </row>
    <row r="602" spans="2:7" ht="20" customHeight="1">
      <c r="B602" s="8" t="s">
        <v>735</v>
      </c>
      <c r="C602" s="8" t="s">
        <v>554</v>
      </c>
      <c r="D602" s="20" t="s">
        <v>555</v>
      </c>
      <c r="E602" s="8" t="s">
        <v>222</v>
      </c>
    </row>
    <row r="603" spans="2:7" ht="20" customHeight="1">
      <c r="B603" s="21" t="s">
        <v>2024</v>
      </c>
      <c r="C603" s="22" t="str">
        <f>_xlfn.CONCAT(sample_mgmt_nsxt_gm_hostname,".",sample_child_dns_zone)</f>
        <v>sfo-m01-nsx-gm01.sfo.rainpole.io</v>
      </c>
      <c r="D603" s="18" t="str">
        <f>mgmt_nsxt_gm_vip_fqdn</f>
        <v>Value Missing.Value Missing</v>
      </c>
      <c r="E603" s="64"/>
    </row>
    <row r="604" spans="2:7" ht="20" customHeight="1">
      <c r="B604" s="21" t="s">
        <v>2025</v>
      </c>
      <c r="C604" s="22" t="str">
        <f>sample_mgmt_nsxt_federation_global_manager_name</f>
        <v>sfo-m01-nsx-gm01</v>
      </c>
      <c r="D604" s="18" t="str">
        <f>mgmt_nsxt_federation_global_manager_name</f>
        <v>Value Missing</v>
      </c>
      <c r="E604" s="64"/>
    </row>
    <row r="605" spans="2:7" ht="16" customHeight="1">
      <c r="G605" s="91"/>
    </row>
    <row r="606" spans="2:7" ht="34" customHeight="1">
      <c r="B606" s="487" t="s">
        <v>2026</v>
      </c>
      <c r="C606" s="488"/>
      <c r="D606" s="488"/>
      <c r="E606" s="489"/>
    </row>
    <row r="607" spans="2:7" ht="20" customHeight="1">
      <c r="B607" s="8" t="s">
        <v>735</v>
      </c>
      <c r="C607" s="8" t="s">
        <v>554</v>
      </c>
      <c r="D607" s="20" t="s">
        <v>555</v>
      </c>
      <c r="E607" s="8" t="s">
        <v>222</v>
      </c>
    </row>
    <row r="608" spans="2:7" ht="20" customHeight="1">
      <c r="B608" s="21" t="s">
        <v>2027</v>
      </c>
      <c r="C608" s="22" t="str">
        <f>_xlfn.CONCAT(sample_mgmt_nsxt_gm_hostname,".",sample_child_dns_zone)</f>
        <v>sfo-m01-nsx-gm01.sfo.rainpole.io</v>
      </c>
      <c r="D608" s="18" t="str">
        <f>mgmt_nsxt_gm_vip_fqdn</f>
        <v>Value Missing.Value Missing</v>
      </c>
      <c r="E608" s="64"/>
    </row>
    <row r="609" spans="2:7" ht="20" customHeight="1">
      <c r="B609" s="21" t="s">
        <v>2028</v>
      </c>
      <c r="C609" s="22" t="str">
        <f>sample_mgmt_nsxt_gm_fingerprint</f>
        <v>C7:A6:26:4C:D8:F7:40:33:E8:51:94:4A:20:51:10:AF:DE:B0:46:38:6A:F4:2C:E4:72:40:93:9C:41:7A:CB:93</v>
      </c>
      <c r="D609" s="18" t="str">
        <f>mgmt_nsxt_gm_fingerprint</f>
        <v>Value Missing</v>
      </c>
      <c r="E609" s="64" t="s">
        <v>1990</v>
      </c>
    </row>
    <row r="610" spans="2:7" ht="20" customHeight="1">
      <c r="B610" s="21" t="s">
        <v>2029</v>
      </c>
      <c r="C610" s="22" t="str">
        <f>IF(mgmt_domain_chosen="First Domain",_xlfn.CONCAT(sample_mgmt_nsxt_gm_hostname,".",sample_child_dns_zone),sample_mgmt_existing_active_nsx_gm)</f>
        <v>sfo-m01-nsx-gm01.sfo.rainpole.io</v>
      </c>
      <c r="D610" s="18" t="str">
        <f>IF(mgmt_domain_chosen="First Domain",mgmt_nsxt_gm_vip_fqdn,mgmt_existing_active_nsx_gm)</f>
        <v>Value Missing.Value Missing</v>
      </c>
      <c r="E610" s="64"/>
    </row>
    <row r="611" spans="2:7" ht="20" customHeight="1">
      <c r="B611" s="21" t="s">
        <v>2030</v>
      </c>
      <c r="C611" s="22" t="str">
        <f>sample_mgmt_nsxt_federation_global_manager_name</f>
        <v>sfo-m01-nsx-gm01</v>
      </c>
      <c r="D611" s="18" t="str">
        <f>mgmt_nsxt_federation_global_manager_name</f>
        <v>Value Missing</v>
      </c>
      <c r="E611" s="64"/>
    </row>
    <row r="612" spans="2:7" ht="20" customHeight="1">
      <c r="B612" s="21" t="s">
        <v>2031</v>
      </c>
      <c r="C612" s="22" t="str">
        <f>_xlfn.CONCAT(sample_mgmt_nsxt_gm_hostname,".",sample_child_dns_zone)</f>
        <v>sfo-m01-nsx-gm01.sfo.rainpole.io</v>
      </c>
      <c r="D612" s="18" t="str">
        <f>mgmt_nsxt_gm_vip_fqdn</f>
        <v>Value Missing.Value Missing</v>
      </c>
      <c r="E612" s="64"/>
    </row>
    <row r="613" spans="2:7" ht="20" customHeight="1">
      <c r="B613" s="21" t="s">
        <v>1806</v>
      </c>
      <c r="C613" s="22" t="s">
        <v>746</v>
      </c>
      <c r="D613" s="18" t="str">
        <f>C613</f>
        <v>admin</v>
      </c>
      <c r="E613" s="64"/>
      <c r="G613" s="91"/>
    </row>
    <row r="614" spans="2:7" ht="20" customHeight="1">
      <c r="B614" s="21" t="s">
        <v>1796</v>
      </c>
      <c r="C614" s="22" t="str">
        <f>sample_nsxt_gm_admin_password</f>
        <v>VMw@re1!VMw@re1!</v>
      </c>
      <c r="D614" s="18" t="str">
        <f>nsxt_gm_admin_password</f>
        <v>Value Missing</v>
      </c>
      <c r="E614" s="64"/>
    </row>
    <row r="615" spans="2:7" ht="20" customHeight="1">
      <c r="B615" s="21" t="s">
        <v>2028</v>
      </c>
      <c r="C615" s="22" t="str">
        <f>sample_mgmt_nsxt_gm_fingerprint</f>
        <v>C7:A6:26:4C:D8:F7:40:33:E8:51:94:4A:20:51:10:AF:DE:B0:46:38:6A:F4:2C:E4:72:40:93:9C:41:7A:CB:93</v>
      </c>
      <c r="D615" s="18" t="str">
        <f>mgmt_nsxt_gm_fingerprint</f>
        <v>Value Missing</v>
      </c>
      <c r="E615" s="64"/>
    </row>
    <row r="616" spans="2:7" ht="16" customHeight="1"/>
    <row r="617" spans="2:7" ht="34" customHeight="1">
      <c r="B617" s="487" t="s">
        <v>2032</v>
      </c>
      <c r="C617" s="488"/>
      <c r="D617" s="488"/>
      <c r="E617" s="489"/>
    </row>
    <row r="618" spans="2:7" ht="20" customHeight="1">
      <c r="B618" s="8" t="s">
        <v>735</v>
      </c>
      <c r="C618" s="8" t="s">
        <v>554</v>
      </c>
      <c r="D618" s="20" t="s">
        <v>555</v>
      </c>
      <c r="E618" s="8" t="s">
        <v>222</v>
      </c>
    </row>
    <row r="619" spans="2:7" ht="20" customHeight="1">
      <c r="B619" s="21" t="s">
        <v>2020</v>
      </c>
      <c r="C619" s="22" t="str">
        <f>_xlfn.CONCAT(sample_mgmt_nsxt_hostname,".",sample_child_dns_zone)</f>
        <v>sfo-m01-nsx01.sfo.rainpole.io</v>
      </c>
      <c r="D619" s="18" t="str">
        <f>mgmt_nsxt_vip_fqdn</f>
        <v>Value Missing.Value Missing</v>
      </c>
      <c r="E619" s="21"/>
      <c r="G619" s="91"/>
    </row>
    <row r="620" spans="2:7" ht="20" customHeight="1">
      <c r="B620" s="21" t="s">
        <v>2028</v>
      </c>
      <c r="C620" s="22" t="str">
        <f>sample_mgmt_nsxt_lm_fingerprint</f>
        <v>05:CC:8C:D4:AF:B3:22:E1:C5:27:70:24:F5:2A:3B:F9:F3:98:4A:8D:7D:8C:37:F2:4F:EE:8D:78:CB:9E:43:FD</v>
      </c>
      <c r="D620" s="18" t="str">
        <f>mgmt_nsxt_lm_fingerprint</f>
        <v>Value Missing</v>
      </c>
      <c r="E620" s="64" t="s">
        <v>1990</v>
      </c>
    </row>
    <row r="621" spans="2:7" ht="20" customHeight="1">
      <c r="B621" s="21" t="s">
        <v>2029</v>
      </c>
      <c r="C621" s="22" t="str">
        <f>IF(mgmt_domain_chosen="First Domain",_xlfn.CONCAT(sample_mgmt_nsxt_gm_hostname,".",sample_child_dns_zone),sample_mgmt_existing_active_nsx_gm)</f>
        <v>sfo-m01-nsx-gm01.sfo.rainpole.io</v>
      </c>
      <c r="D621" s="18" t="str">
        <f>IF(mgmt_domain_chosen="First Domain",mgmt_nsxt_gm_vip_fqdn,mgmt_existing_active_nsx_gm)</f>
        <v>Value Missing.Value Missing</v>
      </c>
      <c r="E621" s="64"/>
    </row>
    <row r="622" spans="2:7" ht="20" customHeight="1">
      <c r="B622" s="21" t="s">
        <v>2033</v>
      </c>
      <c r="C622" s="22" t="str">
        <f>sample_mgmt_nsxt_federation_location_name</f>
        <v>sfo-m01</v>
      </c>
      <c r="D622" s="18" t="str">
        <f>mgmt_nsxt_federation_location_name</f>
        <v>Value Missing</v>
      </c>
      <c r="E622" s="64"/>
    </row>
    <row r="623" spans="2:7" ht="20" customHeight="1">
      <c r="B623" s="21" t="s">
        <v>2031</v>
      </c>
      <c r="C623" s="22" t="str">
        <f>_xlfn.CONCAT(sample_mgmt_nsxt_hostname,".",sample_child_dns_zone)</f>
        <v>sfo-m01-nsx01.sfo.rainpole.io</v>
      </c>
      <c r="D623" s="18" t="str">
        <f>mgmt_nsxt_vip_fqdn</f>
        <v>Value Missing.Value Missing</v>
      </c>
      <c r="E623" s="64"/>
    </row>
    <row r="624" spans="2:7" ht="20" customHeight="1">
      <c r="B624" s="21" t="s">
        <v>1806</v>
      </c>
      <c r="C624" s="22" t="s">
        <v>746</v>
      </c>
      <c r="D624" s="18" t="str">
        <f>C624</f>
        <v>admin</v>
      </c>
      <c r="E624" s="64"/>
    </row>
    <row r="625" spans="2:7" ht="20" customHeight="1">
      <c r="B625" s="21" t="s">
        <v>1796</v>
      </c>
      <c r="C625" s="22" t="str">
        <f>sample_nsxt_lm_admin_password</f>
        <v>VMw@re1!VMw@re1!</v>
      </c>
      <c r="D625" s="18" t="str">
        <f>nsxt_lm_admin_password</f>
        <v>Value Missing</v>
      </c>
      <c r="E625" s="64"/>
      <c r="G625" s="91"/>
    </row>
    <row r="626" spans="2:7" ht="20" customHeight="1">
      <c r="B626" s="21" t="s">
        <v>2028</v>
      </c>
      <c r="C626" s="22" t="str">
        <f>sample_mgmt_nsxt_lm_fingerprint</f>
        <v>05:CC:8C:D4:AF:B3:22:E1:C5:27:70:24:F5:2A:3B:F9:F3:98:4A:8D:7D:8C:37:F2:4F:EE:8D:78:CB:9E:43:FD</v>
      </c>
      <c r="D626" s="18" t="str">
        <f>mgmt_nsxt_lm_fingerprint</f>
        <v>Value Missing</v>
      </c>
      <c r="E626" s="64"/>
    </row>
    <row r="627" spans="2:7" ht="20" customHeight="1">
      <c r="B627" s="21" t="s">
        <v>2034</v>
      </c>
      <c r="C627" s="22" t="s">
        <v>2035</v>
      </c>
      <c r="D627" s="18" t="str">
        <f>C627</f>
        <v>nsxDefaultHostSwitch</v>
      </c>
      <c r="E627" s="65"/>
    </row>
    <row r="628" spans="2:7" ht="20" customHeight="1">
      <c r="B628" s="21" t="s">
        <v>2036</v>
      </c>
      <c r="C628" s="22" t="str">
        <f>sample_mgmt_az1_rtep_overlay_vlan</f>
        <v>1120</v>
      </c>
      <c r="D628" s="18" t="str">
        <f>mgmt_rtep_overlay_vlan</f>
        <v>Value Missing</v>
      </c>
      <c r="E628" s="64"/>
    </row>
    <row r="629" spans="2:7" ht="20" customHeight="1">
      <c r="B629" s="21" t="s">
        <v>2037</v>
      </c>
      <c r="C629" s="22" t="str">
        <f>sample_mgmt_az1_rtep_ip_pool_name</f>
        <v>sfo-m01-r01-ip-pool-rtep</v>
      </c>
      <c r="D629" s="18" t="str">
        <f>mgmt_az1_rtep_ip_pool_name</f>
        <v>Value Missing</v>
      </c>
      <c r="E629" s="64"/>
    </row>
    <row r="630" spans="2:7" ht="20" customHeight="1">
      <c r="B630" s="21" t="s">
        <v>2038</v>
      </c>
      <c r="C630" s="22">
        <f>sample_mgmt_az1_rtep_overlay_mtu</f>
        <v>9000</v>
      </c>
      <c r="D630" s="18" t="str">
        <f>mgmt_az1_rtep_overlay_mtu</f>
        <v>Value Missing</v>
      </c>
      <c r="E630" s="65" t="s">
        <v>2039</v>
      </c>
    </row>
    <row r="631" spans="2:7" ht="16" customHeight="1"/>
    <row r="632" spans="2:7" ht="34" customHeight="1">
      <c r="B632" s="487" t="s">
        <v>2040</v>
      </c>
      <c r="C632" s="488"/>
      <c r="D632" s="488"/>
      <c r="E632" s="489"/>
    </row>
    <row r="633" spans="2:7" ht="20" customHeight="1">
      <c r="B633" s="8" t="s">
        <v>735</v>
      </c>
      <c r="C633" s="8" t="s">
        <v>554</v>
      </c>
      <c r="D633" s="20" t="s">
        <v>555</v>
      </c>
      <c r="E633" s="8" t="s">
        <v>222</v>
      </c>
    </row>
    <row r="634" spans="2:7" ht="20" customHeight="1">
      <c r="B634" s="21" t="s">
        <v>2011</v>
      </c>
      <c r="C634" s="22" t="str">
        <f>_xlfn.CONCAT(sample_mgmt_nsxt_gm_hostname,".",sample_child_dns_zone)</f>
        <v>sfo-m01-nsx-gm01.sfo.rainpole.io</v>
      </c>
      <c r="D634" s="18" t="str">
        <f>mgmt_nsxt_gm_vip_fqdn</f>
        <v>Value Missing.Value Missing</v>
      </c>
      <c r="E634" s="64"/>
    </row>
    <row r="635" spans="2:7" ht="20" customHeight="1">
      <c r="B635" s="21" t="s">
        <v>2041</v>
      </c>
      <c r="C635" s="22" t="str">
        <f>sample_mgmt_nsxt_xreg_t1_name</f>
        <v>xint-m01-ec01-t1-gw01</v>
      </c>
      <c r="D635" s="18" t="str">
        <f>mgmt_nsxt_xreg_t1_name</f>
        <v>Value Missing</v>
      </c>
      <c r="E635" s="64"/>
    </row>
    <row r="636" spans="2:7" ht="20" customHeight="1">
      <c r="B636" s="21" t="s">
        <v>2042</v>
      </c>
      <c r="C636" s="22" t="str">
        <f>sample_mgmt_tier0_name</f>
        <v>sfo-m01-ec01-t0-gw01</v>
      </c>
      <c r="D636" s="18" t="str">
        <f>mgmt_tier0_name</f>
        <v>Value Missing</v>
      </c>
      <c r="E636" s="64"/>
    </row>
    <row r="637" spans="2:7" ht="20" customHeight="1">
      <c r="B637" s="21" t="s">
        <v>2043</v>
      </c>
      <c r="C637" s="22" t="str">
        <f>sample_mgmt_nsxt_federation_location_name</f>
        <v>sfo-m01</v>
      </c>
      <c r="D637" s="18" t="str">
        <f>mgmt_nsxt_federation_location_name</f>
        <v>Value Missing</v>
      </c>
      <c r="E637" s="72"/>
    </row>
    <row r="638" spans="2:7" ht="20" customHeight="1">
      <c r="B638" s="21" t="s">
        <v>1884</v>
      </c>
      <c r="C638" s="22" t="str">
        <f>sample_mgmt_ec_name</f>
        <v>sfo-m01-ec01</v>
      </c>
      <c r="D638" s="18" t="str">
        <f>mgmt_ec_name</f>
        <v>Value Missing</v>
      </c>
      <c r="E638" s="64"/>
    </row>
    <row r="639" spans="2:7" ht="16" customHeight="1"/>
    <row r="640" spans="2:7" ht="34" customHeight="1">
      <c r="B640" s="487" t="s">
        <v>2044</v>
      </c>
      <c r="C640" s="488"/>
      <c r="D640" s="488"/>
      <c r="E640" s="489"/>
    </row>
    <row r="641" spans="2:5" ht="20" customHeight="1">
      <c r="B641" s="8" t="s">
        <v>735</v>
      </c>
      <c r="C641" s="8" t="s">
        <v>554</v>
      </c>
      <c r="D641" s="20" t="s">
        <v>555</v>
      </c>
      <c r="E641" s="8" t="s">
        <v>222</v>
      </c>
    </row>
    <row r="642" spans="2:5" ht="20" customHeight="1">
      <c r="B642" s="21" t="s">
        <v>2011</v>
      </c>
      <c r="C642" s="22" t="str">
        <f>_xlfn.CONCAT(sample_mgmt_nsxt_gm_hostname,".",sample_child_dns_zone)</f>
        <v>sfo-m01-nsx-gm01.sfo.rainpole.io</v>
      </c>
      <c r="D642" s="18" t="str">
        <f>mgmt_nsxt_gm_vip_fqdn</f>
        <v>Value Missing.Value Missing</v>
      </c>
      <c r="E642" s="64"/>
    </row>
    <row r="643" spans="2:5" ht="20" customHeight="1">
      <c r="B643" s="21" t="s">
        <v>2045</v>
      </c>
      <c r="C643" s="22" t="str">
        <f>sample_xreg_seg01_name</f>
        <v>xint-m01-seg01</v>
      </c>
      <c r="D643" s="18" t="str">
        <f>xreg_seg01_name</f>
        <v>Value Missing</v>
      </c>
      <c r="E643" s="64"/>
    </row>
    <row r="644" spans="2:5" ht="20" customHeight="1">
      <c r="B644" s="21" t="s">
        <v>2046</v>
      </c>
      <c r="C644" s="22" t="str">
        <f>sample_mgmt_nsxt_xreg_t1_name</f>
        <v>xint-m01-ec01-t1-gw01</v>
      </c>
      <c r="D644" s="18" t="str">
        <f>mgmt_nsxt_xreg_t1_name</f>
        <v>Value Missing</v>
      </c>
      <c r="E644" s="64"/>
    </row>
    <row r="645" spans="2:5" ht="16" customHeight="1"/>
    <row r="646" spans="2:5" ht="34" customHeight="1">
      <c r="B646" s="487" t="s">
        <v>2047</v>
      </c>
      <c r="C646" s="488"/>
      <c r="D646" s="488"/>
      <c r="E646" s="489"/>
    </row>
    <row r="647" spans="2:5" ht="20" customHeight="1">
      <c r="B647" s="8" t="s">
        <v>735</v>
      </c>
      <c r="C647" s="8" t="s">
        <v>554</v>
      </c>
      <c r="D647" s="20" t="s">
        <v>555</v>
      </c>
      <c r="E647" s="8" t="s">
        <v>222</v>
      </c>
    </row>
    <row r="648" spans="2:5" ht="20" customHeight="1">
      <c r="B648" s="21" t="s">
        <v>2029</v>
      </c>
      <c r="C648" s="22" t="str">
        <f>IF(mgmt_domain_chosen="First Domain",_xlfn.CONCAT(sample_mgmt_nsxt_gm_hostname,".",sample_child_dns_zone),sample_mgmt_existing_active_nsx_gm)</f>
        <v>sfo-m01-nsx-gm01.sfo.rainpole.io</v>
      </c>
      <c r="D648" s="18" t="str">
        <f>IF(mgmt_domain_chosen="First Domain",mgmt_nsxt_gm_vip_fqdn,mgmt_existing_active_nsx_gm)</f>
        <v>Value Missing.Value Missing</v>
      </c>
      <c r="E648" s="64"/>
    </row>
    <row r="649" spans="2:5" ht="20" customHeight="1">
      <c r="B649" s="21" t="s">
        <v>2048</v>
      </c>
      <c r="C649" s="22" t="str">
        <f>sample_mgmt_tier1_name</f>
        <v>sfo-m01-ec01-t1-gw01</v>
      </c>
      <c r="D649" s="18" t="str">
        <f>mgmt_tier1_name</f>
        <v>Value Missing</v>
      </c>
      <c r="E649" s="64"/>
    </row>
    <row r="650" spans="2:5" ht="20" customHeight="1">
      <c r="B650" s="21" t="s">
        <v>2049</v>
      </c>
      <c r="C650" s="22" t="str">
        <f>sample_mgmt_tier0_name</f>
        <v>sfo-m01-ec01-t0-gw01</v>
      </c>
      <c r="D650" s="18" t="str">
        <f>mgmt_tier0_name</f>
        <v>Value Missing</v>
      </c>
      <c r="E650" s="64"/>
    </row>
    <row r="651" spans="2:5" ht="16" customHeight="1"/>
    <row r="652" spans="2:5" ht="34" customHeight="1">
      <c r="B652" s="487" t="s">
        <v>2050</v>
      </c>
      <c r="C652" s="488"/>
      <c r="D652" s="488"/>
      <c r="E652" s="489"/>
    </row>
    <row r="653" spans="2:5" ht="20" customHeight="1">
      <c r="B653" s="8" t="s">
        <v>735</v>
      </c>
      <c r="C653" s="8" t="s">
        <v>554</v>
      </c>
      <c r="D653" s="20" t="s">
        <v>555</v>
      </c>
      <c r="E653" s="8" t="s">
        <v>222</v>
      </c>
    </row>
    <row r="654" spans="2:5" ht="20" customHeight="1">
      <c r="B654" s="21" t="s">
        <v>2029</v>
      </c>
      <c r="C654" s="22" t="str">
        <f>IF(mgmt_domain_chosen="First Domain",_xlfn.CONCAT(sample_mgmt_nsxt_gm_hostname,".",sample_child_dns_zone),sample_mgmt_existing_active_nsx_gm)</f>
        <v>sfo-m01-nsx-gm01.sfo.rainpole.io</v>
      </c>
      <c r="D654" s="18" t="str">
        <f>IF(mgmt_domain_chosen="First Domain",mgmt_nsxt_gm_vip_fqdn,mgmt_existing_active_nsx_gm)</f>
        <v>Value Missing.Value Missing</v>
      </c>
      <c r="E654" s="64"/>
    </row>
    <row r="655" spans="2:5" ht="20" customHeight="1">
      <c r="B655" s="21" t="s">
        <v>2051</v>
      </c>
      <c r="C655" s="22" t="str">
        <f>sample_mgmt_tier0_name</f>
        <v>sfo-m01-ec01-t0-gw01</v>
      </c>
      <c r="D655" s="18" t="str">
        <f>mgmt_tier0_name</f>
        <v>Value Missing</v>
      </c>
      <c r="E655" s="64"/>
    </row>
    <row r="656" spans="2:5" ht="20" customHeight="1">
      <c r="B656" s="21" t="s">
        <v>2043</v>
      </c>
      <c r="C656" s="22" t="str">
        <f>sample_mgmt_nsxt_federation_location_name</f>
        <v>sfo-m01</v>
      </c>
      <c r="D656" s="18" t="str">
        <f>mgmt_nsxt_federation_location_name</f>
        <v>Value Missing</v>
      </c>
      <c r="E656" s="72"/>
    </row>
    <row r="657" spans="2:7" ht="20" customHeight="1">
      <c r="B657" s="21" t="s">
        <v>1884</v>
      </c>
      <c r="C657" s="22" t="str">
        <f>sample_mgmt_ec_name</f>
        <v>sfo-m01-ec01</v>
      </c>
      <c r="D657" s="18" t="str">
        <f>mgmt_ec_name</f>
        <v>Value Missing</v>
      </c>
      <c r="E657" s="64"/>
    </row>
    <row r="658" spans="2:7" ht="20" customHeight="1">
      <c r="B658" s="21" t="s">
        <v>2052</v>
      </c>
      <c r="C658" s="22" t="str">
        <f>_xlfn.CONCAT(sample_mgmt_az1_en1_hostname,"_VCF-edge_",sample_mgmt_ec_name,"_segment_",sample_mgmt_az1_uplink01_vlan,"_",sample_mgmt_az1_en1_uplink01_interface_ip)</f>
        <v>sfo-m01-r01-en01_VCF-edge_sfo-m01-ec01_segment_1117_10.11.17.2</v>
      </c>
      <c r="D658" s="18" t="str">
        <f>mgmt_az1_en1_hostname&amp;"_VCF-edge_"&amp;mgmt_ec_name&amp;"_segment_"&amp;mgmt_az1_uplink01_vlan&amp;"_"&amp;mgmt_az1_en1_uplink01_interface_ip</f>
        <v>Value Missing_VCF-edge_Value Missing_segment_Value Missing_Value Missing</v>
      </c>
      <c r="E658" s="64"/>
    </row>
    <row r="659" spans="2:7" ht="20" customHeight="1">
      <c r="B659" s="21" t="s">
        <v>2053</v>
      </c>
      <c r="C659" s="22" t="str">
        <f>sample_mgmt_nsxt_federation_location_name</f>
        <v>sfo-m01</v>
      </c>
      <c r="D659" s="18" t="str">
        <f>mgmt_nsxt_federation_location_name</f>
        <v>Value Missing</v>
      </c>
      <c r="E659" s="64"/>
    </row>
    <row r="660" spans="2:7" ht="20" customHeight="1">
      <c r="B660" s="21" t="s">
        <v>2054</v>
      </c>
      <c r="C660" s="22" t="str">
        <f>_xlfn.CONCAT(sample_mgmt_az1_en1_uplink01_interface_ip,"/",INT(RIGHT(sample_mgmt_az1_uplink01_cidr,LEN(sample_mgmt_az1_uplink01_cidr)-FIND("/",sample_mgmt_az1_uplink01_cidr))))</f>
        <v>10.11.17.2/24</v>
      </c>
      <c r="D660" s="18" t="str">
        <f>IF(OR((mgmt_az1_en1_uplink01_interface_ip="Value Missing"),(mgmt_az1_uplink01_cidr="Value Missing")),"Value Missing",mgmt_az1_en1_uplink01_interface_ip&amp;"/"&amp;INT(RIGHT(mgmt_az1_uplink01_cidr,LEN(mgmt_az1_uplink01_cidr)-FIND("/",mgmt_az1_uplink01_cidr))))</f>
        <v>Value Missing</v>
      </c>
      <c r="E660" s="64"/>
    </row>
    <row r="661" spans="2:7" ht="20" customHeight="1">
      <c r="B661" s="21" t="s">
        <v>2055</v>
      </c>
      <c r="C661" s="22" t="str">
        <f>_xlfn.CONCAT("VCF-edge_",sample_mgmt_ec_name,"_segment_uplink1_",sample_mgmt_az1_uplink01_vlan)</f>
        <v>VCF-edge_sfo-m01-ec01_segment_uplink1_1117</v>
      </c>
      <c r="D661" s="18" t="str">
        <f>"VCF-edge_"&amp;mgmt_ec_name&amp;"_segment_uplink1_"&amp;mgmt_az1_uplink01_vlan</f>
        <v>VCF-edge_Value Missing_segment_uplink1_Value Missing</v>
      </c>
      <c r="E661" s="64"/>
    </row>
    <row r="662" spans="2:7" ht="20" customHeight="1">
      <c r="B662" s="21" t="s">
        <v>2056</v>
      </c>
      <c r="C662" s="22" t="str">
        <f>sample_mgmt_az1_en1_hostname</f>
        <v>sfo-m01-r01-en01</v>
      </c>
      <c r="D662" s="18" t="str">
        <f>mgmt_az1_en1_hostname</f>
        <v>Value Missing</v>
      </c>
      <c r="E662" s="64"/>
    </row>
    <row r="663" spans="2:7" ht="20" customHeight="1">
      <c r="B663" s="21" t="s">
        <v>2057</v>
      </c>
      <c r="C663" s="22">
        <f>sample_mgmt_az1_uplink01_mtu</f>
        <v>9000</v>
      </c>
      <c r="D663" s="18" t="str">
        <f>mgmt_az1_uplink01_mtu</f>
        <v>Value Missing</v>
      </c>
      <c r="E663" s="64"/>
    </row>
    <row r="664" spans="2:7" ht="20" customHeight="1">
      <c r="B664" s="21" t="s">
        <v>2058</v>
      </c>
      <c r="C664" s="22" t="str">
        <f>_xlfn.CONCAT(sample_mgmt_az1_en1_hostname,"_VCF-edge_",sample_mgmt_ec_name,"_segment_",sample_mgmt_az1_uplink02_vlan,"_",sample_mgmt_az1_en1_uplink02_interface_ip)</f>
        <v>sfo-m01-r01-en01_VCF-edge_sfo-m01-ec01_segment_1118_10.11.18.2</v>
      </c>
      <c r="D664" s="18" t="str">
        <f>mgmt_az1_en1_hostname&amp;"_VCF-edge_"&amp;mgmt_ec_name&amp;"_segment_"&amp;mgmt_az1_uplink02_vlan&amp;"_"&amp;mgmt_az1_en1_uplink02_interface_ip</f>
        <v>Value Missing_VCF-edge_Value Missing_segment_Value Missing_Value Missing</v>
      </c>
      <c r="E664" s="64"/>
    </row>
    <row r="665" spans="2:7" ht="20" customHeight="1">
      <c r="B665" s="21" t="s">
        <v>2059</v>
      </c>
      <c r="C665" s="22" t="str">
        <f>sample_mgmt_nsxt_federation_location_name</f>
        <v>sfo-m01</v>
      </c>
      <c r="D665" s="18" t="str">
        <f>mgmt_nsxt_federation_location_name</f>
        <v>Value Missing</v>
      </c>
      <c r="E665" s="64"/>
    </row>
    <row r="666" spans="2:7" ht="20" customHeight="1">
      <c r="B666" s="21" t="s">
        <v>2060</v>
      </c>
      <c r="C666" s="22" t="str">
        <f>_xlfn.CONCAT(sample_mgmt_az1_en1_uplink02_interface_ip,"/",INT(RIGHT(sample_mgmt_az1_uplink02_cidr,LEN(sample_mgmt_az1_uplink02_cidr)-FIND("/",sample_mgmt_az1_uplink02_cidr))))</f>
        <v>10.11.18.2/24</v>
      </c>
      <c r="D666" s="18" t="str">
        <f>IF(OR((mgmt_az1_en1_uplink02_interface_ip="Value Missing"),(mgmt_az1_uplink02_cidr="Value Missing")),"Value Missing",mgmt_az1_en1_uplink02_interface_ip&amp;"/"&amp;INT(RIGHT(mgmt_az1_uplink02_cidr,LEN(mgmt_az1_uplink02_cidr)-FIND("/",mgmt_az1_uplink02_cidr))))</f>
        <v>Value Missing</v>
      </c>
      <c r="E666" s="64"/>
    </row>
    <row r="667" spans="2:7" ht="20" customHeight="1">
      <c r="B667" s="52" t="s">
        <v>2061</v>
      </c>
      <c r="C667" s="22" t="str">
        <f>_xlfn.CONCAT("VCF-edge_",sample_mgmt_ec_name,"_segment_uplink2_",sample_mgmt_az1_uplink02_vlan)</f>
        <v>VCF-edge_sfo-m01-ec01_segment_uplink2_1118</v>
      </c>
      <c r="D667" s="18" t="str">
        <f>"VCF-edge_"&amp;mgmt_ec_name&amp;"_segment_uplink2_"&amp;mgmt_az1_uplink02_vlan</f>
        <v>VCF-edge_Value Missing_segment_uplink2_Value Missing</v>
      </c>
      <c r="E667" s="64"/>
    </row>
    <row r="668" spans="2:7" ht="20" customHeight="1">
      <c r="B668" s="21" t="s">
        <v>2062</v>
      </c>
      <c r="C668" s="22" t="str">
        <f>sample_mgmt_az1_en1_hostname</f>
        <v>sfo-m01-r01-en01</v>
      </c>
      <c r="D668" s="18" t="str">
        <f>mgmt_az1_en1_hostname</f>
        <v>Value Missing</v>
      </c>
      <c r="E668" s="64"/>
      <c r="G668" s="91"/>
    </row>
    <row r="669" spans="2:7" ht="20" customHeight="1">
      <c r="B669" s="21" t="s">
        <v>2063</v>
      </c>
      <c r="C669" s="22">
        <f>sample_mgmt_az1_uplink02_mtu</f>
        <v>9000</v>
      </c>
      <c r="D669" s="18" t="str">
        <f>mgmt_az1_uplink02_mtu</f>
        <v>Value Missing</v>
      </c>
      <c r="E669" s="64"/>
    </row>
    <row r="670" spans="2:7" ht="20" customHeight="1">
      <c r="B670" s="21" t="s">
        <v>2064</v>
      </c>
      <c r="C670" s="22" t="str">
        <f>_xlfn.CONCAT(sample_mgmt_az1_en2_hostname,"_VCF-edge_",sample_mgmt_ec_name,"_segment_",sample_mgmt_az1_uplink01_vlan,"_",sample_mgmt_az1_en2_uplink01_interface_ip)</f>
        <v>sfo-m01-r01-en02_VCF-edge_sfo-m01-ec01_segment_1117_10.11.17.3</v>
      </c>
      <c r="D670" s="18" t="str">
        <f>mgmt_az1_en2_hostname&amp;"_VCF-edge_"&amp;mgmt_ec_name&amp;"_segment_"&amp;mgmt_az1_uplink01_vlan&amp;"_"&amp;mgmt_az1_en2_uplink01_interface_ip</f>
        <v>Value Missing_VCF-edge_Value Missing_segment_Value Missing_Value Missing</v>
      </c>
      <c r="E670" s="64"/>
    </row>
    <row r="671" spans="2:7" ht="20" customHeight="1">
      <c r="B671" s="21" t="s">
        <v>2065</v>
      </c>
      <c r="C671" s="22" t="str">
        <f>sample_mgmt_nsxt_federation_location_name</f>
        <v>sfo-m01</v>
      </c>
      <c r="D671" s="18" t="str">
        <f>mgmt_nsxt_federation_location_name</f>
        <v>Value Missing</v>
      </c>
      <c r="E671" s="64"/>
    </row>
    <row r="672" spans="2:7" ht="20" customHeight="1">
      <c r="B672" s="21" t="s">
        <v>2066</v>
      </c>
      <c r="C672" s="22" t="str">
        <f>_xlfn.CONCAT(sample_mgmt_az1_en2_uplink01_interface_ip,"/",INT(RIGHT(sample_mgmt_az1_uplink01_cidr,LEN(sample_mgmt_az1_uplink01_cidr)-FIND("/",sample_mgmt_az1_uplink01_cidr))))</f>
        <v>10.11.17.3/24</v>
      </c>
      <c r="D672" s="18" t="str">
        <f>IF(OR((mgmt_az1_en2_uplink01_interface_ip="Value Missing"),(mgmt_az1_uplink01_cidr="Value Missing")),"Value Missing",mgmt_az1_en2_uplink01_interface_ip&amp;"/"&amp;INT(RIGHT(mgmt_az1_uplink01_cidr,LEN(mgmt_az1_uplink01_cidr)-FIND("/",mgmt_az1_uplink01_cidr))))</f>
        <v>Value Missing</v>
      </c>
      <c r="E672" s="64"/>
    </row>
    <row r="673" spans="2:7" ht="20" customHeight="1">
      <c r="B673" s="52" t="s">
        <v>2067</v>
      </c>
      <c r="C673" s="22" t="str">
        <f>_xlfn.CONCAT("VCF-edge_",sample_mgmt_ec_name,"_segment_uplink1_",sample_mgmt_az1_uplink01_vlan)</f>
        <v>VCF-edge_sfo-m01-ec01_segment_uplink1_1117</v>
      </c>
      <c r="D673" s="18" t="str">
        <f>"VCF-edge_"&amp;mgmt_ec_name&amp;"_segment_uplink1_"&amp;mgmt_az1_uplink01_vlan</f>
        <v>VCF-edge_Value Missing_segment_uplink1_Value Missing</v>
      </c>
      <c r="E673" s="64"/>
    </row>
    <row r="674" spans="2:7" ht="20" customHeight="1">
      <c r="B674" s="21" t="s">
        <v>2068</v>
      </c>
      <c r="C674" s="22" t="str">
        <f>sample_mgmt_az1_en2_hostname</f>
        <v>sfo-m01-r01-en02</v>
      </c>
      <c r="D674" s="18" t="str">
        <f>mgmt_az1_en2_hostname</f>
        <v>Value Missing</v>
      </c>
      <c r="E674" s="64"/>
      <c r="G674" s="91"/>
    </row>
    <row r="675" spans="2:7" ht="20" customHeight="1">
      <c r="B675" s="21" t="s">
        <v>2069</v>
      </c>
      <c r="C675" s="22">
        <f>sample_mgmt_az1_uplink01_mtu</f>
        <v>9000</v>
      </c>
      <c r="D675" s="18" t="str">
        <f>mgmt_az1_uplink01_mtu</f>
        <v>Value Missing</v>
      </c>
      <c r="E675" s="64"/>
    </row>
    <row r="676" spans="2:7" ht="20" customHeight="1">
      <c r="B676" s="21" t="s">
        <v>2070</v>
      </c>
      <c r="C676" s="22" t="str">
        <f>_xlfn.CONCAT(sample_mgmt_az1_en2_hostname,"_VCF-edge_",sample_mgmt_ec_name,"_segment_",sample_mgmt_az1_uplink02_vlan,"_",sample_mgmt_az1_en2_uplink02_interface_ip)</f>
        <v>sfo-m01-r01-en02_VCF-edge_sfo-m01-ec01_segment_1118_10.11.18.3</v>
      </c>
      <c r="D676" s="18" t="str">
        <f>mgmt_az1_en2_hostname&amp;"_VCF-edge_"&amp;mgmt_ec_name&amp;"_segment_"&amp;mgmt_az1_uplink02_vlan&amp;"_"&amp;mgmt_az1_en2_uplink02_interface_ip</f>
        <v>Value Missing_VCF-edge_Value Missing_segment_Value Missing_Value Missing</v>
      </c>
      <c r="E676" s="64"/>
    </row>
    <row r="677" spans="2:7" ht="20" customHeight="1">
      <c r="B677" s="21" t="s">
        <v>2071</v>
      </c>
      <c r="C677" s="22" t="str">
        <f>sample_mgmt_nsxt_federation_location_name</f>
        <v>sfo-m01</v>
      </c>
      <c r="D677" s="18" t="str">
        <f>mgmt_nsxt_federation_location_name</f>
        <v>Value Missing</v>
      </c>
      <c r="E677" s="64"/>
    </row>
    <row r="678" spans="2:7" ht="20" customHeight="1">
      <c r="B678" s="21" t="s">
        <v>2072</v>
      </c>
      <c r="C678" s="22" t="str">
        <f>_xlfn.CONCAT(sample_mgmt_az1_en2_uplink02_interface_ip,"/",INT(RIGHT(sample_mgmt_az1_uplink02_cidr,LEN(sample_mgmt_az1_uplink02_cidr)-FIND("/",sample_mgmt_az1_uplink02_cidr))))</f>
        <v>10.11.18.3/24</v>
      </c>
      <c r="D678" s="18" t="str">
        <f>IF(OR((mgmt_az1_en2_uplink02_interface_ip="Value Missing"),(mgmt_az1_uplink02_cidr="Value Missing")),"Value Missing",mgmt_az1_en2_uplink02_interface_ip&amp;"/"&amp;INT(RIGHT(mgmt_az1_uplink02_cidr,LEN(mgmt_az1_uplink02_cidr)-FIND("/",mgmt_az1_uplink02_cidr))))</f>
        <v>Value Missing</v>
      </c>
      <c r="E678" s="64"/>
    </row>
    <row r="679" spans="2:7" ht="20" customHeight="1">
      <c r="B679" s="52" t="s">
        <v>2073</v>
      </c>
      <c r="C679" s="22" t="str">
        <f>_xlfn.CONCAT("VCF-edge_",sample_mgmt_ec_name,"_segment_uplink2_",sample_mgmt_az1_uplink02_vlan)</f>
        <v>VCF-edge_sfo-m01-ec01_segment_uplink2_1118</v>
      </c>
      <c r="D679" s="18" t="str">
        <f>"VCF-edge_"&amp;mgmt_ec_name&amp;"_segment_uplink2_"&amp;mgmt_az1_uplink02_vlan</f>
        <v>VCF-edge_Value Missing_segment_uplink2_Value Missing</v>
      </c>
      <c r="E679" s="64"/>
    </row>
    <row r="680" spans="2:7" ht="20" customHeight="1">
      <c r="B680" s="21" t="s">
        <v>2074</v>
      </c>
      <c r="C680" s="22" t="str">
        <f>sample_mgmt_az1_en2_hostname</f>
        <v>sfo-m01-r01-en02</v>
      </c>
      <c r="D680" s="18" t="str">
        <f>mgmt_az1_en2_hostname</f>
        <v>Value Missing</v>
      </c>
      <c r="E680" s="64"/>
    </row>
    <row r="681" spans="2:7" ht="20" customHeight="1">
      <c r="B681" s="21" t="s">
        <v>2075</v>
      </c>
      <c r="C681" s="22">
        <f>sample_mgmt_az1_uplink02_mtu</f>
        <v>9000</v>
      </c>
      <c r="D681" s="18" t="str">
        <f>mgmt_az1_uplink02_mtu</f>
        <v>Value Missing</v>
      </c>
      <c r="E681" s="64"/>
    </row>
    <row r="682" spans="2:7" ht="20" customHeight="1">
      <c r="B682" s="21" t="s">
        <v>2076</v>
      </c>
      <c r="C682" s="22" t="str">
        <f>sample_mgmt_az1_tor1_peer_ip</f>
        <v>10.11.17.10</v>
      </c>
      <c r="D682" s="18" t="str">
        <f>mgmt_az1_tor1_peer_ip</f>
        <v>Value Missing</v>
      </c>
      <c r="E682" s="64"/>
    </row>
    <row r="683" spans="2:7" ht="20" customHeight="1">
      <c r="B683" s="21" t="s">
        <v>2077</v>
      </c>
      <c r="C683" s="22" t="str">
        <f>sample_mgmt_nsxt_federation_location_name</f>
        <v>sfo-m01</v>
      </c>
      <c r="D683" s="18" t="str">
        <f>mgmt_nsxt_federation_location_name</f>
        <v>Value Missing</v>
      </c>
      <c r="E683" s="64"/>
    </row>
    <row r="684" spans="2:7" ht="20" customHeight="1">
      <c r="B684" s="21" t="s">
        <v>2078</v>
      </c>
      <c r="C684" s="22" t="str">
        <f>sample_mgmt_az1_tor1_peer_asn</f>
        <v>65111</v>
      </c>
      <c r="D684" s="18" t="str">
        <f>mgmt_az1_tor1_peer_asn</f>
        <v>Value Missing</v>
      </c>
      <c r="E684" s="64"/>
    </row>
    <row r="685" spans="2:7" ht="20" customHeight="1">
      <c r="B685" s="21" t="s">
        <v>2079</v>
      </c>
      <c r="C685" s="22" t="str">
        <f>sample_mgmt_az1_en1_uplink01_interface_ip</f>
        <v>10.11.17.2</v>
      </c>
      <c r="D685" s="18" t="str">
        <f>mgmt_az1_en1_uplink01_interface_ip</f>
        <v>Value Missing</v>
      </c>
      <c r="E685" s="64"/>
    </row>
    <row r="686" spans="2:7" ht="20" customHeight="1">
      <c r="B686" s="21" t="s">
        <v>2080</v>
      </c>
      <c r="C686" s="22" t="str">
        <f>sample_mgmt_az1_en2_uplink01_interface_ip</f>
        <v>10.11.17.3</v>
      </c>
      <c r="D686" s="18" t="str">
        <f>mgmt_az1_en2_uplink01_interface_ip</f>
        <v>Value Missing</v>
      </c>
      <c r="E686" s="64"/>
    </row>
    <row r="687" spans="2:7" ht="20" customHeight="1">
      <c r="B687" s="21" t="s">
        <v>2081</v>
      </c>
      <c r="C687" s="22" t="str">
        <f>sample_mgmt_az1_tor1_peer_bgp_password</f>
        <v>VMw@re1!</v>
      </c>
      <c r="D687" s="18" t="str">
        <f>mgmt_az1_tor1_peer_bgp_password</f>
        <v>Value Missing</v>
      </c>
      <c r="E687" s="64"/>
    </row>
    <row r="688" spans="2:7" ht="20" customHeight="1">
      <c r="B688" s="21" t="s">
        <v>2082</v>
      </c>
      <c r="C688" s="22" t="str">
        <f>sample_mgmt_az1_tor2_peer_ip</f>
        <v>10.11.18.10</v>
      </c>
      <c r="D688" s="18" t="str">
        <f>mgmt_az1_tor2_peer_ip</f>
        <v>Value Missing</v>
      </c>
      <c r="E688" s="64"/>
    </row>
    <row r="689" spans="2:5" ht="20" customHeight="1">
      <c r="B689" s="21" t="s">
        <v>2083</v>
      </c>
      <c r="C689" s="22" t="str">
        <f>sample_mgmt_nsxt_federation_location_name</f>
        <v>sfo-m01</v>
      </c>
      <c r="D689" s="18" t="str">
        <f>mgmt_nsxt_federation_location_name</f>
        <v>Value Missing</v>
      </c>
      <c r="E689" s="64"/>
    </row>
    <row r="690" spans="2:5" ht="20" customHeight="1">
      <c r="B690" s="21" t="s">
        <v>2084</v>
      </c>
      <c r="C690" s="22" t="str">
        <f>sample_mgmt_az1_tor1_peer_asn</f>
        <v>65111</v>
      </c>
      <c r="D690" s="18" t="str">
        <f>mgmt_az1_tor1_peer_asn</f>
        <v>Value Missing</v>
      </c>
      <c r="E690" s="64"/>
    </row>
    <row r="691" spans="2:5" ht="20" customHeight="1">
      <c r="B691" s="21" t="s">
        <v>2085</v>
      </c>
      <c r="C691" s="22" t="str">
        <f>sample_mgmt_az1_en1_uplink02_interface_ip</f>
        <v>10.11.18.2</v>
      </c>
      <c r="D691" s="18" t="str">
        <f>mgmt_az1_en1_uplink02_interface_ip</f>
        <v>Value Missing</v>
      </c>
      <c r="E691" s="64"/>
    </row>
    <row r="692" spans="2:5" ht="20" customHeight="1">
      <c r="B692" s="21" t="s">
        <v>2086</v>
      </c>
      <c r="C692" s="22" t="str">
        <f>sample_mgmt_az1_en2_uplink02_interface_ip</f>
        <v>10.11.18.3</v>
      </c>
      <c r="D692" s="18" t="str">
        <f>mgmt_az1_en2_uplink02_interface_ip</f>
        <v>Value Missing</v>
      </c>
      <c r="E692" s="64"/>
    </row>
    <row r="693" spans="2:5" ht="20" customHeight="1">
      <c r="B693" s="21" t="s">
        <v>2087</v>
      </c>
      <c r="C693" s="22" t="str">
        <f>sample_mgmt_az1_tor2_peer_bgp_password</f>
        <v>VMw@re1!</v>
      </c>
      <c r="D693" s="18" t="str">
        <f>mgmt_az1_tor2_peer_bgp_password</f>
        <v>Value Missing</v>
      </c>
      <c r="E693" s="64"/>
    </row>
    <row r="694" spans="2:5" ht="16" customHeight="1"/>
    <row r="695" spans="2:5" ht="34" customHeight="1">
      <c r="B695" s="487" t="s">
        <v>2088</v>
      </c>
      <c r="C695" s="488"/>
      <c r="D695" s="488"/>
      <c r="E695" s="489"/>
    </row>
    <row r="696" spans="2:5" ht="20" customHeight="1">
      <c r="B696" s="8" t="s">
        <v>735</v>
      </c>
      <c r="C696" s="8" t="s">
        <v>554</v>
      </c>
      <c r="D696" s="20" t="s">
        <v>555</v>
      </c>
      <c r="E696" s="8" t="s">
        <v>222</v>
      </c>
    </row>
    <row r="697" spans="2:5" ht="20" customHeight="1">
      <c r="B697" s="21" t="s">
        <v>2029</v>
      </c>
      <c r="C697" s="22" t="str">
        <f>IF(mgmt_domain_chosen="First Domain",_xlfn.CONCAT(sample_mgmt_nsxt_gm_hostname,".",sample_child_dns_zone),sample_mgmt_existing_active_nsx_gm)</f>
        <v>sfo-m01-nsx-gm01.sfo.rainpole.io</v>
      </c>
      <c r="D697" s="18" t="str">
        <f>IF(mgmt_domain_chosen="First Domain",mgmt_nsxt_gm_vip_fqdn,mgmt_existing_active_nsx_gm)</f>
        <v>Value Missing.Value Missing</v>
      </c>
      <c r="E697" s="64"/>
    </row>
    <row r="698" spans="2:5" ht="20" customHeight="1">
      <c r="B698" s="21" t="s">
        <v>2089</v>
      </c>
      <c r="C698" s="22" t="str">
        <f>sample_mgmt_tier1_name</f>
        <v>sfo-m01-ec01-t1-gw01</v>
      </c>
      <c r="D698" s="18" t="str">
        <f>mgmt_tier1_name</f>
        <v>Value Missing</v>
      </c>
      <c r="E698" s="64"/>
    </row>
    <row r="699" spans="2:5" ht="20" customHeight="1">
      <c r="B699" s="21" t="s">
        <v>2090</v>
      </c>
      <c r="C699" s="22" t="str">
        <f>IF(mgmt_domain_chosen="First Domain",sample_mgmt_tier0_name,sample_mgmt_existing_cross_instance_t0_name)</f>
        <v>sfo-m01-ec01-t0-gw01</v>
      </c>
      <c r="D699" s="18" t="str">
        <f>IF(mgmt_domain_chosen="First Domain",mgmt_tier0_name,mgmt_existing_cross_instance_t0_name)</f>
        <v>Value Missing</v>
      </c>
      <c r="E699" s="64"/>
    </row>
    <row r="700" spans="2:5" ht="16" customHeight="1"/>
    <row r="701" spans="2:5" ht="34" customHeight="1">
      <c r="B701" s="487" t="s">
        <v>2091</v>
      </c>
      <c r="C701" s="488"/>
      <c r="D701" s="488"/>
      <c r="E701" s="489"/>
    </row>
    <row r="702" spans="2:5" ht="20" customHeight="1">
      <c r="B702" s="8" t="s">
        <v>735</v>
      </c>
      <c r="C702" s="8" t="s">
        <v>554</v>
      </c>
      <c r="D702" s="20" t="s">
        <v>555</v>
      </c>
      <c r="E702" s="8" t="s">
        <v>222</v>
      </c>
    </row>
    <row r="703" spans="2:5" ht="20" customHeight="1">
      <c r="B703" s="21" t="s">
        <v>2029</v>
      </c>
      <c r="C703" s="22" t="str">
        <f>IF(mgmt_domain_chosen="First Domain",_xlfn.CONCAT(sample_mgmt_nsxt_gm_hostname,".",sample_child_dns_zone),sample_mgmt_existing_active_nsx_gm)</f>
        <v>sfo-m01-nsx-gm01.sfo.rainpole.io</v>
      </c>
      <c r="D703" s="18" t="str">
        <f>IF(mgmt_domain_chosen="First Domain",mgmt_nsxt_gm_vip_fqdn,mgmt_existing_active_nsx_gm)</f>
        <v>Value Missing.Value Missing</v>
      </c>
      <c r="E703" s="64"/>
    </row>
    <row r="704" spans="2:5" ht="20" customHeight="1">
      <c r="B704" s="21" t="s">
        <v>2046</v>
      </c>
      <c r="C704" s="22" t="str">
        <f>sample_mgmt_nsxt_xreg_t1_name</f>
        <v>xint-m01-ec01-t1-gw01</v>
      </c>
      <c r="D704" s="18" t="str">
        <f>mgmt_nsxt_xreg_t1_name</f>
        <v>Value Missing</v>
      </c>
      <c r="E704" s="64"/>
    </row>
    <row r="705" spans="2:5" ht="20" customHeight="1">
      <c r="B705" s="21" t="s">
        <v>2043</v>
      </c>
      <c r="C705" s="22" t="str">
        <f>sample_mgmt_nsxt_federation_location_name</f>
        <v>sfo-m01</v>
      </c>
      <c r="D705" s="18" t="str">
        <f>mgmt_nsxt_federation_location_name</f>
        <v>Value Missing</v>
      </c>
      <c r="E705" s="72"/>
    </row>
    <row r="706" spans="2:5" ht="20" customHeight="1">
      <c r="B706" s="21" t="s">
        <v>1884</v>
      </c>
      <c r="C706" s="22" t="str">
        <f>sample_mgmt_ec_name</f>
        <v>sfo-m01-ec01</v>
      </c>
      <c r="D706" s="18" t="str">
        <f>mgmt_ec_name</f>
        <v>Value Missing</v>
      </c>
      <c r="E706" s="64"/>
    </row>
    <row r="707" spans="2:5" ht="20" customHeight="1"/>
  </sheetData>
  <sheetProtection algorithmName="SHA-512" hashValue="L9uxbWX0qDSykU0jU1Tic9iM+vOPvWu+3cSD8iXRMOG9RcmaZRE9SyD7Jc28WyqbCuzV6NvMU8N9gPLrX54Q5w==" saltValue="txI+MuWLHJgwo6BlFAXZBg==" spinCount="100000" sheet="1" objects="1" scenarios="1"/>
  <mergeCells count="82">
    <mergeCell ref="B695:E695"/>
    <mergeCell ref="B701:E701"/>
    <mergeCell ref="B578:E578"/>
    <mergeCell ref="B574:E574"/>
    <mergeCell ref="B632:E632"/>
    <mergeCell ref="B640:E640"/>
    <mergeCell ref="B652:E652"/>
    <mergeCell ref="B585:E585"/>
    <mergeCell ref="B617:E617"/>
    <mergeCell ref="B646:E646"/>
    <mergeCell ref="B601:E601"/>
    <mergeCell ref="B236:E236"/>
    <mergeCell ref="B293:E293"/>
    <mergeCell ref="B215:E215"/>
    <mergeCell ref="B222:E222"/>
    <mergeCell ref="B265:E265"/>
    <mergeCell ref="B244:E244"/>
    <mergeCell ref="B255:E255"/>
    <mergeCell ref="B278:E278"/>
    <mergeCell ref="B286:E286"/>
    <mergeCell ref="B209:E209"/>
    <mergeCell ref="B229:E229"/>
    <mergeCell ref="B163:E163"/>
    <mergeCell ref="B207:E207"/>
    <mergeCell ref="B196:E196"/>
    <mergeCell ref="B172:E172"/>
    <mergeCell ref="B179:E179"/>
    <mergeCell ref="B62:E62"/>
    <mergeCell ref="B84:E84"/>
    <mergeCell ref="B87:E87"/>
    <mergeCell ref="B91:E91"/>
    <mergeCell ref="B162:E162"/>
    <mergeCell ref="B129:E129"/>
    <mergeCell ref="B152:E152"/>
    <mergeCell ref="D2:E2"/>
    <mergeCell ref="B3:E3"/>
    <mergeCell ref="B2:C2"/>
    <mergeCell ref="B8:E8"/>
    <mergeCell ref="B102:E102"/>
    <mergeCell ref="B25:E25"/>
    <mergeCell ref="B29:E29"/>
    <mergeCell ref="B46:E46"/>
    <mergeCell ref="B54:E54"/>
    <mergeCell ref="B76:E76"/>
    <mergeCell ref="B96:E96"/>
    <mergeCell ref="B101:E101"/>
    <mergeCell ref="B82:E82"/>
    <mergeCell ref="B83:E83"/>
    <mergeCell ref="B6:E6"/>
    <mergeCell ref="B69:E69"/>
    <mergeCell ref="B542:E542"/>
    <mergeCell ref="B560:E560"/>
    <mergeCell ref="B568:E568"/>
    <mergeCell ref="B592:E592"/>
    <mergeCell ref="B606:E606"/>
    <mergeCell ref="B382:E382"/>
    <mergeCell ref="B489:E489"/>
    <mergeCell ref="B398:E398"/>
    <mergeCell ref="B429:E429"/>
    <mergeCell ref="B414:E414"/>
    <mergeCell ref="B442:E442"/>
    <mergeCell ref="B412:E412"/>
    <mergeCell ref="B436:E436"/>
    <mergeCell ref="B464:E464"/>
    <mergeCell ref="B468:E468"/>
    <mergeCell ref="B473:E473"/>
    <mergeCell ref="B448:E448"/>
    <mergeCell ref="B487:E487"/>
    <mergeCell ref="B391:E391"/>
    <mergeCell ref="B393:E393"/>
    <mergeCell ref="B395:E395"/>
    <mergeCell ref="B380:E380"/>
    <mergeCell ref="B295:E295"/>
    <mergeCell ref="B357:E357"/>
    <mergeCell ref="B317:E317"/>
    <mergeCell ref="B376:E376"/>
    <mergeCell ref="B378:E378"/>
    <mergeCell ref="B364:E364"/>
    <mergeCell ref="B359:E359"/>
    <mergeCell ref="B361:E361"/>
    <mergeCell ref="B297:E297"/>
    <mergeCell ref="B312:E312"/>
  </mergeCells>
  <conditionalFormatting sqref="B6:E6 B82:E194">
    <cfRule type="expression" dxfId="2859" priority="333">
      <formula>mgmt_domain_result="Excluded"</formula>
    </cfRule>
  </conditionalFormatting>
  <conditionalFormatting sqref="B8:E23">
    <cfRule type="expression" dxfId="2858" priority="332">
      <formula>mgmt_domain_result="Excluded"</formula>
    </cfRule>
  </conditionalFormatting>
  <conditionalFormatting sqref="B25:E27">
    <cfRule type="expression" dxfId="2857" priority="84">
      <formula>mgmt_domain_result="Excluded"</formula>
    </cfRule>
  </conditionalFormatting>
  <conditionalFormatting sqref="B29:E44">
    <cfRule type="expression" dxfId="2856" priority="83">
      <formula>mgmt_domain_result="Excluded"</formula>
    </cfRule>
  </conditionalFormatting>
  <conditionalFormatting sqref="B46:E52">
    <cfRule type="expression" dxfId="2855" priority="329">
      <formula>mgmt_domain_result="Excluded"</formula>
    </cfRule>
  </conditionalFormatting>
  <conditionalFormatting sqref="B54:E60">
    <cfRule type="expression" dxfId="2854" priority="82">
      <formula>mgmt_domain_result="Excluded"</formula>
    </cfRule>
  </conditionalFormatting>
  <conditionalFormatting sqref="B62:E67">
    <cfRule type="expression" dxfId="2853" priority="81">
      <formula>mgmt_domain_result="Excluded"</formula>
    </cfRule>
  </conditionalFormatting>
  <conditionalFormatting sqref="B69:E74">
    <cfRule type="expression" dxfId="2852" priority="80">
      <formula>mgmt_esxi_external_certs_result="Excluded"</formula>
    </cfRule>
  </conditionalFormatting>
  <conditionalFormatting sqref="B76:E80">
    <cfRule type="expression" dxfId="2851" priority="325">
      <formula>mgmt_domain_result="Excluded"</formula>
    </cfRule>
  </conditionalFormatting>
  <conditionalFormatting sqref="B125:E127">
    <cfRule type="expression" dxfId="2850" priority="36">
      <formula>input_mgmt_vds02_profile="Profile-1"</formula>
    </cfRule>
  </conditionalFormatting>
  <conditionalFormatting sqref="B144:E151">
    <cfRule type="expression" dxfId="2849" priority="276">
      <formula>esxi_thumbprint_validation="No"</formula>
    </cfRule>
  </conditionalFormatting>
  <conditionalFormatting sqref="B156:E161">
    <cfRule type="expression" dxfId="2848" priority="324">
      <formula>mgmt_host_overlay_addressing_chosen="DHCP"</formula>
    </cfRule>
  </conditionalFormatting>
  <conditionalFormatting sqref="B172:E178">
    <cfRule type="expression" dxfId="2847" priority="110">
      <formula>(vcf_plus_result="Included")</formula>
    </cfRule>
  </conditionalFormatting>
  <conditionalFormatting sqref="B175:E178">
    <cfRule type="expression" dxfId="2846" priority="1">
      <formula>vcf_solution_license_result="Included"</formula>
    </cfRule>
  </conditionalFormatting>
  <conditionalFormatting sqref="B189:E192">
    <cfRule type="expression" dxfId="2845" priority="277">
      <formula>mgmt_consolidated_result="Excluded"</formula>
    </cfRule>
  </conditionalFormatting>
  <conditionalFormatting sqref="B194:E194">
    <cfRule type="expression" dxfId="2844" priority="37">
      <formula>(mgmt_principal_storage_chosen="vSAN-ESA")</formula>
    </cfRule>
  </conditionalFormatting>
  <conditionalFormatting sqref="B196:E205">
    <cfRule type="expression" dxfId="2843" priority="76">
      <formula>mgmt_domain_result="Excluded"</formula>
    </cfRule>
  </conditionalFormatting>
  <conditionalFormatting sqref="B207:E207">
    <cfRule type="expression" dxfId="2842" priority="321">
      <formula>mgmt_signed_certs_result="Excluded"</formula>
    </cfRule>
  </conditionalFormatting>
  <conditionalFormatting sqref="B209:E213">
    <cfRule type="expression" dxfId="2841" priority="50">
      <formula>OR((mgmt_signed_certs_result="Excluded"),(mgmt_signed_certs_chosen&lt;&gt;"Microsoft CA"))</formula>
    </cfRule>
  </conditionalFormatting>
  <conditionalFormatting sqref="B215:E220">
    <cfRule type="expression" dxfId="2840" priority="319">
      <formula>OR((mgmt_signed_certs_result="Excluded"),(mgmt_signed_certs_chosen&lt;&gt;"Microsoft CA"))</formula>
    </cfRule>
  </conditionalFormatting>
  <conditionalFormatting sqref="B222:E227">
    <cfRule type="expression" dxfId="2839" priority="49">
      <formula>OR((mgmt_signed_certs_result="Excluded"),(mgmt_signed_certs_chosen&lt;&gt;"Microsoft CA"))</formula>
    </cfRule>
  </conditionalFormatting>
  <conditionalFormatting sqref="B229:E234">
    <cfRule type="expression" dxfId="2838" priority="48">
      <formula>OR((mgmt_signed_certs_result="Excluded"),(mgmt_signed_certs_chosen&lt;&gt;"Microsoft CA"))</formula>
    </cfRule>
  </conditionalFormatting>
  <conditionalFormatting sqref="B236:E242">
    <cfRule type="expression" dxfId="2837" priority="75">
      <formula>OR((mgmt_signed_certs_result="Excluded"),(mgmt_signed_certs_chosen&lt;&gt;"Microsoft CA"))</formula>
    </cfRule>
  </conditionalFormatting>
  <conditionalFormatting sqref="B244:E253">
    <cfRule type="expression" dxfId="2836" priority="74">
      <formula>OR((mgmt_signed_certs_result="Excluded"),(mgmt_signed_certs_chosen&lt;&gt;"Microsoft CA"))</formula>
    </cfRule>
  </conditionalFormatting>
  <conditionalFormatting sqref="B255:E263">
    <cfRule type="expression" dxfId="2835" priority="45">
      <formula>OR((mgmt_signed_certs_result="Excluded"),(mgmt_signed_certs_chosen&lt;&gt;"OpenSSL CA"))</formula>
    </cfRule>
  </conditionalFormatting>
  <conditionalFormatting sqref="B265:E276">
    <cfRule type="expression" dxfId="2834" priority="44">
      <formula>OR((mgmt_signed_certs_result="Excluded"),(mgmt_signed_certs_chosen&lt;&gt;"OpenSSL CA"))</formula>
    </cfRule>
  </conditionalFormatting>
  <conditionalFormatting sqref="B278:E284">
    <cfRule type="expression" dxfId="2833" priority="15">
      <formula>mgmt_internet_proxy_result="Excluded"</formula>
    </cfRule>
    <cfRule type="expression" dxfId="2832" priority="14">
      <formula>mgmt_domain_result="Excluded"</formula>
    </cfRule>
  </conditionalFormatting>
  <conditionalFormatting sqref="B283:E284">
    <cfRule type="expression" dxfId="2831" priority="3">
      <formula>mgmt_internet_proxy_auth="Unconfigured"</formula>
    </cfRule>
  </conditionalFormatting>
  <conditionalFormatting sqref="B286:E291">
    <cfRule type="expression" dxfId="2830" priority="4">
      <formula>mgmt_offline_depot_result="Excluded"</formula>
    </cfRule>
    <cfRule type="expression" dxfId="2829" priority="8">
      <formula>mgmt_domain_result="Excluded"</formula>
    </cfRule>
  </conditionalFormatting>
  <conditionalFormatting sqref="B293:E293">
    <cfRule type="expression" dxfId="2828" priority="312">
      <formula>mgmt_vns_result="Excluded"</formula>
    </cfRule>
  </conditionalFormatting>
  <conditionalFormatting sqref="B295:E355">
    <cfRule type="expression" dxfId="2827" priority="73">
      <formula>mgmt_vns_result="Excluded"</formula>
    </cfRule>
  </conditionalFormatting>
  <conditionalFormatting sqref="B329:E331">
    <cfRule type="expression" dxfId="2826" priority="311">
      <formula>(mgmt_vns_chosen="VLAN-Backed")</formula>
    </cfRule>
  </conditionalFormatting>
  <conditionalFormatting sqref="B334:E336">
    <cfRule type="expression" dxfId="2825" priority="281">
      <formula>(mgmt_vns_chosen="VLAN-Backed")</formula>
    </cfRule>
  </conditionalFormatting>
  <conditionalFormatting sqref="B348:E350">
    <cfRule type="expression" dxfId="2824" priority="261">
      <formula>(mgmt_vns_chosen="VLAN-Backed")</formula>
    </cfRule>
  </conditionalFormatting>
  <conditionalFormatting sqref="B353:E355">
    <cfRule type="expression" dxfId="2823" priority="259">
      <formula>(mgmt_vns_chosen="VLAN-Backed")</formula>
    </cfRule>
  </conditionalFormatting>
  <conditionalFormatting sqref="B357:E374">
    <cfRule type="expression" dxfId="2822" priority="72">
      <formula>mgmt_vns_chosen&lt;&gt;"Overlay-Backed"</formula>
    </cfRule>
  </conditionalFormatting>
  <conditionalFormatting sqref="B376:E389">
    <cfRule type="expression" dxfId="2821" priority="26">
      <formula>mgmt_avi_loadbalancer_result="Excluded"</formula>
    </cfRule>
  </conditionalFormatting>
  <conditionalFormatting sqref="B391:E410">
    <cfRule type="expression" dxfId="2820" priority="43">
      <formula>mgmt_vns_chosen&lt;&gt;"VLAN-Backed"</formula>
    </cfRule>
  </conditionalFormatting>
  <conditionalFormatting sqref="B414:E427">
    <cfRule type="expression" dxfId="2819" priority="71">
      <formula>mgmt_stretched_cluster_result="Excluded"</formula>
    </cfRule>
  </conditionalFormatting>
  <conditionalFormatting sqref="B429:E434">
    <cfRule type="expression" dxfId="2818" priority="70">
      <formula>mgmt_stretched_cluster_result="Excluded"</formula>
    </cfRule>
  </conditionalFormatting>
  <conditionalFormatting sqref="B436:E440">
    <cfRule type="expression" dxfId="2817" priority="69">
      <formula>mgmt_stretched_cluster_result="Excluded"</formula>
    </cfRule>
  </conditionalFormatting>
  <conditionalFormatting sqref="B440:E440 B412:E412">
    <cfRule type="expression" dxfId="2816" priority="303">
      <formula>mgmt_stretched_cluster_result="Excluded"</formula>
    </cfRule>
  </conditionalFormatting>
  <conditionalFormatting sqref="B442:E446">
    <cfRule type="expression" dxfId="2815" priority="68">
      <formula>mgmt_stretched_cluster_result="Excluded"</formula>
    </cfRule>
  </conditionalFormatting>
  <conditionalFormatting sqref="B448:E462">
    <cfRule type="expression" dxfId="2814" priority="67">
      <formula>mgmt_stretched_cluster_result="Excluded"</formula>
    </cfRule>
  </conditionalFormatting>
  <conditionalFormatting sqref="B455:E457">
    <cfRule type="expression" dxfId="2813" priority="2">
      <formula>mgmt_host_overlay_addressing_chosen="DHCP"</formula>
    </cfRule>
  </conditionalFormatting>
  <conditionalFormatting sqref="B464:E466">
    <cfRule type="expression" dxfId="2812" priority="66">
      <formula>mgmt_stretched_cluster_result="Excluded"</formula>
    </cfRule>
  </conditionalFormatting>
  <conditionalFormatting sqref="B468:E471">
    <cfRule type="expression" dxfId="2811" priority="65">
      <formula>mgmt_stretched_cluster_result="Excluded"</formula>
    </cfRule>
  </conditionalFormatting>
  <conditionalFormatting sqref="B473:E474">
    <cfRule type="expression" dxfId="2810" priority="64">
      <formula>mgmt_stretched_cluster_result="Excluded"</formula>
    </cfRule>
  </conditionalFormatting>
  <conditionalFormatting sqref="B475:E485">
    <cfRule type="expression" dxfId="2809" priority="301">
      <formula>mgmt_stretched_cluster_result="Excluded"</formula>
    </cfRule>
  </conditionalFormatting>
  <conditionalFormatting sqref="B479:E479">
    <cfRule type="expression" dxfId="2808" priority="119">
      <formula>mgmt_stretched_cluster_result="Excluded"</formula>
    </cfRule>
  </conditionalFormatting>
  <conditionalFormatting sqref="B482:E483">
    <cfRule type="expression" dxfId="2807" priority="113">
      <formula>mgmt_stretched_cluster_result="Excluded"</formula>
    </cfRule>
  </conditionalFormatting>
  <conditionalFormatting sqref="B487:E487">
    <cfRule type="expression" dxfId="2806" priority="300">
      <formula>mgmt_nsxt_federation_result="Excluded"</formula>
    </cfRule>
  </conditionalFormatting>
  <conditionalFormatting sqref="B489:E540">
    <cfRule type="expression" dxfId="2805" priority="63">
      <formula>OR((mgmt_nsxt_federation_result="Excluded"),(mgmt_nsxt_federation_chosen="Connect Instance"))</formula>
    </cfRule>
  </conditionalFormatting>
  <conditionalFormatting sqref="B542:E558">
    <cfRule type="expression" dxfId="2804" priority="62">
      <formula>OR((mgmt_nsxt_federation_result="Excluded"),(mgmt_nsxt_federation_chosen="Connect Instance"))</formula>
    </cfRule>
  </conditionalFormatting>
  <conditionalFormatting sqref="B560:E566">
    <cfRule type="expression" dxfId="2803" priority="61">
      <formula>OR((mgmt_nsxt_federation_result="Excluded"),(mgmt_nsxt_federation_chosen="Connect Instance"))</formula>
    </cfRule>
  </conditionalFormatting>
  <conditionalFormatting sqref="B568:E572">
    <cfRule type="expression" dxfId="2802" priority="60">
      <formula>OR((mgmt_nsxt_federation_result="Excluded"),(mgmt_nsxt_federation_chosen="Connect Instance"))</formula>
    </cfRule>
  </conditionalFormatting>
  <conditionalFormatting sqref="B574:E576">
    <cfRule type="expression" dxfId="2801" priority="294">
      <formula>OR((mgmt_nsxt_federation_result="Excluded"),(mgmt_nsxt_federation_chosen="Connect Instance"),(mgmt_signed_certs_result="Excluded"))</formula>
    </cfRule>
  </conditionalFormatting>
  <conditionalFormatting sqref="B578:E583">
    <cfRule type="expression" dxfId="2800" priority="293">
      <formula>OR((mgmt_nsxt_federation_result="Excluded"),(mgmt_nsxt_federation_chosen="Connect Instance"),(mgmt_signed_certs_result="Excluded"))</formula>
    </cfRule>
  </conditionalFormatting>
  <conditionalFormatting sqref="B585:E590">
    <cfRule type="expression" dxfId="2799" priority="292">
      <formula>OR((mgmt_nsxt_federation_result="Excluded"),(mgmt_nsxt_federation_chosen="Connect Instance"),(mgmt_signed_certs_result="Excluded"))</formula>
    </cfRule>
  </conditionalFormatting>
  <conditionalFormatting sqref="B592:E592 B593:C593 E593 B594:E599">
    <cfRule type="expression" dxfId="2798" priority="291">
      <formula>mgmt_nsxt_federation_result="Excluded"</formula>
    </cfRule>
  </conditionalFormatting>
  <conditionalFormatting sqref="B601:E604">
    <cfRule type="expression" dxfId="2797" priority="55">
      <formula>OR((mgmt_nsxt_federation_result="Excluded"),(mgmt_nsxt_federation_chosen&lt;&gt;"Active Global Manager"))</formula>
    </cfRule>
  </conditionalFormatting>
  <conditionalFormatting sqref="B606:E615">
    <cfRule type="expression" dxfId="2796" priority="42">
      <formula>OR((mgmt_nsxt_federation_result="Excluded"),(mgmt_nsxt_federation_chosen&lt;&gt;"Standby Global Manager"))</formula>
    </cfRule>
  </conditionalFormatting>
  <conditionalFormatting sqref="B617:E617 B618:C618 E618 B619:E630">
    <cfRule type="expression" dxfId="2795" priority="288">
      <formula>mgmt_nsxt_federation_result="Excluded"</formula>
    </cfRule>
  </conditionalFormatting>
  <conditionalFormatting sqref="B632:E638">
    <cfRule type="expression" dxfId="2794" priority="53">
      <formula>OR((mgmt_nsxt_federation_result="Excluded"),(mgmt_nsxt_federation_chosen&lt;&gt;"Active Global Manager"))</formula>
    </cfRule>
  </conditionalFormatting>
  <conditionalFormatting sqref="B640:E644">
    <cfRule type="expression" dxfId="2793" priority="52">
      <formula>OR((mgmt_nsxt_federation_result="Excluded"),(mgmt_nsxt_federation_chosen&lt;&gt;"Active Global Manager"))</formula>
    </cfRule>
  </conditionalFormatting>
  <conditionalFormatting sqref="B646:E650">
    <cfRule type="expression" dxfId="2792" priority="41">
      <formula>OR((mgmt_nsxt_federation_result="Excluded"),(mgmt_nsxt_federation_chosen="Active Global Manager"))</formula>
    </cfRule>
  </conditionalFormatting>
  <conditionalFormatting sqref="B652:E653">
    <cfRule type="expression" dxfId="2791" priority="40">
      <formula>OR((mgmt_nsxt_federation_result="Excluded"),(mgmt_nsxt_federation_chosen="Active Global Manager"))</formula>
    </cfRule>
  </conditionalFormatting>
  <conditionalFormatting sqref="B654:E693">
    <cfRule type="expression" dxfId="2790" priority="284">
      <formula>OR((mgmt_nsxt_federation_result="Excluded"),(mgmt_nsxt_federation_chosen="Active Global Manager"))</formula>
    </cfRule>
  </conditionalFormatting>
  <conditionalFormatting sqref="B693:E693">
    <cfRule type="expression" dxfId="2789" priority="122">
      <formula>OR((mgmt_nsxt_federation_result="Excluded"),(mgmt_nsxt_federation_chosen="Active Global Manager"))</formula>
    </cfRule>
  </conditionalFormatting>
  <conditionalFormatting sqref="B695:E699">
    <cfRule type="expression" dxfId="2788" priority="39">
      <formula>OR((mgmt_nsxt_federation_result="Excluded"),(mgmt_nsxt_federation_chosen="Active Global Manager"))</formula>
    </cfRule>
  </conditionalFormatting>
  <conditionalFormatting sqref="B701:E706">
    <cfRule type="expression" dxfId="2787" priority="38">
      <formula>OR((mgmt_nsxt_federation_result="Excluded"),(mgmt_nsxt_federation_chosen="Active Global Manager"))</formula>
    </cfRule>
  </conditionalFormatting>
  <conditionalFormatting sqref="C444:C446">
    <cfRule type="expression" dxfId="2786" priority="95">
      <formula>mgmt_stretched_cluster_result="Excluded"</formula>
    </cfRule>
  </conditionalFormatting>
  <conditionalFormatting sqref="D575">
    <cfRule type="expression" dxfId="2671" priority="59">
      <formula>OR((mgmt_nsxt_federation_result="Excluded"),(mgmt_nsxt_federation_chosen="Connect Instance"))</formula>
    </cfRule>
  </conditionalFormatting>
  <conditionalFormatting sqref="D579">
    <cfRule type="expression" dxfId="2667" priority="58">
      <formula>OR((mgmt_nsxt_federation_result="Excluded"),(mgmt_nsxt_federation_chosen="Connect Instance"))</formula>
    </cfRule>
  </conditionalFormatting>
  <conditionalFormatting sqref="D586">
    <cfRule type="expression" dxfId="2660" priority="57">
      <formula>OR((mgmt_nsxt_federation_result="Excluded"),(mgmt_nsxt_federation_chosen="Connect Instance"))</formula>
    </cfRule>
  </conditionalFormatting>
  <conditionalFormatting sqref="D593">
    <cfRule type="expression" dxfId="2654" priority="56">
      <formula>OR((mgmt_nsxt_federation_result="Excluded"),(mgmt_nsxt_federation_chosen="Connect Instance"))</formula>
    </cfRule>
  </conditionalFormatting>
  <conditionalFormatting sqref="D618">
    <cfRule type="expression" dxfId="2636" priority="54">
      <formula>OR((mgmt_nsxt_federation_result="Excluded"),(mgmt_nsxt_federation_chosen="Connect Instance"))</formula>
    </cfRule>
  </conditionalFormatting>
  <dataValidations disablePrompts="1" count="1">
    <dataValidation type="list" allowBlank="1" showInputMessage="1" showErrorMessage="1" sqref="D187" xr:uid="{734C88E8-D2CA-0B48-8A54-78457429B0F2}">
      <formula1>vsphere_8u1_evc_table</formula1>
    </dataValidation>
  </dataValidations>
  <hyperlinks>
    <hyperlink ref="E545" location="'Management Domain'!input_mgmt_nsxt_global_mgr_cluster_id" display="Note: Click this cell to redirect to the location for storing this output" xr:uid="{00000000-0004-0000-0C00-000000000000}"/>
    <hyperlink ref="E546" location="'Management Domain'!input_mgmt_nsxt_global_mgr_vmca_signed_thumbprint" display="Note: Click this cell to redirect to the location for storing this output" xr:uid="{00000000-0004-0000-0C00-000001000000}"/>
    <hyperlink ref="E581" location="'Management Domain'!input_mgmt_nsxt_global_mgr_certificate_id" display="Note: Click this cell to redirect to the location for storing this output" xr:uid="{00000000-0004-0000-0C00-000002000000}"/>
    <hyperlink ref="E609" location="'Management Domain'!input_mgmt_nsxt_gm_fingerprint" display="Note: Click this cell to redirect to the location for storing this output" xr:uid="{00000000-0004-0000-0C00-000003000000}"/>
    <hyperlink ref="E620" location="'Management Domain'!input_mgmt_nsxt_lm_fingerprint" display="Note: Click this cell to redirect to the location for storing this output" xr:uid="{00000000-0004-0000-0C00-000004000000}"/>
  </hyperlinks>
  <pageMargins left="0.7" right="0.7" top="0.75" bottom="0.75" header="0.3" footer="0.3"/>
  <pageSetup paperSize="9" orientation="portrait" horizontalDpi="0" verticalDpi="0"/>
  <ignoredErrors>
    <ignoredError sqref="D314 C433" formula="1"/>
  </ignoredErrors>
  <drawing r:id="rId1"/>
  <extLst>
    <ext xmlns:x14="http://schemas.microsoft.com/office/spreadsheetml/2009/9/main" uri="{78C0D931-6437-407d-A8EE-F0AAD7539E65}">
      <x14:conditionalFormattings>
        <x14:conditionalFormatting xmlns:xm="http://schemas.microsoft.com/office/excel/2006/main">
          <x14:cfRule type="containsText" priority="1032" operator="containsText" id="{743412CC-BBF0-2A49-84A8-1DF6A8C00B1F}">
            <xm:f>NOT(ISERROR(SEARCH("Value Missing",D10)))</xm:f>
            <xm:f>"Value Missing"</xm:f>
            <x14:dxf>
              <font>
                <color rgb="FF9C0006"/>
              </font>
              <fill>
                <patternFill>
                  <bgColor rgb="FFFFC7CE"/>
                </patternFill>
              </fill>
            </x14:dxf>
          </x14:cfRule>
          <xm:sqref>D10:D23 D25 D27 D381:D389 D104:D129</xm:sqref>
        </x14:conditionalFormatting>
        <x14:conditionalFormatting xmlns:xm="http://schemas.microsoft.com/office/excel/2006/main">
          <x14:cfRule type="containsText" priority="1030" operator="containsText" id="{03B9A6A2-46B8-9E4B-9DF1-300F69BCB14F}">
            <xm:f>NOT(ISERROR(SEARCH("Value Missing",D31)))</xm:f>
            <xm:f>"Value Missing"</xm:f>
            <x14:dxf>
              <font>
                <color rgb="FF9C0006"/>
              </font>
              <fill>
                <patternFill>
                  <bgColor rgb="FFFFC7CE"/>
                </patternFill>
              </fill>
            </x14:dxf>
          </x14:cfRule>
          <xm:sqref>D31:D44</xm:sqref>
        </x14:conditionalFormatting>
        <x14:conditionalFormatting xmlns:xm="http://schemas.microsoft.com/office/excel/2006/main">
          <x14:cfRule type="containsText" priority="1028" operator="containsText" id="{E09C665C-F4C4-744F-9EEC-51DA701B9036}">
            <xm:f>NOT(ISERROR(SEARCH("Value Missing",D48)))</xm:f>
            <xm:f>"Value Missing"</xm:f>
            <x14:dxf>
              <font>
                <color rgb="FF9C0006"/>
              </font>
              <fill>
                <patternFill>
                  <bgColor rgb="FFFFC7CE"/>
                </patternFill>
              </fill>
            </x14:dxf>
          </x14:cfRule>
          <x14:cfRule type="notContainsText" priority="1027" operator="notContains" id="{7879772C-0AF8-1046-BE40-BE1499AA85ED}">
            <xm:f>ISERROR(SEARCH("Value Missing",D48))</xm:f>
            <xm:f>"Value Missing"</xm:f>
            <x14:dxf>
              <font>
                <color rgb="FF006100"/>
              </font>
              <fill>
                <patternFill>
                  <bgColor rgb="FFC6EFCE"/>
                </patternFill>
              </fill>
            </x14:dxf>
          </x14:cfRule>
          <xm:sqref>D48:D52</xm:sqref>
        </x14:conditionalFormatting>
        <x14:conditionalFormatting xmlns:xm="http://schemas.microsoft.com/office/excel/2006/main">
          <x14:cfRule type="containsText" priority="1026" operator="containsText" id="{179F1708-2736-554D-8729-FD054761F722}">
            <xm:f>NOT(ISERROR(SEARCH("Value Missing",D56)))</xm:f>
            <xm:f>"Value Missing"</xm:f>
            <x14:dxf>
              <font>
                <color rgb="FF9C0006"/>
              </font>
              <fill>
                <patternFill>
                  <bgColor rgb="FFFFC7CE"/>
                </patternFill>
              </fill>
            </x14:dxf>
          </x14:cfRule>
          <x14:cfRule type="notContainsText" priority="1025" operator="notContains" id="{EA18ACEB-BEF3-A44C-B8F3-C57EFB7034AA}">
            <xm:f>ISERROR(SEARCH("Value Missing",D56))</xm:f>
            <xm:f>"Value Missing"</xm:f>
            <x14:dxf>
              <font>
                <color rgb="FF006100"/>
              </font>
              <fill>
                <patternFill>
                  <bgColor rgb="FFC6EFCE"/>
                </patternFill>
              </fill>
            </x14:dxf>
          </x14:cfRule>
          <xm:sqref>D56:D60</xm:sqref>
        </x14:conditionalFormatting>
        <x14:conditionalFormatting xmlns:xm="http://schemas.microsoft.com/office/excel/2006/main">
          <x14:cfRule type="notContainsText" priority="934" operator="notContains" id="{3EC3BD44-C822-B040-904F-90F5F20C6CA8}">
            <xm:f>ISERROR(SEARCH("Value Missing",D64))</xm:f>
            <xm:f>"Value Missing"</xm:f>
            <x14:dxf>
              <font>
                <color rgb="FF006100"/>
              </font>
              <fill>
                <patternFill>
                  <bgColor rgb="FFC6EFCE"/>
                </patternFill>
              </fill>
            </x14:dxf>
          </x14:cfRule>
          <x14:cfRule type="containsText" priority="935" operator="containsText" id="{D2505661-27F2-B047-A9DE-08F4E8DA3E8F}">
            <xm:f>NOT(ISERROR(SEARCH("Value Missing",D64)))</xm:f>
            <xm:f>"Value Missing"</xm:f>
            <x14:dxf>
              <font>
                <color rgb="FF9C0006"/>
              </font>
              <fill>
                <patternFill>
                  <bgColor rgb="FFFFC7CE"/>
                </patternFill>
              </fill>
            </x14:dxf>
          </x14:cfRule>
          <xm:sqref>D64:D67</xm:sqref>
        </x14:conditionalFormatting>
        <x14:conditionalFormatting xmlns:xm="http://schemas.microsoft.com/office/excel/2006/main">
          <x14:cfRule type="notContainsText" priority="936" operator="notContains" id="{F4234E62-D451-5E4E-B0C6-D9559BDBD035}">
            <xm:f>ISERROR(SEARCH("Value Missing",D71))</xm:f>
            <xm:f>"Value Missing"</xm:f>
            <x14:dxf>
              <font>
                <color rgb="FF006100"/>
              </font>
              <fill>
                <patternFill>
                  <bgColor rgb="FFC6EFCE"/>
                </patternFill>
              </fill>
            </x14:dxf>
          </x14:cfRule>
          <x14:cfRule type="containsText" priority="937" operator="containsText" id="{A8A206C8-FEAA-7A43-A9CD-CBF012AC3B78}">
            <xm:f>NOT(ISERROR(SEARCH("Value Missing",D71)))</xm:f>
            <xm:f>"Value Missing"</xm:f>
            <x14:dxf>
              <font>
                <color rgb="FF9C0006"/>
              </font>
              <fill>
                <patternFill>
                  <bgColor rgb="FFFFC7CE"/>
                </patternFill>
              </fill>
            </x14:dxf>
          </x14:cfRule>
          <xm:sqref>D71:D74</xm:sqref>
        </x14:conditionalFormatting>
        <x14:conditionalFormatting xmlns:xm="http://schemas.microsoft.com/office/excel/2006/main">
          <x14:cfRule type="containsText" priority="1024" operator="containsText" id="{ACDD054D-5698-CE44-84AC-DBFC9DFB2592}">
            <xm:f>NOT(ISERROR(SEARCH("Value Missing",D78)))</xm:f>
            <xm:f>"Value Missing"</xm:f>
            <x14:dxf>
              <font>
                <color rgb="FF9C0006"/>
              </font>
              <fill>
                <patternFill>
                  <bgColor rgb="FFFFC7CE"/>
                </patternFill>
              </fill>
            </x14:dxf>
          </x14:cfRule>
          <x14:cfRule type="notContainsText" priority="1023" operator="notContains" id="{2C234A7A-3677-1047-9543-312D391FC8E7}">
            <xm:f>ISERROR(SEARCH("Value Missing",D78))</xm:f>
            <xm:f>"Value Missing"</xm:f>
            <x14:dxf>
              <font>
                <color rgb="FF006100"/>
              </font>
              <fill>
                <patternFill>
                  <bgColor rgb="FFC6EFCE"/>
                </patternFill>
              </fill>
            </x14:dxf>
          </x14:cfRule>
          <xm:sqref>D78:D80</xm:sqref>
        </x14:conditionalFormatting>
        <x14:conditionalFormatting xmlns:xm="http://schemas.microsoft.com/office/excel/2006/main">
          <x14:cfRule type="containsText" priority="1022" operator="containsText" id="{718D17D6-F40F-894B-AC04-854DC59867BA}">
            <xm:f>NOT(ISERROR(SEARCH("Value Missing",D86)))</xm:f>
            <xm:f>"Value Missing"</xm:f>
            <x14:dxf>
              <font>
                <color rgb="FF9C0006"/>
              </font>
              <fill>
                <patternFill>
                  <bgColor rgb="FFFFC7CE"/>
                </patternFill>
              </fill>
            </x14:dxf>
          </x14:cfRule>
          <x14:cfRule type="notContainsText" priority="1021" operator="notContains" id="{2AB03A6D-B4E5-6344-BA55-92335998C9C9}">
            <xm:f>ISERROR(SEARCH("Value Missing",D86))</xm:f>
            <xm:f>"Value Missing"</xm:f>
            <x14:dxf>
              <font>
                <color rgb="FF006100"/>
              </font>
              <fill>
                <patternFill>
                  <bgColor rgb="FFC6EFCE"/>
                </patternFill>
              </fill>
            </x14:dxf>
          </x14:cfRule>
          <xm:sqref>D86</xm:sqref>
        </x14:conditionalFormatting>
        <x14:conditionalFormatting xmlns:xm="http://schemas.microsoft.com/office/excel/2006/main">
          <x14:cfRule type="notContainsText" priority="1019" operator="notContains" id="{459DFBBD-B68C-C34D-9B1B-73C6046B4957}">
            <xm:f>ISERROR(SEARCH("Value Missing",D89))</xm:f>
            <xm:f>"Value Missing"</xm:f>
            <x14:dxf>
              <font>
                <color rgb="FF006100"/>
              </font>
              <fill>
                <patternFill>
                  <bgColor rgb="FFC6EFCE"/>
                </patternFill>
              </fill>
            </x14:dxf>
          </x14:cfRule>
          <x14:cfRule type="containsText" priority="1020" operator="containsText" id="{6890E423-26E2-B74F-AAEA-01D9BEE783B1}">
            <xm:f>NOT(ISERROR(SEARCH("Value Missing",D89)))</xm:f>
            <xm:f>"Value Missing"</xm:f>
            <x14:dxf>
              <font>
                <color rgb="FF9C0006"/>
              </font>
              <fill>
                <patternFill>
                  <bgColor rgb="FFFFC7CE"/>
                </patternFill>
              </fill>
            </x14:dxf>
          </x14:cfRule>
          <xm:sqref>D89:D90</xm:sqref>
        </x14:conditionalFormatting>
        <x14:conditionalFormatting xmlns:xm="http://schemas.microsoft.com/office/excel/2006/main">
          <x14:cfRule type="notContainsText" priority="1017" operator="notContains" id="{9F6DF00E-DDE5-644A-B21E-10D6712E2C98}">
            <xm:f>ISERROR(SEARCH("Value Missing",D93))</xm:f>
            <xm:f>"Value Missing"</xm:f>
            <x14:dxf>
              <font>
                <color rgb="FF006100"/>
              </font>
              <fill>
                <patternFill>
                  <bgColor rgb="FFC6EFCE"/>
                </patternFill>
              </fill>
            </x14:dxf>
          </x14:cfRule>
          <x14:cfRule type="containsText" priority="1018" operator="containsText" id="{B8DE17B4-E205-444D-88BB-81164E172F0A}">
            <xm:f>NOT(ISERROR(SEARCH("Value Missing",D93)))</xm:f>
            <xm:f>"Value Missing"</xm:f>
            <x14:dxf>
              <font>
                <color rgb="FF9C0006"/>
              </font>
              <fill>
                <patternFill>
                  <bgColor rgb="FFFFC7CE"/>
                </patternFill>
              </fill>
            </x14:dxf>
          </x14:cfRule>
          <xm:sqref>D93:D95</xm:sqref>
        </x14:conditionalFormatting>
        <x14:conditionalFormatting xmlns:xm="http://schemas.microsoft.com/office/excel/2006/main">
          <x14:cfRule type="notContainsText" priority="1015" operator="notContains" id="{60790A5E-6F0E-C349-9671-A6FDB496A058}">
            <xm:f>ISERROR(SEARCH("Value Missing",D98))</xm:f>
            <xm:f>"Value Missing"</xm:f>
            <x14:dxf>
              <font>
                <color rgb="FF006100"/>
              </font>
              <fill>
                <patternFill>
                  <bgColor rgb="FFC6EFCE"/>
                </patternFill>
              </fill>
            </x14:dxf>
          </x14:cfRule>
          <x14:cfRule type="containsText" priority="1016" operator="containsText" id="{A2AAAB58-DF87-304D-9293-CB9704ACAB4B}">
            <xm:f>NOT(ISERROR(SEARCH("Value Missing",D98)))</xm:f>
            <xm:f>"Value Missing"</xm:f>
            <x14:dxf>
              <font>
                <color rgb="FF9C0006"/>
              </font>
              <fill>
                <patternFill>
                  <bgColor rgb="FFFFC7CE"/>
                </patternFill>
              </fill>
            </x14:dxf>
          </x14:cfRule>
          <xm:sqref>D98:D100</xm:sqref>
        </x14:conditionalFormatting>
        <x14:conditionalFormatting xmlns:xm="http://schemas.microsoft.com/office/excel/2006/main">
          <x14:cfRule type="notContainsText" priority="1029" operator="notContains" id="{F1FAE6CD-7C18-2A45-859F-9DEB2989706E}">
            <xm:f>ISERROR(SEARCH("Value Missing",D31))</xm:f>
            <xm:f>"Value Missing"</xm:f>
            <x14:dxf>
              <font>
                <color rgb="FF006100"/>
              </font>
              <fill>
                <patternFill>
                  <bgColor rgb="FFC6EFCE"/>
                </patternFill>
              </fill>
            </x14:dxf>
          </x14:cfRule>
          <xm:sqref>D104:D129 D31:D44</xm:sqref>
        </x14:conditionalFormatting>
        <x14:conditionalFormatting xmlns:xm="http://schemas.microsoft.com/office/excel/2006/main">
          <x14:cfRule type="notContainsText" priority="982" operator="notContains" id="{691E8674-E570-C249-9E9F-B4E9FF6D5508}">
            <xm:f>ISERROR(SEARCH("Value Missing",D131))</xm:f>
            <xm:f>"Value Missing"</xm:f>
            <x14:dxf>
              <font>
                <color rgb="FF006100"/>
              </font>
              <fill>
                <patternFill>
                  <bgColor rgb="FFC6EFCE"/>
                </patternFill>
              </fill>
            </x14:dxf>
          </x14:cfRule>
          <x14:cfRule type="containsText" priority="983" operator="containsText" id="{33A7F4D5-0BCA-F147-93C0-BF632AA0E63A}">
            <xm:f>NOT(ISERROR(SEARCH("Value Missing",D131)))</xm:f>
            <xm:f>"Value Missing"</xm:f>
            <x14:dxf>
              <font>
                <color rgb="FF9C0006"/>
              </font>
              <fill>
                <patternFill>
                  <bgColor rgb="FFFFC7CE"/>
                </patternFill>
              </fill>
            </x14:dxf>
          </x14:cfRule>
          <xm:sqref>D131:D151</xm:sqref>
        </x14:conditionalFormatting>
        <x14:conditionalFormatting xmlns:xm="http://schemas.microsoft.com/office/excel/2006/main">
          <x14:cfRule type="notContainsText" priority="948" operator="notContains" id="{FA844972-DF60-3148-8A55-FB07BAA8AD04}">
            <xm:f>ISERROR(SEARCH("Value Missing",D131))</xm:f>
            <xm:f>"Value Missing"</xm:f>
            <x14:dxf>
              <font>
                <color rgb="FF006100"/>
              </font>
              <fill>
                <patternFill>
                  <bgColor rgb="FFC6EFCE"/>
                </patternFill>
              </fill>
            </x14:dxf>
          </x14:cfRule>
          <x14:cfRule type="containsText" priority="949" operator="containsText" id="{10111468-60EE-6346-A26B-2DF9007D4F17}">
            <xm:f>NOT(ISERROR(SEARCH("Value Missing",D131)))</xm:f>
            <xm:f>"Value Missing"</xm:f>
            <x14:dxf>
              <font>
                <color rgb="FF9C0006"/>
              </font>
              <fill>
                <patternFill>
                  <bgColor rgb="FFFFC7CE"/>
                </patternFill>
              </fill>
            </x14:dxf>
          </x14:cfRule>
          <xm:sqref>D131:D152 D154:D163 D165:D171</xm:sqref>
        </x14:conditionalFormatting>
        <x14:conditionalFormatting xmlns:xm="http://schemas.microsoft.com/office/excel/2006/main">
          <x14:cfRule type="containsText" priority="947" operator="containsText" id="{F42D82C2-E882-944C-80F1-099F31B48274}">
            <xm:f>NOT(ISERROR(SEARCH("Value Missing",D174)))</xm:f>
            <xm:f>"Value Missing"</xm:f>
            <x14:dxf>
              <font>
                <color rgb="FF9C0006"/>
              </font>
              <fill>
                <patternFill>
                  <bgColor rgb="FFFFC7CE"/>
                </patternFill>
              </fill>
            </x14:dxf>
          </x14:cfRule>
          <x14:cfRule type="notContainsText" priority="946" operator="notContains" id="{9C7F0393-6EEA-F742-ABB0-0589AD2479D1}">
            <xm:f>ISERROR(SEARCH("Value Missing",D174))</xm:f>
            <xm:f>"Value Missing"</xm:f>
            <x14:dxf>
              <font>
                <color rgb="FF006100"/>
              </font>
              <fill>
                <patternFill>
                  <bgColor rgb="FFC6EFCE"/>
                </patternFill>
              </fill>
            </x14:dxf>
          </x14:cfRule>
          <xm:sqref>D174:D178</xm:sqref>
        </x14:conditionalFormatting>
        <x14:conditionalFormatting xmlns:xm="http://schemas.microsoft.com/office/excel/2006/main">
          <x14:cfRule type="containsText" priority="931" operator="containsText" id="{7484E329-49F5-8241-B997-7060A88256E8}">
            <xm:f>NOT(ISERROR(SEARCH("Value Missing",D181)))</xm:f>
            <xm:f>"Value Missing"</xm:f>
            <x14:dxf>
              <font>
                <color rgb="FF9C0006"/>
              </font>
              <fill>
                <patternFill>
                  <bgColor rgb="FFFFC7CE"/>
                </patternFill>
              </fill>
            </x14:dxf>
          </x14:cfRule>
          <xm:sqref>D181:D194 D196 D198:D205 D207 D209 D211:D213 D378:D389</xm:sqref>
        </x14:conditionalFormatting>
        <x14:conditionalFormatting xmlns:xm="http://schemas.microsoft.com/office/excel/2006/main">
          <x14:cfRule type="notContainsText" priority="930" operator="notContains" id="{F9949E0D-E9AD-E648-8D87-4FDEFC6166E0}">
            <xm:f>ISERROR(SEARCH("Value Missing",D181))</xm:f>
            <xm:f>"Value Missing"</xm:f>
            <x14:dxf>
              <font>
                <color rgb="FF006100"/>
              </font>
              <fill>
                <patternFill>
                  <bgColor rgb="FFC6EFCE"/>
                </patternFill>
              </fill>
            </x14:dxf>
          </x14:cfRule>
          <xm:sqref>D198:D205 D181:D194 D207 D196 D209 D211:D213 D378:D389</xm:sqref>
        </x14:conditionalFormatting>
        <x14:conditionalFormatting xmlns:xm="http://schemas.microsoft.com/office/excel/2006/main">
          <x14:cfRule type="containsText" priority="897" operator="containsText" id="{985AB963-6038-A042-8C2D-3914742077F2}">
            <xm:f>NOT(ISERROR(SEARCH("Value Missing",D198)))</xm:f>
            <xm:f>"Value Missing"</xm:f>
            <x14:dxf>
              <font>
                <color rgb="FF9C0006"/>
              </font>
              <fill>
                <patternFill>
                  <bgColor rgb="FFFFC7CE"/>
                </patternFill>
              </fill>
            </x14:dxf>
          </x14:cfRule>
          <x14:cfRule type="notContainsText" priority="896" operator="notContains" id="{C36C1320-F77D-8C47-9AA9-BD5FD13ED9D7}">
            <xm:f>ISERROR(SEARCH("Value Missing",D198))</xm:f>
            <xm:f>"Value Missing"</xm:f>
            <x14:dxf>
              <font>
                <color rgb="FF006100"/>
              </font>
              <fill>
                <patternFill>
                  <bgColor rgb="FFC6EFCE"/>
                </patternFill>
              </fill>
            </x14:dxf>
          </x14:cfRule>
          <xm:sqref>D198:D205</xm:sqref>
        </x14:conditionalFormatting>
        <x14:conditionalFormatting xmlns:xm="http://schemas.microsoft.com/office/excel/2006/main">
          <x14:cfRule type="containsText" priority="917" operator="containsText" id="{0AD21DBC-CE95-6640-BBA7-8B969D584178}">
            <xm:f>NOT(ISERROR(SEARCH("Value Missing",D217)))</xm:f>
            <xm:f>"Value Missing"</xm:f>
            <x14:dxf>
              <font>
                <color rgb="FF9C0006"/>
              </font>
              <fill>
                <patternFill>
                  <bgColor rgb="FFFFC7CE"/>
                </patternFill>
              </fill>
            </x14:dxf>
          </x14:cfRule>
          <xm:sqref>D217:D220 D222 D224:D227 D229 D231:D234 D236 D238:D241</xm:sqref>
        </x14:conditionalFormatting>
        <x14:conditionalFormatting xmlns:xm="http://schemas.microsoft.com/office/excel/2006/main">
          <x14:cfRule type="containsText" priority="198" operator="containsText" id="{44A78A7C-4796-C241-ACEF-3C9C10A29187}">
            <xm:f>NOT(ISERROR(SEARCH("Value Missing",D238)))</xm:f>
            <xm:f>"Value Missing"</xm:f>
            <x14:dxf>
              <font>
                <color rgb="FF9C0006"/>
              </font>
              <fill>
                <patternFill>
                  <bgColor rgb="FFFFC7CE"/>
                </patternFill>
              </fill>
            </x14:dxf>
          </x14:cfRule>
          <x14:cfRule type="notContainsText" priority="197" operator="notContains" id="{D59276AE-37ED-DD44-97D6-A0AAC71EF706}">
            <xm:f>ISERROR(SEARCH("Value Missing",D238))</xm:f>
            <xm:f>"Value Missing"</xm:f>
            <x14:dxf>
              <font>
                <color rgb="FF006100"/>
              </font>
              <fill>
                <patternFill>
                  <bgColor rgb="FFC6EFCE"/>
                </patternFill>
              </fill>
            </x14:dxf>
          </x14:cfRule>
          <xm:sqref>D238</xm:sqref>
        </x14:conditionalFormatting>
        <x14:conditionalFormatting xmlns:xm="http://schemas.microsoft.com/office/excel/2006/main">
          <x14:cfRule type="notContainsText" priority="916" operator="notContains" id="{BAAE85F8-E585-8742-806F-407D71F4C03F}">
            <xm:f>ISERROR(SEARCH("Value Missing",D217))</xm:f>
            <xm:f>"Value Missing"</xm:f>
            <x14:dxf>
              <font>
                <color rgb="FF006100"/>
              </font>
              <fill>
                <patternFill>
                  <bgColor rgb="FFC6EFCE"/>
                </patternFill>
              </fill>
            </x14:dxf>
          </x14:cfRule>
          <xm:sqref>D238:D241 D217:D220 D236 D222 D224:D227 D229 D231:D234</xm:sqref>
        </x14:conditionalFormatting>
        <x14:conditionalFormatting xmlns:xm="http://schemas.microsoft.com/office/excel/2006/main">
          <x14:cfRule type="containsText" priority="893" operator="containsText" id="{AEEA59E0-69B5-F54E-B907-67E0465838B2}">
            <xm:f>NOT(ISERROR(SEARCH("Value Missing",D240)))</xm:f>
            <xm:f>"Value Missing"</xm:f>
            <x14:dxf>
              <font>
                <color rgb="FF9C0006"/>
              </font>
              <fill>
                <patternFill>
                  <bgColor rgb="FFFFC7CE"/>
                </patternFill>
              </fill>
            </x14:dxf>
          </x14:cfRule>
          <xm:sqref>D240:D242 D244 D246:D253 D255 D257:D263 D265 D267:D276 D293 D295 D297:D355 D357 D359:D374 D391 D393:D410 D412 D414 D416:D427 D429 D431:D434 D436 D438:D440 D442 D444:D446</xm:sqref>
        </x14:conditionalFormatting>
        <x14:conditionalFormatting xmlns:xm="http://schemas.microsoft.com/office/excel/2006/main">
          <x14:cfRule type="notContainsText" priority="24" operator="notContains" id="{3B03C526-CE3B-8244-8A4A-A2D3E8DA1973}">
            <xm:f>ISERROR(SEARCH("Value Missing",D278))</xm:f>
            <xm:f>"Value Missing"</xm:f>
            <x14:dxf>
              <font>
                <color rgb="FF006100"/>
              </font>
              <fill>
                <patternFill>
                  <bgColor rgb="FFC6EFCE"/>
                </patternFill>
              </fill>
            </x14:dxf>
          </x14:cfRule>
          <x14:cfRule type="containsText" priority="25" operator="containsText" id="{88489167-07F5-8040-9F99-EC728A201CB1}">
            <xm:f>NOT(ISERROR(SEARCH("Value Missing",D278)))</xm:f>
            <xm:f>"Value Missing"</xm:f>
            <x14:dxf>
              <font>
                <color rgb="FF9C0006"/>
              </font>
              <fill>
                <patternFill>
                  <bgColor rgb="FFFFC7CE"/>
                </patternFill>
              </fill>
            </x14:dxf>
          </x14:cfRule>
          <xm:sqref>D278</xm:sqref>
        </x14:conditionalFormatting>
        <x14:conditionalFormatting xmlns:xm="http://schemas.microsoft.com/office/excel/2006/main">
          <x14:cfRule type="notContainsText" priority="16" operator="notContains" id="{C97065B3-75D7-B142-A0E2-5A033240BD2F}">
            <xm:f>ISERROR(SEARCH("Value Missing",D280))</xm:f>
            <xm:f>"Value Missing"</xm:f>
            <x14:dxf>
              <font>
                <color rgb="FF006100"/>
              </font>
              <fill>
                <patternFill>
                  <bgColor rgb="FFC6EFCE"/>
                </patternFill>
              </fill>
            </x14:dxf>
          </x14:cfRule>
          <x14:cfRule type="containsText" priority="19" operator="containsText" id="{792A2534-A0C6-4041-ACAB-8F95386EE617}">
            <xm:f>NOT(ISERROR(SEARCH("Value Missing",D280)))</xm:f>
            <xm:f>"Value Missing"</xm:f>
            <x14:dxf>
              <font>
                <color rgb="FF9C0006"/>
              </font>
              <fill>
                <patternFill>
                  <bgColor rgb="FFFFC7CE"/>
                </patternFill>
              </fill>
            </x14:dxf>
          </x14:cfRule>
          <x14:cfRule type="notContainsText" priority="18" operator="notContains" id="{4BE48483-3C51-0043-8BF3-CF4E892840D2}">
            <xm:f>ISERROR(SEARCH("Value Missing",D280))</xm:f>
            <xm:f>"Value Missing"</xm:f>
            <x14:dxf>
              <font>
                <color rgb="FF006100"/>
              </font>
              <fill>
                <patternFill>
                  <bgColor rgb="FFC6EFCE"/>
                </patternFill>
              </fill>
            </x14:dxf>
          </x14:cfRule>
          <x14:cfRule type="containsText" priority="17" operator="containsText" id="{EDC8E890-37C1-C544-91EB-EB357FAC82BA}">
            <xm:f>NOT(ISERROR(SEARCH("Value Missing",D280)))</xm:f>
            <xm:f>"Value Missing"</xm:f>
            <x14:dxf>
              <font>
                <color rgb="FF9C0006"/>
              </font>
              <fill>
                <patternFill>
                  <bgColor rgb="FFFFC7CE"/>
                </patternFill>
              </fill>
            </x14:dxf>
          </x14:cfRule>
          <xm:sqref>D280:D284</xm:sqref>
        </x14:conditionalFormatting>
        <x14:conditionalFormatting xmlns:xm="http://schemas.microsoft.com/office/excel/2006/main">
          <x14:cfRule type="notContainsText" priority="21" operator="notContains" id="{F61F6699-0829-264A-B17B-04E0800A5791}">
            <xm:f>ISERROR(SEARCH("Value Missing",D286))</xm:f>
            <xm:f>"Value Missing"</xm:f>
            <x14:dxf>
              <font>
                <color rgb="FF006100"/>
              </font>
              <fill>
                <patternFill>
                  <bgColor rgb="FFC6EFCE"/>
                </patternFill>
              </fill>
            </x14:dxf>
          </x14:cfRule>
          <x14:cfRule type="containsText" priority="22" operator="containsText" id="{A3666B7A-168C-DF48-8403-D6DB38B4D3F8}">
            <xm:f>NOT(ISERROR(SEARCH("Value Missing",D286)))</xm:f>
            <xm:f>"Value Missing"</xm:f>
            <x14:dxf>
              <font>
                <color rgb="FF9C0006"/>
              </font>
              <fill>
                <patternFill>
                  <bgColor rgb="FFFFC7CE"/>
                </patternFill>
              </fill>
            </x14:dxf>
          </x14:cfRule>
          <xm:sqref>D286</xm:sqref>
        </x14:conditionalFormatting>
        <x14:conditionalFormatting xmlns:xm="http://schemas.microsoft.com/office/excel/2006/main">
          <x14:cfRule type="containsText" priority="13" operator="containsText" id="{F5A2FB74-E21A-804C-8565-7299BA8C6980}">
            <xm:f>NOT(ISERROR(SEARCH("Value Missing",D288)))</xm:f>
            <xm:f>"Value Missing"</xm:f>
            <x14:dxf>
              <font>
                <color rgb="FF9C0006"/>
              </font>
              <fill>
                <patternFill>
                  <bgColor rgb="FFFFC7CE"/>
                </patternFill>
              </fill>
            </x14:dxf>
          </x14:cfRule>
          <x14:cfRule type="notContainsText" priority="10" operator="notContains" id="{C49AFA3E-46F5-2D4A-AC7E-31E86EC7399E}">
            <xm:f>ISERROR(SEARCH("Value Missing",D288))</xm:f>
            <xm:f>"Value Missing"</xm:f>
            <x14:dxf>
              <font>
                <color rgb="FF006100"/>
              </font>
              <fill>
                <patternFill>
                  <bgColor rgb="FFC6EFCE"/>
                </patternFill>
              </fill>
            </x14:dxf>
          </x14:cfRule>
          <x14:cfRule type="containsText" priority="11" operator="containsText" id="{AD1746C9-6EB1-354E-93DC-6DDEF296CB1F}">
            <xm:f>NOT(ISERROR(SEARCH("Value Missing",D288)))</xm:f>
            <xm:f>"Value Missing"</xm:f>
            <x14:dxf>
              <font>
                <color rgb="FF9C0006"/>
              </font>
              <fill>
                <patternFill>
                  <bgColor rgb="FFFFC7CE"/>
                </patternFill>
              </fill>
            </x14:dxf>
          </x14:cfRule>
          <x14:cfRule type="notContainsText" priority="12" operator="notContains" id="{50C7C7FE-EDDE-2642-8D94-BE8261A72657}">
            <xm:f>ISERROR(SEARCH("Value Missing",D288))</xm:f>
            <xm:f>"Value Missing"</xm:f>
            <x14:dxf>
              <font>
                <color rgb="FF006100"/>
              </font>
              <fill>
                <patternFill>
                  <bgColor rgb="FFC6EFCE"/>
                </patternFill>
              </fill>
            </x14:dxf>
          </x14:cfRule>
          <xm:sqref>D288:D291</xm:sqref>
        </x14:conditionalFormatting>
        <x14:conditionalFormatting xmlns:xm="http://schemas.microsoft.com/office/excel/2006/main">
          <x14:cfRule type="containsText" priority="811" operator="containsText" id="{428015F8-D861-6C43-A7DB-34D5B00ACC9D}">
            <xm:f>NOT(ISERROR(SEARCH("Value Missing",D298)))</xm:f>
            <xm:f>"Value Missing"</xm:f>
            <x14:dxf>
              <font>
                <color rgb="FF9C0006"/>
              </font>
              <fill>
                <patternFill>
                  <bgColor rgb="FFFFC7CE"/>
                </patternFill>
              </fill>
            </x14:dxf>
          </x14:cfRule>
          <xm:sqref>D298:D300</xm:sqref>
        </x14:conditionalFormatting>
        <x14:conditionalFormatting xmlns:xm="http://schemas.microsoft.com/office/excel/2006/main">
          <x14:cfRule type="notContainsText" priority="270" operator="notContains" id="{EB35DA5F-502D-D848-A93B-96A7A8C96E0E}">
            <xm:f>ISERROR(SEARCH("Value Missing",D298))</xm:f>
            <xm:f>"Value Missing"</xm:f>
            <x14:dxf>
              <font>
                <color rgb="FF006100"/>
              </font>
              <fill>
                <patternFill>
                  <bgColor rgb="FFC6EFCE"/>
                </patternFill>
              </fill>
            </x14:dxf>
          </x14:cfRule>
          <xm:sqref>D298:D350</xm:sqref>
        </x14:conditionalFormatting>
        <x14:conditionalFormatting xmlns:xm="http://schemas.microsoft.com/office/excel/2006/main">
          <x14:cfRule type="notContainsText" priority="820" operator="notContains" id="{847FC23F-2F0F-7A46-BF31-5985D35C59E7}">
            <xm:f>ISERROR(SEARCH("Value Missing",D299))</xm:f>
            <xm:f>"Value Missing"</xm:f>
            <x14:dxf>
              <font>
                <color rgb="FF006100"/>
              </font>
              <fill>
                <patternFill>
                  <bgColor rgb="FFC6EFCE"/>
                </patternFill>
              </fill>
            </x14:dxf>
          </x14:cfRule>
          <x14:cfRule type="containsText" priority="821" operator="containsText" id="{ECA1E44D-1977-1340-8371-7E8A60BEDD52}">
            <xm:f>NOT(ISERROR(SEARCH("Value Missing",D299)))</xm:f>
            <xm:f>"Value Missing"</xm:f>
            <x14:dxf>
              <font>
                <color rgb="FF9C0006"/>
              </font>
              <fill>
                <patternFill>
                  <bgColor rgb="FFFFC7CE"/>
                </patternFill>
              </fill>
            </x14:dxf>
          </x14:cfRule>
          <xm:sqref>D299:D300</xm:sqref>
        </x14:conditionalFormatting>
        <x14:conditionalFormatting xmlns:xm="http://schemas.microsoft.com/office/excel/2006/main">
          <x14:cfRule type="containsText" priority="823" operator="containsText" id="{FA1E9FCD-20FB-EC40-B8BB-72A047D1CE9B}">
            <xm:f>NOT(ISERROR(SEARCH("Value Missing",D300)))</xm:f>
            <xm:f>"Value Missing"</xm:f>
            <x14:dxf>
              <font>
                <color rgb="FF9C0006"/>
              </font>
              <fill>
                <patternFill>
                  <bgColor rgb="FFFFC7CE"/>
                </patternFill>
              </fill>
            </x14:dxf>
          </x14:cfRule>
          <x14:cfRule type="notContainsText" priority="822" operator="notContains" id="{9B4994C9-1138-7B42-9F13-02F1B2DA908B}">
            <xm:f>ISERROR(SEARCH("Value Missing",D300))</xm:f>
            <xm:f>"Value Missing"</xm:f>
            <x14:dxf>
              <font>
                <color rgb="FF006100"/>
              </font>
              <fill>
                <patternFill>
                  <bgColor rgb="FFC6EFCE"/>
                </patternFill>
              </fill>
            </x14:dxf>
          </x14:cfRule>
          <xm:sqref>D300:D301</xm:sqref>
        </x14:conditionalFormatting>
        <x14:conditionalFormatting xmlns:xm="http://schemas.microsoft.com/office/excel/2006/main">
          <x14:cfRule type="notContainsText" priority="828" operator="notContains" id="{EA4127CE-77BD-7744-A6A8-67CAF2424E10}">
            <xm:f>ISERROR(SEARCH("Value Missing",D304))</xm:f>
            <xm:f>"Value Missing"</xm:f>
            <x14:dxf>
              <font>
                <color rgb="FF006100"/>
              </font>
              <fill>
                <patternFill>
                  <bgColor rgb="FFC6EFCE"/>
                </patternFill>
              </fill>
            </x14:dxf>
          </x14:cfRule>
          <x14:cfRule type="containsText" priority="829" operator="containsText" id="{4A721CC9-20B3-314B-9876-9DBF4801E293}">
            <xm:f>NOT(ISERROR(SEARCH("Value Missing",D304)))</xm:f>
            <xm:f>"Value Missing"</xm:f>
            <x14:dxf>
              <font>
                <color rgb="FF9C0006"/>
              </font>
              <fill>
                <patternFill>
                  <bgColor rgb="FFFFC7CE"/>
                </patternFill>
              </fill>
            </x14:dxf>
          </x14:cfRule>
          <xm:sqref>D304:D311 D313:D316</xm:sqref>
        </x14:conditionalFormatting>
        <x14:conditionalFormatting xmlns:xm="http://schemas.microsoft.com/office/excel/2006/main">
          <x14:cfRule type="containsText" priority="813" operator="containsText" id="{872E3B18-3885-B14B-BBC1-AC0A5FFA559D}">
            <xm:f>NOT(ISERROR(SEARCH("Value Missing",D309)))</xm:f>
            <xm:f>"Value Missing"</xm:f>
            <x14:dxf>
              <font>
                <color rgb="FF9C0006"/>
              </font>
              <fill>
                <patternFill>
                  <bgColor rgb="FFFFC7CE"/>
                </patternFill>
              </fill>
            </x14:dxf>
          </x14:cfRule>
          <xm:sqref>D309:D311</xm:sqref>
        </x14:conditionalFormatting>
        <x14:conditionalFormatting xmlns:xm="http://schemas.microsoft.com/office/excel/2006/main">
          <x14:cfRule type="notContainsText" priority="806" operator="notContains" id="{25759998-9179-454B-A312-0BF845AFD1CA}">
            <xm:f>ISERROR(SEARCH("Value Missing",D309))</xm:f>
            <xm:f>"Value Missing"</xm:f>
            <x14:dxf>
              <font>
                <color rgb="FF006100"/>
              </font>
              <fill>
                <patternFill>
                  <bgColor rgb="FFC6EFCE"/>
                </patternFill>
              </fill>
            </x14:dxf>
          </x14:cfRule>
          <xm:sqref>D309:D342</xm:sqref>
        </x14:conditionalFormatting>
        <x14:conditionalFormatting xmlns:xm="http://schemas.microsoft.com/office/excel/2006/main">
          <x14:cfRule type="containsText" priority="807" operator="containsText" id="{C52E4D0C-13E4-8045-B30E-5E3F971D994D}">
            <xm:f>NOT(ISERROR(SEARCH("Value Missing",D313)))</xm:f>
            <xm:f>"Value Missing"</xm:f>
            <x14:dxf>
              <font>
                <color rgb="FF9C0006"/>
              </font>
              <fill>
                <patternFill>
                  <bgColor rgb="FFFFC7CE"/>
                </patternFill>
              </fill>
            </x14:dxf>
          </x14:cfRule>
          <xm:sqref>D313:D342</xm:sqref>
        </x14:conditionalFormatting>
        <x14:conditionalFormatting xmlns:xm="http://schemas.microsoft.com/office/excel/2006/main">
          <x14:cfRule type="containsText" priority="803" operator="containsText" id="{5D238AFB-236B-D142-87E1-948396CBC9F8}">
            <xm:f>NOT(ISERROR(SEARCH("Value Missing",D319)))</xm:f>
            <xm:f>"Value Missing"</xm:f>
            <x14:dxf>
              <font>
                <color rgb="FF9C0006"/>
              </font>
              <fill>
                <patternFill>
                  <bgColor rgb="FFFFC7CE"/>
                </patternFill>
              </fill>
            </x14:dxf>
          </x14:cfRule>
          <xm:sqref>D319</xm:sqref>
        </x14:conditionalFormatting>
        <x14:conditionalFormatting xmlns:xm="http://schemas.microsoft.com/office/excel/2006/main">
          <x14:cfRule type="containsText" priority="799" operator="containsText" id="{3FCEE6D3-853D-FB4B-99D5-3397E2AB3399}">
            <xm:f>NOT(ISERROR(SEARCH("Value Missing",D325)))</xm:f>
            <xm:f>"Value Missing"</xm:f>
            <x14:dxf>
              <font>
                <color rgb="FF9C0006"/>
              </font>
              <fill>
                <patternFill>
                  <bgColor rgb="FFFFC7CE"/>
                </patternFill>
              </fill>
            </x14:dxf>
          </x14:cfRule>
          <xm:sqref>D325</xm:sqref>
        </x14:conditionalFormatting>
        <x14:conditionalFormatting xmlns:xm="http://schemas.microsoft.com/office/excel/2006/main">
          <x14:cfRule type="notContainsText" priority="794" operator="notContains" id="{500D9774-1450-DB4D-8B1A-4DB683E90A35}">
            <xm:f>ISERROR(SEARCH("Value Missing",D336))</xm:f>
            <xm:f>"Value Missing"</xm:f>
            <x14:dxf>
              <font>
                <color rgb="FF006100"/>
              </font>
              <fill>
                <patternFill>
                  <bgColor rgb="FFC6EFCE"/>
                </patternFill>
              </fill>
            </x14:dxf>
          </x14:cfRule>
          <x14:cfRule type="containsText" priority="795" operator="containsText" id="{5596D76B-DC1D-9D4E-BA06-3D0F4D2A2F6C}">
            <xm:f>NOT(ISERROR(SEARCH("Value Missing",D336)))</xm:f>
            <xm:f>"Value Missing"</xm:f>
            <x14:dxf>
              <font>
                <color rgb="FF9C0006"/>
              </font>
              <fill>
                <patternFill>
                  <bgColor rgb="FFFFC7CE"/>
                </patternFill>
              </fill>
            </x14:dxf>
          </x14:cfRule>
          <xm:sqref>D336:D344</xm:sqref>
        </x14:conditionalFormatting>
        <x14:conditionalFormatting xmlns:xm="http://schemas.microsoft.com/office/excel/2006/main">
          <x14:cfRule type="containsText" priority="265" operator="containsText" id="{3324AEBC-941F-B540-BB88-EE6A570E5F1F}">
            <xm:f>NOT(ISERROR(SEARCH("Value Missing",D343)))</xm:f>
            <xm:f>"Value Missing"</xm:f>
            <x14:dxf>
              <font>
                <color rgb="FF9C0006"/>
              </font>
              <fill>
                <patternFill>
                  <bgColor rgb="FFFFC7CE"/>
                </patternFill>
              </fill>
            </x14:dxf>
          </x14:cfRule>
          <x14:cfRule type="notContainsText" priority="264" operator="notContains" id="{6992E668-14F2-6F46-A922-5B75EF706E58}">
            <xm:f>ISERROR(SEARCH("Value Missing",D343))</xm:f>
            <xm:f>"Value Missing"</xm:f>
            <x14:dxf>
              <font>
                <color rgb="FF006100"/>
              </font>
              <fill>
                <patternFill>
                  <bgColor rgb="FFC6EFCE"/>
                </patternFill>
              </fill>
            </x14:dxf>
          </x14:cfRule>
          <xm:sqref>D343:D347</xm:sqref>
        </x14:conditionalFormatting>
        <x14:conditionalFormatting xmlns:xm="http://schemas.microsoft.com/office/excel/2006/main">
          <x14:cfRule type="containsText" priority="271" operator="containsText" id="{95D0AE8C-1A04-084B-B455-639FCB5D6E58}">
            <xm:f>NOT(ISERROR(SEARCH("Value Missing",D348)))</xm:f>
            <xm:f>"Value Missing"</xm:f>
            <x14:dxf>
              <font>
                <color rgb="FF9C0006"/>
              </font>
              <fill>
                <patternFill>
                  <bgColor rgb="FFFFC7CE"/>
                </patternFill>
              </fill>
            </x14:dxf>
          </x14:cfRule>
          <xm:sqref>D348:D355</xm:sqref>
        </x14:conditionalFormatting>
        <x14:conditionalFormatting xmlns:xm="http://schemas.microsoft.com/office/excel/2006/main">
          <x14:cfRule type="containsText" priority="263" operator="containsText" id="{370F82D0-9470-1F44-A92A-1A5B6854B7F4}">
            <xm:f>NOT(ISERROR(SEARCH("Value Missing",D351)))</xm:f>
            <xm:f>"Value Missing"</xm:f>
            <x14:dxf>
              <font>
                <color rgb="FF9C0006"/>
              </font>
              <fill>
                <patternFill>
                  <bgColor rgb="FFFFC7CE"/>
                </patternFill>
              </fill>
            </x14:dxf>
          </x14:cfRule>
          <xm:sqref>D351:D352</xm:sqref>
        </x14:conditionalFormatting>
        <x14:conditionalFormatting xmlns:xm="http://schemas.microsoft.com/office/excel/2006/main">
          <x14:cfRule type="notContainsText" priority="260" operator="notContains" id="{C4451E27-4F2F-8C4B-A737-28A2774DD174}">
            <xm:f>ISERROR(SEARCH("Value Missing",D351))</xm:f>
            <xm:f>"Value Missing"</xm:f>
            <x14:dxf>
              <font>
                <color rgb="FF006100"/>
              </font>
              <fill>
                <patternFill>
                  <bgColor rgb="FFC6EFCE"/>
                </patternFill>
              </fill>
            </x14:dxf>
          </x14:cfRule>
          <xm:sqref>D351:D355</xm:sqref>
        </x14:conditionalFormatting>
        <x14:conditionalFormatting xmlns:xm="http://schemas.microsoft.com/office/excel/2006/main">
          <x14:cfRule type="containsText" priority="257" operator="containsText" id="{440F2E11-DA39-894F-8E30-0642DE7832BE}">
            <xm:f>NOT(ISERROR(SEARCH("Value Missing",D360)))</xm:f>
            <xm:f>"Value Missing"</xm:f>
            <x14:dxf>
              <font>
                <color rgb="FF9C0006"/>
              </font>
              <fill>
                <patternFill>
                  <bgColor rgb="FFFFC7CE"/>
                </patternFill>
              </fill>
            </x14:dxf>
          </x14:cfRule>
          <x14:cfRule type="notContainsText" priority="256" operator="notContains" id="{B6FC1912-1E35-B148-B6B4-6C2EE6F65DAC}">
            <xm:f>ISERROR(SEARCH("Value Missing",D360))</xm:f>
            <xm:f>"Value Missing"</xm:f>
            <x14:dxf>
              <font>
                <color rgb="FF006100"/>
              </font>
              <fill>
                <patternFill>
                  <bgColor rgb="FFC6EFCE"/>
                </patternFill>
              </fill>
            </x14:dxf>
          </x14:cfRule>
          <xm:sqref>D360</xm:sqref>
        </x14:conditionalFormatting>
        <x14:conditionalFormatting xmlns:xm="http://schemas.microsoft.com/office/excel/2006/main">
          <x14:cfRule type="notContainsText" priority="250" operator="notContains" id="{72157C65-1A25-BC45-8BE8-E1DC05EAFE89}">
            <xm:f>ISERROR(SEARCH("Value Missing",D362))</xm:f>
            <xm:f>"Value Missing"</xm:f>
            <x14:dxf>
              <font>
                <color rgb="FF006100"/>
              </font>
              <fill>
                <patternFill>
                  <bgColor rgb="FFC6EFCE"/>
                </patternFill>
              </fill>
            </x14:dxf>
          </x14:cfRule>
          <x14:cfRule type="containsText" priority="251" operator="containsText" id="{74B0B179-C150-DF43-A542-DDA7164621B2}">
            <xm:f>NOT(ISERROR(SEARCH("Value Missing",D362)))</xm:f>
            <xm:f>"Value Missing"</xm:f>
            <x14:dxf>
              <font>
                <color rgb="FF9C0006"/>
              </font>
              <fill>
                <patternFill>
                  <bgColor rgb="FFFFC7CE"/>
                </patternFill>
              </fill>
            </x14:dxf>
          </x14:cfRule>
          <xm:sqref>D362:D374</xm:sqref>
        </x14:conditionalFormatting>
        <x14:conditionalFormatting xmlns:xm="http://schemas.microsoft.com/office/excel/2006/main">
          <x14:cfRule type="notContainsText" priority="230" operator="notContains" id="{0021B381-B32A-4349-8373-6F4FC739AAA6}">
            <xm:f>ISERROR(SEARCH("Value Missing",D365))</xm:f>
            <xm:f>"Value Missing"</xm:f>
            <x14:dxf>
              <font>
                <color rgb="FF006100"/>
              </font>
              <fill>
                <patternFill>
                  <bgColor rgb="FFC6EFCE"/>
                </patternFill>
              </fill>
            </x14:dxf>
          </x14:cfRule>
          <x14:cfRule type="containsText" priority="231" operator="containsText" id="{DB3653CC-1494-6742-AE20-A1F225AA1429}">
            <xm:f>NOT(ISERROR(SEARCH("Value Missing",D365)))</xm:f>
            <xm:f>"Value Missing"</xm:f>
            <x14:dxf>
              <font>
                <color rgb="FF9C0006"/>
              </font>
              <fill>
                <patternFill>
                  <bgColor rgb="FFFFC7CE"/>
                </patternFill>
              </fill>
            </x14:dxf>
          </x14:cfRule>
          <xm:sqref>D365:D374 D391 D393:D394</xm:sqref>
        </x14:conditionalFormatting>
        <x14:conditionalFormatting xmlns:xm="http://schemas.microsoft.com/office/excel/2006/main">
          <x14:cfRule type="notContainsText" priority="34" operator="notContains" id="{01A89D14-032D-6748-8BD5-F05238AFCF49}">
            <xm:f>ISERROR(SEARCH("Value Missing",D376))</xm:f>
            <xm:f>"Value Missing"</xm:f>
            <x14:dxf>
              <font>
                <color rgb="FF006100"/>
              </font>
              <fill>
                <patternFill>
                  <bgColor rgb="FFC6EFCE"/>
                </patternFill>
              </fill>
            </x14:dxf>
          </x14:cfRule>
          <x14:cfRule type="containsText" priority="35" operator="containsText" id="{D5D704ED-C7DE-3B4A-B1F7-2E642EA4A16A}">
            <xm:f>NOT(ISERROR(SEARCH("Value Missing",D376)))</xm:f>
            <xm:f>"Value Missing"</xm:f>
            <x14:dxf>
              <font>
                <color rgb="FF9C0006"/>
              </font>
              <fill>
                <patternFill>
                  <bgColor rgb="FFFFC7CE"/>
                </patternFill>
              </fill>
            </x14:dxf>
          </x14:cfRule>
          <xm:sqref>D376</xm:sqref>
        </x14:conditionalFormatting>
        <x14:conditionalFormatting xmlns:xm="http://schemas.microsoft.com/office/excel/2006/main">
          <x14:cfRule type="containsText" priority="33" operator="containsText" id="{A5D4C651-9F88-D944-A3A9-3C24B956975D}">
            <xm:f>NOT(ISERROR(SEARCH("Value Missing",D379)))</xm:f>
            <xm:f>"Value Missing"</xm:f>
            <x14:dxf>
              <font>
                <color rgb="FF9C0006"/>
              </font>
              <fill>
                <patternFill>
                  <bgColor rgb="FFFFC7CE"/>
                </patternFill>
              </fill>
            </x14:dxf>
          </x14:cfRule>
          <x14:cfRule type="notContainsText" priority="32" operator="notContains" id="{58771AC1-43B6-6747-B33B-E9E0009AB405}">
            <xm:f>ISERROR(SEARCH("Value Missing",D379))</xm:f>
            <xm:f>"Value Missing"</xm:f>
            <x14:dxf>
              <font>
                <color rgb="FF006100"/>
              </font>
              <fill>
                <patternFill>
                  <bgColor rgb="FFC6EFCE"/>
                </patternFill>
              </fill>
            </x14:dxf>
          </x14:cfRule>
          <xm:sqref>D379</xm:sqref>
        </x14:conditionalFormatting>
        <x14:conditionalFormatting xmlns:xm="http://schemas.microsoft.com/office/excel/2006/main">
          <x14:cfRule type="notContainsText" priority="1031" operator="notContains" id="{9E79703D-213B-214B-BEA5-CC773738A46A}">
            <xm:f>ISERROR(SEARCH("Value Missing",D10))</xm:f>
            <xm:f>"Value Missing"</xm:f>
            <x14:dxf>
              <font>
                <color rgb="FF006100"/>
              </font>
              <fill>
                <patternFill>
                  <bgColor rgb="FFC6EFCE"/>
                </patternFill>
              </fill>
            </x14:dxf>
          </x14:cfRule>
          <xm:sqref>D381:D389 D10:D23 D25 D27</xm:sqref>
        </x14:conditionalFormatting>
        <x14:conditionalFormatting xmlns:xm="http://schemas.microsoft.com/office/excel/2006/main">
          <x14:cfRule type="containsText" priority="29" operator="containsText" id="{8C86172F-53C4-0E41-9D57-B6D86F3F5F97}">
            <xm:f>NOT(ISERROR(SEARCH("Value Missing",D383)))</xm:f>
            <xm:f>"Value Missing"</xm:f>
            <x14:dxf>
              <font>
                <color rgb="FF9C0006"/>
              </font>
              <fill>
                <patternFill>
                  <bgColor rgb="FFFFC7CE"/>
                </patternFill>
              </fill>
            </x14:dxf>
          </x14:cfRule>
          <x14:cfRule type="notContainsText" priority="28" operator="notContains" id="{AD9904D0-06CD-D64C-9CF5-6030304A6BA9}">
            <xm:f>ISERROR(SEARCH("Value Missing",D383))</xm:f>
            <xm:f>"Value Missing"</xm:f>
            <x14:dxf>
              <font>
                <color rgb="FF006100"/>
              </font>
              <fill>
                <patternFill>
                  <bgColor rgb="FFC6EFCE"/>
                </patternFill>
              </fill>
            </x14:dxf>
          </x14:cfRule>
          <xm:sqref>D383:D389</xm:sqref>
        </x14:conditionalFormatting>
        <x14:conditionalFormatting xmlns:xm="http://schemas.microsoft.com/office/excel/2006/main">
          <x14:cfRule type="containsText" priority="225" operator="containsText" id="{AF7CA3F5-0859-1244-ABBA-74646BBBF3B2}">
            <xm:f>NOT(ISERROR(SEARCH("Value Missing",D396)))</xm:f>
            <xm:f>"Value Missing"</xm:f>
            <x14:dxf>
              <font>
                <color rgb="FF9C0006"/>
              </font>
              <fill>
                <patternFill>
                  <bgColor rgb="FFFFC7CE"/>
                </patternFill>
              </fill>
            </x14:dxf>
          </x14:cfRule>
          <x14:cfRule type="notContainsText" priority="224" operator="notContains" id="{1031B891-CD6D-6B4D-975F-F86545F1A6EA}">
            <xm:f>ISERROR(SEARCH("Value Missing",D396))</xm:f>
            <xm:f>"Value Missing"</xm:f>
            <x14:dxf>
              <font>
                <color rgb="FF006100"/>
              </font>
              <fill>
                <patternFill>
                  <bgColor rgb="FFC6EFCE"/>
                </patternFill>
              </fill>
            </x14:dxf>
          </x14:cfRule>
          <xm:sqref>D396:D409</xm:sqref>
        </x14:conditionalFormatting>
        <x14:conditionalFormatting xmlns:xm="http://schemas.microsoft.com/office/excel/2006/main">
          <x14:cfRule type="containsText" priority="203" operator="containsText" id="{41F851DD-FCF3-DE42-BB11-18465C698698}">
            <xm:f>NOT(ISERROR(SEARCH("Value Missing",D399)))</xm:f>
            <xm:f>"Value Missing"</xm:f>
            <x14:dxf>
              <font>
                <color rgb="FF9C0006"/>
              </font>
              <fill>
                <patternFill>
                  <bgColor rgb="FFFFC7CE"/>
                </patternFill>
              </fill>
            </x14:dxf>
          </x14:cfRule>
          <x14:cfRule type="notContainsText" priority="202" operator="notContains" id="{2679EDC5-DBE3-0B41-9E22-E8520F4BB088}">
            <xm:f>ISERROR(SEARCH("Value Missing",D399))</xm:f>
            <xm:f>"Value Missing"</xm:f>
            <x14:dxf>
              <font>
                <color rgb="FF006100"/>
              </font>
              <fill>
                <patternFill>
                  <bgColor rgb="FFC6EFCE"/>
                </patternFill>
              </fill>
            </x14:dxf>
          </x14:cfRule>
          <xm:sqref>D399:D410</xm:sqref>
        </x14:conditionalFormatting>
        <x14:conditionalFormatting xmlns:xm="http://schemas.microsoft.com/office/excel/2006/main">
          <x14:cfRule type="containsText" priority="209" operator="containsText" id="{DDA7FB42-C490-CE45-9658-9688DA3F840A}">
            <xm:f>NOT(ISERROR(SEARCH("Value Missing",D405)))</xm:f>
            <xm:f>"Value Missing"</xm:f>
            <x14:dxf>
              <font>
                <color rgb="FF9C0006"/>
              </font>
              <fill>
                <patternFill>
                  <bgColor rgb="FFFFC7CE"/>
                </patternFill>
              </fill>
            </x14:dxf>
          </x14:cfRule>
          <x14:cfRule type="notContainsText" priority="208" operator="notContains" id="{E70AB75E-BFE0-734A-BAE3-9E3B751672BF}">
            <xm:f>ISERROR(SEARCH("Value Missing",D405))</xm:f>
            <xm:f>"Value Missing"</xm:f>
            <x14:dxf>
              <font>
                <color rgb="FF006100"/>
              </font>
              <fill>
                <patternFill>
                  <bgColor rgb="FFC6EFCE"/>
                </patternFill>
              </fill>
            </x14:dxf>
          </x14:cfRule>
          <xm:sqref>D405:D408</xm:sqref>
        </x14:conditionalFormatting>
        <x14:conditionalFormatting xmlns:xm="http://schemas.microsoft.com/office/excel/2006/main">
          <x14:cfRule type="notContainsText" priority="892" operator="notContains" id="{5601DAE4-333B-F943-93CA-C12945E028C7}">
            <xm:f>ISERROR(SEARCH("Value Missing",D240))</xm:f>
            <xm:f>"Value Missing"</xm:f>
            <x14:dxf>
              <font>
                <color rgb="FF006100"/>
              </font>
              <fill>
                <patternFill>
                  <bgColor rgb="FFC6EFCE"/>
                </patternFill>
              </fill>
            </x14:dxf>
          </x14:cfRule>
          <xm:sqref>D416:D427 D431:D434 D436 D438:D440 D442 D444:D446 D297:D355 D429 D293 D412 D359:D374 D391 D393:D410 D240:D242 D244 D246:D253 D295 D357 D414 D255 D257:D263 D265 D267:D276</xm:sqref>
        </x14:conditionalFormatting>
        <x14:conditionalFormatting xmlns:xm="http://schemas.microsoft.com/office/excel/2006/main">
          <x14:cfRule type="notContainsText" priority="762" operator="notContains" id="{83661713-85E7-D841-B187-A4B416C5650B}">
            <xm:f>ISERROR(SEARCH("Value Missing",D424))</xm:f>
            <xm:f>"Value Missing"</xm:f>
            <x14:dxf>
              <font>
                <color rgb="FF006100"/>
              </font>
              <fill>
                <patternFill>
                  <bgColor rgb="FFC6EFCE"/>
                </patternFill>
              </fill>
            </x14:dxf>
          </x14:cfRule>
          <x14:cfRule type="containsText" priority="763" operator="containsText" id="{454CF66D-8394-6D45-9EF9-C08AB0A35206}">
            <xm:f>NOT(ISERROR(SEARCH("Value Missing",D424)))</xm:f>
            <xm:f>"Value Missing"</xm:f>
            <x14:dxf>
              <font>
                <color rgb="FF9C0006"/>
              </font>
              <fill>
                <patternFill>
                  <bgColor rgb="FFFFC7CE"/>
                </patternFill>
              </fill>
            </x14:dxf>
          </x14:cfRule>
          <xm:sqref>D424:D427 D429 D431:D434 D436 D438:D440</xm:sqref>
        </x14:conditionalFormatting>
        <x14:conditionalFormatting xmlns:xm="http://schemas.microsoft.com/office/excel/2006/main">
          <x14:cfRule type="containsText" priority="891" operator="containsText" id="{98908FF8-3C21-8648-AF38-F1AB225C4825}">
            <xm:f>NOT(ISERROR(SEARCH("Value Missing",D425)))</xm:f>
            <xm:f>"Value Missing"</xm:f>
            <x14:dxf>
              <font>
                <color rgb="FF9C0006"/>
              </font>
              <fill>
                <patternFill>
                  <bgColor rgb="FFFFC7CE"/>
                </patternFill>
              </fill>
            </x14:dxf>
          </x14:cfRule>
          <x14:cfRule type="notContainsText" priority="890" operator="notContains" id="{C09950D8-7CAD-794C-BEB8-45DDAAFEACE9}">
            <xm:f>ISERROR(SEARCH("Value Missing",D425))</xm:f>
            <xm:f>"Value Missing"</xm:f>
            <x14:dxf>
              <font>
                <color rgb="FF006100"/>
              </font>
              <fill>
                <patternFill>
                  <bgColor rgb="FFC6EFCE"/>
                </patternFill>
              </fill>
            </x14:dxf>
          </x14:cfRule>
          <xm:sqref>D425</xm:sqref>
        </x14:conditionalFormatting>
        <x14:conditionalFormatting xmlns:xm="http://schemas.microsoft.com/office/excel/2006/main">
          <x14:cfRule type="containsText" priority="609" operator="containsText" id="{BF505997-12CE-E048-9043-D3B8E05EBF2C}">
            <xm:f>NOT(ISERROR(SEARCH("Value Missing",D427)))</xm:f>
            <xm:f>"Value Missing"</xm:f>
            <x14:dxf>
              <font>
                <color rgb="FF9C0006"/>
              </font>
              <fill>
                <patternFill>
                  <bgColor rgb="FFFFC7CE"/>
                </patternFill>
              </fill>
            </x14:dxf>
          </x14:cfRule>
          <x14:cfRule type="notContainsText" priority="608" operator="notContains" id="{24EC9B7F-99AD-C347-9F89-2C73B6A43E00}">
            <xm:f>ISERROR(SEARCH("Value Missing",D427))</xm:f>
            <xm:f>"Value Missing"</xm:f>
            <x14:dxf>
              <font>
                <color rgb="FF006100"/>
              </font>
              <fill>
                <patternFill>
                  <bgColor rgb="FFC6EFCE"/>
                </patternFill>
              </fill>
            </x14:dxf>
          </x14:cfRule>
          <xm:sqref>D427 D429</xm:sqref>
        </x14:conditionalFormatting>
        <x14:conditionalFormatting xmlns:xm="http://schemas.microsoft.com/office/excel/2006/main">
          <x14:cfRule type="containsText" priority="607" operator="containsText" id="{5AA48E89-0301-1346-B8D6-4FCEA1798443}">
            <xm:f>NOT(ISERROR(SEARCH("Value Missing",D427)))</xm:f>
            <xm:f>"Value Missing"</xm:f>
            <x14:dxf>
              <font>
                <color rgb="FF9C0006"/>
              </font>
              <fill>
                <patternFill>
                  <bgColor rgb="FFFFC7CE"/>
                </patternFill>
              </fill>
            </x14:dxf>
          </x14:cfRule>
          <x14:cfRule type="notContainsText" priority="606" operator="notContains" id="{E9D3C4D6-3A29-0549-974B-A4FDBF41F96C}">
            <xm:f>ISERROR(SEARCH("Value Missing",D427))</xm:f>
            <xm:f>"Value Missing"</xm:f>
            <x14:dxf>
              <font>
                <color rgb="FF006100"/>
              </font>
              <fill>
                <patternFill>
                  <bgColor rgb="FFC6EFCE"/>
                </patternFill>
              </fill>
            </x14:dxf>
          </x14:cfRule>
          <xm:sqref>D427</xm:sqref>
        </x14:conditionalFormatting>
        <x14:conditionalFormatting xmlns:xm="http://schemas.microsoft.com/office/excel/2006/main">
          <x14:cfRule type="containsText" priority="865" operator="containsText" id="{AD4A5C75-B24B-E544-AAA3-1E347FDE4CBC}">
            <xm:f>NOT(ISERROR(SEARCH("Value Missing",D431)))</xm:f>
            <xm:f>"Value Missing"</xm:f>
            <x14:dxf>
              <font>
                <color rgb="FF9C0006"/>
              </font>
              <fill>
                <patternFill>
                  <bgColor rgb="FFFFC7CE"/>
                </patternFill>
              </fill>
            </x14:dxf>
          </x14:cfRule>
          <x14:cfRule type="notContainsText" priority="864" operator="notContains" id="{41D21416-1699-5848-AA48-05C23B8014EC}">
            <xm:f>ISERROR(SEARCH("Value Missing",D431))</xm:f>
            <xm:f>"Value Missing"</xm:f>
            <x14:dxf>
              <font>
                <color rgb="FF006100"/>
              </font>
              <fill>
                <patternFill>
                  <bgColor rgb="FFC6EFCE"/>
                </patternFill>
              </fill>
            </x14:dxf>
          </x14:cfRule>
          <xm:sqref>D431:D434 D436 D438:D440 D442 D444:D446 D448 D450:D462</xm:sqref>
        </x14:conditionalFormatting>
        <x14:conditionalFormatting xmlns:xm="http://schemas.microsoft.com/office/excel/2006/main">
          <x14:cfRule type="notContainsText" priority="310" operator="notContains" id="{865338AE-E35A-4F46-9C8B-10FFD2B0DF66}">
            <xm:f>ISERROR(SEARCH("Value Missing",D429))</xm:f>
            <xm:f>"Value Missing"</xm:f>
            <x14:dxf>
              <font>
                <color rgb="FF006100"/>
              </font>
              <fill>
                <patternFill>
                  <bgColor rgb="FFC6EFCE"/>
                </patternFill>
              </fill>
            </x14:dxf>
          </x14:cfRule>
          <xm:sqref>D438:D440 D475:D485 D487 D491:D540 D542 D544:D558 D429 D431:D434 D436 D442 D444:D446 D448 D450:D462 D464 D466 D468 D470:D471 D473 D489</xm:sqref>
        </x14:conditionalFormatting>
        <x14:conditionalFormatting xmlns:xm="http://schemas.microsoft.com/office/excel/2006/main">
          <x14:cfRule type="containsText" priority="102" operator="containsText" id="{856552C4-3A03-AB4A-B04B-27517A4CA997}">
            <xm:f>NOT(ISERROR(SEARCH("Value Missing",D438)))</xm:f>
            <xm:f>"Value Missing"</xm:f>
            <x14:dxf>
              <font>
                <color rgb="FF9C0006"/>
              </font>
              <fill>
                <patternFill>
                  <bgColor rgb="FFFFC7CE"/>
                </patternFill>
              </fill>
            </x14:dxf>
          </x14:cfRule>
          <x14:cfRule type="notContainsText" priority="101" operator="notContains" id="{1DF88876-2B79-634D-A44C-1F63AF2E5695}">
            <xm:f>ISERROR(SEARCH("Value Missing",D438))</xm:f>
            <xm:f>"Value Missing"</xm:f>
            <x14:dxf>
              <font>
                <color rgb="FF006100"/>
              </font>
              <fill>
                <patternFill>
                  <bgColor rgb="FFC6EFCE"/>
                </patternFill>
              </fill>
            </x14:dxf>
          </x14:cfRule>
          <xm:sqref>D438:D440</xm:sqref>
        </x14:conditionalFormatting>
        <x14:conditionalFormatting xmlns:xm="http://schemas.microsoft.com/office/excel/2006/main">
          <x14:cfRule type="notContainsText" priority="120" operator="notContains" id="{1B59164C-E2AE-8945-9A3B-0BE65095AE8C}">
            <xm:f>ISERROR(SEARCH("Value Missing",D479))</xm:f>
            <xm:f>"Value Missing"</xm:f>
            <x14:dxf>
              <font>
                <color rgb="FF006100"/>
              </font>
              <fill>
                <patternFill>
                  <bgColor rgb="FFC6EFCE"/>
                </patternFill>
              </fill>
            </x14:dxf>
          </x14:cfRule>
          <x14:cfRule type="containsText" priority="121" operator="containsText" id="{1404547F-8418-364D-834A-6D0E10CC040B}">
            <xm:f>NOT(ISERROR(SEARCH("Value Missing",D479)))</xm:f>
            <xm:f>"Value Missing"</xm:f>
            <x14:dxf>
              <font>
                <color rgb="FF9C0006"/>
              </font>
              <fill>
                <patternFill>
                  <bgColor rgb="FFFFC7CE"/>
                </patternFill>
              </fill>
            </x14:dxf>
          </x14:cfRule>
          <xm:sqref>D479</xm:sqref>
        </x14:conditionalFormatting>
        <x14:conditionalFormatting xmlns:xm="http://schemas.microsoft.com/office/excel/2006/main">
          <x14:cfRule type="notContainsText" priority="114" operator="notContains" id="{EE2A6291-E28C-D644-8D5B-58B7D34D98E6}">
            <xm:f>ISERROR(SEARCH("Value Missing",D482))</xm:f>
            <xm:f>"Value Missing"</xm:f>
            <x14:dxf>
              <font>
                <color rgb="FF006100"/>
              </font>
              <fill>
                <patternFill>
                  <bgColor rgb="FFC6EFCE"/>
                </patternFill>
              </fill>
            </x14:dxf>
          </x14:cfRule>
          <x14:cfRule type="containsText" priority="115" operator="containsText" id="{D8F4224F-1E80-A446-BA9A-8FE20C69830F}">
            <xm:f>NOT(ISERROR(SEARCH("Value Missing",D482)))</xm:f>
            <xm:f>"Value Missing"</xm:f>
            <x14:dxf>
              <font>
                <color rgb="FF9C0006"/>
              </font>
              <fill>
                <patternFill>
                  <bgColor rgb="FFFFC7CE"/>
                </patternFill>
              </fill>
            </x14:dxf>
          </x14:cfRule>
          <xm:sqref>D482:D483</xm:sqref>
        </x14:conditionalFormatting>
        <x14:conditionalFormatting xmlns:xm="http://schemas.microsoft.com/office/excel/2006/main">
          <x14:cfRule type="containsText" priority="164" operator="containsText" id="{778AFF2D-B1AE-C643-B07F-BF961464C771}">
            <xm:f>NOT(ISERROR(SEARCH("Value Missing",D508)))</xm:f>
            <xm:f>"Value Missing"</xm:f>
            <x14:dxf>
              <font>
                <color rgb="FF9C0006"/>
              </font>
              <fill>
                <patternFill>
                  <bgColor rgb="FFFFC7CE"/>
                </patternFill>
              </fill>
            </x14:dxf>
          </x14:cfRule>
          <xm:sqref>D508:D540 D542</xm:sqref>
        </x14:conditionalFormatting>
        <x14:conditionalFormatting xmlns:xm="http://schemas.microsoft.com/office/excel/2006/main">
          <x14:cfRule type="containsText" priority="162" operator="containsText" id="{6D514B7F-63F8-3B41-98B7-F4CEE87A9FE7}">
            <xm:f>NOT(ISERROR(SEARCH("Value Missing",D544)))</xm:f>
            <xm:f>"Value Missing"</xm:f>
            <x14:dxf>
              <font>
                <color rgb="FF9C0006"/>
              </font>
              <fill>
                <patternFill>
                  <bgColor rgb="FFFFC7CE"/>
                </patternFill>
              </fill>
            </x14:dxf>
          </x14:cfRule>
          <xm:sqref>D544:D546</xm:sqref>
        </x14:conditionalFormatting>
        <x14:conditionalFormatting xmlns:xm="http://schemas.microsoft.com/office/excel/2006/main">
          <x14:cfRule type="notContainsText" priority="161" operator="notContains" id="{0A9A41FB-E82E-9A40-AF6D-5AC834770E6A}">
            <xm:f>ISERROR(SEARCH("Value Missing",D545))</xm:f>
            <xm:f>"Value Missing"</xm:f>
            <x14:dxf>
              <font>
                <color rgb="FF006100"/>
              </font>
              <fill>
                <patternFill>
                  <bgColor rgb="FFC6EFCE"/>
                </patternFill>
              </fill>
            </x14:dxf>
          </x14:cfRule>
          <xm:sqref>D545</xm:sqref>
        </x14:conditionalFormatting>
        <x14:conditionalFormatting xmlns:xm="http://schemas.microsoft.com/office/excel/2006/main">
          <x14:cfRule type="notContainsText" priority="129" operator="notContains" id="{60DA0C44-4499-CE49-A347-D2B41AA20AF5}">
            <xm:f>ISERROR(SEARCH("Value Missing",D547))</xm:f>
            <xm:f>"Value Missing"</xm:f>
            <x14:dxf>
              <font>
                <color rgb="FF006100"/>
              </font>
              <fill>
                <patternFill>
                  <bgColor rgb="FFC6EFCE"/>
                </patternFill>
              </fill>
            </x14:dxf>
          </x14:cfRule>
          <x14:cfRule type="containsText" priority="130" operator="containsText" id="{E1212909-D8D7-4943-9432-39A867AA9A8E}">
            <xm:f>NOT(ISERROR(SEARCH("Value Missing",D547)))</xm:f>
            <xm:f>"Value Missing"</xm:f>
            <x14:dxf>
              <font>
                <color rgb="FF9C0006"/>
              </font>
              <fill>
                <patternFill>
                  <bgColor rgb="FFFFC7CE"/>
                </patternFill>
              </fill>
            </x14:dxf>
          </x14:cfRule>
          <xm:sqref>D547:D558</xm:sqref>
        </x14:conditionalFormatting>
        <x14:conditionalFormatting xmlns:xm="http://schemas.microsoft.com/office/excel/2006/main">
          <x14:cfRule type="containsText" priority="601" operator="containsText" id="{E75E2944-D9B3-CC45-9755-07B84EC96A70}">
            <xm:f>NOT(ISERROR(SEARCH("Value Missing",D429)))</xm:f>
            <xm:f>"Value Missing"</xm:f>
            <x14:dxf>
              <font>
                <color rgb="FF9C0006"/>
              </font>
              <fill>
                <patternFill>
                  <bgColor rgb="FFFFC7CE"/>
                </patternFill>
              </fill>
            </x14:dxf>
          </x14:cfRule>
          <xm:sqref>D560 D562:D566 D568 D570:D572 D574 D576 D578 D580:D583 D585 D587:D590 D592 D594:D599 D601 D603:D604 D606 D608:D615 D617 D619 D429 D431:D434 D436 D438:D440 D442 D444:D446 D448 D450:D462 D464 D466 D468 D470:D471 D473 D475:D485 D487 D489 D491:D540 D542 D544:D558</xm:sqref>
        </x14:conditionalFormatting>
        <x14:conditionalFormatting xmlns:xm="http://schemas.microsoft.com/office/excel/2006/main">
          <x14:cfRule type="containsText" priority="655" operator="containsText" id="{52A0FFF1-462A-CC42-84E2-96EC61CAD308}">
            <xm:f>NOT(ISERROR(SEARCH("Value Missing",D570)))</xm:f>
            <xm:f>"Value Missing"</xm:f>
            <x14:dxf>
              <font>
                <color rgb="FF9C0006"/>
              </font>
              <fill>
                <patternFill>
                  <bgColor rgb="FFFFC7CE"/>
                </patternFill>
              </fill>
            </x14:dxf>
          </x14:cfRule>
          <xm:sqref>D570:D572 D574 D576 D578 D580:D583 D585 D587:D590 D592 D594:D598</xm:sqref>
        </x14:conditionalFormatting>
        <x14:conditionalFormatting xmlns:xm="http://schemas.microsoft.com/office/excel/2006/main">
          <x14:cfRule type="containsText" priority="653" operator="containsText" id="{07272A6C-2221-B248-9054-4B297DBB8F42}">
            <xm:f>NOT(ISERROR(SEARCH("Value Missing",D574)))</xm:f>
            <xm:f>"Value Missing"</xm:f>
            <x14:dxf>
              <font>
                <color rgb="FF9C0006"/>
              </font>
              <fill>
                <patternFill>
                  <bgColor rgb="FFFFC7CE"/>
                </patternFill>
              </fill>
            </x14:dxf>
          </x14:cfRule>
          <xm:sqref>D574 D576 D578 D580:D582 D585 D588:D590 D603:D604</xm:sqref>
        </x14:conditionalFormatting>
        <x14:conditionalFormatting xmlns:xm="http://schemas.microsoft.com/office/excel/2006/main">
          <x14:cfRule type="notContainsText" priority="654" operator="notContains" id="{8CB6979F-2CB8-5141-AA7B-8DB869BC3B84}">
            <xm:f>ISERROR(SEARCH("Value Missing",D570))</xm:f>
            <xm:f>"Value Missing"</xm:f>
            <x14:dxf>
              <font>
                <color rgb="FF006100"/>
              </font>
              <fill>
                <patternFill>
                  <bgColor rgb="FFC6EFCE"/>
                </patternFill>
              </fill>
            </x14:dxf>
          </x14:cfRule>
          <xm:sqref>D574 D576 D578 D580:D583 D585 D587:D590 D570:D572 D592 D594:D598</xm:sqref>
        </x14:conditionalFormatting>
        <x14:conditionalFormatting xmlns:xm="http://schemas.microsoft.com/office/excel/2006/main">
          <x14:cfRule type="notContainsText" priority="600" operator="notContains" id="{48EA9E9B-EDC9-B143-859B-7FCAFBF3732A}">
            <xm:f>ISERROR(SEARCH("Value Missing",D560))</xm:f>
            <xm:f>"Value Missing"</xm:f>
            <x14:dxf>
              <font>
                <color rgb="FF006100"/>
              </font>
              <fill>
                <patternFill>
                  <bgColor rgb="FFC6EFCE"/>
                </patternFill>
              </fill>
            </x14:dxf>
          </x14:cfRule>
          <xm:sqref>D576 D580:D583 D585 D587:D590 D592 D594:D599 D601 D603:D604 D606 D608:D615 D617 D619 D574 D578 D560 D562:D566 D568 D570:D572</xm:sqref>
        </x14:conditionalFormatting>
        <x14:conditionalFormatting xmlns:xm="http://schemas.microsoft.com/office/excel/2006/main">
          <x14:cfRule type="notContainsText" priority="568" operator="notContains" id="{4CAE7DE8-9A48-F343-99E9-5A8C162420DF}">
            <xm:f>ISERROR(SEARCH("Value Missing",D576))</xm:f>
            <xm:f>"Value Missing"</xm:f>
            <x14:dxf>
              <font>
                <color rgb="FF006100"/>
              </font>
              <fill>
                <patternFill>
                  <bgColor rgb="FFC6EFCE"/>
                </patternFill>
              </fill>
            </x14:dxf>
          </x14:cfRule>
          <x14:cfRule type="containsText" priority="569" operator="containsText" id="{038A7669-49E2-E844-AD19-4C20B67EA0E0}">
            <xm:f>NOT(ISERROR(SEARCH("Value Missing",D576)))</xm:f>
            <xm:f>"Value Missing"</xm:f>
            <x14:dxf>
              <font>
                <color rgb="FF9C0006"/>
              </font>
              <fill>
                <patternFill>
                  <bgColor rgb="FFFFC7CE"/>
                </patternFill>
              </fill>
            </x14:dxf>
          </x14:cfRule>
          <xm:sqref>D576</xm:sqref>
        </x14:conditionalFormatting>
        <x14:conditionalFormatting xmlns:xm="http://schemas.microsoft.com/office/excel/2006/main">
          <x14:cfRule type="containsText" priority="553" operator="containsText" id="{4687CA6F-FA57-864C-8B13-A7F1CD49107A}">
            <xm:f>NOT(ISERROR(SEARCH("Value Missing",D580)))</xm:f>
            <xm:f>"Value Missing"</xm:f>
            <x14:dxf>
              <font>
                <color rgb="FF9C0006"/>
              </font>
              <fill>
                <patternFill>
                  <bgColor rgb="FFFFC7CE"/>
                </patternFill>
              </fill>
            </x14:dxf>
          </x14:cfRule>
          <xm:sqref>D580:D583 D585 D587:D590</xm:sqref>
        </x14:conditionalFormatting>
        <x14:conditionalFormatting xmlns:xm="http://schemas.microsoft.com/office/excel/2006/main">
          <x14:cfRule type="notContainsText" priority="552" operator="notContains" id="{05A00CE0-34B2-B14C-85F2-C8F47F7D35B6}">
            <xm:f>ISERROR(SEARCH("Value Missing",D580))</xm:f>
            <xm:f>"Value Missing"</xm:f>
            <x14:dxf>
              <font>
                <color rgb="FF006100"/>
              </font>
              <fill>
                <patternFill>
                  <bgColor rgb="FFC6EFCE"/>
                </patternFill>
              </fill>
            </x14:dxf>
          </x14:cfRule>
          <xm:sqref>D580:D583 D587:D590 D585</xm:sqref>
        </x14:conditionalFormatting>
        <x14:conditionalFormatting xmlns:xm="http://schemas.microsoft.com/office/excel/2006/main">
          <x14:cfRule type="notContainsText" priority="538" operator="notContains" id="{0A48C3DE-941F-6D46-858A-078067318864}">
            <xm:f>ISERROR(SEARCH("Value Missing",D583))</xm:f>
            <xm:f>"Value Missing"</xm:f>
            <x14:dxf>
              <font>
                <color rgb="FF006100"/>
              </font>
              <fill>
                <patternFill>
                  <bgColor rgb="FFC6EFCE"/>
                </patternFill>
              </fill>
            </x14:dxf>
          </x14:cfRule>
          <x14:cfRule type="containsText" priority="539" operator="containsText" id="{0DFC6712-84B9-104A-814A-0060A6695012}">
            <xm:f>NOT(ISERROR(SEARCH("Value Missing",D583)))</xm:f>
            <xm:f>"Value Missing"</xm:f>
            <x14:dxf>
              <font>
                <color rgb="FF9C0006"/>
              </font>
              <fill>
                <patternFill>
                  <bgColor rgb="FFFFC7CE"/>
                </patternFill>
              </fill>
            </x14:dxf>
          </x14:cfRule>
          <x14:cfRule type="notContainsText" priority="540" operator="notContains" id="{354244A4-291C-C746-B48A-3A25CBFD5C27}">
            <xm:f>ISERROR(SEARCH("Value Missing",D583))</xm:f>
            <xm:f>"Value Missing"</xm:f>
            <x14:dxf>
              <font>
                <color rgb="FF006100"/>
              </font>
              <fill>
                <patternFill>
                  <bgColor rgb="FFC6EFCE"/>
                </patternFill>
              </fill>
            </x14:dxf>
          </x14:cfRule>
          <x14:cfRule type="containsText" priority="541" operator="containsText" id="{B721BCF1-214D-374F-B1A1-4D12AF59EC3D}">
            <xm:f>NOT(ISERROR(SEARCH("Value Missing",D583)))</xm:f>
            <xm:f>"Value Missing"</xm:f>
            <x14:dxf>
              <font>
                <color rgb="FF9C0006"/>
              </font>
              <fill>
                <patternFill>
                  <bgColor rgb="FFFFC7CE"/>
                </patternFill>
              </fill>
            </x14:dxf>
          </x14:cfRule>
          <xm:sqref>D583</xm:sqref>
        </x14:conditionalFormatting>
        <x14:conditionalFormatting xmlns:xm="http://schemas.microsoft.com/office/excel/2006/main">
          <x14:cfRule type="notContainsText" priority="532" operator="notContains" id="{3457407C-E7BA-F942-B136-1FFAD76C2410}">
            <xm:f>ISERROR(SEARCH("Value Missing",D587))</xm:f>
            <xm:f>"Value Missing"</xm:f>
            <x14:dxf>
              <font>
                <color rgb="FF006100"/>
              </font>
              <fill>
                <patternFill>
                  <bgColor rgb="FFC6EFCE"/>
                </patternFill>
              </fill>
            </x14:dxf>
          </x14:cfRule>
          <x14:cfRule type="containsText" priority="531" operator="containsText" id="{65D814A1-2A6B-8043-B896-5158625675A3}">
            <xm:f>NOT(ISERROR(SEARCH("Value Missing",D587)))</xm:f>
            <xm:f>"Value Missing"</xm:f>
            <x14:dxf>
              <font>
                <color rgb="FF9C0006"/>
              </font>
              <fill>
                <patternFill>
                  <bgColor rgb="FFFFC7CE"/>
                </patternFill>
              </fill>
            </x14:dxf>
          </x14:cfRule>
          <x14:cfRule type="notContainsText" priority="530" operator="notContains" id="{F5E26193-F67A-E64D-A40A-3F393A96E370}">
            <xm:f>ISERROR(SEARCH("Value Missing",D587))</xm:f>
            <xm:f>"Value Missing"</xm:f>
            <x14:dxf>
              <font>
                <color rgb="FF006100"/>
              </font>
              <fill>
                <patternFill>
                  <bgColor rgb="FFC6EFCE"/>
                </patternFill>
              </fill>
            </x14:dxf>
          </x14:cfRule>
          <x14:cfRule type="containsText" priority="533" operator="containsText" id="{2C10FCBF-5C2B-BE43-9C30-C6DA8FFF8AEB}">
            <xm:f>NOT(ISERROR(SEARCH("Value Missing",D587)))</xm:f>
            <xm:f>"Value Missing"</xm:f>
            <x14:dxf>
              <font>
                <color rgb="FF9C0006"/>
              </font>
              <fill>
                <patternFill>
                  <bgColor rgb="FFFFC7CE"/>
                </patternFill>
              </fill>
            </x14:dxf>
          </x14:cfRule>
          <xm:sqref>D587</xm:sqref>
        </x14:conditionalFormatting>
        <x14:conditionalFormatting xmlns:xm="http://schemas.microsoft.com/office/excel/2006/main">
          <x14:cfRule type="containsText" priority="521" operator="containsText" id="{0FBEBECB-6BBF-EF43-851F-5A14D871B884}">
            <xm:f>NOT(ISERROR(SEARCH("Value Missing",D590)))</xm:f>
            <xm:f>"Value Missing"</xm:f>
            <x14:dxf>
              <font>
                <color rgb="FF9C0006"/>
              </font>
              <fill>
                <patternFill>
                  <bgColor rgb="FFFFC7CE"/>
                </patternFill>
              </fill>
            </x14:dxf>
          </x14:cfRule>
          <xm:sqref>D590 D592 D594:D599 D601 D603:D604 D606 D608:D615 D617 D619:D630 D632 D634:D638 D640 D642:D644 D646 D648:D650</xm:sqref>
        </x14:conditionalFormatting>
        <x14:conditionalFormatting xmlns:xm="http://schemas.microsoft.com/office/excel/2006/main">
          <x14:cfRule type="notContainsText" priority="652" operator="notContains" id="{1ED32E57-9C05-8640-AE1D-3AFCE48A37FE}">
            <xm:f>ISERROR(SEARCH("Value Missing",D574))</xm:f>
            <xm:f>"Value Missing"</xm:f>
            <x14:dxf>
              <font>
                <color rgb="FF006100"/>
              </font>
              <fill>
                <patternFill>
                  <bgColor rgb="FFC6EFCE"/>
                </patternFill>
              </fill>
            </x14:dxf>
          </x14:cfRule>
          <xm:sqref>D603:D604 D574 D576 D578 D580:D582 D585 D588:D590</xm:sqref>
        </x14:conditionalFormatting>
        <x14:conditionalFormatting xmlns:xm="http://schemas.microsoft.com/office/excel/2006/main">
          <x14:cfRule type="containsText" priority="633" operator="containsText" id="{F8003DC2-1B6F-2F4B-A788-EA8F88C73F7C}">
            <xm:f>NOT(ISERROR(SEARCH("Value Missing",D603)))</xm:f>
            <xm:f>"Value Missing"</xm:f>
            <x14:dxf>
              <font>
                <color rgb="FF9C0006"/>
              </font>
              <fill>
                <patternFill>
                  <bgColor rgb="FFFFC7CE"/>
                </patternFill>
              </fill>
            </x14:dxf>
          </x14:cfRule>
          <x14:cfRule type="notContainsText" priority="632" operator="notContains" id="{7DF213D7-ADAA-7348-AC20-FCA300E8AD36}">
            <xm:f>ISERROR(SEARCH("Value Missing",D603))</xm:f>
            <xm:f>"Value Missing"</xm:f>
            <x14:dxf>
              <font>
                <color rgb="FF006100"/>
              </font>
              <fill>
                <patternFill>
                  <bgColor rgb="FFC6EFCE"/>
                </patternFill>
              </fill>
            </x14:dxf>
          </x14:cfRule>
          <xm:sqref>D603:D604 D606 D608:D615 D617 D619:D630</xm:sqref>
        </x14:conditionalFormatting>
        <x14:conditionalFormatting xmlns:xm="http://schemas.microsoft.com/office/excel/2006/main">
          <x14:cfRule type="notContainsText" priority="334" operator="notContains" id="{9E796840-9C21-D343-A0F0-88A591AA0E28}">
            <xm:f>ISERROR(SEARCH("Value Missing",D606))</xm:f>
            <xm:f>"Value Missing"</xm:f>
            <x14:dxf>
              <font>
                <color rgb="FF006100"/>
              </font>
              <fill>
                <patternFill>
                  <bgColor rgb="FFC6EFCE"/>
                </patternFill>
              </fill>
            </x14:dxf>
          </x14:cfRule>
          <x14:cfRule type="containsText" priority="335" operator="containsText" id="{D9E942F2-130E-164B-9F8D-0BEB97209301}">
            <xm:f>NOT(ISERROR(SEARCH("Value Missing",D606)))</xm:f>
            <xm:f>"Value Missing"</xm:f>
            <x14:dxf>
              <font>
                <color rgb="FF9C0006"/>
              </font>
              <fill>
                <patternFill>
                  <bgColor rgb="FFFFC7CE"/>
                </patternFill>
              </fill>
            </x14:dxf>
          </x14:cfRule>
          <xm:sqref>D606</xm:sqref>
        </x14:conditionalFormatting>
        <x14:conditionalFormatting xmlns:xm="http://schemas.microsoft.com/office/excel/2006/main">
          <x14:cfRule type="containsText" priority="361" operator="containsText" id="{65C36464-2DD0-5A40-AE83-6FA99338631D}">
            <xm:f>NOT(ISERROR(SEARCH("Value Missing",D608)))</xm:f>
            <xm:f>"Value Missing"</xm:f>
            <x14:dxf>
              <font>
                <color rgb="FF9C0006"/>
              </font>
              <fill>
                <patternFill>
                  <bgColor rgb="FFFFC7CE"/>
                </patternFill>
              </fill>
            </x14:dxf>
          </x14:cfRule>
          <x14:cfRule type="notContainsText" priority="360" operator="notContains" id="{760C3212-9A21-224E-AF3A-793BAC4FEAE2}">
            <xm:f>ISERROR(SEARCH("Value Missing",D608))</xm:f>
            <xm:f>"Value Missing"</xm:f>
            <x14:dxf>
              <font>
                <color rgb="FF006100"/>
              </font>
              <fill>
                <patternFill>
                  <bgColor rgb="FFC6EFCE"/>
                </patternFill>
              </fill>
            </x14:dxf>
          </x14:cfRule>
          <xm:sqref>D608</xm:sqref>
        </x14:conditionalFormatting>
        <x14:conditionalFormatting xmlns:xm="http://schemas.microsoft.com/office/excel/2006/main">
          <x14:cfRule type="notContainsText" priority="362" operator="notContains" id="{77729B68-BBB1-A64E-8AA0-07E9D54F972E}">
            <xm:f>ISERROR(SEARCH("Value Missing",D608))</xm:f>
            <xm:f>"Value Missing"</xm:f>
            <x14:dxf>
              <font>
                <color rgb="FF006100"/>
              </font>
              <fill>
                <patternFill>
                  <bgColor rgb="FFC6EFCE"/>
                </patternFill>
              </fill>
            </x14:dxf>
          </x14:cfRule>
          <x14:cfRule type="containsText" priority="363" operator="containsText" id="{C41A4C85-8D4A-8A41-87F1-8BE350490C5D}">
            <xm:f>NOT(ISERROR(SEARCH("Value Missing",D608)))</xm:f>
            <xm:f>"Value Missing"</xm:f>
            <x14:dxf>
              <font>
                <color rgb="FF9C0006"/>
              </font>
              <fill>
                <patternFill>
                  <bgColor rgb="FFFFC7CE"/>
                </patternFill>
              </fill>
            </x14:dxf>
          </x14:cfRule>
          <xm:sqref>D608:D609</xm:sqref>
        </x14:conditionalFormatting>
        <x14:conditionalFormatting xmlns:xm="http://schemas.microsoft.com/office/excel/2006/main">
          <x14:cfRule type="notContainsText" priority="344" operator="notContains" id="{0AF8F5B9-C6B9-924C-9551-4782DCDD3C9C}">
            <xm:f>ISERROR(SEARCH("Value Missing",D610))</xm:f>
            <xm:f>"Value Missing"</xm:f>
            <x14:dxf>
              <font>
                <color rgb="FF006100"/>
              </font>
              <fill>
                <patternFill>
                  <bgColor rgb="FFC6EFCE"/>
                </patternFill>
              </fill>
            </x14:dxf>
          </x14:cfRule>
          <x14:cfRule type="containsText" priority="345" operator="containsText" id="{39AD3302-D1DB-8C4F-9BA5-F660B1711BD2}">
            <xm:f>NOT(ISERROR(SEARCH("Value Missing",D610)))</xm:f>
            <xm:f>"Value Missing"</xm:f>
            <x14:dxf>
              <font>
                <color rgb="FF9C0006"/>
              </font>
              <fill>
                <patternFill>
                  <bgColor rgb="FFFFC7CE"/>
                </patternFill>
              </fill>
            </x14:dxf>
          </x14:cfRule>
          <xm:sqref>D610:D611</xm:sqref>
        </x14:conditionalFormatting>
        <x14:conditionalFormatting xmlns:xm="http://schemas.microsoft.com/office/excel/2006/main">
          <x14:cfRule type="notContainsText" priority="340" operator="notContains" id="{54F677FF-304D-7740-88C5-6F95C1FF8BA3}">
            <xm:f>ISERROR(SEARCH("Value Missing",D611))</xm:f>
            <xm:f>"Value Missing"</xm:f>
            <x14:dxf>
              <font>
                <color rgb="FF006100"/>
              </font>
              <fill>
                <patternFill>
                  <bgColor rgb="FFC6EFCE"/>
                </patternFill>
              </fill>
            </x14:dxf>
          </x14:cfRule>
          <x14:cfRule type="containsText" priority="341" operator="containsText" id="{D85906F0-527E-F84A-AAA9-1A5A5166997C}">
            <xm:f>NOT(ISERROR(SEARCH("Value Missing",D611)))</xm:f>
            <xm:f>"Value Missing"</xm:f>
            <x14:dxf>
              <font>
                <color rgb="FF9C0006"/>
              </font>
              <fill>
                <patternFill>
                  <bgColor rgb="FFFFC7CE"/>
                </patternFill>
              </fill>
            </x14:dxf>
          </x14:cfRule>
          <xm:sqref>D611:D613</xm:sqref>
        </x14:conditionalFormatting>
        <x14:conditionalFormatting xmlns:xm="http://schemas.microsoft.com/office/excel/2006/main">
          <x14:cfRule type="notContainsText" priority="338" operator="notContains" id="{32AEB564-5F97-EC40-928D-649C889D5264}">
            <xm:f>ISERROR(SEARCH("Value Missing",D612))</xm:f>
            <xm:f>"Value Missing"</xm:f>
            <x14:dxf>
              <font>
                <color rgb="FF006100"/>
              </font>
              <fill>
                <patternFill>
                  <bgColor rgb="FFC6EFCE"/>
                </patternFill>
              </fill>
            </x14:dxf>
          </x14:cfRule>
          <x14:cfRule type="containsText" priority="339" operator="containsText" id="{2D1D6953-9CE9-9749-AD1F-C16EFEA2544A}">
            <xm:f>NOT(ISERROR(SEARCH("Value Missing",D612)))</xm:f>
            <xm:f>"Value Missing"</xm:f>
            <x14:dxf>
              <font>
                <color rgb="FF9C0006"/>
              </font>
              <fill>
                <patternFill>
                  <bgColor rgb="FFFFC7CE"/>
                </patternFill>
              </fill>
            </x14:dxf>
          </x14:cfRule>
          <xm:sqref>D612</xm:sqref>
        </x14:conditionalFormatting>
        <x14:conditionalFormatting xmlns:xm="http://schemas.microsoft.com/office/excel/2006/main">
          <x14:cfRule type="notContainsText" priority="336" operator="notContains" id="{3C0F63E9-19EB-5C45-A6B3-4B3F946F44FB}">
            <xm:f>ISERROR(SEARCH("Value Missing",D614))</xm:f>
            <xm:f>"Value Missing"</xm:f>
            <x14:dxf>
              <font>
                <color rgb="FF006100"/>
              </font>
              <fill>
                <patternFill>
                  <bgColor rgb="FFC6EFCE"/>
                </patternFill>
              </fill>
            </x14:dxf>
          </x14:cfRule>
          <x14:cfRule type="containsText" priority="337" operator="containsText" id="{E236B58B-9E69-D34D-BD81-6E88B6250908}">
            <xm:f>NOT(ISERROR(SEARCH("Value Missing",D614)))</xm:f>
            <xm:f>"Value Missing"</xm:f>
            <x14:dxf>
              <font>
                <color rgb="FF9C0006"/>
              </font>
              <fill>
                <patternFill>
                  <bgColor rgb="FFFFC7CE"/>
                </patternFill>
              </fill>
            </x14:dxf>
          </x14:cfRule>
          <xm:sqref>D614:D615</xm:sqref>
        </x14:conditionalFormatting>
        <x14:conditionalFormatting xmlns:xm="http://schemas.microsoft.com/office/excel/2006/main">
          <x14:cfRule type="notContainsText" priority="520" operator="notContains" id="{7D0C3FFF-10A5-8E46-8F91-024EB62C9532}">
            <xm:f>ISERROR(SEARCH("Value Missing",D590))</xm:f>
            <xm:f>"Value Missing"</xm:f>
            <x14:dxf>
              <font>
                <color rgb="FF006100"/>
              </font>
              <fill>
                <patternFill>
                  <bgColor rgb="FFC6EFCE"/>
                </patternFill>
              </fill>
            </x14:dxf>
          </x14:cfRule>
          <xm:sqref>D634:D638 D608:D615 D606 D590 D592 D594:D599 D617 D619:D630 D601 D603:D604 D632 D640 D642:D644 D646 D648:D650</xm:sqref>
        </x14:conditionalFormatting>
        <x14:conditionalFormatting xmlns:xm="http://schemas.microsoft.com/office/excel/2006/main">
          <x14:cfRule type="containsText" priority="587" operator="containsText" id="{61B04B8F-F7AF-9441-8410-3E76EE5A493C}">
            <xm:f>NOT(ISERROR(SEARCH("Value Missing",D634)))</xm:f>
            <xm:f>"Value Missing"</xm:f>
            <x14:dxf>
              <font>
                <color rgb="FF9C0006"/>
              </font>
              <fill>
                <patternFill>
                  <bgColor rgb="FFFFC7CE"/>
                </patternFill>
              </fill>
            </x14:dxf>
          </x14:cfRule>
          <xm:sqref>D634:D638 D640 D642:D644 D646 D648:D650 D652 D654:D657</xm:sqref>
        </x14:conditionalFormatting>
        <x14:conditionalFormatting xmlns:xm="http://schemas.microsoft.com/office/excel/2006/main">
          <x14:cfRule type="notContainsText" priority="586" operator="notContains" id="{21258D12-F2C0-E941-B182-BFCC144339C7}">
            <xm:f>ISERROR(SEARCH("Value Missing",D634))</xm:f>
            <xm:f>"Value Missing"</xm:f>
            <x14:dxf>
              <font>
                <color rgb="FF006100"/>
              </font>
              <fill>
                <patternFill>
                  <bgColor rgb="FFC6EFCE"/>
                </patternFill>
              </fill>
            </x14:dxf>
          </x14:cfRule>
          <xm:sqref>D634:D638 D640 D642:D644 D646 D648:D650 D654:D657 D652</xm:sqref>
        </x14:conditionalFormatting>
        <x14:conditionalFormatting xmlns:xm="http://schemas.microsoft.com/office/excel/2006/main">
          <x14:cfRule type="containsText" priority="517" operator="containsText" id="{7DD3EA2A-8094-E648-A118-EDB1F6C56D33}">
            <xm:f>NOT(ISERROR(SEARCH("Value Missing",D637)))</xm:f>
            <xm:f>"Value Missing"</xm:f>
            <x14:dxf>
              <font>
                <color rgb="FF9C0006"/>
              </font>
              <fill>
                <patternFill>
                  <bgColor rgb="FFFFC7CE"/>
                </patternFill>
              </fill>
            </x14:dxf>
          </x14:cfRule>
          <x14:cfRule type="notContainsText" priority="516" operator="notContains" id="{432C2052-03AF-A743-A363-6332FF8CC06A}">
            <xm:f>ISERROR(SEARCH("Value Missing",D637))</xm:f>
            <xm:f>"Value Missing"</xm:f>
            <x14:dxf>
              <font>
                <color rgb="FF006100"/>
              </font>
              <fill>
                <patternFill>
                  <bgColor rgb="FFC6EFCE"/>
                </patternFill>
              </fill>
            </x14:dxf>
          </x14:cfRule>
          <xm:sqref>D637</xm:sqref>
        </x14:conditionalFormatting>
        <x14:conditionalFormatting xmlns:xm="http://schemas.microsoft.com/office/excel/2006/main">
          <x14:cfRule type="containsText" priority="375" operator="containsText" id="{722F688B-E4C5-FC49-AC6C-2B17AD964F1C}">
            <xm:f>NOT(ISERROR(SEARCH("Value Missing",D654)))</xm:f>
            <xm:f>"Value Missing"</xm:f>
            <x14:dxf>
              <font>
                <color rgb="FF9C0006"/>
              </font>
              <fill>
                <patternFill>
                  <bgColor rgb="FFFFC7CE"/>
                </patternFill>
              </fill>
            </x14:dxf>
          </x14:cfRule>
          <x14:cfRule type="notContainsText" priority="374" operator="notContains" id="{BE779ED5-FB34-E34C-AF53-079451B01981}">
            <xm:f>ISERROR(SEARCH("Value Missing",D654))</xm:f>
            <xm:f>"Value Missing"</xm:f>
            <x14:dxf>
              <font>
                <color rgb="FF006100"/>
              </font>
              <fill>
                <patternFill>
                  <bgColor rgb="FFC6EFCE"/>
                </patternFill>
              </fill>
            </x14:dxf>
          </x14:cfRule>
          <xm:sqref>D654</xm:sqref>
        </x14:conditionalFormatting>
        <x14:conditionalFormatting xmlns:xm="http://schemas.microsoft.com/office/excel/2006/main">
          <x14:cfRule type="containsText" priority="509" operator="containsText" id="{9B396EC0-AEA3-934F-81B5-34197FE2BB7E}">
            <xm:f>NOT(ISERROR(SEARCH("Value Missing",D655)))</xm:f>
            <xm:f>"Value Missing"</xm:f>
            <x14:dxf>
              <font>
                <color rgb="FF9C0006"/>
              </font>
              <fill>
                <patternFill>
                  <bgColor rgb="FFFFC7CE"/>
                </patternFill>
              </fill>
            </x14:dxf>
          </x14:cfRule>
          <x14:cfRule type="notContainsText" priority="508" operator="notContains" id="{EED9F3D8-CF29-F742-AFF3-0CC97EBF7E61}">
            <xm:f>ISERROR(SEARCH("Value Missing",D655))</xm:f>
            <xm:f>"Value Missing"</xm:f>
            <x14:dxf>
              <font>
                <color rgb="FF006100"/>
              </font>
              <fill>
                <patternFill>
                  <bgColor rgb="FFC6EFCE"/>
                </patternFill>
              </fill>
            </x14:dxf>
          </x14:cfRule>
          <xm:sqref>D655:D685</xm:sqref>
        </x14:conditionalFormatting>
        <x14:conditionalFormatting xmlns:xm="http://schemas.microsoft.com/office/excel/2006/main">
          <x14:cfRule type="notContainsText" priority="426" operator="notContains" id="{62CB3BC0-01FA-8244-8208-A6705EBEB470}">
            <xm:f>ISERROR(SEARCH("Value Missing",D658))</xm:f>
            <xm:f>"Value Missing"</xm:f>
            <x14:dxf>
              <font>
                <color rgb="FF006100"/>
              </font>
              <fill>
                <patternFill>
                  <bgColor rgb="FFC6EFCE"/>
                </patternFill>
              </fill>
            </x14:dxf>
          </x14:cfRule>
          <x14:cfRule type="containsText" priority="427" operator="containsText" id="{8AF6E6DD-FDE5-0543-BA10-A6BA6BE93DCE}">
            <xm:f>NOT(ISERROR(SEARCH("Value Missing",D658)))</xm:f>
            <xm:f>"Value Missing"</xm:f>
            <x14:dxf>
              <font>
                <color rgb="FF9C0006"/>
              </font>
              <fill>
                <patternFill>
                  <bgColor rgb="FFFFC7CE"/>
                </patternFill>
              </fill>
            </x14:dxf>
          </x14:cfRule>
          <xm:sqref>D658:D665</xm:sqref>
        </x14:conditionalFormatting>
        <x14:conditionalFormatting xmlns:xm="http://schemas.microsoft.com/office/excel/2006/main">
          <x14:cfRule type="notContainsText" priority="464" operator="notContains" id="{0F5E8411-57F8-E640-8E52-5BF8A516F95B}">
            <xm:f>ISERROR(SEARCH("Value Missing",D660))</xm:f>
            <xm:f>"Value Missing"</xm:f>
            <x14:dxf>
              <font>
                <color rgb="FF006100"/>
              </font>
              <fill>
                <patternFill>
                  <bgColor rgb="FFC6EFCE"/>
                </patternFill>
              </fill>
            </x14:dxf>
          </x14:cfRule>
          <x14:cfRule type="containsText" priority="465" operator="containsText" id="{3E8CE528-EE17-D94F-8EEA-C833CEBD0873}">
            <xm:f>NOT(ISERROR(SEARCH("Value Missing",D660)))</xm:f>
            <xm:f>"Value Missing"</xm:f>
            <x14:dxf>
              <font>
                <color rgb="FF9C0006"/>
              </font>
              <fill>
                <patternFill>
                  <bgColor rgb="FFFFC7CE"/>
                </patternFill>
              </fill>
            </x14:dxf>
          </x14:cfRule>
          <xm:sqref>D660:D667</xm:sqref>
        </x14:conditionalFormatting>
        <x14:conditionalFormatting xmlns:xm="http://schemas.microsoft.com/office/excel/2006/main">
          <x14:cfRule type="notContainsText" priority="418" operator="notContains" id="{2C8D15F5-DDC8-FD44-852D-E2515B9390A3}">
            <xm:f>ISERROR(SEARCH("Value Missing",D668))</xm:f>
            <xm:f>"Value Missing"</xm:f>
            <x14:dxf>
              <font>
                <color rgb="FF006100"/>
              </font>
              <fill>
                <patternFill>
                  <bgColor rgb="FFC6EFCE"/>
                </patternFill>
              </fill>
            </x14:dxf>
          </x14:cfRule>
          <x14:cfRule type="containsText" priority="419" operator="containsText" id="{ACDC975A-DB99-584C-8C93-A1E51146E089}">
            <xm:f>NOT(ISERROR(SEARCH("Value Missing",D668)))</xm:f>
            <xm:f>"Value Missing"</xm:f>
            <x14:dxf>
              <font>
                <color rgb="FF9C0006"/>
              </font>
              <fill>
                <patternFill>
                  <bgColor rgb="FFFFC7CE"/>
                </patternFill>
              </fill>
            </x14:dxf>
          </x14:cfRule>
          <xm:sqref>D668:D678</xm:sqref>
        </x14:conditionalFormatting>
        <x14:conditionalFormatting xmlns:xm="http://schemas.microsoft.com/office/excel/2006/main">
          <x14:cfRule type="notContainsText" priority="416" operator="notContains" id="{7D9B732F-534E-584E-A9D8-5C494602EC9D}">
            <xm:f>ISERROR(SEARCH("Value Missing",D669))</xm:f>
            <xm:f>"Value Missing"</xm:f>
            <x14:dxf>
              <font>
                <color rgb="FF006100"/>
              </font>
              <fill>
                <patternFill>
                  <bgColor rgb="FFC6EFCE"/>
                </patternFill>
              </fill>
            </x14:dxf>
          </x14:cfRule>
          <x14:cfRule type="containsText" priority="417" operator="containsText" id="{0969C031-73E3-E340-9D1E-12DAF8102CC1}">
            <xm:f>NOT(ISERROR(SEARCH("Value Missing",D669)))</xm:f>
            <xm:f>"Value Missing"</xm:f>
            <x14:dxf>
              <font>
                <color rgb="FF9C0006"/>
              </font>
              <fill>
                <patternFill>
                  <bgColor rgb="FFFFC7CE"/>
                </patternFill>
              </fill>
            </x14:dxf>
          </x14:cfRule>
          <xm:sqref>D669</xm:sqref>
        </x14:conditionalFormatting>
        <x14:conditionalFormatting xmlns:xm="http://schemas.microsoft.com/office/excel/2006/main">
          <x14:cfRule type="notContainsText" priority="456" operator="notContains" id="{A406CB72-F11C-0041-86DE-75FF2A908A5E}">
            <xm:f>ISERROR(SEARCH("Value Missing",D673))</xm:f>
            <xm:f>"Value Missing"</xm:f>
            <x14:dxf>
              <font>
                <color rgb="FF006100"/>
              </font>
              <fill>
                <patternFill>
                  <bgColor rgb="FFC6EFCE"/>
                </patternFill>
              </fill>
            </x14:dxf>
          </x14:cfRule>
          <x14:cfRule type="containsText" priority="457" operator="containsText" id="{2EB25B1B-CA48-0545-8FB5-E7992F919C2A}">
            <xm:f>NOT(ISERROR(SEARCH("Value Missing",D673)))</xm:f>
            <xm:f>"Value Missing"</xm:f>
            <x14:dxf>
              <font>
                <color rgb="FF9C0006"/>
              </font>
              <fill>
                <patternFill>
                  <bgColor rgb="FFFFC7CE"/>
                </patternFill>
              </fill>
            </x14:dxf>
          </x14:cfRule>
          <xm:sqref>D673:D680</xm:sqref>
        </x14:conditionalFormatting>
        <x14:conditionalFormatting xmlns:xm="http://schemas.microsoft.com/office/excel/2006/main">
          <x14:cfRule type="containsText" priority="383" operator="containsText" id="{F1F92675-D36F-9942-9CA5-3983E98B933D}">
            <xm:f>NOT(ISERROR(SEARCH("Value Missing",D681)))</xm:f>
            <xm:f>"Value Missing"</xm:f>
            <x14:dxf>
              <font>
                <color rgb="FF9C0006"/>
              </font>
              <fill>
                <patternFill>
                  <bgColor rgb="FFFFC7CE"/>
                </patternFill>
              </fill>
            </x14:dxf>
          </x14:cfRule>
          <xm:sqref>D681:D693 D695 D697:D699 D701 D703:D706</xm:sqref>
        </x14:conditionalFormatting>
        <x14:conditionalFormatting xmlns:xm="http://schemas.microsoft.com/office/excel/2006/main">
          <x14:cfRule type="containsText" priority="124" operator="containsText" id="{DE2C4D89-C368-E142-A0CE-BE6D8A50001B}">
            <xm:f>NOT(ISERROR(SEARCH("Value Missing",D693)))</xm:f>
            <xm:f>"Value Missing"</xm:f>
            <x14:dxf>
              <font>
                <color rgb="FF9C0006"/>
              </font>
              <fill>
                <patternFill>
                  <bgColor rgb="FFFFC7CE"/>
                </patternFill>
              </fill>
            </x14:dxf>
          </x14:cfRule>
          <x14:cfRule type="notContainsText" priority="123" operator="notContains" id="{ADBD8D62-D18E-B542-8108-369DFB2353BA}">
            <xm:f>ISERROR(SEARCH("Value Missing",D693))</xm:f>
            <xm:f>"Value Missing"</xm:f>
            <x14:dxf>
              <font>
                <color rgb="FF006100"/>
              </font>
              <fill>
                <patternFill>
                  <bgColor rgb="FFC6EFCE"/>
                </patternFill>
              </fill>
            </x14:dxf>
          </x14:cfRule>
          <xm:sqref>D693</xm:sqref>
        </x14:conditionalFormatting>
        <x14:conditionalFormatting xmlns:xm="http://schemas.microsoft.com/office/excel/2006/main">
          <x14:cfRule type="containsText" priority="373" operator="containsText" id="{B64EBE89-52B6-6443-BEA6-A05329069527}">
            <xm:f>NOT(ISERROR(SEARCH("Value Missing",D697)))</xm:f>
            <xm:f>"Value Missing"</xm:f>
            <x14:dxf>
              <font>
                <color rgb="FF9C0006"/>
              </font>
              <fill>
                <patternFill>
                  <bgColor rgb="FFFFC7CE"/>
                </patternFill>
              </fill>
            </x14:dxf>
          </x14:cfRule>
          <x14:cfRule type="notContainsText" priority="372" operator="notContains" id="{7466645F-D239-304A-8CD9-C8F6185DF7DE}">
            <xm:f>ISERROR(SEARCH("Value Missing",D697))</xm:f>
            <xm:f>"Value Missing"</xm:f>
            <x14:dxf>
              <font>
                <color rgb="FF006100"/>
              </font>
              <fill>
                <patternFill>
                  <bgColor rgb="FFC6EFCE"/>
                </patternFill>
              </fill>
            </x14:dxf>
          </x14:cfRule>
          <xm:sqref>D697</xm:sqref>
        </x14:conditionalFormatting>
        <x14:conditionalFormatting xmlns:xm="http://schemas.microsoft.com/office/excel/2006/main">
          <x14:cfRule type="notContainsText" priority="382" operator="notContains" id="{214BEF30-7348-EB4B-95AE-89B75979B4E6}">
            <xm:f>ISERROR(SEARCH("Value Missing",D681))</xm:f>
            <xm:f>"Value Missing"</xm:f>
            <x14:dxf>
              <font>
                <color rgb="FF006100"/>
              </font>
              <fill>
                <patternFill>
                  <bgColor rgb="FFC6EFCE"/>
                </patternFill>
              </fill>
            </x14:dxf>
          </x14:cfRule>
          <xm:sqref>D697:D699 D703:D706 D681:D693 D695 D701</xm:sqref>
        </x14:conditionalFormatting>
        <x14:conditionalFormatting xmlns:xm="http://schemas.microsoft.com/office/excel/2006/main">
          <x14:cfRule type="containsText" priority="371" operator="containsText" id="{038F630C-056A-B546-BDD4-D94113B054F1}">
            <xm:f>NOT(ISERROR(SEARCH("Value Missing",D703)))</xm:f>
            <xm:f>"Value Missing"</xm:f>
            <x14:dxf>
              <font>
                <color rgb="FF9C0006"/>
              </font>
              <fill>
                <patternFill>
                  <bgColor rgb="FFFFC7CE"/>
                </patternFill>
              </fill>
            </x14:dxf>
          </x14:cfRule>
          <x14:cfRule type="notContainsText" priority="370" operator="notContains" id="{CFD54AC8-8D9C-A945-91FA-CFA1CFCA12DE}">
            <xm:f>ISERROR(SEARCH("Value Missing",D703))</xm:f>
            <xm:f>"Value Missing"</xm:f>
            <x14:dxf>
              <font>
                <color rgb="FF006100"/>
              </font>
              <fill>
                <patternFill>
                  <bgColor rgb="FFC6EFCE"/>
                </patternFill>
              </fill>
            </x14:dxf>
          </x14:cfRule>
          <xm:sqref>D703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E079D-62FF-2843-9A9B-EAB65FE24D29}">
  <sheetPr>
    <tabColor theme="9"/>
  </sheetPr>
  <dimension ref="A1"/>
  <sheetViews>
    <sheetView workbookViewId="0"/>
  </sheetViews>
  <sheetFormatPr baseColWidth="10" defaultRowHeight="16"/>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12843-2967-8F46-9C6B-65BD5B797306}">
  <sheetPr codeName="Sheet10">
    <tabColor theme="9"/>
  </sheetPr>
  <dimension ref="B1:J150"/>
  <sheetViews>
    <sheetView showGridLines="0" workbookViewId="0">
      <pane ySplit="4" topLeftCell="A5" activePane="bottomLeft" state="frozen"/>
      <selection pane="bottomLeft"/>
    </sheetView>
  </sheetViews>
  <sheetFormatPr baseColWidth="10" defaultColWidth="11" defaultRowHeight="16"/>
  <cols>
    <col min="1" max="1" width="2.83203125" customWidth="1"/>
    <col min="2" max="2" width="61.83203125" customWidth="1"/>
    <col min="3" max="4" width="65.83203125" customWidth="1"/>
    <col min="5" max="5" width="83.6640625" customWidth="1"/>
    <col min="6" max="6" width="10.83203125" customWidth="1"/>
  </cols>
  <sheetData>
    <row r="1" spans="2:10" s="3" customFormat="1" ht="16" customHeight="1">
      <c r="F1"/>
      <c r="G1"/>
      <c r="H1"/>
      <c r="I1"/>
      <c r="J1"/>
    </row>
    <row r="2" spans="2:10" s="3" customFormat="1" ht="54" customHeight="1">
      <c r="B2" s="490"/>
      <c r="C2" s="491"/>
      <c r="D2" s="495" t="s">
        <v>3334</v>
      </c>
      <c r="E2" s="496"/>
      <c r="F2"/>
      <c r="G2"/>
      <c r="H2"/>
      <c r="I2"/>
      <c r="J2"/>
    </row>
    <row r="3" spans="2:10" s="3" customFormat="1" ht="20" customHeight="1">
      <c r="B3" s="341" t="s">
        <v>3335</v>
      </c>
      <c r="C3" s="342"/>
      <c r="D3" s="342"/>
      <c r="E3" s="343"/>
      <c r="F3"/>
      <c r="G3"/>
      <c r="H3"/>
      <c r="I3"/>
      <c r="J3"/>
    </row>
    <row r="4" spans="2:10" s="3" customFormat="1">
      <c r="D4" s="7"/>
      <c r="E4" s="5"/>
      <c r="F4" s="5"/>
    </row>
    <row r="6" spans="2:10" ht="34" customHeight="1">
      <c r="B6" s="386" t="s">
        <v>3329</v>
      </c>
      <c r="C6" s="387"/>
      <c r="D6" s="387"/>
      <c r="E6" s="387"/>
    </row>
    <row r="7" spans="2:10" ht="16" customHeight="1"/>
    <row r="8" spans="2:10" ht="34" customHeight="1">
      <c r="B8" s="344" t="s">
        <v>3336</v>
      </c>
      <c r="C8" s="344"/>
      <c r="D8" s="344"/>
      <c r="E8" s="344"/>
    </row>
    <row r="9" spans="2:10" ht="20" customHeight="1">
      <c r="B9" s="8" t="s">
        <v>735</v>
      </c>
      <c r="C9" s="8" t="s">
        <v>554</v>
      </c>
      <c r="D9" s="20" t="s">
        <v>555</v>
      </c>
      <c r="E9" s="8" t="s">
        <v>1989</v>
      </c>
    </row>
    <row r="10" spans="2:10" ht="20" customHeight="1">
      <c r="B10" s="21" t="s">
        <v>2292</v>
      </c>
      <c r="C10" s="22" t="str">
        <f>CONCATENATE(sample_sddc_mgr_hostname,".",sample_child_dns_zone)</f>
        <v>sfo-vcf01.sfo.rainpole.io</v>
      </c>
      <c r="D10" s="18" t="str">
        <f>sddc_mgr_fqdn</f>
        <v>Value Missing.Value Missing</v>
      </c>
      <c r="E10" s="53"/>
    </row>
    <row r="11" spans="2:10" ht="20" customHeight="1">
      <c r="B11" s="21" t="s">
        <v>2092</v>
      </c>
      <c r="C11" s="22" t="str">
        <f>CONCATENATE(sample_xreg_vrslcm_hostname,".",sample_parent_dns_zone)</f>
        <v>xint-lcm01.rainpole.io</v>
      </c>
      <c r="D11" s="18" t="str">
        <f>xreg_vrslcm_fqdn</f>
        <v>Value Missing.Value Missing</v>
      </c>
      <c r="E11" s="53"/>
    </row>
    <row r="12" spans="2:10" ht="20" customHeight="1">
      <c r="B12" s="26" t="s">
        <v>4899</v>
      </c>
      <c r="C12" s="22" t="str">
        <f>sample_vrs_t1_lb_si_ip</f>
        <v>192.168.11.2</v>
      </c>
      <c r="D12" s="18" t="str">
        <f>vrs_t1_lb_si_ip</f>
        <v>Value Missing</v>
      </c>
      <c r="E12" s="53"/>
    </row>
    <row r="13" spans="2:10" ht="20" customHeight="1">
      <c r="B13" s="26" t="s">
        <v>2093</v>
      </c>
      <c r="C13" s="22" t="str">
        <f>sample_vcfadmin_local_password</f>
        <v>VMw@re1!</v>
      </c>
      <c r="D13" s="18" t="str">
        <f>vcfadmin_local_password</f>
        <v>Value Missing</v>
      </c>
      <c r="E13" s="53"/>
    </row>
    <row r="14" spans="2:10" ht="20" customHeight="1">
      <c r="B14" s="26" t="s">
        <v>2094</v>
      </c>
      <c r="C14" s="22" t="str">
        <f>sample_vrslcm_root_password</f>
        <v>VMw@re1!</v>
      </c>
      <c r="D14" s="18" t="str">
        <f>vrslcm_root_password</f>
        <v>Value Missing</v>
      </c>
      <c r="E14" s="53"/>
    </row>
    <row r="15" spans="2:10" ht="16" customHeight="1"/>
    <row r="16" spans="2:10" ht="34" customHeight="1">
      <c r="B16" s="344" t="s">
        <v>3337</v>
      </c>
      <c r="C16" s="344"/>
      <c r="D16" s="344"/>
      <c r="E16" s="344"/>
    </row>
    <row r="17" spans="2:5" ht="20" customHeight="1">
      <c r="B17" s="8" t="s">
        <v>735</v>
      </c>
      <c r="C17" s="8" t="s">
        <v>554</v>
      </c>
      <c r="D17" s="20" t="s">
        <v>555</v>
      </c>
      <c r="E17" s="8" t="s">
        <v>1989</v>
      </c>
    </row>
    <row r="18" spans="2:5" ht="20" customHeight="1">
      <c r="B18" s="21" t="s">
        <v>2292</v>
      </c>
      <c r="C18" s="22" t="str">
        <f>CONCATENATE(sample_sddc_mgr_hostname,".",sample_child_dns_zone)</f>
        <v>sfo-vcf01.sfo.rainpole.io</v>
      </c>
      <c r="D18" s="18" t="str">
        <f>sddc_mgr_fqdn</f>
        <v>Value Missing.Value Missing</v>
      </c>
      <c r="E18" s="21"/>
    </row>
    <row r="19" spans="2:5" ht="20" customHeight="1">
      <c r="B19" s="21" t="s">
        <v>870</v>
      </c>
      <c r="C19" s="22" t="str">
        <f>sample_ca_algorithm</f>
        <v>RSA</v>
      </c>
      <c r="D19" s="18" t="str">
        <f>ca_algorithm</f>
        <v>Value Missing</v>
      </c>
      <c r="E19" s="21"/>
    </row>
    <row r="20" spans="2:5" ht="20" customHeight="1">
      <c r="B20" s="21" t="s">
        <v>872</v>
      </c>
      <c r="C20" s="22">
        <f>sample_ca_key_size</f>
        <v>2048</v>
      </c>
      <c r="D20" s="18" t="str">
        <f>ca_key_size</f>
        <v>Value Missing</v>
      </c>
      <c r="E20" s="21"/>
    </row>
    <row r="21" spans="2:5" ht="20" customHeight="1">
      <c r="B21" s="21" t="s">
        <v>873</v>
      </c>
      <c r="C21" s="22" t="str">
        <f>sample_ca_email_address</f>
        <v>administrator@rainpole.io</v>
      </c>
      <c r="D21" s="18" t="str">
        <f t="array" ref="D21">ca_email_address</f>
        <v>Value Missing</v>
      </c>
      <c r="E21" s="21"/>
    </row>
    <row r="22" spans="2:5" ht="20" customHeight="1">
      <c r="B22" s="21" t="s">
        <v>1820</v>
      </c>
      <c r="C22" s="22" t="str">
        <f>sample_ca_organization_unit</f>
        <v>IT</v>
      </c>
      <c r="D22" s="18" t="str">
        <f>ca_organization_unit</f>
        <v>Value Missing</v>
      </c>
      <c r="E22" s="21"/>
    </row>
    <row r="23" spans="2:5" ht="20" customHeight="1">
      <c r="B23" s="21" t="s">
        <v>914</v>
      </c>
      <c r="C23" s="22" t="str">
        <f>sample_ca_organization</f>
        <v>Rainpole</v>
      </c>
      <c r="D23" s="18" t="str">
        <f>ca_organization</f>
        <v>Value Missing</v>
      </c>
      <c r="E23" s="21"/>
    </row>
    <row r="24" spans="2:5" ht="20" customHeight="1">
      <c r="B24" s="21" t="s">
        <v>875</v>
      </c>
      <c r="C24" s="22" t="str">
        <f>sample_ca_locality</f>
        <v>San Francisco</v>
      </c>
      <c r="D24" s="18" t="str">
        <f>ca_locality</f>
        <v>Value Missing</v>
      </c>
      <c r="E24" s="21"/>
    </row>
    <row r="25" spans="2:5" ht="20" customHeight="1">
      <c r="B25" s="21" t="s">
        <v>880</v>
      </c>
      <c r="C25" s="22" t="str">
        <f>sample_ca_state</f>
        <v>CA</v>
      </c>
      <c r="D25" s="18" t="str">
        <f>ca_state</f>
        <v>Value Missing</v>
      </c>
      <c r="E25" s="21"/>
    </row>
    <row r="26" spans="2:5" ht="20" customHeight="1">
      <c r="B26" s="21" t="s">
        <v>868</v>
      </c>
      <c r="C26" s="22" t="str">
        <f>sample_ca_country</f>
        <v>US</v>
      </c>
      <c r="D26" s="18" t="str">
        <f>ca_country</f>
        <v>Value Missing</v>
      </c>
      <c r="E26" s="21"/>
    </row>
    <row r="27" spans="2:5" ht="16" customHeight="1"/>
    <row r="28" spans="2:5" ht="34" customHeight="1">
      <c r="B28" s="344" t="s">
        <v>3338</v>
      </c>
      <c r="C28" s="344"/>
      <c r="D28" s="344"/>
      <c r="E28" s="344"/>
    </row>
    <row r="29" spans="2:5" ht="20" customHeight="1">
      <c r="B29" s="8" t="s">
        <v>735</v>
      </c>
      <c r="C29" s="8" t="s">
        <v>554</v>
      </c>
      <c r="D29" s="20" t="s">
        <v>555</v>
      </c>
      <c r="E29" s="8" t="s">
        <v>1989</v>
      </c>
    </row>
    <row r="30" spans="2:5" ht="20" customHeight="1">
      <c r="B30" s="21" t="s">
        <v>3368</v>
      </c>
      <c r="C30" s="22" t="str">
        <f>CONCATENATE(sample_xreg_vrslcm_hostname,".",sample_parent_dns_zone)</f>
        <v>xint-lcm01.rainpole.io</v>
      </c>
      <c r="D30" s="18" t="str">
        <f>xreg_vrslcm_fqdn</f>
        <v>Value Missing.Value Missing</v>
      </c>
      <c r="E30" s="21"/>
    </row>
    <row r="31" spans="2:5" ht="20" customHeight="1">
      <c r="B31" s="21" t="s">
        <v>2095</v>
      </c>
      <c r="C31" s="22" t="str">
        <f>sample_vrslcm_xreg_dc</f>
        <v>xint-m01-dc01</v>
      </c>
      <c r="D31" s="18" t="str">
        <f>vrslcm_xreg_dc</f>
        <v>Value Missing</v>
      </c>
      <c r="E31" s="21"/>
    </row>
    <row r="32" spans="2:5" ht="20" customHeight="1">
      <c r="B32" s="21" t="s">
        <v>2043</v>
      </c>
      <c r="C32" s="22" t="str">
        <f>sample_vrslcm_xreg_location</f>
        <v>San Francisco, California, US</v>
      </c>
      <c r="D32" s="18" t="str">
        <f>vrslcm_xreg_location</f>
        <v>Value Missing</v>
      </c>
      <c r="E32" s="21"/>
    </row>
    <row r="33" spans="2:5" ht="20" customHeight="1">
      <c r="B33" s="21" t="s">
        <v>2096</v>
      </c>
      <c r="C33" s="22" t="str">
        <f>sample_mgmt_vc_hostname</f>
        <v>sfo-m01-vc01</v>
      </c>
      <c r="D33" s="18" t="str">
        <f>mgmt_vc_hostname</f>
        <v>Value Missing</v>
      </c>
      <c r="E33" s="21"/>
    </row>
    <row r="34" spans="2:5" ht="20" customHeight="1">
      <c r="B34" s="21" t="s">
        <v>2097</v>
      </c>
      <c r="C34" s="22" t="str">
        <f>CONCATENATE(sample_mgmt_vc_hostname,".",sample_child_dns_zone)</f>
        <v>sfo-m01-vc01.sfo.rainpole.io</v>
      </c>
      <c r="D34" s="18" t="str">
        <f>mgmt_vc_fqdn</f>
        <v>Value Missing.Value Missing</v>
      </c>
      <c r="E34" s="21"/>
    </row>
    <row r="35" spans="2:5" ht="20" customHeight="1">
      <c r="B35" s="21" t="s">
        <v>2098</v>
      </c>
      <c r="C35" s="22" t="str">
        <f>CONCATENATE(sample_mgmt_vc_hostname,"-&lt;guid&gt;")</f>
        <v>sfo-m01-vc01-&lt;guid&gt;</v>
      </c>
      <c r="D35" s="18" t="str">
        <f>CONCATENATE(mgmt_vc_hostname,"-&lt;guid&gt;")</f>
        <v>Value Missing-&lt;guid&gt;</v>
      </c>
      <c r="E35" s="18" t="s">
        <v>2099</v>
      </c>
    </row>
    <row r="36" spans="2:5" ht="16" customHeight="1"/>
    <row r="37" spans="2:5" ht="34" customHeight="1">
      <c r="B37" s="386" t="s">
        <v>35</v>
      </c>
      <c r="C37" s="387"/>
      <c r="D37" s="387"/>
      <c r="E37" s="387"/>
    </row>
    <row r="38" spans="2:5" ht="16" customHeight="1"/>
    <row r="39" spans="2:5" ht="34" customHeight="1">
      <c r="B39" s="344" t="s">
        <v>4503</v>
      </c>
      <c r="C39" s="344"/>
      <c r="D39" s="344"/>
      <c r="E39" s="344"/>
    </row>
    <row r="40" spans="2:5" ht="20" customHeight="1">
      <c r="B40" s="8" t="s">
        <v>735</v>
      </c>
      <c r="C40" s="8" t="s">
        <v>554</v>
      </c>
      <c r="D40" s="20" t="s">
        <v>555</v>
      </c>
      <c r="E40" s="8" t="s">
        <v>1989</v>
      </c>
    </row>
    <row r="41" spans="2:5" ht="20" customHeight="1">
      <c r="B41" s="21" t="s">
        <v>3368</v>
      </c>
      <c r="C41" s="22" t="str">
        <f>CONCATENATE(sample_xreg_vrslcm_hostname,".",sample_parent_dns_zone)</f>
        <v>xint-lcm01.rainpole.io</v>
      </c>
      <c r="D41" s="18" t="str">
        <f>xreg_vrslcm_fqdn</f>
        <v>Value Missing.Value Missing</v>
      </c>
      <c r="E41" s="21"/>
    </row>
    <row r="42" spans="2:5" ht="20" customHeight="1">
      <c r="B42" s="21" t="s">
        <v>735</v>
      </c>
      <c r="C42" s="22" t="str">
        <f>sample_xreg_wsa_cert_name</f>
        <v>xint-idm01.rainpole.io</v>
      </c>
      <c r="D42" s="18" t="str">
        <f>xreg_wsa_cert_name</f>
        <v>Value Missing</v>
      </c>
      <c r="E42" s="21"/>
    </row>
    <row r="43" spans="2:5" ht="16" customHeight="1"/>
    <row r="44" spans="2:5" ht="34" customHeight="1">
      <c r="B44" s="344" t="s">
        <v>4504</v>
      </c>
      <c r="C44" s="344"/>
      <c r="D44" s="344"/>
      <c r="E44" s="344"/>
    </row>
    <row r="45" spans="2:5" ht="20" customHeight="1">
      <c r="B45" s="8" t="s">
        <v>735</v>
      </c>
      <c r="C45" s="8" t="s">
        <v>554</v>
      </c>
      <c r="D45" s="20" t="s">
        <v>555</v>
      </c>
      <c r="E45" s="8" t="s">
        <v>1989</v>
      </c>
    </row>
    <row r="46" spans="2:5" ht="20" customHeight="1">
      <c r="B46" s="21" t="s">
        <v>3368</v>
      </c>
      <c r="C46" s="22" t="str">
        <f>CONCATENATE(sample_xreg_vrslcm_hostname,".",sample_parent_dns_zone)</f>
        <v>xint-lcm01.rainpole.io</v>
      </c>
      <c r="D46" s="18" t="str">
        <f>xreg_vrslcm_fqdn</f>
        <v>Value Missing.Value Missing</v>
      </c>
      <c r="E46" s="21"/>
    </row>
    <row r="47" spans="2:5" ht="20" customHeight="1">
      <c r="B47" s="21" t="s">
        <v>2100</v>
      </c>
      <c r="C47" s="22" t="str">
        <f>sample_global_env_admin_password_alias</f>
        <v>global-env-admin</v>
      </c>
      <c r="D47" s="18" t="str">
        <f>global_env_admin_password_alias</f>
        <v>Value Missing</v>
      </c>
      <c r="E47" s="21"/>
    </row>
    <row r="48" spans="2:5" ht="20" customHeight="1">
      <c r="B48" s="21" t="s">
        <v>2101</v>
      </c>
      <c r="C48" s="22" t="str">
        <f>sample_global_env_admin_password</f>
        <v>VMw@re1!</v>
      </c>
      <c r="D48" s="18" t="str">
        <f>global_env_admin_password</f>
        <v>Value Missing</v>
      </c>
      <c r="E48" s="21"/>
    </row>
    <row r="49" spans="2:5" ht="20" customHeight="1">
      <c r="B49" s="21" t="s">
        <v>2102</v>
      </c>
      <c r="C49" s="22" t="str">
        <f>sample_local_admin_password_alias</f>
        <v>xint-idm-admin</v>
      </c>
      <c r="D49" s="18" t="str">
        <f>local_admin_password_alias</f>
        <v>Value Missing</v>
      </c>
      <c r="E49" s="21"/>
    </row>
    <row r="50" spans="2:5" ht="20" customHeight="1">
      <c r="B50" s="21" t="s">
        <v>2103</v>
      </c>
      <c r="C50" s="22" t="str">
        <f>sample_local_admin_password</f>
        <v>VMw@re1!</v>
      </c>
      <c r="D50" s="18" t="str">
        <f>local_admin_password</f>
        <v>Value Missing</v>
      </c>
      <c r="E50" s="21"/>
    </row>
    <row r="51" spans="2:5" ht="20" customHeight="1">
      <c r="B51" s="21" t="s">
        <v>2104</v>
      </c>
      <c r="C51" s="22" t="str">
        <f>sample_local_configadmin_password_alias</f>
        <v>xint-idm-configadmin</v>
      </c>
      <c r="D51" s="18" t="str">
        <f>local_configadmin_password_alias</f>
        <v>Value Missing</v>
      </c>
      <c r="E51" s="21"/>
    </row>
    <row r="52" spans="2:5" ht="20" customHeight="1">
      <c r="B52" s="21" t="s">
        <v>976</v>
      </c>
      <c r="C52" s="22" t="str">
        <f>sample_local_configadmin_password</f>
        <v>VMw@re1!</v>
      </c>
      <c r="D52" s="18" t="str">
        <f>local_configadmin_password</f>
        <v>Value Missing</v>
      </c>
      <c r="E52" s="21"/>
    </row>
    <row r="53" spans="2:5" ht="20" customHeight="1">
      <c r="B53" s="21" t="s">
        <v>2105</v>
      </c>
      <c r="C53" s="22" t="str">
        <f>sample_local_vcf_aware_wsa_root_password_alias</f>
        <v>xint-idm-root</v>
      </c>
      <c r="D53" s="18" t="str">
        <f>local_vcf_aware_wsa_root_password_alias</f>
        <v>Value Missing</v>
      </c>
      <c r="E53" s="21"/>
    </row>
    <row r="54" spans="2:5" ht="20" customHeight="1">
      <c r="B54" s="21" t="s">
        <v>2106</v>
      </c>
      <c r="C54" s="22" t="str">
        <f>sample_local_vcf_aware_wsa_root_password</f>
        <v>VMw@re1!</v>
      </c>
      <c r="D54" s="18" t="str">
        <f>local_vcf_aware_wsa_root_password</f>
        <v>Value Missing</v>
      </c>
      <c r="E54" s="21"/>
    </row>
    <row r="55" spans="2:5" ht="16" customHeight="1"/>
    <row r="56" spans="2:5" ht="34" customHeight="1">
      <c r="B56" s="344" t="str">
        <f>IF(vcf_aware_wsa_chosen="Standard","Deploy a Standard Workspace ONE Access Instance Using VMware Aria Suite Lifecycle", "Deploy Clustered Workspace ONE Access Instance Using VMware Aria Suite Lifecycle")</f>
        <v>Deploy Clustered Workspace ONE Access Instance Using VMware Aria Suite Lifecycle</v>
      </c>
      <c r="C56" s="344"/>
      <c r="D56" s="344"/>
      <c r="E56" s="344"/>
    </row>
    <row r="57" spans="2:5" ht="20" customHeight="1">
      <c r="B57" s="8" t="s">
        <v>735</v>
      </c>
      <c r="C57" s="8" t="s">
        <v>554</v>
      </c>
      <c r="D57" s="20" t="s">
        <v>555</v>
      </c>
      <c r="E57" s="8" t="s">
        <v>1989</v>
      </c>
    </row>
    <row r="58" spans="2:5" ht="20" customHeight="1">
      <c r="B58" s="21" t="s">
        <v>3368</v>
      </c>
      <c r="C58" s="22" t="str">
        <f>CONCATENATE(sample_xreg_vrslcm_hostname,".",sample_parent_dns_zone)</f>
        <v>xint-lcm01.rainpole.io</v>
      </c>
      <c r="D58" s="18" t="str">
        <f>xreg_vrslcm_fqdn</f>
        <v>Value Missing.Value Missing</v>
      </c>
      <c r="E58" s="21"/>
    </row>
    <row r="59" spans="2:5" ht="20" customHeight="1">
      <c r="B59" s="21" t="s">
        <v>2107</v>
      </c>
      <c r="C59" s="22" t="str">
        <f>sample_global_env_admin_password_alias</f>
        <v>global-env-admin</v>
      </c>
      <c r="D59" s="18" t="str">
        <f>global_env_admin_password_alias</f>
        <v>Value Missing</v>
      </c>
      <c r="E59" s="21"/>
    </row>
    <row r="60" spans="2:5" ht="20" customHeight="1">
      <c r="B60" s="21" t="s">
        <v>841</v>
      </c>
      <c r="C60" s="22" t="str">
        <f>sample_vrslcm_xreg_dc</f>
        <v>xint-m01-dc01</v>
      </c>
      <c r="D60" s="18" t="str">
        <f>vrslcm_xreg_dc</f>
        <v>Value Missing</v>
      </c>
      <c r="E60" s="21"/>
    </row>
    <row r="61" spans="2:5" ht="20" customHeight="1">
      <c r="B61" s="21" t="s">
        <v>2108</v>
      </c>
      <c r="C61" s="22" t="str">
        <f>IF(vcf_aware_wsa_chosen="Standard","Standard","Clustered")</f>
        <v>Clustered</v>
      </c>
      <c r="D61" s="18" t="str">
        <f>IF(vcf_aware_wsa_chosen="Standard","Standard","Clustered")</f>
        <v>Clustered</v>
      </c>
      <c r="E61" s="21"/>
    </row>
    <row r="62" spans="2:5" ht="20" customHeight="1">
      <c r="B62" s="21" t="s">
        <v>2109</v>
      </c>
      <c r="C62" s="22" t="str">
        <f>sample_xreg_wsa_cert_name</f>
        <v>xint-idm01.rainpole.io</v>
      </c>
      <c r="D62" s="18" t="str">
        <f>xreg_wsa_cert_name</f>
        <v>Value Missing</v>
      </c>
      <c r="E62" s="21"/>
    </row>
    <row r="63" spans="2:5" ht="20" customHeight="1">
      <c r="B63" s="21" t="s">
        <v>2110</v>
      </c>
      <c r="C63" s="22" t="str">
        <f>CONCATENATE(sample_mgmt_datacenter,"#",sample_mgmt_cl01_cluster)</f>
        <v>sfo-m01-dc01#sfo-m01-cl01</v>
      </c>
      <c r="D63" s="18" t="str">
        <f>CONCATENATE(mgmt_datacenter,"#",mgmt_cl01_cluster)</f>
        <v>Value Missing#Value Missing</v>
      </c>
      <c r="E63" s="53"/>
    </row>
    <row r="64" spans="2:5" ht="20" customHeight="1">
      <c r="B64" s="26" t="s">
        <v>1689</v>
      </c>
      <c r="C64" s="22" t="str">
        <f>sample_xreg_seg01_gateway_ip</f>
        <v>N/A</v>
      </c>
      <c r="D64" s="18" t="str">
        <f>xreg_seg01_gateway_ip</f>
        <v>Value Missing</v>
      </c>
      <c r="E64" s="53"/>
    </row>
    <row r="65" spans="2:5" ht="20" customHeight="1">
      <c r="B65" s="26" t="s">
        <v>1905</v>
      </c>
      <c r="C65" s="22" t="str">
        <f>IF(mgmt_vns_chosen="Exclude","N/A",VLOOKUP(INT(RIGHT(sample_xreg_seg01_cidr,LEN(sample_xreg_seg01_cidr)-FIND("/",sample_xreg_seg01_cidr))),table_cidr_to_mask,2,FALSE))</f>
        <v>N/A</v>
      </c>
      <c r="D65" s="18" t="str">
        <f>xreg_seg01_mask</f>
        <v>Value Missing</v>
      </c>
      <c r="E65" s="53"/>
    </row>
    <row r="66" spans="2:5" ht="20" customHeight="1">
      <c r="B66" s="26" t="s">
        <v>905</v>
      </c>
      <c r="C66" s="22" t="str">
        <f>sample_child_dns_zone</f>
        <v>sfo.rainpole.io</v>
      </c>
      <c r="D66" s="18" t="str">
        <f>child_dns_zone</f>
        <v>Value Missing</v>
      </c>
      <c r="E66" s="53"/>
    </row>
    <row r="67" spans="2:5" ht="20" customHeight="1">
      <c r="B67" s="26" t="s">
        <v>2111</v>
      </c>
      <c r="C67" s="22" t="str">
        <f>sample_child_dns_zone</f>
        <v>sfo.rainpole.io</v>
      </c>
      <c r="D67" s="18" t="str">
        <f>child_dns_zone</f>
        <v>Value Missing</v>
      </c>
      <c r="E67" s="53"/>
    </row>
    <row r="68" spans="2:5" ht="20" customHeight="1">
      <c r="B68" s="26" t="s">
        <v>2112</v>
      </c>
      <c r="C68" s="22" t="str">
        <f>sample_xregion_dns1_ip</f>
        <v>10.11.10.4</v>
      </c>
      <c r="D68" s="18" t="str">
        <f>xregion_dns1_ip</f>
        <v>Value Missing</v>
      </c>
      <c r="E68" s="53"/>
    </row>
    <row r="69" spans="2:5" ht="20" customHeight="1">
      <c r="B69" s="26" t="s">
        <v>2113</v>
      </c>
      <c r="C69" s="22" t="str">
        <f>sample_xregion_dns2_ip</f>
        <v>10.11.10.5</v>
      </c>
      <c r="D69" s="18" t="str">
        <f>xregion_dns2_ip</f>
        <v>Value Missing</v>
      </c>
      <c r="E69" s="53"/>
    </row>
    <row r="70" spans="2:5" ht="20" customHeight="1">
      <c r="B70" s="21" t="s">
        <v>2109</v>
      </c>
      <c r="C70" s="22" t="str">
        <f>sample_xreg_wsa_cert_name</f>
        <v>xint-idm01.rainpole.io</v>
      </c>
      <c r="D70" s="18" t="str">
        <f>xreg_wsa_cert_name</f>
        <v>Value Missing</v>
      </c>
      <c r="E70" s="21"/>
    </row>
    <row r="71" spans="2:5" ht="20" customHeight="1">
      <c r="B71" s="21" t="s">
        <v>2114</v>
      </c>
      <c r="C71" s="22" t="str">
        <f>sample_xreg_wsa_node_size</f>
        <v>Medium</v>
      </c>
      <c r="D71" s="18" t="str">
        <f>xreg_wsa_node_size</f>
        <v>Medium</v>
      </c>
      <c r="E71" s="21"/>
    </row>
    <row r="72" spans="2:5" ht="20" customHeight="1">
      <c r="B72" s="21" t="s">
        <v>2115</v>
      </c>
      <c r="C72" s="22" t="str">
        <f>sample_local_admin_password_alias</f>
        <v>xint-idm-admin</v>
      </c>
      <c r="D72" s="18" t="str">
        <f>local_admin_password_alias</f>
        <v>Value Missing</v>
      </c>
      <c r="E72" s="21"/>
    </row>
    <row r="73" spans="2:5" ht="20" customHeight="1">
      <c r="B73" s="21" t="s">
        <v>2116</v>
      </c>
      <c r="C73" s="22" t="str">
        <f>sample_xreg_configadmin_email</f>
        <v>configadmin@rainpole.io</v>
      </c>
      <c r="D73" s="18" t="str">
        <f>xreg_configadmin_email</f>
        <v>Value Missing</v>
      </c>
      <c r="E73" s="21"/>
    </row>
    <row r="74" spans="2:5" ht="20" customHeight="1">
      <c r="B74" s="21" t="s">
        <v>2117</v>
      </c>
      <c r="C74" s="22" t="str">
        <f>sample_local_configadmin_username</f>
        <v>configadmin</v>
      </c>
      <c r="D74" s="18" t="str">
        <f>local_configadmin_username</f>
        <v>Value Missing</v>
      </c>
      <c r="E74" s="21"/>
    </row>
    <row r="75" spans="2:5" ht="20" customHeight="1">
      <c r="B75" s="21" t="s">
        <v>2118</v>
      </c>
      <c r="C75" s="22" t="str">
        <f>sample_local_configadmin_password_alias</f>
        <v>xint-idm-configadmin</v>
      </c>
      <c r="D75" s="18" t="str">
        <f>local_configadmin_password_alias</f>
        <v>Value Missing</v>
      </c>
      <c r="E75" s="21"/>
    </row>
    <row r="76" spans="2:5" ht="20" customHeight="1">
      <c r="B76" s="21" t="s">
        <v>3461</v>
      </c>
      <c r="C76" s="22" t="str">
        <f>sample_xreg_wsa_virtual_ip</f>
        <v>192.168.11.60</v>
      </c>
      <c r="D76" s="18" t="str">
        <f>xreg_wsa_virtual_ip</f>
        <v>Value Missing</v>
      </c>
      <c r="E76" s="21"/>
    </row>
    <row r="77" spans="2:5" ht="20" customHeight="1">
      <c r="B77" s="21" t="s">
        <v>3462</v>
      </c>
      <c r="C77" s="22" t="str">
        <f>CONCATENATE(sample_xreg_wsa_virtual_hostname,".",sample_parent_dns_zone)</f>
        <v>xint-idm01.rainpole.io</v>
      </c>
      <c r="D77" s="18" t="str">
        <f>xreg_wsa_virtual_fqdn</f>
        <v>Value Missing.Value Missing</v>
      </c>
      <c r="E77" s="21"/>
    </row>
    <row r="78" spans="2:5" ht="20" customHeight="1">
      <c r="B78" s="21" t="s">
        <v>2119</v>
      </c>
      <c r="C78" s="22" t="str">
        <f>CONCATENATE(sample_xreg_wsa_virtual_hostname,".",sample_parent_dns_zone)</f>
        <v>xint-idm01.rainpole.io</v>
      </c>
      <c r="D78" s="18" t="str">
        <f>xreg_wsa_virtual_fqdn</f>
        <v>Value Missing.Value Missing</v>
      </c>
      <c r="E78" s="21"/>
    </row>
    <row r="79" spans="2:5" ht="20" customHeight="1">
      <c r="B79" s="21" t="s">
        <v>2120</v>
      </c>
      <c r="C79" s="22" t="str">
        <f>sample_xreg_wsa_cert_name</f>
        <v>xint-idm01.rainpole.io</v>
      </c>
      <c r="D79" s="18" t="str">
        <f>xreg_wsa_cert_name</f>
        <v>Value Missing</v>
      </c>
      <c r="E79" s="21"/>
    </row>
    <row r="80" spans="2:5" ht="20" customHeight="1">
      <c r="B80" s="21" t="s">
        <v>2121</v>
      </c>
      <c r="C80" s="22" t="str">
        <f>sample_xreg_wsa_delegate_ip</f>
        <v>192.168.11.64</v>
      </c>
      <c r="D80" s="18" t="str">
        <f>xreg_wsa_delegate_ip</f>
        <v>Value Missing</v>
      </c>
      <c r="E80" s="21"/>
    </row>
    <row r="81" spans="2:5" ht="20" customHeight="1">
      <c r="B81" s="21" t="s">
        <v>2122</v>
      </c>
      <c r="C81" s="22" t="str">
        <f>IF(vcf_aware_wsa_chosen="Standard",sample_xreg_wsa_virtual_hostname,sample_xreg_wsa_nodea_hostname)</f>
        <v>xint-idm01a</v>
      </c>
      <c r="D81" s="18" t="str">
        <f>IF(vcf_aware_wsa_chosen="Standard",xreg_wsa_virtual_hostname,xreg_wsa_nodea_hostname)</f>
        <v>Value Missing</v>
      </c>
      <c r="E81" s="21"/>
    </row>
    <row r="82" spans="2:5" ht="20" customHeight="1">
      <c r="B82" s="21" t="s">
        <v>2123</v>
      </c>
      <c r="C82" s="22" t="str">
        <f>IF(vcf_aware_wsa_chosen="Standard",CONCATENATE(sample_xreg_wsa_virtual_hostname,".",sample_parent_dns_zone),_xlfn.CONCAT(sample_xreg_wsa_nodea_hostname,".",sample_parent_dns_zone))</f>
        <v>xint-idm01a.rainpole.io</v>
      </c>
      <c r="D82" s="18" t="str">
        <f>IF(vcf_aware_wsa_chosen="Standard",xreg_wsa_virtual_fqdn,xreg_wsa_nodea_fqdn)</f>
        <v>Value Missing.Value Missing</v>
      </c>
      <c r="E82" s="21"/>
    </row>
    <row r="83" spans="2:5" ht="20" customHeight="1">
      <c r="B83" s="21" t="s">
        <v>2124</v>
      </c>
      <c r="C83" s="22" t="str">
        <f>IF(vcf_aware_wsa_chosen="Standard",sample_xreg_wsa_virtual_ip,sample_xreg_wsa_nodea_ip)</f>
        <v>192.168.11.61</v>
      </c>
      <c r="D83" s="18" t="str">
        <f>IF(vcf_aware_wsa_chosen="Standard",xreg_wsa_virtual_ip,xreg_wsa_nodea_ip)</f>
        <v>Value Missing</v>
      </c>
      <c r="E83" s="21"/>
    </row>
    <row r="84" spans="2:5" ht="20" customHeight="1">
      <c r="B84" s="21" t="s">
        <v>2125</v>
      </c>
      <c r="C84" s="22" t="str">
        <f>sample_local_vcf_aware_wsa_root_password_alias</f>
        <v>xint-idm-root</v>
      </c>
      <c r="D84" s="18" t="str">
        <f>local_vcf_aware_wsa_root_password_alias</f>
        <v>Value Missing</v>
      </c>
      <c r="E84" s="21"/>
    </row>
    <row r="85" spans="2:5" ht="20" customHeight="1">
      <c r="B85" s="21" t="s">
        <v>2126</v>
      </c>
      <c r="C85" s="22" t="str">
        <f>sample_xreg_wsa_nodeb_hostname</f>
        <v>xint-idm01b</v>
      </c>
      <c r="D85" s="18" t="str">
        <f>xreg_wsa_nodeb_hostname</f>
        <v>Value Missing</v>
      </c>
      <c r="E85" s="21"/>
    </row>
    <row r="86" spans="2:5" ht="20" customHeight="1">
      <c r="B86" s="21" t="s">
        <v>2127</v>
      </c>
      <c r="C86" s="22" t="str">
        <f>CONCATENATE(sample_xreg_wsa_nodeb_hostname,".",sample_parent_dns_zone)</f>
        <v>xint-idm01b.rainpole.io</v>
      </c>
      <c r="D86" s="18" t="str">
        <f>xreg_wsa_nodeb_fqdn</f>
        <v>Value Missing.Value Missing</v>
      </c>
      <c r="E86" s="21"/>
    </row>
    <row r="87" spans="2:5" ht="20" customHeight="1">
      <c r="B87" s="21" t="s">
        <v>2128</v>
      </c>
      <c r="C87" s="22" t="str">
        <f>sample_xreg_wsa_nodeb_ip</f>
        <v>192.168.11.62</v>
      </c>
      <c r="D87" s="18" t="str">
        <f>xreg_wsa_nodeb_ip</f>
        <v>Value Missing</v>
      </c>
      <c r="E87" s="21"/>
    </row>
    <row r="88" spans="2:5" ht="20" customHeight="1">
      <c r="B88" s="21" t="s">
        <v>2129</v>
      </c>
      <c r="C88" s="22" t="str">
        <f>sample_local_vcf_aware_wsa_root_password_alias</f>
        <v>xint-idm-root</v>
      </c>
      <c r="D88" s="18" t="str">
        <f>local_vcf_aware_wsa_root_password_alias</f>
        <v>Value Missing</v>
      </c>
      <c r="E88" s="21"/>
    </row>
    <row r="89" spans="2:5" ht="20" customHeight="1">
      <c r="B89" s="21" t="s">
        <v>2130</v>
      </c>
      <c r="C89" s="22" t="str">
        <f>sample_xreg_wsa_nodec_hostname</f>
        <v>xint-idm01c</v>
      </c>
      <c r="D89" s="18" t="str">
        <f>xreg_wsa_nodec_hostname</f>
        <v>Value Missing</v>
      </c>
      <c r="E89" s="21"/>
    </row>
    <row r="90" spans="2:5" ht="20" customHeight="1">
      <c r="B90" s="21" t="s">
        <v>2131</v>
      </c>
      <c r="C90" s="22" t="str">
        <f>CONCATENATE(sample_xreg_wsa_nodec_hostname,".",sample_parent_dns_zone)</f>
        <v>xint-idm01c.rainpole.io</v>
      </c>
      <c r="D90" s="18" t="str">
        <f>xreg_wsa_nodec_fqdn</f>
        <v>Value Missing.Value Missing</v>
      </c>
      <c r="E90" s="21"/>
    </row>
    <row r="91" spans="2:5" ht="20" customHeight="1">
      <c r="B91" s="21" t="s">
        <v>2132</v>
      </c>
      <c r="C91" s="22" t="str">
        <f>sample_xreg_wsa_nodec_ip</f>
        <v>192.168.11.63</v>
      </c>
      <c r="D91" s="18" t="str">
        <f>xreg_wsa_nodec_ip</f>
        <v>Value Missing</v>
      </c>
      <c r="E91" s="21"/>
    </row>
    <row r="92" spans="2:5" ht="20" customHeight="1">
      <c r="B92" s="21" t="s">
        <v>2133</v>
      </c>
      <c r="C92" s="22" t="str">
        <f>sample_local_vcf_aware_wsa_root_password_alias</f>
        <v>xint-idm-root</v>
      </c>
      <c r="D92" s="18" t="str">
        <f>local_vcf_aware_wsa_root_password_alias</f>
        <v>Value Missing</v>
      </c>
      <c r="E92" s="21"/>
    </row>
    <row r="94" spans="2:5" ht="34" customHeight="1">
      <c r="B94" s="344" t="s">
        <v>2134</v>
      </c>
      <c r="C94" s="344"/>
      <c r="D94" s="344"/>
      <c r="E94" s="344"/>
    </row>
    <row r="95" spans="2:5" ht="20" customHeight="1">
      <c r="B95" s="8" t="s">
        <v>735</v>
      </c>
      <c r="C95" s="8" t="s">
        <v>554</v>
      </c>
      <c r="D95" s="20" t="s">
        <v>555</v>
      </c>
      <c r="E95" s="8" t="s">
        <v>1989</v>
      </c>
    </row>
    <row r="96" spans="2:5" ht="20" customHeight="1">
      <c r="B96" s="21" t="s">
        <v>2286</v>
      </c>
      <c r="C96" s="22" t="str">
        <f>CONCATENATE(sample_mgmt_vc_hostname,".",sample_child_dns_zone)</f>
        <v>sfo-m01-vc01.sfo.rainpole.io</v>
      </c>
      <c r="D96" s="18" t="str">
        <f>mgmt_vc_fqdn</f>
        <v>Value Missing.Value Missing</v>
      </c>
      <c r="E96" s="21"/>
    </row>
    <row r="97" spans="2:5" ht="20" customHeight="1">
      <c r="B97" s="21" t="s">
        <v>735</v>
      </c>
      <c r="C97" s="22" t="s">
        <v>4599</v>
      </c>
      <c r="D97" s="18" t="str">
        <f>xreg_wsa_anti_affinity_rule</f>
        <v>anti-affinity-rule-idm</v>
      </c>
      <c r="E97" s="21"/>
    </row>
    <row r="98" spans="2:5" ht="20" customHeight="1">
      <c r="B98" s="21" t="s">
        <v>2136</v>
      </c>
      <c r="C98" s="22" t="str">
        <f>sample_xreg_wsa_nodea_hostname</f>
        <v>xint-idm01a</v>
      </c>
      <c r="D98" s="18" t="str">
        <f>xreg_wsa_nodea_hostname</f>
        <v>Value Missing</v>
      </c>
      <c r="E98" s="21"/>
    </row>
    <row r="99" spans="2:5" ht="20" customHeight="1">
      <c r="B99" s="21" t="s">
        <v>2137</v>
      </c>
      <c r="C99" s="22" t="str">
        <f>sample_xreg_wsa_nodeb_hostname</f>
        <v>xint-idm01b</v>
      </c>
      <c r="D99" s="18" t="str">
        <f>xreg_wsa_nodeb_hostname</f>
        <v>Value Missing</v>
      </c>
      <c r="E99" s="21"/>
    </row>
    <row r="100" spans="2:5" ht="20" customHeight="1">
      <c r="B100" s="21" t="s">
        <v>2138</v>
      </c>
      <c r="C100" s="22" t="str">
        <f>sample_xreg_wsa_nodec_hostname</f>
        <v>xint-idm01c</v>
      </c>
      <c r="D100" s="18" t="str">
        <f>xreg_wsa_nodec_hostname</f>
        <v>Value Missing</v>
      </c>
      <c r="E100" s="21"/>
    </row>
    <row r="101" spans="2:5" ht="20" customHeight="1">
      <c r="B101" s="21" t="s">
        <v>735</v>
      </c>
      <c r="C101" s="22" t="str">
        <f>xreg_wsa_vm_group_name</f>
        <v>xint-vm-group-idm</v>
      </c>
      <c r="D101" s="18" t="str">
        <f>xreg_wsa_vm_group_name</f>
        <v>xint-vm-group-idm</v>
      </c>
      <c r="E101" s="18"/>
    </row>
    <row r="102" spans="2:5" ht="20" customHeight="1">
      <c r="B102" s="21" t="s">
        <v>2136</v>
      </c>
      <c r="C102" s="22" t="str">
        <f>sample_xreg_wsa_nodea_hostname</f>
        <v>xint-idm01a</v>
      </c>
      <c r="D102" s="18" t="str">
        <f>xreg_wsa_nodea_hostname</f>
        <v>Value Missing</v>
      </c>
      <c r="E102" s="21"/>
    </row>
    <row r="103" spans="2:5" ht="20" customHeight="1">
      <c r="B103" s="21" t="s">
        <v>2137</v>
      </c>
      <c r="C103" s="22" t="str">
        <f>sample_xreg_wsa_nodeb_hostname</f>
        <v>xint-idm01b</v>
      </c>
      <c r="D103" s="18" t="str">
        <f>xreg_wsa_nodeb_hostname</f>
        <v>Value Missing</v>
      </c>
      <c r="E103" s="21"/>
    </row>
    <row r="104" spans="2:5" ht="20" customHeight="1">
      <c r="B104" s="21" t="s">
        <v>2138</v>
      </c>
      <c r="C104" s="22" t="str">
        <f>sample_xreg_wsa_nodec_hostname</f>
        <v>xint-idm01c</v>
      </c>
      <c r="D104" s="18" t="str">
        <f>xreg_wsa_nodec_hostname</f>
        <v>Value Missing</v>
      </c>
      <c r="E104" s="21"/>
    </row>
    <row r="106" spans="2:5" ht="34" customHeight="1">
      <c r="B106" s="344" t="s">
        <v>4589</v>
      </c>
      <c r="C106" s="344"/>
      <c r="D106" s="344"/>
      <c r="E106" s="344"/>
    </row>
    <row r="107" spans="2:5" ht="20" customHeight="1">
      <c r="B107" s="8" t="s">
        <v>735</v>
      </c>
      <c r="C107" s="8" t="s">
        <v>554</v>
      </c>
      <c r="D107" s="20" t="s">
        <v>555</v>
      </c>
      <c r="E107" s="8" t="s">
        <v>1989</v>
      </c>
    </row>
    <row r="108" spans="2:5" ht="20" customHeight="1">
      <c r="B108" s="21" t="s">
        <v>2139</v>
      </c>
      <c r="C108" s="22" t="str">
        <f>IF(vcf_aware_wsa_chosen="Standard",_xlfn.CONCAT(sample_xreg_wsa_virtual_hostname,".",sample_parent_dns_zone),_xlfn.CONCAT(sample_xreg_wsa_nodea_hostname,".",sample_parent_dns_zone))</f>
        <v>xint-idm01a.rainpole.io</v>
      </c>
      <c r="D108" s="18" t="str">
        <f>IF(vcf_aware_wsa_chosen="Standard",xreg_wsa_virtual_fqdn,xreg_wsa_nodea_fqdn)</f>
        <v>Value Missing.Value Missing</v>
      </c>
      <c r="E108" s="21"/>
    </row>
    <row r="109" spans="2:5" ht="20" customHeight="1">
      <c r="B109" s="21" t="s">
        <v>2140</v>
      </c>
      <c r="C109" s="22" t="str">
        <f>_xlfn.CONCAT(sample_xreg_wsa_nodeb_hostname,".",sample_parent_dns_zone)</f>
        <v>xint-idm01b.rainpole.io</v>
      </c>
      <c r="D109" s="18" t="str">
        <f>xreg_wsa_nodeb_fqdn</f>
        <v>Value Missing.Value Missing</v>
      </c>
      <c r="E109" s="21"/>
    </row>
    <row r="110" spans="2:5" ht="20" customHeight="1">
      <c r="B110" s="52" t="s">
        <v>2141</v>
      </c>
      <c r="C110" s="22" t="str">
        <f>_xlfn.CONCAT(sample_xreg_wsa_nodec_hostname,".",sample_parent_dns_zone)</f>
        <v>xint-idm01c.rainpole.io</v>
      </c>
      <c r="D110" s="18" t="str">
        <f>xreg_wsa_nodec_fqdn</f>
        <v>Value Missing.Value Missing</v>
      </c>
      <c r="E110" s="21"/>
    </row>
    <row r="111" spans="2:5" ht="20" customHeight="1">
      <c r="B111" s="52" t="s">
        <v>2142</v>
      </c>
      <c r="C111" s="22" t="str">
        <f>sample_xregion_ntp1_server</f>
        <v>ntp.sfo.rainpole.io</v>
      </c>
      <c r="D111" s="18" t="str">
        <f>xregion_ntp1_server</f>
        <v/>
      </c>
      <c r="E111" s="21"/>
    </row>
    <row r="113" spans="2:5" ht="34" customHeight="1">
      <c r="B113" s="344" t="s">
        <v>4590</v>
      </c>
      <c r="C113" s="344"/>
      <c r="D113" s="344"/>
      <c r="E113" s="344"/>
    </row>
    <row r="114" spans="2:5" ht="20" customHeight="1">
      <c r="B114" s="8" t="s">
        <v>735</v>
      </c>
      <c r="C114" s="8" t="s">
        <v>554</v>
      </c>
      <c r="D114" s="20" t="s">
        <v>555</v>
      </c>
      <c r="E114" s="8" t="s">
        <v>1989</v>
      </c>
    </row>
    <row r="115" spans="2:5" ht="20" customHeight="1">
      <c r="B115" s="21" t="s">
        <v>3368</v>
      </c>
      <c r="C115" s="22" t="str">
        <f>_xlfn.CONCAT(sample_xreg_wsa_virtual_hostname,".",sample_parent_dns_zone)</f>
        <v>xint-idm01.rainpole.io</v>
      </c>
      <c r="D115" s="18" t="str">
        <f>xreg_wsa_virtual_fqdn</f>
        <v>Value Missing.Value Missing</v>
      </c>
      <c r="E115" s="21"/>
    </row>
    <row r="116" spans="2:5" ht="20" customHeight="1">
      <c r="B116" s="52" t="s">
        <v>2144</v>
      </c>
      <c r="C116" s="22" t="str">
        <f>sample_region_ad_child_fqdn</f>
        <v>sfo.rainpole.io</v>
      </c>
      <c r="D116" s="18" t="str">
        <f>region_ad_child_fqdn</f>
        <v>Value Missing</v>
      </c>
      <c r="E116" s="21"/>
    </row>
    <row r="117" spans="2:5" ht="20" customHeight="1">
      <c r="B117" s="52" t="s">
        <v>2145</v>
      </c>
      <c r="C117" s="22" t="str">
        <f>_xlfn.CONCAT(sample_xreg_wsa_nodea_hostname,".",sample_parent_dns_zone)</f>
        <v>xint-idm01a.rainpole.io</v>
      </c>
      <c r="D117" s="18" t="str">
        <f>IF(vcf_aware_wsa_chosen="Standard",xreg_wsa_virtual_fqdn,xreg_wsa_nodea_fqdn)</f>
        <v>Value Missing.Value Missing</v>
      </c>
      <c r="E117" s="21"/>
    </row>
    <row r="118" spans="2:5" ht="20" customHeight="1">
      <c r="B118" s="52" t="s">
        <v>2146</v>
      </c>
      <c r="C118" s="22" t="str">
        <f>sample_child_ad_users_ou</f>
        <v>ou=Security Users,dc=sfo,dc=rainpole,dc=io</v>
      </c>
      <c r="D118" s="18" t="str">
        <f>child_ad_users_ou</f>
        <v>Value Missing</v>
      </c>
      <c r="E118" s="21"/>
    </row>
    <row r="119" spans="2:5" ht="20" customHeight="1">
      <c r="B119" s="52" t="s">
        <v>2147</v>
      </c>
      <c r="C119" s="22" t="str">
        <f>_xlfn.CONCAT("cn=",sample_child_svc_wsa_ad_user,",",sample_child_ad_users_ou)</f>
        <v>cn=svc-idm-ad,ou=Security Users,dc=sfo,dc=rainpole,dc=io</v>
      </c>
      <c r="D119" s="18" t="str">
        <f>child_ad_bind_dn</f>
        <v>Value Missing</v>
      </c>
      <c r="E119" s="21"/>
    </row>
    <row r="120" spans="2:5" ht="20" customHeight="1">
      <c r="B120" s="52" t="s">
        <v>2148</v>
      </c>
      <c r="C120" s="22" t="str">
        <f>sample_child_svc_wsa_ad_password</f>
        <v>VMw@re1!</v>
      </c>
      <c r="D120" s="18" t="str">
        <f>child_svc_wsa_ad_password</f>
        <v>Value Missing</v>
      </c>
      <c r="E120" s="21"/>
    </row>
    <row r="121" spans="2:5" ht="20" customHeight="1">
      <c r="B121" s="52" t="s">
        <v>2149</v>
      </c>
      <c r="C121" s="22" t="str">
        <f>sample_child_ad_groups_ou</f>
        <v>ou=Security Groups,dc=sfo,dc=rainpole,dc=io</v>
      </c>
      <c r="D121" s="18" t="str">
        <f>child_ad_groups_ou</f>
        <v>Value Missing</v>
      </c>
      <c r="E121" s="21"/>
    </row>
    <row r="122" spans="2:5" ht="20" customHeight="1">
      <c r="B122" s="52" t="s">
        <v>2150</v>
      </c>
      <c r="C122" s="22" t="str">
        <f>sample_parent_gg_wsa_admins_group</f>
        <v>gg-idm-admins</v>
      </c>
      <c r="D122" s="18" t="str">
        <f>group_parent_gg_wsa_admins</f>
        <v>Value Missing</v>
      </c>
      <c r="E122" s="21"/>
    </row>
    <row r="123" spans="2:5" ht="20" customHeight="1">
      <c r="B123" s="52" t="s">
        <v>2151</v>
      </c>
      <c r="C123" s="22" t="str">
        <f>sample_parent_gg_wsa_directory_admins_group</f>
        <v>gg-idm-directory-admins</v>
      </c>
      <c r="D123" s="18" t="str">
        <f>group_parent_gg_wsa_directory_admins</f>
        <v>Value Missing</v>
      </c>
      <c r="E123" s="21"/>
    </row>
    <row r="124" spans="2:5" ht="20" customHeight="1">
      <c r="B124" s="52" t="s">
        <v>2152</v>
      </c>
      <c r="C124" s="22" t="str">
        <f>sample_parent_gg_wsa_read_only_group</f>
        <v>gg-idm-read-only</v>
      </c>
      <c r="D124" s="18" t="str">
        <f>group_parent_gg_wsa_read_only</f>
        <v>Value Missing</v>
      </c>
      <c r="E124" s="21"/>
    </row>
    <row r="125" spans="2:5" ht="20" customHeight="1">
      <c r="B125" s="52" t="s">
        <v>3339</v>
      </c>
      <c r="C125" s="22" t="str">
        <f>sample_gg_vrslcm_admins_group</f>
        <v>gg-lcm-admins</v>
      </c>
      <c r="D125" s="18" t="str">
        <f>group_gg_vrslcm_admins</f>
        <v>Value Missing</v>
      </c>
      <c r="E125" s="21"/>
    </row>
    <row r="126" spans="2:5" ht="20" customHeight="1">
      <c r="B126" s="52" t="s">
        <v>3340</v>
      </c>
      <c r="C126" s="22" t="str">
        <f>sample_gg_vrslcm_release_managers_group</f>
        <v>gg-lcm-release-managers</v>
      </c>
      <c r="D126" s="18" t="str">
        <f>group_gg_vrslcm_release_managers</f>
        <v>Value Missing</v>
      </c>
      <c r="E126" s="21"/>
    </row>
    <row r="127" spans="2:5" ht="20" customHeight="1">
      <c r="B127" s="52" t="s">
        <v>3341</v>
      </c>
      <c r="C127" s="22" t="str">
        <f>sample_gg_vrslcm_content_developers_group</f>
        <v>gg-lcm-content-developers</v>
      </c>
      <c r="D127" s="18" t="str">
        <f>group_gg_vrslcm_content_developers</f>
        <v>Value Missing</v>
      </c>
      <c r="E127" s="21"/>
    </row>
    <row r="128" spans="2:5" ht="20" customHeight="1">
      <c r="B128" s="52" t="s">
        <v>2146</v>
      </c>
      <c r="C128" s="22" t="str">
        <f>sample_child_ad_users_ou</f>
        <v>ou=Security Users,dc=sfo,dc=rainpole,dc=io</v>
      </c>
      <c r="D128" s="18" t="str">
        <f>child_ad_users_ou</f>
        <v>Value Missing</v>
      </c>
      <c r="E128" s="21"/>
    </row>
    <row r="130" spans="2:5" ht="34" customHeight="1">
      <c r="B130" s="344" t="s">
        <v>2153</v>
      </c>
      <c r="C130" s="344"/>
      <c r="D130" s="344"/>
      <c r="E130" s="344"/>
    </row>
    <row r="131" spans="2:5" ht="20" customHeight="1">
      <c r="B131" s="8" t="s">
        <v>735</v>
      </c>
      <c r="C131" s="8" t="s">
        <v>554</v>
      </c>
      <c r="D131" s="20" t="s">
        <v>555</v>
      </c>
      <c r="E131" s="8" t="s">
        <v>1989</v>
      </c>
    </row>
    <row r="132" spans="2:5" ht="20" customHeight="1">
      <c r="B132" s="21" t="s">
        <v>2143</v>
      </c>
      <c r="C132" s="22" t="str">
        <f>_xlfn.CONCAT(sample_xreg_wsa_virtual_hostname,".",sample_parent_dns_zone)</f>
        <v>xint-idm01.rainpole.io</v>
      </c>
      <c r="D132" s="18" t="str">
        <f>xreg_wsa_virtual_fqdn</f>
        <v>Value Missing.Value Missing</v>
      </c>
      <c r="E132" s="21"/>
    </row>
    <row r="133" spans="2:5" ht="20" customHeight="1">
      <c r="B133" s="52" t="s">
        <v>2154</v>
      </c>
      <c r="C133" s="22" t="str">
        <f>_xlfn.CONCAT(sample_xreg_wsa_nodeb_hostname,".",sample_parent_dns_zone)</f>
        <v>xint-idm01b.rainpole.io</v>
      </c>
      <c r="D133" s="18" t="str">
        <f>xreg_wsa_nodeb_fqdn</f>
        <v>Value Missing.Value Missing</v>
      </c>
      <c r="E133" s="21"/>
    </row>
    <row r="134" spans="2:5" ht="20" customHeight="1">
      <c r="B134" s="52" t="s">
        <v>2155</v>
      </c>
      <c r="C134" s="22" t="str">
        <f>_xlfn.CONCAT(sample_xreg_wsa_nodec_hostname,".",sample_parent_dns_zone)</f>
        <v>xint-idm01c.rainpole.io</v>
      </c>
      <c r="D134" s="18" t="str">
        <f>xreg_wsa_nodec_fqdn</f>
        <v>Value Missing.Value Missing</v>
      </c>
      <c r="E134" s="21"/>
    </row>
    <row r="135" spans="2:5" ht="20" customHeight="1">
      <c r="B135" s="52" t="s">
        <v>2148</v>
      </c>
      <c r="C135" s="22" t="str">
        <f>sample_child_svc_wsa_ad_password</f>
        <v>VMw@re1!</v>
      </c>
      <c r="D135" s="18" t="str">
        <f>child_svc_wsa_ad_password</f>
        <v>Value Missing</v>
      </c>
      <c r="E135" s="21"/>
    </row>
    <row r="136" spans="2:5" ht="20" customHeight="1">
      <c r="B136" s="52" t="s">
        <v>2156</v>
      </c>
      <c r="C136" s="22" t="str">
        <f>_xlfn.CONCAT(sample_xreg_wsa_virtual_hostname,".",sample_parent_dns_zone)</f>
        <v>xint-idm01.rainpole.io</v>
      </c>
      <c r="D136" s="18" t="str">
        <f>xreg_wsa_virtual_fqdn</f>
        <v>Value Missing.Value Missing</v>
      </c>
      <c r="E136" s="21"/>
    </row>
    <row r="138" spans="2:5" ht="34" customHeight="1">
      <c r="B138" s="344" t="s">
        <v>4591</v>
      </c>
      <c r="C138" s="344"/>
      <c r="D138" s="344"/>
      <c r="E138" s="344"/>
    </row>
    <row r="139" spans="2:5" ht="20" customHeight="1">
      <c r="B139" s="8" t="s">
        <v>735</v>
      </c>
      <c r="C139" s="8" t="s">
        <v>554</v>
      </c>
      <c r="D139" s="20" t="s">
        <v>555</v>
      </c>
      <c r="E139" s="8" t="s">
        <v>1989</v>
      </c>
    </row>
    <row r="140" spans="2:5" ht="20" customHeight="1">
      <c r="B140" s="21" t="s">
        <v>2143</v>
      </c>
      <c r="C140" s="22" t="str">
        <f>_xlfn.CONCAT(sample_xreg_wsa_virtual_hostname,".",sample_parent_dns_zone)</f>
        <v>xint-idm01.rainpole.io</v>
      </c>
      <c r="D140" s="18" t="str">
        <f>IF(vcf_aware_wsa_chosen="Standard",xreg_wsa_virtual_fqdn,xreg_wsa_nodea_fqdn)</f>
        <v>Value Missing.Value Missing</v>
      </c>
      <c r="E140" s="21"/>
    </row>
    <row r="141" spans="2:5" ht="20" customHeight="1">
      <c r="B141" s="52" t="s">
        <v>2157</v>
      </c>
      <c r="C141" s="22" t="e">
        <f>sample_child_gg_wsa_admins_group</f>
        <v>#NAME?</v>
      </c>
      <c r="D141" s="18" t="str">
        <f>group_parent_gg_wsa_admins</f>
        <v>Value Missing</v>
      </c>
      <c r="E141" s="21"/>
    </row>
    <row r="142" spans="2:5" ht="20" customHeight="1">
      <c r="B142" s="52" t="s">
        <v>2158</v>
      </c>
      <c r="C142" s="22" t="str">
        <f>sample_parent_gg_wsa_directory_admins_group</f>
        <v>gg-idm-directory-admins</v>
      </c>
      <c r="D142" s="18" t="str">
        <f>group_parent_gg_wsa_directory_admins</f>
        <v>Value Missing</v>
      </c>
      <c r="E142" s="21"/>
    </row>
    <row r="143" spans="2:5" ht="20" customHeight="1">
      <c r="B143" s="52" t="s">
        <v>2159</v>
      </c>
      <c r="C143" s="22" t="str">
        <f>sample_parent_gg_wsa_read_only_group</f>
        <v>gg-idm-read-only</v>
      </c>
      <c r="D143" s="18" t="str">
        <f>group_parent_gg_wsa_read_only</f>
        <v>Value Missing</v>
      </c>
      <c r="E143" s="21"/>
    </row>
    <row r="145" spans="2:5" ht="34" customHeight="1">
      <c r="B145" s="344" t="s">
        <v>3342</v>
      </c>
      <c r="C145" s="344"/>
      <c r="D145" s="344"/>
      <c r="E145" s="344"/>
    </row>
    <row r="146" spans="2:5" ht="20" customHeight="1">
      <c r="B146" s="8" t="s">
        <v>735</v>
      </c>
      <c r="C146" s="8" t="s">
        <v>554</v>
      </c>
      <c r="D146" s="20" t="s">
        <v>555</v>
      </c>
      <c r="E146" s="8" t="s">
        <v>1989</v>
      </c>
    </row>
    <row r="147" spans="2:5" ht="20" customHeight="1">
      <c r="B147" s="21" t="s">
        <v>3368</v>
      </c>
      <c r="C147" s="22" t="str">
        <f>_xlfn.CONCAT(sample_xreg_vrslcm_hostname,".",sample_parent_dns_zone)</f>
        <v>xint-lcm01.rainpole.io</v>
      </c>
      <c r="D147" s="18" t="str">
        <f>xreg_vrslcm_fqdn</f>
        <v>Value Missing.Value Missing</v>
      </c>
      <c r="E147" s="21"/>
    </row>
    <row r="148" spans="2:5" ht="20" customHeight="1">
      <c r="B148" s="52" t="s">
        <v>2160</v>
      </c>
      <c r="C148" s="22" t="str">
        <f>sample_gg_vrslcm_admins_group</f>
        <v>gg-lcm-admins</v>
      </c>
      <c r="D148" s="18" t="str">
        <f>group_gg_vrslcm_admins</f>
        <v>Value Missing</v>
      </c>
      <c r="E148" s="21"/>
    </row>
    <row r="149" spans="2:5" ht="20" customHeight="1">
      <c r="B149" s="52" t="s">
        <v>2161</v>
      </c>
      <c r="C149" s="22" t="str">
        <f>sample_gg_vrslcm_release_managers_group</f>
        <v>gg-lcm-release-managers</v>
      </c>
      <c r="D149" s="18" t="str">
        <f>group_gg_vrslcm_release_managers</f>
        <v>Value Missing</v>
      </c>
      <c r="E149" s="21"/>
    </row>
    <row r="150" spans="2:5" ht="20" customHeight="1">
      <c r="B150" s="52" t="s">
        <v>2162</v>
      </c>
      <c r="C150" s="22" t="str">
        <f>sample_gg_vrslcm_content_developers_group</f>
        <v>gg-lcm-content-developers</v>
      </c>
      <c r="D150" s="18" t="str">
        <f>group_gg_vrslcm_content_developers</f>
        <v>Value Missing</v>
      </c>
      <c r="E150" s="21"/>
    </row>
  </sheetData>
  <sheetProtection algorithmName="SHA-512" hashValue="d1g5/QzSzFzibcczKwmhezdfp+Ma7U3rH+XhwGHO6qnaZXtJ2aVbzMQzg26zVJYbxW1mRjBIaSt8xn9LeADE+g==" saltValue="1eND0OeKu6DTqtmNcVq21w==" spinCount="100000" sheet="1" objects="1" scenarios="1"/>
  <mergeCells count="17">
    <mergeCell ref="B16:E16"/>
    <mergeCell ref="B2:C2"/>
    <mergeCell ref="B3:E3"/>
    <mergeCell ref="B8:E8"/>
    <mergeCell ref="B6:E6"/>
    <mergeCell ref="D2:E2"/>
    <mergeCell ref="B130:E130"/>
    <mergeCell ref="B138:E138"/>
    <mergeCell ref="B145:E145"/>
    <mergeCell ref="B28:E28"/>
    <mergeCell ref="B39:E39"/>
    <mergeCell ref="B44:E44"/>
    <mergeCell ref="B56:E56"/>
    <mergeCell ref="B94:E94"/>
    <mergeCell ref="B106:E106"/>
    <mergeCell ref="B113:E113"/>
    <mergeCell ref="B37:E37"/>
  </mergeCells>
  <conditionalFormatting sqref="B6:E6">
    <cfRule type="expression" dxfId="2608" priority="39">
      <formula>vrslcm_result="Excluded"</formula>
    </cfRule>
  </conditionalFormatting>
  <conditionalFormatting sqref="B8:E14">
    <cfRule type="expression" dxfId="2607" priority="38">
      <formula>vrslcm_result="Excluded"</formula>
    </cfRule>
  </conditionalFormatting>
  <conditionalFormatting sqref="B16:E26">
    <cfRule type="expression" dxfId="2606" priority="37">
      <formula>OR((vrslcm_result="Excluded"),((mgmt_signed_certs_result="Excluded")))</formula>
    </cfRule>
  </conditionalFormatting>
  <conditionalFormatting sqref="B28:E35">
    <cfRule type="expression" dxfId="2605" priority="32">
      <formula>vrslcm_result="Excluded"</formula>
    </cfRule>
  </conditionalFormatting>
  <conditionalFormatting sqref="B37:E37">
    <cfRule type="expression" dxfId="2604" priority="31">
      <formula>vcf_aware_wsa_result="Excluded"</formula>
    </cfRule>
  </conditionalFormatting>
  <conditionalFormatting sqref="B39:E42">
    <cfRule type="expression" dxfId="2603" priority="12">
      <formula>vcf_aware_wsa_result="Excluded"</formula>
    </cfRule>
  </conditionalFormatting>
  <conditionalFormatting sqref="B44:E54">
    <cfRule type="expression" dxfId="2602" priority="11">
      <formula>vcf_aware_wsa_result="Excluded"</formula>
    </cfRule>
  </conditionalFormatting>
  <conditionalFormatting sqref="B56:E92">
    <cfRule type="expression" dxfId="2601" priority="10">
      <formula>vcf_aware_wsa_result="Excluded"</formula>
    </cfRule>
  </conditionalFormatting>
  <conditionalFormatting sqref="B78:E78">
    <cfRule type="expression" dxfId="2600" priority="13">
      <formula>vcf_aware_wsa_chosen="Standard"</formula>
    </cfRule>
  </conditionalFormatting>
  <conditionalFormatting sqref="B80:E80">
    <cfRule type="expression" dxfId="2599" priority="17">
      <formula>vcf_aware_wsa_chosen="Standard"</formula>
    </cfRule>
  </conditionalFormatting>
  <conditionalFormatting sqref="B85:E92">
    <cfRule type="expression" dxfId="2598" priority="18">
      <formula>vcf_aware_wsa_chosen="Standard"</formula>
    </cfRule>
  </conditionalFormatting>
  <conditionalFormatting sqref="B94:E104">
    <cfRule type="expression" dxfId="2597" priority="8">
      <formula>vcf_aware_wsa_result="Excluded"</formula>
    </cfRule>
    <cfRule type="expression" dxfId="2596" priority="9">
      <formula>vcf_aware_wsa_chosen="Standard"</formula>
    </cfRule>
  </conditionalFormatting>
  <conditionalFormatting sqref="B106:E111">
    <cfRule type="expression" dxfId="2595" priority="6">
      <formula>vcf_aware_wsa_result="Excluded"</formula>
    </cfRule>
  </conditionalFormatting>
  <conditionalFormatting sqref="B109:E110">
    <cfRule type="expression" dxfId="2594" priority="15">
      <formula>vcf_aware_wsa_chosen="Standard"</formula>
    </cfRule>
  </conditionalFormatting>
  <conditionalFormatting sqref="B113:E128">
    <cfRule type="expression" dxfId="2593" priority="7">
      <formula>vcf_aware_wsa_result="Excluded"</formula>
    </cfRule>
  </conditionalFormatting>
  <conditionalFormatting sqref="B130:E136">
    <cfRule type="expression" dxfId="2592" priority="4">
      <formula>vcf_aware_wsa_result="Excluded"</formula>
    </cfRule>
    <cfRule type="expression" dxfId="2591" priority="5">
      <formula>vcf_aware_wsa_chosen="Standard"</formula>
    </cfRule>
  </conditionalFormatting>
  <conditionalFormatting sqref="B138:E143">
    <cfRule type="expression" dxfId="2590" priority="2">
      <formula>vcf_aware_wsa_result="Excluded"</formula>
    </cfRule>
  </conditionalFormatting>
  <conditionalFormatting sqref="B145:E150">
    <cfRule type="expression" dxfId="2589" priority="1">
      <formula>vcf_aware_wsa_result="Excluded"</formula>
    </cfRule>
  </conditionalFormatting>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ontainsText" priority="265" operator="containsText" id="{00F69A71-B8D7-6F47-9A21-061914161C3C}">
            <xm:f>NOT(ISERROR(SEARCH("Value Missing",D10)))</xm:f>
            <xm:f>"Value Missing"</xm:f>
            <x14:dxf>
              <font>
                <color rgb="FF9C0006"/>
              </font>
              <fill>
                <patternFill>
                  <bgColor rgb="FFFFC7CE"/>
                </patternFill>
              </fill>
            </x14:dxf>
          </x14:cfRule>
          <x14:cfRule type="notContainsText" priority="264" operator="notContains" id="{F78AB7A3-D516-E24A-8586-BEEAC4EBC474}">
            <xm:f>ISERROR(SEARCH("Value Missing",D10))</xm:f>
            <xm:f>"Value Missing"</xm:f>
            <x14:dxf>
              <font>
                <color rgb="FF006100"/>
              </font>
              <fill>
                <patternFill>
                  <bgColor rgb="FFC6EFCE"/>
                </patternFill>
              </fill>
            </x14:dxf>
          </x14:cfRule>
          <xm:sqref>D10:D14</xm:sqref>
        </x14:conditionalFormatting>
        <x14:conditionalFormatting xmlns:xm="http://schemas.microsoft.com/office/excel/2006/main">
          <x14:cfRule type="containsText" priority="263" operator="containsText" id="{B99D8CAA-CF07-3A43-BCC7-BC5EB7609D5B}">
            <xm:f>NOT(ISERROR(SEARCH("Value Missing",D18)))</xm:f>
            <xm:f>"Value Missing"</xm:f>
            <x14:dxf>
              <font>
                <color rgb="FF9C0006"/>
              </font>
              <fill>
                <patternFill>
                  <bgColor rgb="FFFFC7CE"/>
                </patternFill>
              </fill>
            </x14:dxf>
          </x14:cfRule>
          <x14:cfRule type="notContainsText" priority="262" operator="notContains" id="{2A23F9EC-22B4-0F48-9100-D05D3B5456D6}">
            <xm:f>ISERROR(SEARCH("Value Missing",D18))</xm:f>
            <xm:f>"Value Missing"</xm:f>
            <x14:dxf>
              <font>
                <color rgb="FF006100"/>
              </font>
              <fill>
                <patternFill>
                  <bgColor rgb="FFC6EFCE"/>
                </patternFill>
              </fill>
            </x14:dxf>
          </x14:cfRule>
          <xm:sqref>D18:D26</xm:sqref>
        </x14:conditionalFormatting>
        <x14:conditionalFormatting xmlns:xm="http://schemas.microsoft.com/office/excel/2006/main">
          <x14:cfRule type="containsText" priority="165" operator="containsText" id="{BA8DE587-8AC0-D346-AAA9-9A460AD21A9D}">
            <xm:f>NOT(ISERROR(SEARCH("Value Missing",D30)))</xm:f>
            <xm:f>"Value Missing"</xm:f>
            <x14:dxf>
              <font>
                <color rgb="FF9C0006"/>
              </font>
              <fill>
                <patternFill>
                  <bgColor rgb="FFFFC7CE"/>
                </patternFill>
              </fill>
            </x14:dxf>
          </x14:cfRule>
          <xm:sqref>D30:D35 D37 D39 D41:D42 D44 D46:D54 D56 D58:D66</xm:sqref>
        </x14:conditionalFormatting>
        <x14:conditionalFormatting xmlns:xm="http://schemas.microsoft.com/office/excel/2006/main">
          <x14:cfRule type="notContainsText" priority="84" operator="notContains" id="{00B2DEB1-9F2E-ED42-9B68-0371B38ED108}">
            <xm:f>ISERROR(SEARCH("Value Missing",D41))</xm:f>
            <xm:f>"Value Missing"</xm:f>
            <x14:dxf>
              <font>
                <color rgb="FF006100"/>
              </font>
              <fill>
                <patternFill>
                  <bgColor rgb="FFC6EFCE"/>
                </patternFill>
              </fill>
            </x14:dxf>
          </x14:cfRule>
          <x14:cfRule type="containsText" priority="85" operator="containsText" id="{ABEB32EB-5758-B444-83E9-7F55FE87C808}">
            <xm:f>NOT(ISERROR(SEARCH("Value Missing",D41)))</xm:f>
            <xm:f>"Value Missing"</xm:f>
            <x14:dxf>
              <font>
                <color rgb="FF9C0006"/>
              </font>
              <fill>
                <patternFill>
                  <bgColor rgb="FFFFC7CE"/>
                </patternFill>
              </fill>
            </x14:dxf>
          </x14:cfRule>
          <xm:sqref>D41</xm:sqref>
        </x14:conditionalFormatting>
        <x14:conditionalFormatting xmlns:xm="http://schemas.microsoft.com/office/excel/2006/main">
          <x14:cfRule type="notContainsText" priority="82" operator="notContains" id="{037A3858-EB25-9E49-A7A8-CDDD6AFF32A7}">
            <xm:f>ISERROR(SEARCH("Value Missing",D46))</xm:f>
            <xm:f>"Value Missing"</xm:f>
            <x14:dxf>
              <font>
                <color rgb="FF006100"/>
              </font>
              <fill>
                <patternFill>
                  <bgColor rgb="FFC6EFCE"/>
                </patternFill>
              </fill>
            </x14:dxf>
          </x14:cfRule>
          <x14:cfRule type="containsText" priority="83" operator="containsText" id="{47DB0DBD-6465-8B4E-827F-F7A3C409E53F}">
            <xm:f>NOT(ISERROR(SEARCH("Value Missing",D46)))</xm:f>
            <xm:f>"Value Missing"</xm:f>
            <x14:dxf>
              <font>
                <color rgb="FF9C0006"/>
              </font>
              <fill>
                <patternFill>
                  <bgColor rgb="FFFFC7CE"/>
                </patternFill>
              </fill>
            </x14:dxf>
          </x14:cfRule>
          <xm:sqref>D46</xm:sqref>
        </x14:conditionalFormatting>
        <x14:conditionalFormatting xmlns:xm="http://schemas.microsoft.com/office/excel/2006/main">
          <x14:cfRule type="containsText" priority="201" operator="containsText" id="{2762BFEA-E4E8-CB48-A158-7189095EAFEC}">
            <xm:f>NOT(ISERROR(SEARCH("Value Missing",D47)))</xm:f>
            <xm:f>"Value Missing"</xm:f>
            <x14:dxf>
              <font>
                <color rgb="FF9C0006"/>
              </font>
              <fill>
                <patternFill>
                  <bgColor rgb="FFFFC7CE"/>
                </patternFill>
              </fill>
            </x14:dxf>
          </x14:cfRule>
          <xm:sqref>D47:D54 D56 D58:D92 D94 D96:D104 D106 D108:D111 D113 D115:D127</xm:sqref>
        </x14:conditionalFormatting>
        <x14:conditionalFormatting xmlns:xm="http://schemas.microsoft.com/office/excel/2006/main">
          <x14:cfRule type="notContainsText" priority="200" operator="notContains" id="{388457E1-43FB-0040-B358-B762BAFE6734}">
            <xm:f>ISERROR(SEARCH("Value Missing",D47))</xm:f>
            <xm:f>"Value Missing"</xm:f>
            <x14:dxf>
              <font>
                <color rgb="FF006100"/>
              </font>
              <fill>
                <patternFill>
                  <bgColor rgb="FFC6EFCE"/>
                </patternFill>
              </fill>
            </x14:dxf>
          </x14:cfRule>
          <xm:sqref>D47:D54 D56 D58:D92 D108:D111 D113 D115:D127 D94 D96:D104 D106</xm:sqref>
        </x14:conditionalFormatting>
        <x14:conditionalFormatting xmlns:xm="http://schemas.microsoft.com/office/excel/2006/main">
          <x14:cfRule type="containsText" priority="81" operator="containsText" id="{BD8EE0F0-8516-D24D-B814-143A9443CE3A}">
            <xm:f>NOT(ISERROR(SEARCH("Value Missing",D58)))</xm:f>
            <xm:f>"Value Missing"</xm:f>
            <x14:dxf>
              <font>
                <color rgb="FF9C0006"/>
              </font>
              <fill>
                <patternFill>
                  <bgColor rgb="FFFFC7CE"/>
                </patternFill>
              </fill>
            </x14:dxf>
          </x14:cfRule>
          <xm:sqref>D58</xm:sqref>
        </x14:conditionalFormatting>
        <x14:conditionalFormatting xmlns:xm="http://schemas.microsoft.com/office/excel/2006/main">
          <x14:cfRule type="notContainsText" priority="164" operator="notContains" id="{F5A8044F-A7F4-364B-B5CA-D186655952DB}">
            <xm:f>ISERROR(SEARCH("Value Missing",D30))</xm:f>
            <xm:f>"Value Missing"</xm:f>
            <x14:dxf>
              <font>
                <color rgb="FF006100"/>
              </font>
              <fill>
                <patternFill>
                  <bgColor rgb="FFC6EFCE"/>
                </patternFill>
              </fill>
            </x14:dxf>
          </x14:cfRule>
          <xm:sqref>D58:D66 D41:D42 D46:D54 D30:D35 D37 D39 D44 D56</xm:sqref>
        </x14:conditionalFormatting>
        <x14:conditionalFormatting xmlns:xm="http://schemas.microsoft.com/office/excel/2006/main">
          <x14:cfRule type="notContainsText" priority="20" operator="notContains" id="{0A86C652-1F1C-3C48-9FD6-87CF6025D07D}">
            <xm:f>ISERROR(SEARCH("Value Missing",D58))</xm:f>
            <xm:f>"Value Missing"</xm:f>
            <x14:dxf>
              <font>
                <color rgb="FF006100"/>
              </font>
              <fill>
                <patternFill>
                  <bgColor rgb="FFC6EFCE"/>
                </patternFill>
              </fill>
            </x14:dxf>
          </x14:cfRule>
          <xm:sqref>D58:D66</xm:sqref>
        </x14:conditionalFormatting>
        <x14:conditionalFormatting xmlns:xm="http://schemas.microsoft.com/office/excel/2006/main">
          <x14:cfRule type="notContainsText" priority="154" operator="notContains" id="{5605D748-0677-8646-9ABF-3967FE22FB2B}">
            <xm:f>ISERROR(SEARCH("Value Missing",D65))</xm:f>
            <xm:f>"Value Missing"</xm:f>
            <x14:dxf>
              <font>
                <color rgb="FF006100"/>
              </font>
              <fill>
                <patternFill>
                  <bgColor rgb="FFC6EFCE"/>
                </patternFill>
              </fill>
            </x14:dxf>
          </x14:cfRule>
          <x14:cfRule type="containsText" priority="155" operator="containsText" id="{A2C011B5-151F-C140-B77B-7FF61C1E679E}">
            <xm:f>NOT(ISERROR(SEARCH("Value Missing",D65)))</xm:f>
            <xm:f>"Value Missing"</xm:f>
            <x14:dxf>
              <font>
                <color rgb="FF9C0006"/>
              </font>
              <fill>
                <patternFill>
                  <bgColor rgb="FFFFC7CE"/>
                </patternFill>
              </fill>
            </x14:dxf>
          </x14:cfRule>
          <xm:sqref>D65:D70</xm:sqref>
        </x14:conditionalFormatting>
        <x14:conditionalFormatting xmlns:xm="http://schemas.microsoft.com/office/excel/2006/main">
          <x14:cfRule type="containsText" priority="27" operator="containsText" id="{D7BDB35F-D440-9F42-8862-F53827612D1F}">
            <xm:f>NOT(ISERROR(SEARCH("Value Missing",D66)))</xm:f>
            <xm:f>"Value Missing"</xm:f>
            <x14:dxf>
              <font>
                <color rgb="FF9C0006"/>
              </font>
              <fill>
                <patternFill>
                  <bgColor rgb="FFFFC7CE"/>
                </patternFill>
              </fill>
            </x14:dxf>
          </x14:cfRule>
          <xm:sqref>D66</xm:sqref>
        </x14:conditionalFormatting>
        <x14:conditionalFormatting xmlns:xm="http://schemas.microsoft.com/office/excel/2006/main">
          <x14:cfRule type="notContainsText" priority="152" operator="notContains" id="{81D73309-8CB8-7448-8567-553A42E2A905}">
            <xm:f>ISERROR(SEARCH("Value Missing",D74))</xm:f>
            <xm:f>"Value Missing"</xm:f>
            <x14:dxf>
              <font>
                <color rgb="FF006100"/>
              </font>
              <fill>
                <patternFill>
                  <bgColor rgb="FFC6EFCE"/>
                </patternFill>
              </fill>
            </x14:dxf>
          </x14:cfRule>
          <x14:cfRule type="containsText" priority="153" operator="containsText" id="{914AC6BA-F48A-3442-969C-EF90E4DBE01F}">
            <xm:f>NOT(ISERROR(SEARCH("Value Missing",D74)))</xm:f>
            <xm:f>"Value Missing"</xm:f>
            <x14:dxf>
              <font>
                <color rgb="FF9C0006"/>
              </font>
              <fill>
                <patternFill>
                  <bgColor rgb="FFFFC7CE"/>
                </patternFill>
              </fill>
            </x14:dxf>
          </x14:cfRule>
          <xm:sqref>D74:D84</xm:sqref>
        </x14:conditionalFormatting>
        <x14:conditionalFormatting xmlns:xm="http://schemas.microsoft.com/office/excel/2006/main">
          <x14:cfRule type="notContainsText" priority="150" operator="notContains" id="{3B827B25-C002-BF45-BF0B-4B6E58577FEB}">
            <xm:f>ISERROR(SEARCH("Value Missing",D86))</xm:f>
            <xm:f>"Value Missing"</xm:f>
            <x14:dxf>
              <font>
                <color rgb="FF006100"/>
              </font>
              <fill>
                <patternFill>
                  <bgColor rgb="FFC6EFCE"/>
                </patternFill>
              </fill>
            </x14:dxf>
          </x14:cfRule>
          <x14:cfRule type="containsText" priority="151" operator="containsText" id="{EC7E30B2-BB47-6841-98CB-9CA59A3E0E05}">
            <xm:f>NOT(ISERROR(SEARCH("Value Missing",D86)))</xm:f>
            <xm:f>"Value Missing"</xm:f>
            <x14:dxf>
              <font>
                <color rgb="FF9C0006"/>
              </font>
              <fill>
                <patternFill>
                  <bgColor rgb="FFFFC7CE"/>
                </patternFill>
              </fill>
            </x14:dxf>
          </x14:cfRule>
          <xm:sqref>D86:D88</xm:sqref>
        </x14:conditionalFormatting>
        <x14:conditionalFormatting xmlns:xm="http://schemas.microsoft.com/office/excel/2006/main">
          <x14:cfRule type="notContainsText" priority="148" operator="notContains" id="{7B712A18-0434-8646-B651-F0675D6B659A}">
            <xm:f>ISERROR(SEARCH("Value Missing",D90))</xm:f>
            <xm:f>"Value Missing"</xm:f>
            <x14:dxf>
              <font>
                <color rgb="FF006100"/>
              </font>
              <fill>
                <patternFill>
                  <bgColor rgb="FFC6EFCE"/>
                </patternFill>
              </fill>
            </x14:dxf>
          </x14:cfRule>
          <x14:cfRule type="containsText" priority="149" operator="containsText" id="{51E05401-F973-7348-824B-EF0A623997E5}">
            <xm:f>NOT(ISERROR(SEARCH("Value Missing",D90)))</xm:f>
            <xm:f>"Value Missing"</xm:f>
            <x14:dxf>
              <font>
                <color rgb="FF9C0006"/>
              </font>
              <fill>
                <patternFill>
                  <bgColor rgb="FFFFC7CE"/>
                </patternFill>
              </fill>
            </x14:dxf>
          </x14:cfRule>
          <xm:sqref>D90:D92</xm:sqref>
        </x14:conditionalFormatting>
        <x14:conditionalFormatting xmlns:xm="http://schemas.microsoft.com/office/excel/2006/main">
          <x14:cfRule type="containsText" priority="79" operator="containsText" id="{A5E8727D-2086-8F45-81AD-BAF11135C989}">
            <xm:f>NOT(ISERROR(SEARCH("Value Missing",D108)))</xm:f>
            <xm:f>"Value Missing"</xm:f>
            <x14:dxf>
              <font>
                <color rgb="FF9C0006"/>
              </font>
              <fill>
                <patternFill>
                  <bgColor rgb="FFFFC7CE"/>
                </patternFill>
              </fill>
            </x14:dxf>
          </x14:cfRule>
          <xm:sqref>D108:D111 D113 D115:D128 D130 D132:D136 D138 D140:D143 D145 D147:D150</xm:sqref>
        </x14:conditionalFormatting>
        <x14:conditionalFormatting xmlns:xm="http://schemas.microsoft.com/office/excel/2006/main">
          <x14:cfRule type="notContainsText" priority="78" operator="notContains" id="{316FB691-A52E-5247-8F23-E3DEC3E0A6C0}">
            <xm:f>ISERROR(SEARCH("Value Missing",D108))</xm:f>
            <xm:f>"Value Missing"</xm:f>
            <x14:dxf>
              <font>
                <color rgb="FF006100"/>
              </font>
              <fill>
                <patternFill>
                  <bgColor rgb="FFC6EFCE"/>
                </patternFill>
              </fill>
            </x14:dxf>
          </x14:cfRule>
          <xm:sqref>D115:D128 D108:D111 D113 D130 D132:D136 D138 D140:D143 D145 D147:D150</xm:sqref>
        </x14:conditionalFormatting>
        <x14:conditionalFormatting xmlns:xm="http://schemas.microsoft.com/office/excel/2006/main">
          <x14:cfRule type="notContainsText" priority="381" operator="notContains" id="{C1978207-2B39-A24B-BA47-F62360ADCF10}">
            <xm:f>ISERROR(SEARCH("Value Missing",D119))</xm:f>
            <xm:f>"Value Missing"</xm:f>
            <x14:dxf>
              <font>
                <color rgb="FF006100"/>
              </font>
              <fill>
                <patternFill>
                  <bgColor rgb="FFC6EFCE"/>
                </patternFill>
              </fill>
            </x14:dxf>
          </x14:cfRule>
          <x14:cfRule type="containsText" priority="382" operator="containsText" id="{22E94EE5-0574-874E-9205-F7E6BE1EAC82}">
            <xm:f>NOT(ISERROR(SEARCH("Value Missing",D119)))</xm:f>
            <xm:f>"Value Missing"</xm:f>
            <x14:dxf>
              <font>
                <color rgb="FF9C0006"/>
              </font>
              <fill>
                <patternFill>
                  <bgColor rgb="FFFFC7CE"/>
                </patternFill>
              </fill>
            </x14:dxf>
          </x14:cfRule>
          <xm:sqref>D119:D120</xm:sqref>
        </x14:conditionalFormatting>
        <x14:conditionalFormatting xmlns:xm="http://schemas.microsoft.com/office/excel/2006/main">
          <x14:cfRule type="containsText" priority="41" operator="containsText" id="{7E1FBC35-3BDC-2B42-9831-CD8E4AB8FD23}">
            <xm:f>NOT(ISERROR(SEARCH("Value Missing",D128)))</xm:f>
            <xm:f>"Value Missing"</xm:f>
            <x14:dxf>
              <font>
                <color rgb="FF9C0006"/>
              </font>
              <fill>
                <patternFill>
                  <bgColor rgb="FFFFC7CE"/>
                </patternFill>
              </fill>
            </x14:dxf>
          </x14:cfRule>
          <x14:cfRule type="notContainsText" priority="40" operator="notContains" id="{51F4E4F7-4B10-3743-A7B1-34C0146DB11D}">
            <xm:f>ISERROR(SEARCH("Value Missing",D128))</xm:f>
            <xm:f>"Value Missing"</xm:f>
            <x14:dxf>
              <font>
                <color rgb="FF006100"/>
              </font>
              <fill>
                <patternFill>
                  <bgColor rgb="FFC6EFCE"/>
                </patternFill>
              </fill>
            </x14:dxf>
          </x14:cfRule>
          <xm:sqref>D128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7C2EF-41E7-0A45-9842-7AA131035BAA}">
  <sheetPr>
    <tabColor theme="9"/>
  </sheetPr>
  <dimension ref="C2:D191"/>
  <sheetViews>
    <sheetView workbookViewId="0">
      <selection activeCell="C188" sqref="C188"/>
    </sheetView>
  </sheetViews>
  <sheetFormatPr baseColWidth="10" defaultRowHeight="16"/>
  <cols>
    <col min="3" max="3" width="62.1640625" bestFit="1" customWidth="1"/>
    <col min="4" max="4" width="40.5" bestFit="1" customWidth="1"/>
  </cols>
  <sheetData>
    <row r="2" spans="3:4">
      <c r="C2" s="307" t="s">
        <v>4315</v>
      </c>
      <c r="D2" t="s">
        <v>4315</v>
      </c>
    </row>
    <row r="3" spans="3:4">
      <c r="C3" s="308" t="str">
        <f>CONCATENATE(CHAR(34),"sddcId",CHAR(34),": ",CHAR(34), "MGMT-L1-L2-CORE",CHAR(34),",")</f>
        <v>"sddcId": "MGMT-L1-L2-CORE",</v>
      </c>
      <c r="D3" t="str">
        <f>CONCATENATE(CHAR(34),"sddcId",CHAR(34),": ",CHAR(34), wld_sddc_domain,CHAR(34),",")</f>
        <v>"sddcId": "Value Missing",</v>
      </c>
    </row>
    <row r="4" spans="3:4">
      <c r="C4" s="308" t="str">
        <f>CONCATENATE(CHAR(34),"workflowType",CHAR(34),": ",CHAR(34), "VCF",CHAR(34),",")</f>
        <v>"workflowType": "VCF",</v>
      </c>
      <c r="D4" t="str">
        <f>CONCATENATE(CHAR(34),"workflowType",CHAR(34),": ",CHAR(34), "VCF",CHAR(34),",")</f>
        <v>"workflowType": "VCF",</v>
      </c>
    </row>
    <row r="5" spans="3:4">
      <c r="C5" s="308" t="s">
        <v>5036</v>
      </c>
      <c r="D5" t="str">
        <f>CONCATENATE(CHAR(34),"hostSpecs",CHAR(34),": [")</f>
        <v>"hostSpecs": [</v>
      </c>
    </row>
    <row r="6" spans="3:4">
      <c r="C6" s="307" t="s">
        <v>4315</v>
      </c>
      <c r="D6" t="s">
        <v>4315</v>
      </c>
    </row>
    <row r="7" spans="3:4">
      <c r="C7" s="308" t="s">
        <v>5037</v>
      </c>
      <c r="D7" t="str">
        <f>CONCATENATE(CHAR(34),"hostname",CHAR(34),": ",CHAR(34), mgmt_az1_host1_hostname,CHAR(34),",")</f>
        <v>"hostname": "Value Missing",</v>
      </c>
    </row>
    <row r="8" spans="3:4" ht="17">
      <c r="C8" s="308" t="s">
        <v>5038</v>
      </c>
      <c r="D8" s="306" t="str">
        <f>CONCATENATE(CHAR(34),"credentials",CHAR(34),": {")</f>
        <v>"credentials": {</v>
      </c>
    </row>
    <row r="9" spans="3:4">
      <c r="C9" s="308" t="s">
        <v>5039</v>
      </c>
      <c r="D9" t="str">
        <f>CONCATENATE(CHAR(34),"username",CHAR(34),": ",CHAR(34), "'root",CHAR(34),",")</f>
        <v>"username": "'root",</v>
      </c>
    </row>
    <row r="10" spans="3:4">
      <c r="C10" s="308" t="s">
        <v>5040</v>
      </c>
      <c r="D10" t="str">
        <f>CONCATENATE(CHAR(34),"password",CHAR(34),": ",CHAR(34), esxi_root_password,CHAR(34),)</f>
        <v>"password": "Value Missing"</v>
      </c>
    </row>
    <row r="11" spans="3:4">
      <c r="C11" s="307" t="s">
        <v>4317</v>
      </c>
      <c r="D11" t="s">
        <v>4317</v>
      </c>
    </row>
    <row r="12" spans="3:4">
      <c r="C12" s="307" t="s">
        <v>4316</v>
      </c>
      <c r="D12" t="s">
        <v>4316</v>
      </c>
    </row>
    <row r="13" spans="3:4">
      <c r="C13" s="307" t="s">
        <v>4315</v>
      </c>
      <c r="D13" t="s">
        <v>4315</v>
      </c>
    </row>
    <row r="14" spans="3:4">
      <c r="C14" s="308" t="s">
        <v>5041</v>
      </c>
      <c r="D14" t="str">
        <f>CONCATENATE(CHAR(34),"hostname",CHAR(34),": ",CHAR(34), mgmt_az1_host2_hostname,CHAR(34),",")</f>
        <v>"hostname": "Value Missing",</v>
      </c>
    </row>
    <row r="15" spans="3:4" ht="17">
      <c r="C15" s="308" t="s">
        <v>5038</v>
      </c>
      <c r="D15" s="306" t="str">
        <f>CONCATENATE(CHAR(34),"credentials",CHAR(34),": {")</f>
        <v>"credentials": {</v>
      </c>
    </row>
    <row r="16" spans="3:4">
      <c r="C16" s="308" t="s">
        <v>5039</v>
      </c>
      <c r="D16" t="str">
        <f>CONCATENATE(CHAR(34),"username",CHAR(34),": ",CHAR(34), "'root",CHAR(34),",")</f>
        <v>"username": "'root",</v>
      </c>
    </row>
    <row r="17" spans="3:4">
      <c r="C17" s="308" t="s">
        <v>5040</v>
      </c>
      <c r="D17" t="str">
        <f>CONCATENATE(CHAR(34),"password",CHAR(34),": ",CHAR(34), esxi_root_password,CHAR(34),)</f>
        <v>"password": "Value Missing"</v>
      </c>
    </row>
    <row r="18" spans="3:4">
      <c r="C18" s="307" t="s">
        <v>4317</v>
      </c>
      <c r="D18" t="s">
        <v>4317</v>
      </c>
    </row>
    <row r="19" spans="3:4">
      <c r="C19" s="307" t="s">
        <v>4316</v>
      </c>
      <c r="D19" t="s">
        <v>4316</v>
      </c>
    </row>
    <row r="20" spans="3:4">
      <c r="C20" s="307" t="s">
        <v>4315</v>
      </c>
      <c r="D20" t="s">
        <v>4315</v>
      </c>
    </row>
    <row r="21" spans="3:4">
      <c r="C21" s="308" t="s">
        <v>5042</v>
      </c>
      <c r="D21" t="str">
        <f>CONCATENATE(CHAR(34),"hostname",CHAR(34),": ",CHAR(34), mgmt_az1_host3_hostname,CHAR(34),",")</f>
        <v>"hostname": "Value Missing",</v>
      </c>
    </row>
    <row r="22" spans="3:4" ht="17">
      <c r="C22" s="308" t="s">
        <v>5038</v>
      </c>
      <c r="D22" s="306" t="str">
        <f>CONCATENATE(CHAR(34),"credentials",CHAR(34),": {")</f>
        <v>"credentials": {</v>
      </c>
    </row>
    <row r="23" spans="3:4">
      <c r="C23" s="308" t="s">
        <v>5039</v>
      </c>
      <c r="D23" t="str">
        <f>CONCATENATE(CHAR(34),"username",CHAR(34),": ",CHAR(34), "'root",CHAR(34),",")</f>
        <v>"username": "'root",</v>
      </c>
    </row>
    <row r="24" spans="3:4">
      <c r="C24" s="308" t="s">
        <v>5040</v>
      </c>
      <c r="D24" t="str">
        <f>CONCATENATE(CHAR(34),"password",CHAR(34),": ",CHAR(34), esxi_root_password,CHAR(34),)</f>
        <v>"password": "Value Missing"</v>
      </c>
    </row>
    <row r="25" spans="3:4">
      <c r="C25" s="307" t="s">
        <v>4317</v>
      </c>
      <c r="D25" t="s">
        <v>4317</v>
      </c>
    </row>
    <row r="26" spans="3:4">
      <c r="C26" s="307" t="s">
        <v>4316</v>
      </c>
      <c r="D26" t="s">
        <v>4316</v>
      </c>
    </row>
    <row r="27" spans="3:4">
      <c r="C27" s="307" t="s">
        <v>4315</v>
      </c>
      <c r="D27" t="s">
        <v>4315</v>
      </c>
    </row>
    <row r="28" spans="3:4">
      <c r="C28" s="308" t="s">
        <v>5043</v>
      </c>
      <c r="D28" t="str">
        <f>CONCATENATE(CHAR(34),"hostname",CHAR(34),": ",CHAR(34), mgmt_az1_host4_hostname,CHAR(34),",")</f>
        <v>"hostname": "Value Missing",</v>
      </c>
    </row>
    <row r="29" spans="3:4" ht="17">
      <c r="C29" s="308" t="s">
        <v>5038</v>
      </c>
      <c r="D29" s="306" t="str">
        <f>CONCATENATE(CHAR(34),"credentials",CHAR(34),": {")</f>
        <v>"credentials": {</v>
      </c>
    </row>
    <row r="30" spans="3:4">
      <c r="C30" s="308" t="s">
        <v>5039</v>
      </c>
      <c r="D30" t="str">
        <f>CONCATENATE(CHAR(34),"username",CHAR(34),": ",CHAR(34), "'root",CHAR(34),",")</f>
        <v>"username": "'root",</v>
      </c>
    </row>
    <row r="31" spans="3:4">
      <c r="C31" s="308" t="s">
        <v>5040</v>
      </c>
      <c r="D31" t="str">
        <f>CONCATENATE(CHAR(34),"password",CHAR(34),": ",CHAR(34), esxi_root_password,CHAR(34),)</f>
        <v>"password": "Value Missing"</v>
      </c>
    </row>
    <row r="32" spans="3:4">
      <c r="C32" s="307" t="s">
        <v>4317</v>
      </c>
      <c r="D32" t="s">
        <v>4317</v>
      </c>
    </row>
    <row r="33" spans="3:4">
      <c r="C33" s="307" t="s">
        <v>4317</v>
      </c>
      <c r="D33" t="s">
        <v>4317</v>
      </c>
    </row>
    <row r="34" spans="3:4">
      <c r="C34" s="307" t="s">
        <v>4319</v>
      </c>
      <c r="D34" t="s">
        <v>4319</v>
      </c>
    </row>
    <row r="35" spans="3:4">
      <c r="C35" s="308" t="s">
        <v>5044</v>
      </c>
      <c r="D35" t="str">
        <f>CONCATENATE(CHAR(34),"vcenterSpec",CHAR(34),":  {")</f>
        <v>"vcenterSpec":  {</v>
      </c>
    </row>
    <row r="36" spans="3:4">
      <c r="C36" s="308" t="s">
        <v>5045</v>
      </c>
      <c r="D36" t="str">
        <f>CONCATENATE(CHAR(34),"licenseFile",CHAR(34),": ",CHAR(34), vc_license,CHAR(34),",")</f>
        <v>"licenseFile": "Value Missing",</v>
      </c>
    </row>
    <row r="37" spans="3:4">
      <c r="C37" s="308" t="s">
        <v>5046</v>
      </c>
      <c r="D37" t="str">
        <f>CONCATENATE(CHAR(34),"vcenterHostname",CHAR(34),": ",CHAR(34), mgmt_vc_hostname,CHAR(34),",")</f>
        <v>"vcenterHostname": "Value Missing",</v>
      </c>
    </row>
    <row r="38" spans="3:4">
      <c r="C38" s="308" t="s">
        <v>5047</v>
      </c>
      <c r="D38" t="str">
        <f>CONCATENATE(CHAR(34),"rootVcenterPassword",CHAR(34),": ",CHAR(34), vcenter_root_password,CHAR(34),",")</f>
        <v>"rootVcenterPassword": "Value Missing",</v>
      </c>
    </row>
    <row r="39" spans="3:4">
      <c r="C39" s="308" t="s">
        <v>5048</v>
      </c>
      <c r="D39" t="str">
        <f>CONCATENATE(CHAR(34),"vmSize",CHAR(34),": ",CHAR(34),mgmt_vc_size,CHAR(34),)</f>
        <v>"vmSize": "Small"</v>
      </c>
    </row>
    <row r="40" spans="3:4">
      <c r="C40" s="307" t="s">
        <v>4316</v>
      </c>
      <c r="D40" t="s">
        <v>4316</v>
      </c>
    </row>
    <row r="41" spans="3:4">
      <c r="C41" s="308" t="s">
        <v>5049</v>
      </c>
      <c r="D41" t="str">
        <f>CONCATENATE(CHAR(34),"clusterSpec",CHAR(34),": {")</f>
        <v>"clusterSpec": {</v>
      </c>
    </row>
    <row r="42" spans="3:4">
      <c r="C42" s="308" t="s">
        <v>5050</v>
      </c>
      <c r="D42" t="str">
        <f>CONCATENATE(CHAR(34),"clusterName",CHAR(34),": ",CHAR(34), mgmt_cl01_cluster,CHAR(34),)</f>
        <v>"clusterName": "Value Missing"</v>
      </c>
    </row>
    <row r="43" spans="3:4">
      <c r="C43" s="307" t="s">
        <v>4316</v>
      </c>
      <c r="D43" t="s">
        <v>4316</v>
      </c>
    </row>
    <row r="44" spans="3:4">
      <c r="C44" s="308" t="s">
        <v>5051</v>
      </c>
      <c r="D44" t="s">
        <v>5127</v>
      </c>
    </row>
    <row r="45" spans="3:4">
      <c r="C45" s="307" t="s">
        <v>4315</v>
      </c>
      <c r="D45" t="s">
        <v>4315</v>
      </c>
    </row>
    <row r="46" spans="3:4">
      <c r="C46" s="308" t="s">
        <v>5052</v>
      </c>
      <c r="D46" t="str">
        <f>CONCATENATE(CHAR(34),"dvsName",CHAR(34),": ",CHAR(34), mgmt_cl01_vds01_name,CHAR(34),",")</f>
        <v>"dvsName": "Value Missing",</v>
      </c>
    </row>
    <row r="47" spans="3:4">
      <c r="C47" s="308" t="s">
        <v>5053</v>
      </c>
      <c r="D47" t="s">
        <v>5128</v>
      </c>
    </row>
    <row r="48" spans="3:4">
      <c r="C48" s="309" t="s">
        <v>5054</v>
      </c>
      <c r="D48" t="s">
        <v>5129</v>
      </c>
    </row>
    <row r="49" spans="3:4">
      <c r="C49" s="309" t="s">
        <v>5055</v>
      </c>
      <c r="D49" t="s">
        <v>5130</v>
      </c>
    </row>
    <row r="50" spans="3:4">
      <c r="C50" s="309" t="s">
        <v>5056</v>
      </c>
      <c r="D50" t="s">
        <v>5056</v>
      </c>
    </row>
    <row r="51" spans="3:4">
      <c r="C51" s="307" t="s">
        <v>4319</v>
      </c>
      <c r="D51" t="s">
        <v>4319</v>
      </c>
    </row>
    <row r="52" spans="3:4">
      <c r="C52" s="308" t="s">
        <v>5057</v>
      </c>
      <c r="D52" t="str">
        <f>CONCATENATE(CHAR(34),"mtu",CHAR(34),": ",CHAR(34), input_mgmt_az1_mgmt_mtu,CHAR(34),",")</f>
        <v>"mtu": "",</v>
      </c>
    </row>
    <row r="53" spans="3:4">
      <c r="C53" s="308" t="s">
        <v>5058</v>
      </c>
      <c r="D53" t="s">
        <v>4389</v>
      </c>
    </row>
    <row r="54" spans="3:4">
      <c r="C54" s="308" t="s">
        <v>5059</v>
      </c>
      <c r="D54" t="s">
        <v>4391</v>
      </c>
    </row>
    <row r="55" spans="3:4">
      <c r="C55" s="307" t="s">
        <v>4315</v>
      </c>
      <c r="D55" t="s">
        <v>4315</v>
      </c>
    </row>
    <row r="56" spans="3:4">
      <c r="C56" s="308" t="s">
        <v>5060</v>
      </c>
      <c r="D56" t="str">
        <f>CONCATENATE(CHAR(34),"name",CHAR(34),": ",CHAR(34), "overlay-tz-",mgmt_nsxt_hostname,CHAR(34),",")</f>
        <v>"name": "overlay-tz-Value Missing",</v>
      </c>
    </row>
    <row r="57" spans="3:4">
      <c r="C57" s="308" t="s">
        <v>5061</v>
      </c>
      <c r="D57" t="s">
        <v>4393</v>
      </c>
    </row>
    <row r="58" spans="3:4">
      <c r="C58" s="307" t="s">
        <v>4316</v>
      </c>
      <c r="D58" t="s">
        <v>4316</v>
      </c>
    </row>
    <row r="59" spans="3:4">
      <c r="C59" s="307" t="s">
        <v>4315</v>
      </c>
      <c r="D59" t="s">
        <v>4315</v>
      </c>
    </row>
    <row r="60" spans="3:4">
      <c r="C60" s="308" t="s">
        <v>5062</v>
      </c>
      <c r="D60" t="str">
        <f>CONCATENATE(CHAR(34),"name",CHAR(34),": ",CHAR(34), "vlan-tz-",mgmt_nsxt_hostname,CHAR(34),",")</f>
        <v>"name": "vlan-tz-Value Missing",</v>
      </c>
    </row>
    <row r="61" spans="3:4">
      <c r="C61" s="308" t="s">
        <v>5063</v>
      </c>
      <c r="D61" t="s">
        <v>4392</v>
      </c>
    </row>
    <row r="62" spans="3:4">
      <c r="C62" s="307" t="s">
        <v>4317</v>
      </c>
      <c r="D62" t="s">
        <v>4317</v>
      </c>
    </row>
    <row r="63" spans="3:4">
      <c r="C63" s="307" t="s">
        <v>4318</v>
      </c>
      <c r="D63" t="s">
        <v>4318</v>
      </c>
    </row>
    <row r="64" spans="3:4">
      <c r="C64" s="307" t="s">
        <v>4316</v>
      </c>
      <c r="D64" t="s">
        <v>4316</v>
      </c>
    </row>
    <row r="65" spans="3:4">
      <c r="C65" s="308" t="s">
        <v>5064</v>
      </c>
      <c r="D65" t="s">
        <v>5131</v>
      </c>
    </row>
    <row r="66" spans="3:4">
      <c r="C66" s="307" t="s">
        <v>4315</v>
      </c>
      <c r="D66" t="s">
        <v>4315</v>
      </c>
    </row>
    <row r="67" spans="3:4">
      <c r="C67" s="308" t="s">
        <v>5065</v>
      </c>
      <c r="D67" t="s">
        <v>4372</v>
      </c>
    </row>
    <row r="68" spans="3:4">
      <c r="C68" s="308" t="s">
        <v>5066</v>
      </c>
      <c r="D68" t="s">
        <v>4373</v>
      </c>
    </row>
    <row r="69" spans="3:4">
      <c r="C69" s="307" t="s">
        <v>4316</v>
      </c>
      <c r="D69" t="s">
        <v>4316</v>
      </c>
    </row>
    <row r="70" spans="3:4">
      <c r="C70" s="307" t="s">
        <v>4315</v>
      </c>
      <c r="D70" t="s">
        <v>4315</v>
      </c>
    </row>
    <row r="71" spans="3:4">
      <c r="C71" s="308" t="s">
        <v>5067</v>
      </c>
      <c r="D71" t="s">
        <v>4374</v>
      </c>
    </row>
    <row r="72" spans="3:4">
      <c r="C72" s="308" t="s">
        <v>5068</v>
      </c>
      <c r="D72" t="s">
        <v>4375</v>
      </c>
    </row>
    <row r="73" spans="3:4">
      <c r="C73" s="307" t="s">
        <v>4317</v>
      </c>
      <c r="D73" t="s">
        <v>4317</v>
      </c>
    </row>
    <row r="74" spans="3:4">
      <c r="C74" s="307" t="s">
        <v>4319</v>
      </c>
      <c r="D74" t="s">
        <v>4319</v>
      </c>
    </row>
    <row r="75" spans="3:4">
      <c r="C75" s="308" t="s">
        <v>5069</v>
      </c>
      <c r="D75" t="s">
        <v>5132</v>
      </c>
    </row>
    <row r="76" spans="3:4">
      <c r="C76" s="307" t="s">
        <v>4315</v>
      </c>
      <c r="D76" t="s">
        <v>4315</v>
      </c>
    </row>
    <row r="77" spans="3:4">
      <c r="C77" s="308" t="s">
        <v>5070</v>
      </c>
      <c r="D77" t="s">
        <v>4411</v>
      </c>
    </row>
    <row r="78" spans="3:4">
      <c r="C78" s="308" t="s">
        <v>5071</v>
      </c>
      <c r="D78" t="s">
        <v>4385</v>
      </c>
    </row>
    <row r="79" spans="3:4">
      <c r="C79" s="309" t="s">
        <v>5072</v>
      </c>
      <c r="D79" t="s">
        <v>4386</v>
      </c>
    </row>
    <row r="80" spans="3:4">
      <c r="C80" s="309" t="s">
        <v>4320</v>
      </c>
      <c r="D80" t="s">
        <v>4320</v>
      </c>
    </row>
    <row r="81" spans="3:4">
      <c r="C81" s="307" t="s">
        <v>4318</v>
      </c>
      <c r="D81" t="s">
        <v>4318</v>
      </c>
    </row>
    <row r="82" spans="3:4">
      <c r="C82" s="307" t="s">
        <v>4317</v>
      </c>
      <c r="D82" t="s">
        <v>4317</v>
      </c>
    </row>
    <row r="83" spans="3:4">
      <c r="C83" s="307" t="s">
        <v>4318</v>
      </c>
      <c r="D83" t="s">
        <v>4318</v>
      </c>
    </row>
    <row r="84" spans="3:4">
      <c r="C84" s="307" t="s">
        <v>4317</v>
      </c>
      <c r="D84" t="s">
        <v>4317</v>
      </c>
    </row>
    <row r="85" spans="3:4">
      <c r="C85" s="307" t="s">
        <v>4319</v>
      </c>
      <c r="D85" t="s">
        <v>4319</v>
      </c>
    </row>
    <row r="86" spans="3:4">
      <c r="C86" s="308" t="s">
        <v>5073</v>
      </c>
      <c r="D86" t="s">
        <v>5133</v>
      </c>
    </row>
    <row r="87" spans="3:4">
      <c r="C87" s="308" t="s">
        <v>5074</v>
      </c>
      <c r="D87" t="str">
        <f>CONCATENATE(CHAR(34),"licenseFile",CHAR(34),": ",CHAR(34), vsan_license,CHAR(34),",")</f>
        <v>"licenseFile": "Value Missing",</v>
      </c>
    </row>
    <row r="88" spans="3:4">
      <c r="C88" s="308" t="s">
        <v>5075</v>
      </c>
      <c r="D88" t="str">
        <f>CONCATENATE(CHAR(34),"datastoreName",CHAR(34),": ",CHAR(34), wld_cl01_vsan_datastore,CHAR(34),)</f>
        <v>"datastoreName": "Value Missing"</v>
      </c>
    </row>
    <row r="89" spans="3:4">
      <c r="C89" s="307" t="s">
        <v>4316</v>
      </c>
      <c r="D89" t="s">
        <v>4316</v>
      </c>
    </row>
    <row r="90" spans="3:4">
      <c r="C90" s="308" t="s">
        <v>5076</v>
      </c>
      <c r="D90" t="s">
        <v>5134</v>
      </c>
    </row>
    <row r="91" spans="3:4">
      <c r="C91" s="308" t="s">
        <v>5077</v>
      </c>
      <c r="D91" t="s">
        <v>5135</v>
      </c>
    </row>
    <row r="92" spans="3:4">
      <c r="C92" s="307" t="s">
        <v>4315</v>
      </c>
      <c r="D92" t="s">
        <v>4315</v>
      </c>
    </row>
    <row r="93" spans="3:4">
      <c r="C93" s="308" t="s">
        <v>5078</v>
      </c>
      <c r="D93" t="str">
        <f>CONCATENATE(CHAR(34),"hostname",CHAR(34),": ",CHAR(34), wld_nsxt_mgra_hostname,CHAR(34),)</f>
        <v>"hostname": "Value Missing"</v>
      </c>
    </row>
    <row r="94" spans="3:4">
      <c r="C94" s="307" t="s">
        <v>4317</v>
      </c>
      <c r="D94" t="s">
        <v>4317</v>
      </c>
    </row>
    <row r="95" spans="3:4">
      <c r="C95" s="307" t="s">
        <v>4319</v>
      </c>
      <c r="D95" t="s">
        <v>4319</v>
      </c>
    </row>
    <row r="96" spans="3:4">
      <c r="C96" s="308" t="s">
        <v>5079</v>
      </c>
      <c r="D96" t="s">
        <v>4413</v>
      </c>
    </row>
    <row r="97" spans="3:4">
      <c r="C97" s="308" t="s">
        <v>5080</v>
      </c>
      <c r="D97" t="str">
        <f>CONCATENATE(CHAR(34),"nsxtLicense",CHAR(34),": ",CHAR(34), nsxt_license,CHAR(34),",")</f>
        <v>"nsxtLicense": "Value Missing",</v>
      </c>
    </row>
    <row r="98" spans="3:4">
      <c r="C98" s="308" t="s">
        <v>5081</v>
      </c>
      <c r="D98" t="str">
        <f>CONCATENATE(CHAR(34),"vipFqdn",CHAR(34),": ",CHAR(34), mgmt_nsxt_vip_fqdn,CHAR(34),",")</f>
        <v>"vipFqdn": "Value Missing.Value Missing",</v>
      </c>
    </row>
    <row r="99" spans="3:4">
      <c r="C99" s="308" t="s">
        <v>5082</v>
      </c>
      <c r="D99" t="str">
        <f>CONCATENATE(CHAR(34),"rootNsxtManagerPassword",CHAR(34),": ",CHAR(34), nsxt_lm_root_password,CHAR(34),",")</f>
        <v>"rootNsxtManagerPassword": "Value Missing",</v>
      </c>
    </row>
    <row r="100" spans="3:4">
      <c r="C100" s="308" t="s">
        <v>5083</v>
      </c>
      <c r="D100" t="str">
        <f>CONCATENATE(CHAR(34),"nsxtAdminPassword",CHAR(34),": ",CHAR(34), nsxt_lm_audit_password,CHAR(34),",")</f>
        <v>"nsxtAdminPassword": "Value Missing",</v>
      </c>
    </row>
    <row r="101" spans="3:4">
      <c r="C101" s="308" t="s">
        <v>5084</v>
      </c>
      <c r="D101" t="str">
        <f>CONCATENATE(CHAR(34),"nsxtAuditPassword",CHAR(34),": ",CHAR(34), nsxt_lm_audit_password,CHAR(34),",")</f>
        <v>"nsxtAuditPassword": "Value Missing",</v>
      </c>
    </row>
    <row r="102" spans="3:4">
      <c r="C102" s="308" t="s">
        <v>5085</v>
      </c>
      <c r="D102" t="str">
        <f>CONCATENATE(CHAR(34),"transportVlanId",CHAR(34),": ", CHAR(34), mgmt_az1_host_overlay_vlan,CHAR(34),)</f>
        <v>"transportVlanId": "Value Missing"</v>
      </c>
    </row>
    <row r="103" spans="3:4">
      <c r="C103" s="307" t="s">
        <v>4316</v>
      </c>
      <c r="D103" t="s">
        <v>4316</v>
      </c>
    </row>
    <row r="104" spans="3:4">
      <c r="C104" s="308" t="s">
        <v>5086</v>
      </c>
      <c r="D104" t="s">
        <v>5136</v>
      </c>
    </row>
    <row r="105" spans="3:4">
      <c r="C105" s="307" t="s">
        <v>4315</v>
      </c>
      <c r="D105" t="s">
        <v>4315</v>
      </c>
    </row>
    <row r="106" spans="3:4">
      <c r="C106" s="308" t="s">
        <v>5087</v>
      </c>
      <c r="D106" t="s">
        <v>5137</v>
      </c>
    </row>
    <row r="107" spans="3:4">
      <c r="C107" s="308" t="s">
        <v>5088</v>
      </c>
      <c r="D107" t="str">
        <f>CONCATENATE(CHAR(34),"subnet",CHAR(34),": ", CHAR(34), mgmt_az1_mgmt_cidr,CHAR(34), ",")</f>
        <v>"subnet": "Value Missing",</v>
      </c>
    </row>
    <row r="108" spans="3:4">
      <c r="C108" s="308" t="s">
        <v>5089</v>
      </c>
      <c r="D108" t="str">
        <f>CONCATENATE(CHAR(34),"gateway",CHAR(34),": ", CHAR(34), mgmt_az1_mgmt_gateway_ip,CHAR(34), ",")</f>
        <v>"gateway": "Value Missing",</v>
      </c>
    </row>
    <row r="109" spans="3:4">
      <c r="C109" s="308" t="s">
        <v>5090</v>
      </c>
      <c r="D109" t="str">
        <f>CONCATENATE(CHAR(34),"vlanId",CHAR(34),": ", CHAR(34), mgmt_az1_mgmt_vlan,CHAR(34), ",")</f>
        <v>"vlanId": "Value Missing",</v>
      </c>
    </row>
    <row r="110" spans="3:4">
      <c r="C110" s="308" t="s">
        <v>5091</v>
      </c>
      <c r="D110" t="str">
        <f>CONCATENATE(CHAR(34),"mtu",CHAR(34),": ", CHAR(34), mgmt_az1_mgmt_mtu,CHAR(34), ",")</f>
        <v>"mtu": "Value Missing",</v>
      </c>
    </row>
    <row r="111" spans="3:4">
      <c r="C111" s="308" t="s">
        <v>5092</v>
      </c>
      <c r="D111" t="s">
        <v>4384</v>
      </c>
    </row>
    <row r="112" spans="3:4">
      <c r="C112" s="308" t="s">
        <v>5071</v>
      </c>
      <c r="D112" t="s">
        <v>4385</v>
      </c>
    </row>
    <row r="113" spans="3:4">
      <c r="C113" s="309" t="s">
        <v>5072</v>
      </c>
      <c r="D113" t="s">
        <v>4386</v>
      </c>
    </row>
    <row r="114" spans="3:4">
      <c r="C114" s="309" t="s">
        <v>4320</v>
      </c>
      <c r="D114" t="s">
        <v>4320</v>
      </c>
    </row>
    <row r="115" spans="3:4">
      <c r="C115" s="307" t="s">
        <v>4318</v>
      </c>
      <c r="D115" t="s">
        <v>4318</v>
      </c>
    </row>
    <row r="116" spans="3:4">
      <c r="C116" s="307" t="s">
        <v>4316</v>
      </c>
      <c r="D116" t="s">
        <v>4316</v>
      </c>
    </row>
    <row r="117" spans="3:4">
      <c r="C117" s="307" t="s">
        <v>4315</v>
      </c>
      <c r="D117" t="s">
        <v>4315</v>
      </c>
    </row>
    <row r="118" spans="3:4">
      <c r="C118" s="308" t="s">
        <v>5093</v>
      </c>
      <c r="D118" t="s">
        <v>5138</v>
      </c>
    </row>
    <row r="119" spans="3:4">
      <c r="C119" s="308" t="s">
        <v>5094</v>
      </c>
      <c r="D119" t="str">
        <f>CONCATENATE(CHAR(34),"subnet",CHAR(34),": ", CHAR(34),mgmt_az1_vsan_cidr,CHAR(34),",")</f>
        <v>"subnet": "Value Missing",</v>
      </c>
    </row>
    <row r="120" spans="3:4">
      <c r="C120" s="308" t="s">
        <v>5095</v>
      </c>
      <c r="D120" t="str">
        <f>CONCATENATE(CHAR(34),"gateway",CHAR(34),": ", CHAR(34),mgmt_az1_vsan_gateway_ip,CHAR(34),",")</f>
        <v>"gateway": "Value Missing",</v>
      </c>
    </row>
    <row r="121" spans="3:4">
      <c r="C121" s="308" t="s">
        <v>5096</v>
      </c>
      <c r="D121" t="s">
        <v>5139</v>
      </c>
    </row>
    <row r="122" spans="3:4">
      <c r="C122" s="307" t="s">
        <v>4315</v>
      </c>
      <c r="D122" t="s">
        <v>4315</v>
      </c>
    </row>
    <row r="123" spans="3:4">
      <c r="C123" s="308" t="s">
        <v>5097</v>
      </c>
      <c r="D123" t="str">
        <f>CONCATENATE(CHAR(34),"startIpAddress",CHAR(34),": ", CHAR(34),mgmt_az1_vsan_pool_start_ip,CHAR(34),",")</f>
        <v>"startIpAddress": "Value Missing",</v>
      </c>
    </row>
    <row r="124" spans="3:4">
      <c r="C124" s="308" t="s">
        <v>5098</v>
      </c>
      <c r="D124" t="str">
        <f>CONCATENATE(CHAR(34),"endIpAddress",CHAR(34),": ",CHAR(34), mgmt_az1_vsan_pool_end_ip,CHAR(34),)</f>
        <v>"endIpAddress": "Value Missing"</v>
      </c>
    </row>
    <row r="125" spans="3:4">
      <c r="C125" s="307" t="s">
        <v>4317</v>
      </c>
      <c r="D125" t="s">
        <v>4317</v>
      </c>
    </row>
    <row r="126" spans="3:4">
      <c r="C126" s="307" t="s">
        <v>4319</v>
      </c>
      <c r="D126" t="s">
        <v>4319</v>
      </c>
    </row>
    <row r="127" spans="3:4">
      <c r="C127" s="308" t="s">
        <v>5090</v>
      </c>
      <c r="D127" t="str">
        <f>CONCATENATE(CHAR(34),"vlanId",CHAR(34),": ",CHAR(34), mgmt_az1_vsan_vlan,CHAR(34),",")</f>
        <v>"vlanId": "Value Missing",</v>
      </c>
    </row>
    <row r="128" spans="3:4">
      <c r="C128" s="308" t="s">
        <v>5099</v>
      </c>
      <c r="D128" t="str">
        <f>CONCATENATE(CHAR(34),"mtu",CHAR(34),": ",CHAR(34), mgmt_az1_vsan_mtu,CHAR(34),",")</f>
        <v>"mtu": "Value Missing",</v>
      </c>
    </row>
    <row r="129" spans="3:4">
      <c r="C129" s="308" t="s">
        <v>5092</v>
      </c>
      <c r="D129" t="s">
        <v>4384</v>
      </c>
    </row>
    <row r="130" spans="3:4">
      <c r="C130" s="308" t="s">
        <v>5071</v>
      </c>
      <c r="D130" t="s">
        <v>4385</v>
      </c>
    </row>
    <row r="131" spans="3:4">
      <c r="C131" s="309" t="s">
        <v>5072</v>
      </c>
      <c r="D131" t="s">
        <v>4386</v>
      </c>
    </row>
    <row r="132" spans="3:4">
      <c r="C132" s="309" t="s">
        <v>4320</v>
      </c>
      <c r="D132" t="s">
        <v>4320</v>
      </c>
    </row>
    <row r="133" spans="3:4">
      <c r="C133" s="307" t="s">
        <v>4318</v>
      </c>
      <c r="D133" t="s">
        <v>4318</v>
      </c>
    </row>
    <row r="134" spans="3:4">
      <c r="C134" s="307" t="s">
        <v>4316</v>
      </c>
      <c r="D134" t="s">
        <v>4316</v>
      </c>
    </row>
    <row r="135" spans="3:4">
      <c r="C135" s="307" t="s">
        <v>4315</v>
      </c>
      <c r="D135" t="s">
        <v>4315</v>
      </c>
    </row>
    <row r="136" spans="3:4">
      <c r="C136" s="308" t="s">
        <v>5100</v>
      </c>
      <c r="D136" t="s">
        <v>5140</v>
      </c>
    </row>
    <row r="137" spans="3:4">
      <c r="C137" s="308" t="s">
        <v>5101</v>
      </c>
      <c r="D137" t="str">
        <f>CONCATENATE(CHAR(34),"subnet",CHAR(34),": ", CHAR(34),mgmt_az1_vmotion_cidr,CHAR(34),",")</f>
        <v>"subnet": "Value Missing",</v>
      </c>
    </row>
    <row r="138" spans="3:4">
      <c r="C138" s="308" t="s">
        <v>5102</v>
      </c>
      <c r="D138" t="str">
        <f>CONCATENATE(CHAR(34),"gateway",CHAR(34),": ",CHAR(34), mgmt_az1_vmotion_gateway_ip,CHAR(34),",")</f>
        <v>"gateway": "Value Missing",</v>
      </c>
    </row>
    <row r="139" spans="3:4">
      <c r="C139" s="308" t="s">
        <v>5096</v>
      </c>
      <c r="D139" t="s">
        <v>5139</v>
      </c>
    </row>
    <row r="140" spans="3:4">
      <c r="C140" s="307" t="s">
        <v>4315</v>
      </c>
      <c r="D140" t="s">
        <v>4315</v>
      </c>
    </row>
    <row r="141" spans="3:4">
      <c r="C141" s="308" t="s">
        <v>5103</v>
      </c>
      <c r="D141" t="str">
        <f>CONCATENATE(CHAR(34),"startIpAddress",CHAR(34),": ",CHAR(34), mgmt_az1_vmotion_pool_start_ip,CHAR(34),",")</f>
        <v>"startIpAddress": "Value Missing",</v>
      </c>
    </row>
    <row r="142" spans="3:4">
      <c r="C142" s="308" t="s">
        <v>5104</v>
      </c>
      <c r="D142" t="str">
        <f>CONCATENATE(CHAR(34),"endIpAddress",CHAR(34),": ", CHAR(34),mgmt_az1_vmotion_pool_end_ip,CHAR(34),)</f>
        <v>"endIpAddress": "Value Missing"</v>
      </c>
    </row>
    <row r="143" spans="3:4">
      <c r="C143" s="307" t="s">
        <v>4317</v>
      </c>
      <c r="D143" t="s">
        <v>4317</v>
      </c>
    </row>
    <row r="144" spans="3:4">
      <c r="C144" s="307" t="s">
        <v>4319</v>
      </c>
      <c r="D144" t="s">
        <v>4319</v>
      </c>
    </row>
    <row r="145" spans="3:4">
      <c r="C145" s="308" t="s">
        <v>5090</v>
      </c>
      <c r="D145" t="str">
        <f>CONCATENATE(CHAR(34),"vlanId",CHAR(34),": ",CHAR(34), mgmt_az1_vmotion_vlan,CHAR(34),",")</f>
        <v>"vlanId": "Value Missing",</v>
      </c>
    </row>
    <row r="146" spans="3:4">
      <c r="C146" s="308" t="s">
        <v>5099</v>
      </c>
      <c r="D146" t="str">
        <f>CONCATENATE(CHAR(34),"mtu",CHAR(34),": ",CHAR(34), mgmt_az1_vmotion_mtu,CHAR(34),",")</f>
        <v>"mtu": "Value Missing",</v>
      </c>
    </row>
    <row r="147" spans="3:4">
      <c r="C147" s="308" t="s">
        <v>5092</v>
      </c>
      <c r="D147" t="s">
        <v>4384</v>
      </c>
    </row>
    <row r="148" spans="3:4">
      <c r="C148" s="308" t="s">
        <v>5071</v>
      </c>
      <c r="D148" t="s">
        <v>4385</v>
      </c>
    </row>
    <row r="149" spans="3:4">
      <c r="C149" s="309" t="s">
        <v>5072</v>
      </c>
      <c r="D149" t="s">
        <v>4386</v>
      </c>
    </row>
    <row r="150" spans="3:4">
      <c r="C150" s="309" t="s">
        <v>4320</v>
      </c>
      <c r="D150" t="s">
        <v>4320</v>
      </c>
    </row>
    <row r="151" spans="3:4">
      <c r="C151" s="307" t="s">
        <v>4318</v>
      </c>
      <c r="D151" t="s">
        <v>4318</v>
      </c>
    </row>
    <row r="152" spans="3:4">
      <c r="C152" s="307" t="s">
        <v>4317</v>
      </c>
      <c r="D152" t="s">
        <v>4317</v>
      </c>
    </row>
    <row r="153" spans="3:4">
      <c r="C153" s="307" t="s">
        <v>4319</v>
      </c>
      <c r="D153" t="s">
        <v>4319</v>
      </c>
    </row>
    <row r="154" spans="3:4">
      <c r="C154" s="308" t="s">
        <v>5105</v>
      </c>
      <c r="D154" t="s">
        <v>5141</v>
      </c>
    </row>
    <row r="155" spans="3:4">
      <c r="C155" s="308" t="s">
        <v>5106</v>
      </c>
      <c r="D155" t="str">
        <f>CONCATENATE(CHAR(34),"subdomain",CHAR(34),": ",CHAR(34),child_dns_zone,CHAR(34),",")</f>
        <v>"subdomain": "Value Missing",</v>
      </c>
    </row>
    <row r="156" spans="3:4">
      <c r="C156" s="308" t="s">
        <v>5107</v>
      </c>
      <c r="D156" t="str">
        <f>CONCATENATE(CHAR(34),"domain",CHAR(34),": ",CHAR(34),parent_dns_zone,CHAR(34),",")</f>
        <v>"domain": "Value Missing",</v>
      </c>
    </row>
    <row r="157" spans="3:4">
      <c r="C157" s="308" t="s">
        <v>5108</v>
      </c>
      <c r="D157" t="s">
        <v>5142</v>
      </c>
    </row>
    <row r="158" spans="3:4">
      <c r="C158" s="309" t="s">
        <v>5109</v>
      </c>
      <c r="D158" t="str">
        <f>CONCATENATE(CHAR(34),region_dns1_ip,CHAR(34))</f>
        <v>"Value Missing"</v>
      </c>
    </row>
    <row r="159" spans="3:4">
      <c r="C159" s="307" t="s">
        <v>4318</v>
      </c>
      <c r="D159" t="s">
        <v>4318</v>
      </c>
    </row>
    <row r="160" spans="3:4">
      <c r="C160" s="307" t="s">
        <v>4316</v>
      </c>
      <c r="D160" t="s">
        <v>4316</v>
      </c>
    </row>
    <row r="161" spans="3:4">
      <c r="C161" s="308" t="s">
        <v>5110</v>
      </c>
      <c r="D161" t="s">
        <v>5143</v>
      </c>
    </row>
    <row r="162" spans="3:4">
      <c r="C162" s="309" t="s">
        <v>5109</v>
      </c>
      <c r="D162" t="str">
        <f>CONCATENATE(CHAR(34),region_ntp1_server,CHAR(34))</f>
        <v>"Value Missing"</v>
      </c>
    </row>
    <row r="163" spans="3:4">
      <c r="C163" s="307" t="s">
        <v>4319</v>
      </c>
      <c r="D163" t="s">
        <v>4319</v>
      </c>
    </row>
    <row r="164" spans="3:4">
      <c r="C164" s="308" t="s">
        <v>5111</v>
      </c>
      <c r="D164" t="s">
        <v>5144</v>
      </c>
    </row>
    <row r="165" spans="3:4">
      <c r="C165" s="308" t="s">
        <v>5112</v>
      </c>
      <c r="D165" t="s">
        <v>5145</v>
      </c>
    </row>
    <row r="166" spans="3:4">
      <c r="C166" s="308" t="s">
        <v>5039</v>
      </c>
      <c r="D166" t="str">
        <f>CONCATENATE(CHAR(34),"username",CHAR(34),": ",CHAR(34),"root",CHAR(34),,",")</f>
        <v>"username": "root",</v>
      </c>
    </row>
    <row r="167" spans="3:4">
      <c r="C167" s="308" t="s">
        <v>5113</v>
      </c>
      <c r="D167" t="str">
        <f>CONCATENATE(CHAR(34),"password",CHAR(34),": ",CHAR(34),sddc_mgr_root_password,CHAR(34),)</f>
        <v>"password": "Value Missing"</v>
      </c>
    </row>
    <row r="168" spans="3:4">
      <c r="C168" s="307" t="s">
        <v>4316</v>
      </c>
      <c r="D168" t="s">
        <v>4316</v>
      </c>
    </row>
    <row r="169" spans="3:4">
      <c r="C169" s="308" t="s">
        <v>5114</v>
      </c>
      <c r="D169" t="str">
        <f>CONCATENATE(CHAR(34),"hostname",CHAR(34),": ",CHAR(34), sddc_mgr_hostname,CHAR(34),",")</f>
        <v>"hostname": "Value Missing",</v>
      </c>
    </row>
    <row r="170" spans="3:4">
      <c r="C170" s="308" t="s">
        <v>5115</v>
      </c>
      <c r="D170" t="s">
        <v>5146</v>
      </c>
    </row>
    <row r="171" spans="3:4">
      <c r="C171" s="308" t="s">
        <v>5116</v>
      </c>
      <c r="D171" t="str">
        <f>CONCATENATE(CHAR(34),"username",CHAR(34),": ",CHAR(34),"vcf",CHAR(34),",")</f>
        <v>"username": "vcf",</v>
      </c>
    </row>
    <row r="172" spans="3:4">
      <c r="C172" s="308" t="s">
        <v>5113</v>
      </c>
      <c r="D172" t="str">
        <f>CONCATENATE(CHAR(34),"password",CHAR(34),": ",CHAR(34),sddc_mgr_vcf_password,CHAR(34),)</f>
        <v>"password": "Value Missing"</v>
      </c>
    </row>
    <row r="173" spans="3:4">
      <c r="C173" s="307" t="s">
        <v>4316</v>
      </c>
      <c r="D173" t="s">
        <v>4316</v>
      </c>
    </row>
    <row r="174" spans="3:4">
      <c r="C174" s="308" t="s">
        <v>5117</v>
      </c>
      <c r="D174" t="s">
        <v>5147</v>
      </c>
    </row>
    <row r="175" spans="3:4">
      <c r="C175" s="308" t="s">
        <v>5118</v>
      </c>
      <c r="D175" t="str">
        <f>CONCATENATE(CHAR(34),"username",CHAR(34),": ",CHAR(34),"admin",CHAR(34),",")</f>
        <v>"username": "admin",</v>
      </c>
    </row>
    <row r="176" spans="3:4">
      <c r="C176" s="308" t="s">
        <v>5113</v>
      </c>
      <c r="D176" t="str">
        <f>CONCATENATE(CHAR(34),"password",CHAR(34),": ",CHAR(34),sddc_mgr_admin_local_password,CHAR(34),)</f>
        <v>"password": "Value Missing"</v>
      </c>
    </row>
    <row r="177" spans="3:4">
      <c r="C177" s="307" t="s">
        <v>4316</v>
      </c>
      <c r="D177" t="s">
        <v>4316</v>
      </c>
    </row>
    <row r="178" spans="3:4">
      <c r="C178" s="308" t="s">
        <v>5119</v>
      </c>
      <c r="D178" t="str">
        <f>CONCATENATE(CHAR(34),"localUserPassword",CHAR(34),": ",CHAR(34),sddc_mgr_admin_local_password,CHAR(34),)</f>
        <v>"localUserPassword": "Value Missing"</v>
      </c>
    </row>
    <row r="179" spans="3:4">
      <c r="C179" s="307" t="s">
        <v>4316</v>
      </c>
      <c r="D179" t="s">
        <v>4316</v>
      </c>
    </row>
    <row r="180" spans="3:4">
      <c r="C180" s="308" t="s">
        <v>5120</v>
      </c>
      <c r="D180" t="s">
        <v>5148</v>
      </c>
    </row>
    <row r="181" spans="3:4">
      <c r="C181" s="307" t="s">
        <v>4315</v>
      </c>
      <c r="D181" t="s">
        <v>4315</v>
      </c>
    </row>
    <row r="182" spans="3:4">
      <c r="C182" s="308" t="s">
        <v>5121</v>
      </c>
      <c r="D182" t="s">
        <v>5149</v>
      </c>
    </row>
    <row r="183" spans="3:4">
      <c r="C183" s="308" t="s">
        <v>5122</v>
      </c>
      <c r="D183" t="str">
        <f>CONCATENATE(CHAR(34),"ssoDomain",CHAR(34),": ",CHAR(34),"vsphere.local",CHAR(34),)</f>
        <v>"ssoDomain": "vsphere.local"</v>
      </c>
    </row>
    <row r="184" spans="3:4">
      <c r="C184" s="307" t="s">
        <v>4316</v>
      </c>
      <c r="D184" t="s">
        <v>4316</v>
      </c>
    </row>
    <row r="185" spans="3:4">
      <c r="C185" s="308" t="s">
        <v>5123</v>
      </c>
      <c r="D185" t="str">
        <f>CONCATENATE(CHAR(34),"adminUserssoPassword",CHAR(34),": ",CHAR(34),administrator_vsphere_local_password,CHAR(34),)</f>
        <v>"adminUserssoPassword": "Value Missing"</v>
      </c>
    </row>
    <row r="186" spans="3:4">
      <c r="C186" s="307" t="s">
        <v>4317</v>
      </c>
      <c r="D186" t="s">
        <v>4317</v>
      </c>
    </row>
    <row r="187" spans="3:4">
      <c r="C187" s="307" t="s">
        <v>4319</v>
      </c>
      <c r="D187" t="s">
        <v>4319</v>
      </c>
    </row>
    <row r="188" spans="3:4">
      <c r="C188" s="308" t="s">
        <v>5124</v>
      </c>
      <c r="D188" t="s">
        <v>5150</v>
      </c>
    </row>
    <row r="189" spans="3:4">
      <c r="C189" s="309" t="s">
        <v>5125</v>
      </c>
      <c r="D189" t="str">
        <f>CONCATENATE(CHAR(34),"managementPoolName",CHAR(34),": ",CHAR(34),mgmt_az1_pool_name,CHAR(34),",")</f>
        <v>"managementPoolName": "Value Missing",</v>
      </c>
    </row>
    <row r="190" spans="3:4">
      <c r="C190" s="308" t="s">
        <v>5126</v>
      </c>
      <c r="D190" t="str">
        <f>CONCATENATE(CHAR(34),"esxLicense",CHAR(34),": ",CHAR(34),esx_std_license,CHAR(34),"")</f>
        <v>"esxLicense": "Value Missing"</v>
      </c>
    </row>
    <row r="191" spans="3:4">
      <c r="C191" s="307" t="s">
        <v>4317</v>
      </c>
      <c r="D191" t="s">
        <v>4317</v>
      </c>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A70E5-2BDD-2C4D-BBD2-503E1195777B}">
  <sheetPr>
    <tabColor theme="9"/>
  </sheetPr>
  <dimension ref="A1:J131"/>
  <sheetViews>
    <sheetView showGridLines="0" zoomScaleNormal="100" workbookViewId="0">
      <pane ySplit="4" topLeftCell="A5" activePane="bottomLeft" state="frozen"/>
      <selection pane="bottomLeft" activeCell="D80" sqref="D80"/>
    </sheetView>
  </sheetViews>
  <sheetFormatPr baseColWidth="10" defaultRowHeight="16"/>
  <cols>
    <col min="1" max="1" width="2.83203125" customWidth="1"/>
    <col min="2" max="2" width="60.83203125" customWidth="1"/>
    <col min="3" max="3" width="60.83203125" hidden="1" customWidth="1"/>
    <col min="4" max="4" width="100.83203125" customWidth="1"/>
    <col min="5" max="5" width="80.83203125" customWidth="1"/>
  </cols>
  <sheetData>
    <row r="1" spans="1:10" s="3" customFormat="1" ht="16" customHeight="1">
      <c r="A1" s="6"/>
      <c r="F1"/>
      <c r="G1"/>
      <c r="H1"/>
      <c r="I1"/>
      <c r="J1"/>
    </row>
    <row r="2" spans="1:10" s="3" customFormat="1" ht="54" customHeight="1">
      <c r="B2" s="301"/>
      <c r="C2" s="302"/>
      <c r="D2" s="385" t="s">
        <v>1677</v>
      </c>
      <c r="E2" s="385"/>
      <c r="F2"/>
      <c r="G2"/>
      <c r="H2"/>
      <c r="I2"/>
      <c r="J2"/>
    </row>
    <row r="3" spans="1:10" s="3" customFormat="1" ht="20" customHeight="1">
      <c r="B3" s="383" t="s">
        <v>1678</v>
      </c>
      <c r="C3" s="384"/>
      <c r="D3" s="384"/>
      <c r="E3" s="384"/>
      <c r="F3"/>
      <c r="G3"/>
      <c r="H3"/>
      <c r="I3"/>
      <c r="J3"/>
    </row>
    <row r="4" spans="1:10" s="3" customFormat="1">
      <c r="E4" s="7"/>
      <c r="F4" s="5"/>
    </row>
    <row r="5" spans="1:10" ht="16" customHeight="1"/>
    <row r="6" spans="1:10" ht="34" customHeight="1">
      <c r="B6" s="386" t="s">
        <v>1679</v>
      </c>
      <c r="C6" s="386"/>
      <c r="D6" s="387"/>
      <c r="E6" s="387"/>
    </row>
    <row r="7" spans="1:10" ht="16" customHeight="1"/>
    <row r="8" spans="1:10" ht="34" customHeight="1">
      <c r="B8" s="344" t="s">
        <v>5030</v>
      </c>
      <c r="C8" s="344"/>
      <c r="D8" s="344"/>
      <c r="E8" s="344"/>
    </row>
    <row r="9" spans="1:10" ht="20" customHeight="1">
      <c r="B9" s="8" t="s">
        <v>735</v>
      </c>
      <c r="C9" s="8"/>
      <c r="D9" s="20" t="s">
        <v>555</v>
      </c>
      <c r="E9" s="8" t="s">
        <v>222</v>
      </c>
    </row>
    <row r="10" spans="1:10" ht="20" customHeight="1">
      <c r="B10" s="21" t="s">
        <v>5032</v>
      </c>
      <c r="C10" s="53"/>
      <c r="D10" s="18" t="str">
        <f>IF(mgmt_offline_depot_result="Excluded","Online","Offline")</f>
        <v>Online</v>
      </c>
      <c r="E10" s="53" t="s">
        <v>5031</v>
      </c>
    </row>
    <row r="11" spans="1:10" ht="20" customHeight="1">
      <c r="B11" s="21" t="s">
        <v>1686</v>
      </c>
      <c r="C11" s="53"/>
      <c r="D11" s="18" t="str">
        <f>mgmt_offline_depot_hostname</f>
        <v>Value Missing</v>
      </c>
      <c r="E11" s="53"/>
    </row>
    <row r="12" spans="1:10" ht="20" customHeight="1">
      <c r="B12" s="21" t="s">
        <v>883</v>
      </c>
      <c r="C12" s="53"/>
      <c r="D12" s="18" t="str">
        <f>mgmt_offline_depot_port</f>
        <v>Value Missing</v>
      </c>
      <c r="E12" s="53"/>
    </row>
    <row r="13" spans="1:10" ht="20" customHeight="1">
      <c r="B13" s="21" t="s">
        <v>5035</v>
      </c>
      <c r="C13" s="53"/>
      <c r="D13" s="18" t="str">
        <f>mgmt_internet_proxy_type</f>
        <v>HTTPS</v>
      </c>
      <c r="E13" s="53"/>
    </row>
    <row r="14" spans="1:10" ht="20" customHeight="1">
      <c r="B14" s="21" t="s">
        <v>1806</v>
      </c>
      <c r="C14" s="53"/>
      <c r="D14" s="18" t="str">
        <f>mgmt_internet_proxy_user</f>
        <v>Value Missing</v>
      </c>
      <c r="E14" s="53"/>
    </row>
    <row r="15" spans="1:10" ht="20" customHeight="1">
      <c r="B15" s="21" t="s">
        <v>1796</v>
      </c>
      <c r="C15" s="53"/>
      <c r="D15" s="18" t="str">
        <f>mgmt_internet_proxy_password</f>
        <v>Value Missing</v>
      </c>
      <c r="E15" s="53"/>
    </row>
    <row r="16" spans="1:10" ht="20" customHeight="1">
      <c r="B16" s="21" t="s">
        <v>5033</v>
      </c>
      <c r="C16" s="53"/>
      <c r="D16" s="18" t="str">
        <f>IF(mgmt_internet_proxy_result="Excluded","Disabled","Enabled")</f>
        <v>Disabled</v>
      </c>
      <c r="E16" s="53"/>
    </row>
    <row r="17" spans="2:5" ht="20" customHeight="1">
      <c r="B17" s="21" t="s">
        <v>4542</v>
      </c>
      <c r="C17" s="53"/>
      <c r="D17" s="18" t="str">
        <f>mgmt_internet_proxy_address</f>
        <v>Value Missing</v>
      </c>
      <c r="E17" s="53"/>
    </row>
    <row r="18" spans="2:5" ht="20" customHeight="1">
      <c r="B18" s="21" t="s">
        <v>5034</v>
      </c>
      <c r="C18" s="53"/>
      <c r="D18" s="18" t="str">
        <f>mgmt_internet_proxy_port</f>
        <v>Value Missing</v>
      </c>
      <c r="E18" s="53"/>
    </row>
    <row r="19" spans="2:5" ht="16" customHeight="1">
      <c r="B19" s="27"/>
      <c r="D19" s="3"/>
    </row>
    <row r="20" spans="2:5" ht="34" customHeight="1">
      <c r="B20" s="344" t="s">
        <v>4954</v>
      </c>
      <c r="C20" s="344"/>
      <c r="D20" s="344"/>
      <c r="E20" s="344"/>
    </row>
    <row r="21" spans="2:5" ht="20" customHeight="1">
      <c r="B21" s="8" t="s">
        <v>735</v>
      </c>
      <c r="C21" s="8"/>
      <c r="D21" s="20" t="s">
        <v>555</v>
      </c>
      <c r="E21" s="8" t="s">
        <v>222</v>
      </c>
    </row>
    <row r="22" spans="2:5" ht="20" customHeight="1">
      <c r="B22" s="21" t="s">
        <v>4955</v>
      </c>
      <c r="C22" s="53"/>
      <c r="D22" s="18" t="e">
        <f>#REF!</f>
        <v>#REF!</v>
      </c>
      <c r="E22" s="53"/>
    </row>
    <row r="23" spans="2:5" ht="20" customHeight="1">
      <c r="B23" s="21" t="s">
        <v>4956</v>
      </c>
      <c r="C23" s="53"/>
      <c r="D23" s="18"/>
      <c r="E23" s="53"/>
    </row>
    <row r="24" spans="2:5" ht="20" customHeight="1">
      <c r="B24" s="21" t="s">
        <v>4957</v>
      </c>
      <c r="C24" s="53"/>
      <c r="D24" s="18" t="str">
        <f>vcf_version</f>
        <v>v5.2.x</v>
      </c>
      <c r="E24" s="53"/>
    </row>
    <row r="25" spans="2:5" ht="20" customHeight="1">
      <c r="B25" s="21" t="s">
        <v>4958</v>
      </c>
      <c r="C25" s="53"/>
      <c r="D25" s="18" t="e">
        <f>#REF!</f>
        <v>#REF!</v>
      </c>
      <c r="E25" s="53"/>
    </row>
    <row r="26" spans="2:5" ht="20" customHeight="1">
      <c r="B26" s="21" t="s">
        <v>4959</v>
      </c>
      <c r="C26" s="53"/>
      <c r="D26" s="18" t="e">
        <f>#REF!</f>
        <v>#REF!</v>
      </c>
      <c r="E26" s="53"/>
    </row>
    <row r="27" spans="2:5" ht="16" customHeight="1"/>
    <row r="28" spans="2:5" ht="34" customHeight="1">
      <c r="B28" s="344" t="s">
        <v>4960</v>
      </c>
      <c r="C28" s="344"/>
      <c r="D28" s="344"/>
      <c r="E28" s="344"/>
    </row>
    <row r="29" spans="2:5" ht="17">
      <c r="B29" s="8" t="s">
        <v>735</v>
      </c>
      <c r="C29" s="8"/>
      <c r="D29" s="20" t="s">
        <v>555</v>
      </c>
      <c r="E29" s="8" t="s">
        <v>222</v>
      </c>
    </row>
    <row r="30" spans="2:5" ht="20" customHeight="1">
      <c r="B30" s="21" t="s">
        <v>1782</v>
      </c>
      <c r="C30" s="53"/>
      <c r="D30" s="305" t="str">
        <f>sample_region_ad_child_fqdn</f>
        <v>sfo.rainpole.io</v>
      </c>
      <c r="E30" s="53"/>
    </row>
    <row r="31" spans="2:5" ht="20" customHeight="1">
      <c r="B31" s="21" t="s">
        <v>4961</v>
      </c>
      <c r="C31" s="53"/>
      <c r="D31" s="305" t="str">
        <f>region_dns1_ip</f>
        <v>Value Missing</v>
      </c>
      <c r="E31" s="53"/>
    </row>
    <row r="32" spans="2:5" ht="20" customHeight="1">
      <c r="B32" s="21" t="s">
        <v>1779</v>
      </c>
      <c r="C32" s="53"/>
      <c r="D32" s="305" t="str">
        <f>region_dns2_ip</f>
        <v>Value Missing</v>
      </c>
      <c r="E32" s="53"/>
    </row>
    <row r="33" spans="2:5" ht="20" customHeight="1">
      <c r="B33" s="21" t="s">
        <v>1780</v>
      </c>
      <c r="C33" s="53"/>
      <c r="D33" s="305" t="str">
        <f>region_ntp1_server</f>
        <v>Value Missing</v>
      </c>
      <c r="E33" s="53"/>
    </row>
    <row r="34" spans="2:5" ht="20" customHeight="1">
      <c r="B34" s="21" t="s">
        <v>1781</v>
      </c>
      <c r="C34" s="53"/>
      <c r="D34" s="305" t="str">
        <f>region_ntp2_server</f>
        <v>Value Missing</v>
      </c>
      <c r="E34" s="53"/>
    </row>
    <row r="35" spans="2:5" ht="20" customHeight="1">
      <c r="B35" s="21" t="s">
        <v>4962</v>
      </c>
      <c r="C35" s="53"/>
      <c r="D35" s="305"/>
      <c r="E35" s="53"/>
    </row>
    <row r="36" spans="2:5" ht="20" customHeight="1">
      <c r="B36" s="21" t="s">
        <v>4963</v>
      </c>
      <c r="C36" s="53"/>
      <c r="D36" s="305" t="str">
        <f>mgmt_ceip_status</f>
        <v>Value Missing</v>
      </c>
      <c r="E36" s="53"/>
    </row>
    <row r="37" spans="2:5" ht="20" customHeight="1">
      <c r="B37" s="21" t="s">
        <v>4964</v>
      </c>
      <c r="C37" s="53"/>
      <c r="D37" s="305" t="str">
        <f>mgmt_fips_status</f>
        <v>Value Missing</v>
      </c>
      <c r="E37" s="53"/>
    </row>
    <row r="38" spans="2:5" ht="16" customHeight="1"/>
    <row r="39" spans="2:5" ht="34" customHeight="1">
      <c r="B39" s="344" t="s">
        <v>4965</v>
      </c>
      <c r="C39" s="344"/>
      <c r="D39" s="344"/>
      <c r="E39" s="344"/>
    </row>
    <row r="40" spans="2:5" ht="20" customHeight="1">
      <c r="B40" s="8" t="s">
        <v>735</v>
      </c>
      <c r="C40" s="8"/>
      <c r="D40" s="20" t="s">
        <v>555</v>
      </c>
      <c r="E40" s="8" t="s">
        <v>222</v>
      </c>
    </row>
    <row r="41" spans="2:5" ht="20" customHeight="1">
      <c r="B41" s="21" t="s">
        <v>4966</v>
      </c>
      <c r="C41" s="53"/>
      <c r="D41" s="18" t="str">
        <f>mgmt_vc_fqdn</f>
        <v>Value Missing.Value Missing</v>
      </c>
      <c r="E41" s="53"/>
    </row>
    <row r="42" spans="2:5" ht="20" customHeight="1">
      <c r="B42" s="21" t="s">
        <v>985</v>
      </c>
      <c r="C42" s="53"/>
      <c r="D42" s="18" t="str">
        <f>mgmt_vc_size</f>
        <v>Small</v>
      </c>
      <c r="E42" s="53"/>
    </row>
    <row r="43" spans="2:5" ht="20" customHeight="1">
      <c r="B43" s="21" t="s">
        <v>842</v>
      </c>
      <c r="C43" s="53"/>
      <c r="D43" s="18" t="str">
        <f>mgmt_datacenter</f>
        <v>Value Missing</v>
      </c>
      <c r="E43" s="53"/>
    </row>
    <row r="44" spans="2:5" ht="20" customHeight="1">
      <c r="B44" s="21" t="s">
        <v>906</v>
      </c>
      <c r="C44" s="53"/>
      <c r="D44" s="18" t="str">
        <f>mgmt_cl01_cluster</f>
        <v>Value Missing</v>
      </c>
      <c r="E44" s="53"/>
    </row>
    <row r="45" spans="2:5" ht="20" customHeight="1">
      <c r="B45" s="21" t="s">
        <v>3058</v>
      </c>
      <c r="C45" s="53"/>
      <c r="D45" s="18" t="str">
        <f>administrator_vsphere_local_password</f>
        <v>Value Missing</v>
      </c>
      <c r="E45" s="53"/>
    </row>
    <row r="46" spans="2:5" ht="20" customHeight="1">
      <c r="B46" s="21" t="s">
        <v>1685</v>
      </c>
      <c r="C46" s="53"/>
      <c r="D46" s="18" t="str">
        <f>vcenter_root_password</f>
        <v>Value Missing</v>
      </c>
      <c r="E46" s="53"/>
    </row>
    <row r="47" spans="2:5" ht="16" customHeight="1"/>
    <row r="48" spans="2:5" ht="34" customHeight="1">
      <c r="B48" s="344" t="s">
        <v>931</v>
      </c>
      <c r="C48" s="344"/>
      <c r="D48" s="344"/>
      <c r="E48" s="344"/>
    </row>
    <row r="49" spans="2:5" ht="20" customHeight="1">
      <c r="B49" s="8" t="s">
        <v>735</v>
      </c>
      <c r="C49" s="8"/>
      <c r="D49" s="20" t="s">
        <v>555</v>
      </c>
      <c r="E49" s="8" t="s">
        <v>222</v>
      </c>
    </row>
    <row r="50" spans="2:5" ht="20" customHeight="1">
      <c r="B50" s="21" t="s">
        <v>4967</v>
      </c>
      <c r="C50" s="53"/>
      <c r="D50" s="305" t="str">
        <f>IF(OR(mgmt_principal_storage_chosen="vSAN-ESA",mgmt_principal_storage_chosen="vSAN-OSA"),"vSAN",mgmt_principal_storage_chosen)</f>
        <v>vSAN</v>
      </c>
      <c r="E50" s="53"/>
    </row>
    <row r="51" spans="2:5" ht="20" customHeight="1">
      <c r="B51" s="21" t="s">
        <v>4968</v>
      </c>
      <c r="C51" s="53"/>
      <c r="D51" s="305" t="str">
        <f>mgmt_principal_storage_chosen</f>
        <v>vSAN-ESA</v>
      </c>
      <c r="E51" s="53"/>
    </row>
    <row r="52" spans="2:5" ht="20" customHeight="1">
      <c r="B52" s="21" t="s">
        <v>4202</v>
      </c>
      <c r="C52" s="53"/>
      <c r="D52" s="305">
        <f>mgmt_cl01_vsan_ftt</f>
        <v>1</v>
      </c>
      <c r="E52" s="53"/>
    </row>
    <row r="53" spans="2:5" ht="20" customHeight="1">
      <c r="B53" s="21" t="s">
        <v>4969</v>
      </c>
      <c r="C53" s="53"/>
      <c r="D53" s="305" t="str">
        <f>mgmt_cl01_vsan_dedupe_compression</f>
        <v>Value Missing</v>
      </c>
      <c r="E53" s="53"/>
    </row>
    <row r="54" spans="2:5" ht="16" customHeight="1"/>
    <row r="55" spans="2:5" ht="34" customHeight="1">
      <c r="B55" s="344" t="s">
        <v>791</v>
      </c>
      <c r="C55" s="344"/>
      <c r="D55" s="344"/>
      <c r="E55" s="344"/>
    </row>
    <row r="56" spans="2:5" ht="20" customHeight="1">
      <c r="B56" s="8" t="s">
        <v>735</v>
      </c>
      <c r="C56" s="8"/>
      <c r="D56" s="20" t="s">
        <v>555</v>
      </c>
      <c r="E56" s="8" t="s">
        <v>222</v>
      </c>
    </row>
    <row r="57" spans="2:5" ht="20" customHeight="1">
      <c r="B57" s="21" t="s">
        <v>985</v>
      </c>
      <c r="C57" s="53"/>
      <c r="D57" s="18" t="str">
        <f>sizing_m01_nsxt_appliance_size</f>
        <v>Medium</v>
      </c>
      <c r="E57" s="53"/>
    </row>
    <row r="58" spans="2:5" ht="20" customHeight="1">
      <c r="B58" s="21" t="s">
        <v>4971</v>
      </c>
      <c r="C58" s="53"/>
      <c r="D58" s="18" t="str">
        <f>mgmt_nsxt_mgra_fqdn</f>
        <v>Value Missing.Value Missing</v>
      </c>
      <c r="E58" s="53"/>
    </row>
    <row r="59" spans="2:5" ht="20" customHeight="1">
      <c r="B59" s="21" t="s">
        <v>4972</v>
      </c>
      <c r="C59" s="53"/>
      <c r="D59" s="18" t="str">
        <f>mgmt_nsxt_mgrb_fqdn</f>
        <v>Value Missing.Value Missing</v>
      </c>
      <c r="E59" s="53" t="e">
        <f>#REF!</f>
        <v>#REF!</v>
      </c>
    </row>
    <row r="60" spans="2:5" ht="20" customHeight="1">
      <c r="B60" s="21" t="s">
        <v>4973</v>
      </c>
      <c r="C60" s="53"/>
      <c r="D60" s="18" t="str">
        <f>mgmt_nsxt_mgrc_fqdn</f>
        <v>Value Missing.Value Missing</v>
      </c>
      <c r="E60" s="53"/>
    </row>
    <row r="61" spans="2:5" ht="20" customHeight="1">
      <c r="B61" s="21" t="s">
        <v>4970</v>
      </c>
      <c r="C61" s="53"/>
      <c r="D61" s="18" t="str">
        <f>mgmt_nsxt_vip_fqdn</f>
        <v>Value Missing.Value Missing</v>
      </c>
      <c r="E61" s="53"/>
    </row>
    <row r="62" spans="2:5" ht="20" customHeight="1">
      <c r="B62" s="21" t="s">
        <v>3058</v>
      </c>
      <c r="C62" s="53"/>
      <c r="D62" s="18" t="str">
        <f>nsxt_en_admin_password</f>
        <v>Value Missing</v>
      </c>
      <c r="E62" s="53"/>
    </row>
    <row r="63" spans="2:5" ht="20" customHeight="1">
      <c r="B63" s="21" t="s">
        <v>4976</v>
      </c>
      <c r="C63" s="53"/>
      <c r="D63" s="18" t="str">
        <f>nsxt_en_audit_password</f>
        <v>Value Missing</v>
      </c>
      <c r="E63" s="53"/>
    </row>
    <row r="64" spans="2:5" ht="20" customHeight="1">
      <c r="B64" s="21" t="s">
        <v>1697</v>
      </c>
      <c r="C64" s="53"/>
      <c r="D64" s="18"/>
      <c r="E64" s="53"/>
    </row>
    <row r="65" spans="2:5" ht="20" customHeight="1">
      <c r="B65" s="21" t="s">
        <v>1689</v>
      </c>
      <c r="C65" s="53"/>
      <c r="D65" s="18"/>
      <c r="E65" s="53"/>
    </row>
    <row r="66" spans="2:5" ht="20" customHeight="1">
      <c r="B66" s="21" t="s">
        <v>4974</v>
      </c>
      <c r="C66" s="53"/>
      <c r="D66" s="18"/>
      <c r="E66" s="53"/>
    </row>
    <row r="67" spans="2:5" ht="20" customHeight="1">
      <c r="B67" s="21" t="s">
        <v>4975</v>
      </c>
      <c r="C67" s="53"/>
      <c r="D67" s="18"/>
      <c r="E67" s="53"/>
    </row>
    <row r="68" spans="2:5" ht="20" customHeight="1"/>
    <row r="69" spans="2:5" ht="18">
      <c r="B69" s="344" t="s">
        <v>4977</v>
      </c>
      <c r="C69" s="344"/>
      <c r="D69" s="344"/>
      <c r="E69" s="344"/>
    </row>
    <row r="70" spans="2:5" ht="34" customHeight="1">
      <c r="B70" s="8" t="s">
        <v>735</v>
      </c>
      <c r="C70" s="8"/>
      <c r="D70" s="20" t="s">
        <v>555</v>
      </c>
      <c r="E70" s="8" t="s">
        <v>222</v>
      </c>
    </row>
    <row r="71" spans="2:5" ht="20" customHeight="1">
      <c r="B71" s="21" t="s">
        <v>4979</v>
      </c>
      <c r="C71" s="53"/>
      <c r="D71" s="18"/>
      <c r="E71" s="53"/>
    </row>
    <row r="72" spans="2:5" ht="20" customHeight="1">
      <c r="B72" s="21" t="s">
        <v>4978</v>
      </c>
      <c r="C72" s="53"/>
      <c r="D72" s="18"/>
      <c r="E72" s="53"/>
    </row>
    <row r="73" spans="2:5" ht="20" customHeight="1">
      <c r="B73" s="21" t="s">
        <v>4989</v>
      </c>
      <c r="C73" s="53"/>
      <c r="D73" s="18" t="str">
        <f>reg_seg01_cidr</f>
        <v>Value Missing</v>
      </c>
      <c r="E73" s="53" t="s">
        <v>5019</v>
      </c>
    </row>
    <row r="74" spans="2:5" ht="20" customHeight="1">
      <c r="B74" s="21" t="s">
        <v>4990</v>
      </c>
      <c r="C74" s="53"/>
      <c r="D74" s="18" t="str">
        <f>xreg_seg01_cidr</f>
        <v>Value Missing</v>
      </c>
      <c r="E74" s="53" t="s">
        <v>5019</v>
      </c>
    </row>
    <row r="75" spans="2:5" ht="20" customHeight="1">
      <c r="B75" s="21" t="s">
        <v>4988</v>
      </c>
      <c r="C75" s="53"/>
      <c r="D75" s="18" t="str">
        <f>xreg_vrops_appliance_size</f>
        <v>Medium</v>
      </c>
      <c r="E75" s="53" t="s">
        <v>5026</v>
      </c>
    </row>
    <row r="76" spans="2:5" ht="20" customHeight="1">
      <c r="B76" s="21" t="s">
        <v>4980</v>
      </c>
      <c r="C76" s="53"/>
      <c r="D76" s="18"/>
      <c r="E76" s="53"/>
    </row>
    <row r="77" spans="2:5" ht="20" customHeight="1">
      <c r="B77" s="21" t="s">
        <v>4981</v>
      </c>
      <c r="C77" s="53"/>
      <c r="D77" s="18"/>
      <c r="E77" s="53"/>
    </row>
    <row r="78" spans="2:5" ht="20" customHeight="1">
      <c r="B78" s="21" t="s">
        <v>4982</v>
      </c>
      <c r="C78" s="53"/>
      <c r="D78" s="18"/>
      <c r="E78" s="53"/>
    </row>
    <row r="79" spans="2:5" ht="20" customHeight="1">
      <c r="B79" s="21" t="s">
        <v>4983</v>
      </c>
      <c r="C79" s="303"/>
      <c r="D79" s="18"/>
      <c r="E79" s="303"/>
    </row>
    <row r="80" spans="2:5" ht="20" customHeight="1">
      <c r="B80" s="21" t="s">
        <v>4984</v>
      </c>
      <c r="C80" s="303"/>
      <c r="D80" s="18"/>
      <c r="E80" s="303"/>
    </row>
    <row r="81" spans="2:5" ht="20" customHeight="1">
      <c r="B81" s="21" t="s">
        <v>4985</v>
      </c>
      <c r="C81" s="303"/>
      <c r="D81" s="18"/>
      <c r="E81" s="303"/>
    </row>
    <row r="82" spans="2:5" ht="20" customHeight="1">
      <c r="B82" s="21" t="s">
        <v>4958</v>
      </c>
      <c r="C82" s="303"/>
      <c r="D82" s="18"/>
      <c r="E82" s="303" t="s">
        <v>5019</v>
      </c>
    </row>
    <row r="83" spans="2:5" ht="20" customHeight="1">
      <c r="B83" s="21" t="s">
        <v>4987</v>
      </c>
      <c r="C83" s="303"/>
      <c r="D83" s="18" t="str">
        <f>xreg_vra_nodea_fqdn</f>
        <v>Value Missing.Value Missing</v>
      </c>
      <c r="E83" s="303"/>
    </row>
    <row r="84" spans="2:5" ht="20" customHeight="1">
      <c r="B84" s="21" t="s">
        <v>4991</v>
      </c>
      <c r="C84" s="303"/>
      <c r="D84" s="18"/>
      <c r="E84" s="303" t="s">
        <v>5019</v>
      </c>
    </row>
    <row r="85" spans="2:5" ht="20" customHeight="1">
      <c r="B85" s="21" t="s">
        <v>4986</v>
      </c>
      <c r="C85" s="303"/>
      <c r="D85" s="18" t="str">
        <f>xreg_vra_root_password</f>
        <v>Value Missing</v>
      </c>
      <c r="E85" s="303"/>
    </row>
    <row r="86" spans="2:5" ht="20" customHeight="1"/>
    <row r="87" spans="2:5" ht="18">
      <c r="B87" s="344" t="s">
        <v>4992</v>
      </c>
      <c r="C87" s="344"/>
      <c r="D87" s="344"/>
      <c r="E87" s="344"/>
    </row>
    <row r="88" spans="2:5" ht="34" customHeight="1">
      <c r="B88" s="8" t="s">
        <v>735</v>
      </c>
      <c r="C88" s="8"/>
      <c r="D88" s="20" t="s">
        <v>555</v>
      </c>
      <c r="E88" s="8" t="s">
        <v>222</v>
      </c>
    </row>
    <row r="89" spans="2:5" ht="20" customHeight="1">
      <c r="B89" s="21" t="s">
        <v>4993</v>
      </c>
      <c r="C89" s="304"/>
      <c r="D89" s="18" t="str">
        <f>esxi_root_password</f>
        <v>Value Missing</v>
      </c>
      <c r="E89" s="304"/>
    </row>
    <row r="90" spans="2:5" s="290" customFormat="1" ht="20" customHeight="1">
      <c r="B90" s="21" t="s">
        <v>4995</v>
      </c>
      <c r="C90" s="304"/>
      <c r="D90" s="18" t="str">
        <f>mgmt_az1_host1_fqdn</f>
        <v>Value Missing.Value Missing</v>
      </c>
      <c r="E90" s="304"/>
    </row>
    <row r="91" spans="2:5" s="290" customFormat="1" ht="20" customHeight="1">
      <c r="B91" s="21" t="s">
        <v>4994</v>
      </c>
      <c r="C91" s="304"/>
      <c r="D91" s="18" t="str">
        <f>mgmt_host1_sshfingerprint</f>
        <v>Value Missing</v>
      </c>
      <c r="E91" s="304"/>
    </row>
    <row r="92" spans="2:5" s="290" customFormat="1" ht="20" customHeight="1">
      <c r="B92" s="21" t="s">
        <v>4996</v>
      </c>
      <c r="C92" s="304"/>
      <c r="D92" s="18" t="str">
        <f>mgmt_az1_host2_fqdn</f>
        <v>Value Missing.Value Missing</v>
      </c>
      <c r="E92" s="304"/>
    </row>
    <row r="93" spans="2:5" s="290" customFormat="1" ht="20" customHeight="1">
      <c r="B93" s="21" t="s">
        <v>4997</v>
      </c>
      <c r="C93" s="304"/>
      <c r="D93" s="18" t="str">
        <f>mgmt_host2_sshfingerprint</f>
        <v>Value Missing</v>
      </c>
      <c r="E93" s="304"/>
    </row>
    <row r="94" spans="2:5" s="290" customFormat="1" ht="20" customHeight="1">
      <c r="B94" s="21" t="s">
        <v>4998</v>
      </c>
      <c r="C94" s="304"/>
      <c r="D94" s="18" t="str">
        <f>mgmt_az1_host3_fqdn</f>
        <v>Value Missing.Value Missing</v>
      </c>
      <c r="E94" s="304"/>
    </row>
    <row r="95" spans="2:5" s="290" customFormat="1" ht="20" customHeight="1">
      <c r="B95" s="21" t="s">
        <v>4999</v>
      </c>
      <c r="C95" s="304"/>
      <c r="D95" s="18" t="str">
        <f>mgmt_host3_sshfingerprint</f>
        <v>Value Missing</v>
      </c>
      <c r="E95" s="304"/>
    </row>
    <row r="96" spans="2:5" s="290" customFormat="1" ht="20" customHeight="1">
      <c r="B96" s="21" t="s">
        <v>5000</v>
      </c>
      <c r="C96" s="304"/>
      <c r="D96" s="18" t="str">
        <f>mgmt_az1_host4_fqdn</f>
        <v>Value Missing.Value Missing</v>
      </c>
      <c r="E96" s="304"/>
    </row>
    <row r="97" spans="2:5" s="290" customFormat="1" ht="20" customHeight="1">
      <c r="B97" s="21" t="s">
        <v>5001</v>
      </c>
      <c r="C97" s="304"/>
      <c r="D97" s="18" t="str">
        <f>mgmt_host4_sshfingerprint</f>
        <v>Value Missing</v>
      </c>
      <c r="E97" s="304"/>
    </row>
    <row r="98" spans="2:5" s="290" customFormat="1" ht="20" customHeight="1">
      <c r="B98"/>
      <c r="C98"/>
      <c r="D98"/>
      <c r="E98"/>
    </row>
    <row r="99" spans="2:5" ht="18">
      <c r="B99" s="344" t="s">
        <v>5002</v>
      </c>
      <c r="C99" s="344"/>
      <c r="D99" s="344"/>
      <c r="E99" s="344"/>
    </row>
    <row r="100" spans="2:5" ht="34" customHeight="1">
      <c r="B100" s="8" t="s">
        <v>735</v>
      </c>
      <c r="C100" s="8"/>
      <c r="D100" s="20" t="s">
        <v>555</v>
      </c>
      <c r="E100" s="8" t="s">
        <v>222</v>
      </c>
    </row>
    <row r="101" spans="2:5" ht="20" customHeight="1">
      <c r="B101" s="21" t="s">
        <v>5004</v>
      </c>
      <c r="C101" s="304"/>
      <c r="D101" s="18" t="str">
        <f>mgmt_az1_mgmt_vlan</f>
        <v>Value Missing</v>
      </c>
      <c r="E101" s="304"/>
    </row>
    <row r="102" spans="2:5" ht="20" customHeight="1">
      <c r="B102" s="21" t="s">
        <v>5005</v>
      </c>
      <c r="C102" s="304"/>
      <c r="D102" s="18" t="str">
        <f>mgmt_az1_mgmt_gateway_ip</f>
        <v>Value Missing</v>
      </c>
      <c r="E102" s="304"/>
    </row>
    <row r="103" spans="2:5" ht="20" customHeight="1">
      <c r="B103" s="21" t="s">
        <v>5006</v>
      </c>
      <c r="C103" s="304"/>
      <c r="D103" s="18" t="str">
        <f>mgmt_az1_mgmt_cidr</f>
        <v>Value Missing</v>
      </c>
      <c r="E103" s="304"/>
    </row>
    <row r="104" spans="2:5" ht="20" customHeight="1">
      <c r="B104" s="21" t="s">
        <v>5007</v>
      </c>
      <c r="C104" s="304"/>
      <c r="D104" s="18" t="str">
        <f>mgmt_az1_mgmt_mtu</f>
        <v>Value Missing</v>
      </c>
      <c r="E104" s="304"/>
    </row>
    <row r="105" spans="2:5" ht="20" customHeight="1">
      <c r="B105" s="21" t="s">
        <v>5003</v>
      </c>
      <c r="C105" s="304"/>
      <c r="D105" s="18" t="str">
        <f>mgmt_az1_vm_vlan</f>
        <v>Value Missing</v>
      </c>
      <c r="E105" s="304"/>
    </row>
    <row r="106" spans="2:5" ht="20" customHeight="1">
      <c r="B106" s="21" t="s">
        <v>5027</v>
      </c>
      <c r="C106" s="304"/>
      <c r="D106" s="18" t="str">
        <f>mgmt_az1_vm_gateway_ip</f>
        <v>Value Missing</v>
      </c>
      <c r="E106" s="304"/>
    </row>
    <row r="107" spans="2:5" ht="20" customHeight="1">
      <c r="B107" s="21" t="s">
        <v>5028</v>
      </c>
      <c r="C107" s="304"/>
      <c r="D107" s="18" t="str">
        <f>mgmt_az1_vm_cidr</f>
        <v>Value Missing</v>
      </c>
      <c r="E107" s="304"/>
    </row>
    <row r="108" spans="2:5" ht="20" customHeight="1">
      <c r="B108" s="21" t="s">
        <v>5029</v>
      </c>
      <c r="C108" s="304"/>
      <c r="D108" s="18" t="str">
        <f>mgmt_az1_vm_mtu</f>
        <v>Value Missing</v>
      </c>
      <c r="E108" s="304"/>
    </row>
    <row r="109" spans="2:5" ht="20" customHeight="1">
      <c r="B109" s="21" t="s">
        <v>5008</v>
      </c>
      <c r="C109" s="53"/>
      <c r="D109" s="18" t="str">
        <f>mgmt_az1_vmotion_vlan</f>
        <v>Value Missing</v>
      </c>
      <c r="E109" s="53"/>
    </row>
    <row r="110" spans="2:5" ht="20" customHeight="1">
      <c r="B110" s="21" t="s">
        <v>5009</v>
      </c>
      <c r="C110" s="53"/>
      <c r="D110" s="18" t="str">
        <f>mgmt_az1_vmotion_gateway_ip</f>
        <v>Value Missing</v>
      </c>
      <c r="E110" s="53"/>
    </row>
    <row r="111" spans="2:5" ht="20" customHeight="1">
      <c r="B111" s="21" t="s">
        <v>5010</v>
      </c>
      <c r="C111" s="53"/>
      <c r="D111" s="18" t="str">
        <f>mgmt_az1_vmotion_cidr</f>
        <v>Value Missing</v>
      </c>
      <c r="E111" s="53"/>
    </row>
    <row r="112" spans="2:5" ht="20" customHeight="1">
      <c r="B112" s="21" t="s">
        <v>5011</v>
      </c>
      <c r="C112" s="53"/>
      <c r="D112" s="18" t="str">
        <f>mgmt_az1_vmotion_mtu</f>
        <v>Value Missing</v>
      </c>
      <c r="E112" s="53"/>
    </row>
    <row r="113" spans="2:5" ht="20" customHeight="1">
      <c r="B113" s="21" t="s">
        <v>5012</v>
      </c>
      <c r="C113" s="53"/>
      <c r="D113" s="18" t="str">
        <f>CONCATENATE(mgmt_az1_vmotion_pool_start_ip," to ",mgmt_az1_vmotion_pool_end_ip)</f>
        <v>Value Missing to Value Missing</v>
      </c>
      <c r="E113" s="53"/>
    </row>
    <row r="114" spans="2:5" ht="20" customHeight="1">
      <c r="B114" s="21" t="s">
        <v>5013</v>
      </c>
      <c r="C114" s="53"/>
      <c r="D114" s="18" t="str">
        <f>mgmt_az1_vsan_vlan</f>
        <v>Value Missing</v>
      </c>
      <c r="E114" s="53" t="s">
        <v>5018</v>
      </c>
    </row>
    <row r="115" spans="2:5" ht="20" customHeight="1">
      <c r="B115" s="21" t="s">
        <v>5014</v>
      </c>
      <c r="C115" s="53"/>
      <c r="D115" s="18" t="str">
        <f>mgmt_az1_vsan_gateway_ip</f>
        <v>Value Missing</v>
      </c>
      <c r="E115" s="53"/>
    </row>
    <row r="116" spans="2:5" ht="20" customHeight="1">
      <c r="B116" s="21" t="s">
        <v>5015</v>
      </c>
      <c r="C116" s="53"/>
      <c r="D116" s="18" t="str">
        <f>mgmt_az1_vsan_mask</f>
        <v>Value Missing</v>
      </c>
      <c r="E116" s="53"/>
    </row>
    <row r="117" spans="2:5" ht="20" customHeight="1">
      <c r="B117" s="21" t="s">
        <v>5016</v>
      </c>
      <c r="C117" s="53"/>
      <c r="D117" s="18" t="str">
        <f>mgmt_az1_vsan_mtu</f>
        <v>Value Missing</v>
      </c>
      <c r="E117" s="53"/>
    </row>
    <row r="118" spans="2:5" ht="20" customHeight="1">
      <c r="B118" s="21" t="s">
        <v>5017</v>
      </c>
      <c r="C118" s="53"/>
      <c r="D118" s="18" t="str">
        <f>CONCATENATE(mgmt_az1_vsan_pool_start_ip, " to ", mgmt_az1_vsan_pool_start_ip)</f>
        <v>Value Missing to Value Missing</v>
      </c>
      <c r="E118" s="53"/>
    </row>
    <row r="119" spans="2:5" ht="20" customHeight="1"/>
    <row r="120" spans="2:5" ht="18">
      <c r="B120" s="344" t="s">
        <v>5020</v>
      </c>
      <c r="C120" s="344"/>
      <c r="D120" s="344"/>
      <c r="E120" s="344"/>
    </row>
    <row r="121" spans="2:5" ht="34" customHeight="1">
      <c r="B121" s="8" t="s">
        <v>735</v>
      </c>
      <c r="C121" s="8"/>
      <c r="D121" s="20" t="s">
        <v>555</v>
      </c>
      <c r="E121" s="8" t="s">
        <v>222</v>
      </c>
    </row>
    <row r="122" spans="2:5" ht="20" customHeight="1">
      <c r="B122" s="21" t="s">
        <v>5021</v>
      </c>
      <c r="C122" s="304"/>
      <c r="D122" s="300"/>
      <c r="E122" s="304"/>
    </row>
    <row r="123" spans="2:5" ht="20" customHeight="1"/>
    <row r="124" spans="2:5" ht="16" customHeight="1">
      <c r="B124" s="344" t="s">
        <v>5022</v>
      </c>
      <c r="C124" s="344"/>
      <c r="D124" s="344"/>
      <c r="E124" s="344"/>
    </row>
    <row r="125" spans="2:5" ht="20" customHeight="1">
      <c r="B125" s="8" t="s">
        <v>735</v>
      </c>
      <c r="C125" s="8"/>
      <c r="D125" s="20" t="s">
        <v>555</v>
      </c>
      <c r="E125" s="8" t="s">
        <v>222</v>
      </c>
    </row>
    <row r="126" spans="2:5" ht="20" customHeight="1">
      <c r="B126" s="21" t="s">
        <v>5023</v>
      </c>
      <c r="C126" s="304"/>
      <c r="D126" s="300"/>
      <c r="E126" s="304" t="s">
        <v>5025</v>
      </c>
    </row>
    <row r="127" spans="2:5" ht="20" customHeight="1">
      <c r="B127" s="21" t="s">
        <v>4966</v>
      </c>
      <c r="C127" s="53"/>
      <c r="D127" s="300"/>
      <c r="E127" s="53"/>
    </row>
    <row r="128" spans="2:5" ht="20" customHeight="1">
      <c r="B128" s="21" t="s">
        <v>1685</v>
      </c>
      <c r="C128" s="53"/>
      <c r="D128" s="300"/>
      <c r="E128" s="53"/>
    </row>
    <row r="129" spans="2:5" ht="20" customHeight="1">
      <c r="B129" s="21" t="s">
        <v>5024</v>
      </c>
      <c r="C129" s="53"/>
      <c r="D129" s="300"/>
      <c r="E129" s="53"/>
    </row>
    <row r="130" spans="2:5" ht="20" customHeight="1">
      <c r="B130" s="21" t="s">
        <v>3058</v>
      </c>
      <c r="C130" s="53"/>
      <c r="D130" s="300"/>
      <c r="E130" s="53"/>
    </row>
    <row r="131" spans="2:5" ht="20" customHeight="1"/>
  </sheetData>
  <sheetProtection algorithmName="SHA-512" hashValue="zZGK1QRIntSaubnw8l0z/48ONfXWfj2qdx93N3d+jCPESAd1fQXTc/od2eFyXC00DQtBd0Aom1Mc1g3Xv0hirA==" saltValue="Qba8MUiyTgGRUVfMkPI8kA==" spinCount="100000" sheet="1" objects="1" scenarios="1"/>
  <mergeCells count="14">
    <mergeCell ref="B69:E69"/>
    <mergeCell ref="B87:E87"/>
    <mergeCell ref="B99:E99"/>
    <mergeCell ref="B120:E120"/>
    <mergeCell ref="B124:E124"/>
    <mergeCell ref="B48:E48"/>
    <mergeCell ref="B55:E55"/>
    <mergeCell ref="B3:E3"/>
    <mergeCell ref="D2:E2"/>
    <mergeCell ref="B8:E8"/>
    <mergeCell ref="B6:E6"/>
    <mergeCell ref="B20:E20"/>
    <mergeCell ref="B28:E28"/>
    <mergeCell ref="B39:E39"/>
  </mergeCells>
  <conditionalFormatting sqref="B8:E9">
    <cfRule type="expression" dxfId="4842" priority="6">
      <formula>mgmt_domain_result="Excluded"</formula>
    </cfRule>
  </conditionalFormatting>
  <conditionalFormatting sqref="B28:E29">
    <cfRule type="expression" dxfId="4841" priority="48">
      <formula>mgmt_domain_result="Excluded"</formula>
    </cfRule>
  </conditionalFormatting>
  <conditionalFormatting sqref="B39:E40">
    <cfRule type="expression" dxfId="4840" priority="44">
      <formula>mgmt_domain_result="Excluded"</formula>
    </cfRule>
  </conditionalFormatting>
  <conditionalFormatting sqref="B48:E49">
    <cfRule type="expression" dxfId="4839" priority="40">
      <formula>mgmt_domain_result="Excluded"</formula>
    </cfRule>
  </conditionalFormatting>
  <conditionalFormatting sqref="B55:E56">
    <cfRule type="expression" dxfId="4838" priority="36">
      <formula>mgmt_domain_result="Excluded"</formula>
    </cfRule>
  </conditionalFormatting>
  <conditionalFormatting sqref="B69:E70">
    <cfRule type="expression" dxfId="4837" priority="32">
      <formula>mgmt_domain_result="Excluded"</formula>
    </cfRule>
  </conditionalFormatting>
  <conditionalFormatting sqref="B87:E88">
    <cfRule type="expression" dxfId="4836" priority="29">
      <formula>mgmt_domain_result="Excluded"</formula>
    </cfRule>
  </conditionalFormatting>
  <conditionalFormatting sqref="B99:E100">
    <cfRule type="expression" dxfId="4835" priority="25">
      <formula>mgmt_domain_result="Excluded"</formula>
    </cfRule>
  </conditionalFormatting>
  <conditionalFormatting sqref="B120:E121">
    <cfRule type="expression" dxfId="4834" priority="20">
      <formula>mgmt_domain_result="Excluded"</formula>
    </cfRule>
  </conditionalFormatting>
  <conditionalFormatting sqref="B124:E125">
    <cfRule type="expression" dxfId="4833" priority="16">
      <formula>mgmt_domain_result="Excluded"</formula>
    </cfRule>
  </conditionalFormatting>
  <conditionalFormatting sqref="B59:F60">
    <cfRule type="expression" dxfId="4832" priority="3">
      <formula>#REF!="Standard"</formula>
    </cfRule>
  </conditionalFormatting>
  <conditionalFormatting sqref="D10:D19">
    <cfRule type="notContainsBlanks" dxfId="4831" priority="55">
      <formula>LEN(TRIM(D10))&gt;0</formula>
    </cfRule>
  </conditionalFormatting>
  <conditionalFormatting sqref="D22:D26 D50:D53 D57:D67 D71:D85">
    <cfRule type="notContainsBlanks" dxfId="4830" priority="56">
      <formula>LEN(TRIM(D22))&gt;0</formula>
    </cfRule>
  </conditionalFormatting>
  <conditionalFormatting sqref="D30:D37">
    <cfRule type="notContainsBlanks" dxfId="4828" priority="57">
      <formula>LEN(TRIM(D30))&gt;0</formula>
    </cfRule>
  </conditionalFormatting>
  <conditionalFormatting sqref="D41:D46">
    <cfRule type="notContainsBlanks" dxfId="4826" priority="58">
      <formula>LEN(TRIM(D41))&gt;0</formula>
    </cfRule>
  </conditionalFormatting>
  <conditionalFormatting sqref="D89:D97">
    <cfRule type="expression" dxfId="4823" priority="54">
      <formula>mgmt_domain_result="Excluded"</formula>
    </cfRule>
    <cfRule type="notContainsBlanks" dxfId="4822" priority="54">
      <formula>LEN(TRIM(D89))&gt;0</formula>
    </cfRule>
  </conditionalFormatting>
  <conditionalFormatting sqref="D101:D118">
    <cfRule type="containsBlanks" dxfId="4821" priority="24">
      <formula>LEN(TRIM(D101))=0</formula>
    </cfRule>
  </conditionalFormatting>
  <conditionalFormatting sqref="D122">
    <cfRule type="containsBlanks" dxfId="4819" priority="19">
      <formula>LEN(TRIM(D122))=0</formula>
    </cfRule>
  </conditionalFormatting>
  <conditionalFormatting sqref="D126:D130">
    <cfRule type="containsBlanks" dxfId="4818" priority="15">
      <formula>LEN(TRIM(D126))=0</formula>
    </cfRule>
  </conditionalFormatting>
  <conditionalFormatting sqref="E21">
    <cfRule type="expression" dxfId="4817" priority="52">
      <formula>mgmt_domain_result="Excluded"</formula>
    </cfRule>
  </conditionalFormatting>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ontainsText" priority="47" operator="containsText" id="{412992BA-094F-924F-9FF9-DA15C24E1753}">
            <xm:f>NOT(ISERROR(SEARCH("Value Missing",D30)))</xm:f>
            <xm:f>"Value Missing"</xm:f>
            <x14:dxf>
              <font>
                <color rgb="FF9C0006"/>
              </font>
              <fill>
                <patternFill>
                  <bgColor rgb="FFFFC7CE"/>
                </patternFill>
              </fill>
            </x14:dxf>
          </x14:cfRule>
          <xm:sqref>D30:D37</xm:sqref>
        </x14:conditionalFormatting>
        <x14:conditionalFormatting xmlns:xm="http://schemas.microsoft.com/office/excel/2006/main">
          <x14:cfRule type="containsText" priority="43" operator="containsText" id="{3994E021-DAFB-024C-9E01-97D68793454A}">
            <xm:f>NOT(ISERROR(SEARCH("Value Missing",D41)))</xm:f>
            <xm:f>"Value Missing"</xm:f>
            <x14:dxf>
              <font>
                <color rgb="FF9C0006"/>
              </font>
              <fill>
                <patternFill>
                  <bgColor rgb="FFFFC7CE"/>
                </patternFill>
              </fill>
            </x14:dxf>
          </x14:cfRule>
          <xm:sqref>D41:D46</xm:sqref>
        </x14:conditionalFormatting>
        <x14:conditionalFormatting xmlns:xm="http://schemas.microsoft.com/office/excel/2006/main">
          <x14:cfRule type="containsText" priority="13" operator="containsText" id="{1BAD532B-A5F3-FD42-BC5F-DD4C8E962DEB}">
            <xm:f>NOT(ISERROR(SEARCH("Value Missing",D22)))</xm:f>
            <xm:f>"Value Missing"</xm:f>
            <x14:dxf>
              <font>
                <color rgb="FF9C0006"/>
              </font>
              <fill>
                <patternFill>
                  <bgColor rgb="FFFFC7CE"/>
                </patternFill>
              </fill>
            </x14:dxf>
          </x14:cfRule>
          <xm:sqref>D57:D67 D22:D26 D50:D53 D71:D85</xm:sqref>
        </x14:conditionalFormatting>
        <x14:conditionalFormatting xmlns:xm="http://schemas.microsoft.com/office/excel/2006/main">
          <x14:cfRule type="containsText" priority="28" operator="containsText" id="{DD457B29-2A78-9442-876A-1B6CB91B3D22}">
            <xm:f>NOT(ISERROR(SEARCH("Value Missing",D89)))</xm:f>
            <xm:f>"Value Missing"</xm:f>
            <x14:dxf>
              <font>
                <color rgb="FF9C0006"/>
              </font>
              <fill>
                <patternFill>
                  <bgColor rgb="FFFFC7CE"/>
                </patternFill>
              </fill>
            </x14:dxf>
          </x14:cfRule>
          <xm:sqref>D89:D97</xm:sqref>
        </x14:conditionalFormatting>
        <x14:conditionalFormatting xmlns:xm="http://schemas.microsoft.com/office/excel/2006/main">
          <x14:cfRule type="containsText" priority="9" operator="containsText" id="{50EF378B-283A-014A-8EB3-B58896B48030}">
            <xm:f>NOT(ISERROR(SEARCH("Value Missing",D101)))</xm:f>
            <xm:f>"Value Missing"</xm:f>
            <x14:dxf>
              <font>
                <color rgb="FF9C0006"/>
              </font>
              <fill>
                <patternFill>
                  <bgColor rgb="FFFFC7CE"/>
                </patternFill>
              </fill>
            </x14:dxf>
          </x14:cfRule>
          <xm:sqref>D101:D118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09A17-4D38-9546-888C-004E4A58E20B}">
  <sheetPr codeName="Sheet11">
    <tabColor theme="3"/>
  </sheetPr>
  <dimension ref="A1:W1069"/>
  <sheetViews>
    <sheetView showGridLines="0" topLeftCell="B1" zoomScaleNormal="100" workbookViewId="0">
      <pane ySplit="4" topLeftCell="A345" activePane="bottomLeft" state="frozen"/>
      <selection pane="bottomLeft" activeCell="C967" sqref="C967"/>
    </sheetView>
  </sheetViews>
  <sheetFormatPr baseColWidth="10" defaultColWidth="10.83203125" defaultRowHeight="16"/>
  <cols>
    <col min="1" max="1" width="2.83203125" style="3" customWidth="1"/>
    <col min="2" max="2" width="51" style="3" customWidth="1"/>
    <col min="3" max="3" width="34.33203125" style="3" bestFit="1" customWidth="1"/>
    <col min="4" max="4" width="24.1640625" style="7" bestFit="1" customWidth="1"/>
    <col min="5" max="5" width="35.1640625" style="5" customWidth="1"/>
    <col min="6" max="6" width="29.33203125" style="5" bestFit="1" customWidth="1"/>
    <col min="7" max="7" width="28.83203125" style="5" customWidth="1"/>
    <col min="8" max="8" width="23.5" style="3" bestFit="1" customWidth="1"/>
    <col min="9" max="9" width="26.1640625" style="3" bestFit="1" customWidth="1"/>
    <col min="10" max="10" width="22.6640625" style="3" bestFit="1" customWidth="1"/>
    <col min="11" max="11" width="22.6640625" style="3" customWidth="1"/>
    <col min="12" max="12" width="23" style="3" bestFit="1" customWidth="1"/>
    <col min="13" max="13" width="26.1640625" style="3" bestFit="1" customWidth="1"/>
    <col min="14" max="23" width="22.83203125" style="3" customWidth="1"/>
    <col min="24" max="16384" width="10.83203125" style="3"/>
  </cols>
  <sheetData>
    <row r="1" spans="1:23" ht="16" customHeight="1">
      <c r="A1" s="3" t="s">
        <v>335</v>
      </c>
      <c r="D1" s="3"/>
      <c r="E1" s="3"/>
      <c r="F1" s="3"/>
      <c r="G1" s="3"/>
    </row>
    <row r="2" spans="1:23" ht="54" customHeight="1">
      <c r="B2" s="392" t="s">
        <v>336</v>
      </c>
      <c r="C2" s="392"/>
      <c r="D2" s="392"/>
      <c r="E2" s="392"/>
      <c r="F2" s="392"/>
      <c r="G2" s="392"/>
      <c r="H2" s="392"/>
      <c r="I2" s="392"/>
      <c r="J2" s="392"/>
      <c r="K2" s="392"/>
      <c r="L2" s="392"/>
      <c r="M2" s="392"/>
      <c r="N2" s="392"/>
      <c r="O2" s="392"/>
      <c r="P2" s="392"/>
      <c r="Q2" s="392"/>
      <c r="R2" s="392"/>
      <c r="S2" s="392"/>
      <c r="T2" s="392"/>
      <c r="U2" s="392"/>
      <c r="V2" s="392"/>
      <c r="W2" s="392"/>
    </row>
    <row r="3" spans="1:23" ht="20" customHeight="1">
      <c r="B3" s="393" t="s">
        <v>337</v>
      </c>
      <c r="C3" s="393"/>
      <c r="D3" s="393"/>
      <c r="E3" s="393"/>
      <c r="F3" s="393"/>
      <c r="G3" s="393"/>
      <c r="H3" s="393"/>
      <c r="I3" s="393"/>
      <c r="J3" s="393"/>
      <c r="K3" s="393"/>
      <c r="L3" s="393"/>
      <c r="M3" s="393"/>
      <c r="N3" s="393"/>
      <c r="O3" s="393"/>
      <c r="P3" s="393"/>
      <c r="Q3" s="393"/>
      <c r="R3" s="393"/>
      <c r="S3" s="393"/>
      <c r="T3" s="393"/>
      <c r="U3" s="393"/>
      <c r="V3" s="393"/>
      <c r="W3" s="393"/>
    </row>
    <row r="6" spans="1:23" s="4" customFormat="1" ht="34" customHeight="1">
      <c r="B6" s="344" t="s">
        <v>338</v>
      </c>
      <c r="C6" s="344"/>
      <c r="D6" s="7"/>
      <c r="E6" s="51" t="s">
        <v>4843</v>
      </c>
      <c r="F6" s="3"/>
      <c r="G6" s="5"/>
      <c r="H6" s="3"/>
      <c r="I6" s="3"/>
      <c r="J6" s="3"/>
      <c r="K6" s="3"/>
      <c r="L6" s="3"/>
      <c r="M6" s="3"/>
      <c r="N6" s="3"/>
      <c r="O6" s="3"/>
    </row>
    <row r="7" spans="1:23" ht="20" customHeight="1">
      <c r="B7" s="8" t="s">
        <v>339</v>
      </c>
      <c r="C7" s="8" t="s">
        <v>340</v>
      </c>
      <c r="E7" s="292" t="s">
        <v>4690</v>
      </c>
    </row>
    <row r="8" spans="1:23" ht="20" customHeight="1">
      <c r="B8" s="15" t="s">
        <v>341</v>
      </c>
      <c r="C8" s="15" t="s">
        <v>342</v>
      </c>
      <c r="E8" s="292" t="s">
        <v>4691</v>
      </c>
    </row>
    <row r="9" spans="1:23" ht="17">
      <c r="B9" s="15" t="s">
        <v>341</v>
      </c>
      <c r="C9" s="15" t="s">
        <v>343</v>
      </c>
      <c r="E9" s="292" t="s">
        <v>4692</v>
      </c>
    </row>
    <row r="10" spans="1:23" ht="17">
      <c r="B10" s="15" t="s">
        <v>341</v>
      </c>
      <c r="C10" s="15" t="s">
        <v>344</v>
      </c>
      <c r="E10" s="292" t="s">
        <v>4693</v>
      </c>
    </row>
    <row r="11" spans="1:23" ht="17">
      <c r="B11" s="15" t="s">
        <v>341</v>
      </c>
      <c r="C11" s="15" t="s">
        <v>345</v>
      </c>
      <c r="E11" s="292" t="s">
        <v>4694</v>
      </c>
    </row>
    <row r="12" spans="1:23" ht="17">
      <c r="B12" s="15" t="s">
        <v>341</v>
      </c>
      <c r="C12" s="15" t="s">
        <v>346</v>
      </c>
      <c r="E12" s="292" t="s">
        <v>4695</v>
      </c>
    </row>
    <row r="13" spans="1:23" ht="17">
      <c r="B13" s="15" t="s">
        <v>347</v>
      </c>
      <c r="C13" s="15" t="s">
        <v>348</v>
      </c>
      <c r="E13" s="292" t="s">
        <v>4696</v>
      </c>
    </row>
    <row r="14" spans="1:23" ht="17">
      <c r="B14" s="15" t="s">
        <v>347</v>
      </c>
      <c r="C14" s="15" t="s">
        <v>345</v>
      </c>
      <c r="E14" s="292" t="s">
        <v>4697</v>
      </c>
    </row>
    <row r="15" spans="1:23" ht="17">
      <c r="B15" s="15" t="s">
        <v>347</v>
      </c>
      <c r="C15" s="15" t="s">
        <v>346</v>
      </c>
      <c r="E15" s="292" t="s">
        <v>4698</v>
      </c>
    </row>
    <row r="16" spans="1:23" ht="17">
      <c r="B16" s="15" t="s">
        <v>349</v>
      </c>
      <c r="C16" s="15" t="s">
        <v>350</v>
      </c>
      <c r="E16" s="292" t="s">
        <v>4699</v>
      </c>
    </row>
    <row r="17" spans="2:7" ht="17">
      <c r="B17" s="15" t="s">
        <v>349</v>
      </c>
      <c r="C17" s="15" t="s">
        <v>343</v>
      </c>
      <c r="E17" s="292" t="s">
        <v>4700</v>
      </c>
    </row>
    <row r="18" spans="2:7" ht="17">
      <c r="B18" s="15" t="s">
        <v>349</v>
      </c>
      <c r="C18" s="15" t="s">
        <v>344</v>
      </c>
      <c r="E18" s="292" t="s">
        <v>4701</v>
      </c>
    </row>
    <row r="19" spans="2:7" ht="17">
      <c r="B19" s="15" t="s">
        <v>349</v>
      </c>
      <c r="C19" s="15" t="s">
        <v>345</v>
      </c>
      <c r="E19" s="292" t="s">
        <v>4702</v>
      </c>
    </row>
    <row r="20" spans="2:7" ht="17">
      <c r="B20" s="15" t="s">
        <v>349</v>
      </c>
      <c r="C20" s="15" t="s">
        <v>346</v>
      </c>
      <c r="E20" s="292" t="s">
        <v>4703</v>
      </c>
    </row>
    <row r="21" spans="2:7" ht="17">
      <c r="B21" s="15" t="s">
        <v>351</v>
      </c>
      <c r="C21" s="15" t="s">
        <v>343</v>
      </c>
      <c r="E21" s="292" t="s">
        <v>4704</v>
      </c>
    </row>
    <row r="22" spans="2:7" ht="17">
      <c r="B22" s="15" t="s">
        <v>351</v>
      </c>
      <c r="C22" s="15" t="s">
        <v>344</v>
      </c>
      <c r="E22" s="292" t="s">
        <v>4705</v>
      </c>
    </row>
    <row r="23" spans="2:7" ht="17">
      <c r="B23" s="15" t="s">
        <v>351</v>
      </c>
      <c r="C23" s="15" t="s">
        <v>345</v>
      </c>
      <c r="E23" s="292" t="s">
        <v>4706</v>
      </c>
    </row>
    <row r="24" spans="2:7" ht="17">
      <c r="B24" s="15" t="s">
        <v>351</v>
      </c>
      <c r="C24" s="15" t="s">
        <v>346</v>
      </c>
      <c r="E24" s="292" t="s">
        <v>4707</v>
      </c>
    </row>
    <row r="25" spans="2:7" ht="20" customHeight="1">
      <c r="B25" s="15" t="s">
        <v>351</v>
      </c>
      <c r="C25" s="15" t="s">
        <v>4220</v>
      </c>
      <c r="E25" s="292" t="s">
        <v>4708</v>
      </c>
    </row>
    <row r="26" spans="2:7">
      <c r="B26" s="58"/>
      <c r="C26" s="58"/>
      <c r="D26" s="5"/>
      <c r="E26" s="292" t="s">
        <v>4709</v>
      </c>
      <c r="F26" s="3"/>
      <c r="G26" s="3"/>
    </row>
    <row r="27" spans="2:7" ht="18">
      <c r="B27" s="427" t="s">
        <v>352</v>
      </c>
      <c r="C27" s="426"/>
      <c r="D27" s="5"/>
      <c r="E27" s="292" t="s">
        <v>4710</v>
      </c>
      <c r="F27" s="3"/>
      <c r="G27" s="3"/>
    </row>
    <row r="28" spans="2:7" ht="17">
      <c r="B28" s="2" t="s">
        <v>353</v>
      </c>
      <c r="C28" s="8" t="s">
        <v>340</v>
      </c>
      <c r="D28" s="5"/>
      <c r="E28" s="292" t="s">
        <v>4711</v>
      </c>
      <c r="F28" s="3"/>
      <c r="G28" s="3"/>
    </row>
    <row r="29" spans="2:7" ht="17">
      <c r="B29" s="16" t="s">
        <v>233</v>
      </c>
      <c r="C29" s="18">
        <v>4</v>
      </c>
      <c r="D29" s="5"/>
      <c r="E29" s="292" t="s">
        <v>4712</v>
      </c>
      <c r="F29" s="3"/>
      <c r="G29" s="3"/>
    </row>
    <row r="30" spans="2:7" ht="17">
      <c r="B30" s="16" t="s">
        <v>354</v>
      </c>
      <c r="C30" s="18">
        <v>16</v>
      </c>
      <c r="D30" s="5"/>
      <c r="E30" s="292" t="s">
        <v>4713</v>
      </c>
      <c r="F30" s="3"/>
      <c r="G30" s="3"/>
    </row>
    <row r="31" spans="2:7" ht="17">
      <c r="B31" s="16" t="s">
        <v>355</v>
      </c>
      <c r="C31" s="18">
        <v>909</v>
      </c>
      <c r="D31" s="5"/>
      <c r="E31" s="292" t="s">
        <v>4714</v>
      </c>
      <c r="F31" s="3"/>
      <c r="G31" s="3"/>
    </row>
    <row r="32" spans="2:7" ht="17">
      <c r="B32" s="2" t="s">
        <v>356</v>
      </c>
      <c r="C32" s="8" t="s">
        <v>340</v>
      </c>
      <c r="D32" s="5"/>
      <c r="E32" s="292" t="s">
        <v>4715</v>
      </c>
      <c r="F32" s="3"/>
      <c r="G32" s="3"/>
    </row>
    <row r="33" spans="2:7" ht="17">
      <c r="B33" s="16" t="s">
        <v>344</v>
      </c>
      <c r="C33" s="18">
        <v>8</v>
      </c>
      <c r="D33" s="5"/>
      <c r="E33" s="292" t="s">
        <v>4716</v>
      </c>
      <c r="F33" s="3"/>
      <c r="G33" s="3"/>
    </row>
    <row r="34" spans="2:7" ht="17">
      <c r="B34" s="16" t="s">
        <v>345</v>
      </c>
      <c r="C34" s="18">
        <v>16</v>
      </c>
      <c r="D34" s="5"/>
      <c r="E34" s="292" t="s">
        <v>4717</v>
      </c>
      <c r="F34" s="3"/>
      <c r="G34" s="3"/>
    </row>
    <row r="35" spans="2:7" ht="17">
      <c r="B35" s="2" t="s">
        <v>357</v>
      </c>
      <c r="C35" s="8" t="s">
        <v>340</v>
      </c>
      <c r="D35" s="5"/>
      <c r="E35" s="292" t="s">
        <v>4718</v>
      </c>
      <c r="F35" s="3"/>
      <c r="G35" s="3"/>
    </row>
    <row r="36" spans="2:7" ht="17">
      <c r="B36" s="16" t="s">
        <v>344</v>
      </c>
      <c r="C36" s="18">
        <v>24</v>
      </c>
      <c r="D36" s="5"/>
      <c r="E36" s="292" t="s">
        <v>4719</v>
      </c>
      <c r="F36" s="3"/>
      <c r="G36" s="3"/>
    </row>
    <row r="37" spans="2:7" ht="17">
      <c r="B37" s="16" t="s">
        <v>345</v>
      </c>
      <c r="C37" s="18">
        <v>56</v>
      </c>
      <c r="D37" s="5"/>
      <c r="E37" s="292" t="s">
        <v>4720</v>
      </c>
      <c r="F37" s="3"/>
      <c r="G37" s="3"/>
    </row>
    <row r="38" spans="2:7" ht="17">
      <c r="B38" s="2" t="s">
        <v>358</v>
      </c>
      <c r="C38" s="8" t="s">
        <v>340</v>
      </c>
      <c r="D38" s="5"/>
      <c r="E38" s="292" t="s">
        <v>4721</v>
      </c>
      <c r="F38" s="3"/>
      <c r="G38" s="3"/>
    </row>
    <row r="39" spans="2:7" ht="17">
      <c r="B39" s="16" t="s">
        <v>344</v>
      </c>
      <c r="C39" s="18">
        <v>250</v>
      </c>
      <c r="E39" s="292" t="s">
        <v>4722</v>
      </c>
    </row>
    <row r="40" spans="2:7" ht="17">
      <c r="B40" s="16" t="s">
        <v>345</v>
      </c>
      <c r="C40" s="18">
        <v>250</v>
      </c>
      <c r="E40" s="292" t="s">
        <v>4723</v>
      </c>
    </row>
    <row r="41" spans="2:7" ht="17">
      <c r="B41" s="8" t="s">
        <v>359</v>
      </c>
      <c r="C41" s="8" t="s">
        <v>340</v>
      </c>
      <c r="E41" s="292" t="s">
        <v>4724</v>
      </c>
    </row>
    <row r="42" spans="2:7" ht="17">
      <c r="B42" s="16" t="s">
        <v>342</v>
      </c>
      <c r="C42" s="16">
        <v>2</v>
      </c>
      <c r="E42" s="292" t="s">
        <v>4725</v>
      </c>
    </row>
    <row r="43" spans="2:7" ht="17">
      <c r="B43" s="16" t="s">
        <v>343</v>
      </c>
      <c r="C43" s="16">
        <v>4</v>
      </c>
      <c r="E43" s="292" t="s">
        <v>4726</v>
      </c>
    </row>
    <row r="44" spans="2:7" ht="17">
      <c r="B44" s="16" t="s">
        <v>344</v>
      </c>
      <c r="C44" s="16">
        <v>8</v>
      </c>
      <c r="E44" s="292" t="s">
        <v>4727</v>
      </c>
    </row>
    <row r="45" spans="2:7" ht="17">
      <c r="B45" s="16" t="s">
        <v>345</v>
      </c>
      <c r="C45" s="16">
        <v>16</v>
      </c>
      <c r="E45" s="292" t="s">
        <v>4728</v>
      </c>
    </row>
    <row r="46" spans="2:7" ht="17">
      <c r="B46" s="16" t="s">
        <v>346</v>
      </c>
      <c r="C46" s="16">
        <v>24</v>
      </c>
      <c r="E46" s="292" t="s">
        <v>4729</v>
      </c>
    </row>
    <row r="47" spans="2:7" ht="17">
      <c r="B47" s="8" t="s">
        <v>360</v>
      </c>
      <c r="C47" s="8" t="s">
        <v>340</v>
      </c>
      <c r="E47" s="292" t="s">
        <v>4730</v>
      </c>
    </row>
    <row r="48" spans="2:7" ht="17">
      <c r="B48" s="16" t="s">
        <v>342</v>
      </c>
      <c r="C48" s="16">
        <v>14</v>
      </c>
      <c r="E48" s="292" t="s">
        <v>4731</v>
      </c>
    </row>
    <row r="49" spans="2:5" ht="17">
      <c r="B49" s="16" t="s">
        <v>343</v>
      </c>
      <c r="C49" s="16">
        <v>21</v>
      </c>
      <c r="E49" s="292" t="s">
        <v>4732</v>
      </c>
    </row>
    <row r="50" spans="2:5" ht="17">
      <c r="B50" s="16" t="s">
        <v>344</v>
      </c>
      <c r="C50" s="16">
        <v>30</v>
      </c>
      <c r="E50" s="292" t="s">
        <v>4733</v>
      </c>
    </row>
    <row r="51" spans="2:5" ht="17">
      <c r="B51" s="16" t="s">
        <v>345</v>
      </c>
      <c r="C51" s="16">
        <v>39</v>
      </c>
      <c r="E51" s="292" t="s">
        <v>4734</v>
      </c>
    </row>
    <row r="52" spans="2:5" ht="17">
      <c r="B52" s="16" t="s">
        <v>346</v>
      </c>
      <c r="C52" s="16">
        <v>58</v>
      </c>
      <c r="E52" s="292" t="s">
        <v>4654</v>
      </c>
    </row>
    <row r="53" spans="2:5" ht="17">
      <c r="B53" s="8" t="s">
        <v>361</v>
      </c>
      <c r="C53" s="8" t="s">
        <v>340</v>
      </c>
      <c r="E53" s="292" t="s">
        <v>4735</v>
      </c>
    </row>
    <row r="54" spans="2:5" ht="17">
      <c r="B54" s="16" t="s">
        <v>362</v>
      </c>
      <c r="C54" s="16">
        <v>579</v>
      </c>
      <c r="E54" s="292" t="s">
        <v>4736</v>
      </c>
    </row>
    <row r="55" spans="2:5" ht="17">
      <c r="B55" s="16" t="s">
        <v>363</v>
      </c>
      <c r="C55" s="16">
        <v>2019</v>
      </c>
      <c r="E55" s="292" t="s">
        <v>4737</v>
      </c>
    </row>
    <row r="56" spans="2:5" ht="17">
      <c r="B56" s="16" t="s">
        <v>364</v>
      </c>
      <c r="C56" s="16">
        <v>4279</v>
      </c>
      <c r="E56" s="292" t="s">
        <v>4738</v>
      </c>
    </row>
    <row r="57" spans="2:5" ht="17">
      <c r="B57" s="16" t="s">
        <v>365</v>
      </c>
      <c r="C57" s="16">
        <v>694</v>
      </c>
      <c r="E57" s="292" t="s">
        <v>4739</v>
      </c>
    </row>
    <row r="58" spans="2:5" ht="17">
      <c r="B58" s="16" t="s">
        <v>366</v>
      </c>
      <c r="C58" s="16">
        <v>2044</v>
      </c>
      <c r="E58" s="292" t="s">
        <v>4740</v>
      </c>
    </row>
    <row r="59" spans="2:5" ht="17">
      <c r="B59" s="16" t="s">
        <v>367</v>
      </c>
      <c r="C59" s="16">
        <v>4304</v>
      </c>
      <c r="E59" s="292" t="s">
        <v>4741</v>
      </c>
    </row>
    <row r="60" spans="2:5" ht="17">
      <c r="B60" s="16" t="s">
        <v>368</v>
      </c>
      <c r="C60" s="16">
        <v>908</v>
      </c>
      <c r="E60" s="292" t="s">
        <v>4742</v>
      </c>
    </row>
    <row r="61" spans="2:5" ht="17">
      <c r="B61" s="16" t="s">
        <v>369</v>
      </c>
      <c r="C61" s="16">
        <v>2208</v>
      </c>
      <c r="E61" s="292" t="s">
        <v>4743</v>
      </c>
    </row>
    <row r="62" spans="2:5" ht="17">
      <c r="B62" s="16" t="s">
        <v>370</v>
      </c>
      <c r="C62" s="16">
        <v>4468</v>
      </c>
      <c r="E62" s="292" t="s">
        <v>4744</v>
      </c>
    </row>
    <row r="63" spans="2:5" ht="17">
      <c r="B63" s="16" t="s">
        <v>371</v>
      </c>
      <c r="C63" s="16">
        <v>1358</v>
      </c>
      <c r="E63" s="292" t="s">
        <v>4745</v>
      </c>
    </row>
    <row r="64" spans="2:5" ht="17">
      <c r="B64" s="16" t="s">
        <v>372</v>
      </c>
      <c r="C64" s="16">
        <v>2258</v>
      </c>
      <c r="E64" s="292" t="s">
        <v>4746</v>
      </c>
    </row>
    <row r="65" spans="2:5" ht="17">
      <c r="B65" s="16" t="s">
        <v>373</v>
      </c>
      <c r="C65" s="16">
        <v>4518</v>
      </c>
      <c r="E65" s="292" t="s">
        <v>4747</v>
      </c>
    </row>
    <row r="66" spans="2:5" ht="17">
      <c r="B66" s="16" t="s">
        <v>374</v>
      </c>
      <c r="C66" s="16">
        <v>2283</v>
      </c>
      <c r="E66" s="292" t="s">
        <v>4748</v>
      </c>
    </row>
    <row r="67" spans="2:5" ht="17">
      <c r="B67" s="16" t="s">
        <v>375</v>
      </c>
      <c r="C67" s="16">
        <v>2383</v>
      </c>
      <c r="E67" s="292" t="s">
        <v>4749</v>
      </c>
    </row>
    <row r="68" spans="2:5" ht="17">
      <c r="B68" s="16" t="s">
        <v>376</v>
      </c>
      <c r="C68" s="16">
        <v>4643</v>
      </c>
      <c r="E68" s="292" t="s">
        <v>4750</v>
      </c>
    </row>
    <row r="69" spans="2:5" ht="17">
      <c r="B69" s="8" t="s">
        <v>377</v>
      </c>
      <c r="C69" s="8" t="s">
        <v>340</v>
      </c>
      <c r="E69" s="292" t="s">
        <v>4751</v>
      </c>
    </row>
    <row r="70" spans="2:5" ht="17">
      <c r="B70" s="16" t="s">
        <v>350</v>
      </c>
      <c r="C70" s="16">
        <v>2</v>
      </c>
      <c r="E70" s="292" t="s">
        <v>4752</v>
      </c>
    </row>
    <row r="71" spans="2:5" ht="17">
      <c r="B71" s="16" t="s">
        <v>343</v>
      </c>
      <c r="C71" s="16">
        <v>4</v>
      </c>
      <c r="E71" s="292" t="s">
        <v>4753</v>
      </c>
    </row>
    <row r="72" spans="2:5" ht="17">
      <c r="B72" s="16" t="s">
        <v>344</v>
      </c>
      <c r="C72" s="16">
        <v>6</v>
      </c>
      <c r="E72" s="292" t="s">
        <v>4754</v>
      </c>
    </row>
    <row r="73" spans="2:5" ht="17">
      <c r="B73" s="16" t="s">
        <v>345</v>
      </c>
      <c r="C73" s="16">
        <v>12</v>
      </c>
      <c r="E73" s="292" t="s">
        <v>4755</v>
      </c>
    </row>
    <row r="74" spans="2:5" ht="17">
      <c r="B74" s="16" t="s">
        <v>346</v>
      </c>
      <c r="C74" s="16">
        <v>24</v>
      </c>
      <c r="E74" s="292" t="s">
        <v>4756</v>
      </c>
    </row>
    <row r="75" spans="2:5" ht="17">
      <c r="B75" s="8" t="s">
        <v>378</v>
      </c>
      <c r="C75" s="8" t="s">
        <v>340</v>
      </c>
      <c r="E75" s="292" t="s">
        <v>4757</v>
      </c>
    </row>
    <row r="76" spans="2:5" ht="17">
      <c r="B76" s="16" t="s">
        <v>350</v>
      </c>
      <c r="C76" s="16">
        <v>8</v>
      </c>
      <c r="E76" s="292" t="s">
        <v>4758</v>
      </c>
    </row>
    <row r="77" spans="2:5" ht="17">
      <c r="B77" s="16" t="s">
        <v>343</v>
      </c>
      <c r="C77" s="16">
        <v>16</v>
      </c>
      <c r="E77" s="292" t="s">
        <v>4759</v>
      </c>
    </row>
    <row r="78" spans="2:5" ht="17">
      <c r="B78" s="16" t="s">
        <v>344</v>
      </c>
      <c r="C78" s="16">
        <v>24</v>
      </c>
      <c r="E78" s="292" t="s">
        <v>4760</v>
      </c>
    </row>
    <row r="79" spans="2:5" ht="17">
      <c r="B79" s="16" t="s">
        <v>345</v>
      </c>
      <c r="C79" s="16">
        <v>48</v>
      </c>
      <c r="E79" s="292" t="s">
        <v>4761</v>
      </c>
    </row>
    <row r="80" spans="2:5" ht="17">
      <c r="B80" s="16" t="s">
        <v>346</v>
      </c>
      <c r="C80" s="16">
        <v>96</v>
      </c>
      <c r="E80" s="292" t="s">
        <v>4762</v>
      </c>
    </row>
    <row r="81" spans="2:5" ht="17">
      <c r="B81" s="8" t="s">
        <v>379</v>
      </c>
      <c r="C81" s="8" t="s">
        <v>340</v>
      </c>
      <c r="E81" s="292" t="s">
        <v>4763</v>
      </c>
    </row>
    <row r="82" spans="2:5" ht="17">
      <c r="B82" s="16" t="s">
        <v>350</v>
      </c>
      <c r="C82" s="16">
        <v>300</v>
      </c>
      <c r="E82" s="292" t="s">
        <v>4764</v>
      </c>
    </row>
    <row r="83" spans="2:5" ht="17">
      <c r="B83" s="16" t="s">
        <v>343</v>
      </c>
      <c r="C83" s="16">
        <v>300</v>
      </c>
      <c r="E83" s="292" t="s">
        <v>4765</v>
      </c>
    </row>
    <row r="84" spans="2:5" ht="17">
      <c r="B84" s="16" t="s">
        <v>344</v>
      </c>
      <c r="C84" s="16">
        <v>300</v>
      </c>
      <c r="E84" s="292" t="s">
        <v>4766</v>
      </c>
    </row>
    <row r="85" spans="2:5" ht="17">
      <c r="B85" s="16" t="s">
        <v>345</v>
      </c>
      <c r="C85" s="16">
        <v>300</v>
      </c>
      <c r="E85" s="292" t="s">
        <v>4767</v>
      </c>
    </row>
    <row r="86" spans="2:5" ht="17">
      <c r="B86" s="16" t="s">
        <v>346</v>
      </c>
      <c r="C86" s="16">
        <v>400</v>
      </c>
      <c r="E86" s="292" t="s">
        <v>4768</v>
      </c>
    </row>
    <row r="87" spans="2:5" ht="17">
      <c r="B87" s="8" t="s">
        <v>380</v>
      </c>
      <c r="C87" s="8" t="s">
        <v>340</v>
      </c>
      <c r="E87" s="292" t="s">
        <v>4769</v>
      </c>
    </row>
    <row r="88" spans="2:5" ht="17">
      <c r="B88" s="16" t="s">
        <v>343</v>
      </c>
      <c r="C88" s="16">
        <v>2</v>
      </c>
      <c r="E88" s="292" t="s">
        <v>4770</v>
      </c>
    </row>
    <row r="89" spans="2:5" ht="17">
      <c r="B89" s="16" t="s">
        <v>344</v>
      </c>
      <c r="C89" s="16">
        <v>4</v>
      </c>
      <c r="E89" s="292" t="s">
        <v>4771</v>
      </c>
    </row>
    <row r="90" spans="2:5" ht="17">
      <c r="B90" s="16" t="s">
        <v>345</v>
      </c>
      <c r="C90" s="16">
        <v>8</v>
      </c>
      <c r="E90" s="292" t="s">
        <v>4772</v>
      </c>
    </row>
    <row r="91" spans="2:5" ht="17">
      <c r="B91" s="16" t="s">
        <v>346</v>
      </c>
      <c r="C91" s="16">
        <v>16</v>
      </c>
      <c r="E91" s="292" t="s">
        <v>4773</v>
      </c>
    </row>
    <row r="92" spans="2:5" ht="17">
      <c r="B92" s="8" t="s">
        <v>381</v>
      </c>
      <c r="C92" s="8" t="s">
        <v>340</v>
      </c>
      <c r="E92" s="292" t="s">
        <v>4774</v>
      </c>
    </row>
    <row r="93" spans="2:5" ht="17">
      <c r="B93" s="16" t="s">
        <v>343</v>
      </c>
      <c r="C93" s="16">
        <v>4</v>
      </c>
      <c r="E93" s="292" t="s">
        <v>4775</v>
      </c>
    </row>
    <row r="94" spans="2:5" ht="17">
      <c r="B94" s="16" t="s">
        <v>344</v>
      </c>
      <c r="C94" s="16">
        <v>8</v>
      </c>
      <c r="E94" s="292" t="s">
        <v>4776</v>
      </c>
    </row>
    <row r="95" spans="2:5" ht="17">
      <c r="B95" s="16" t="s">
        <v>345</v>
      </c>
      <c r="C95" s="16">
        <v>32</v>
      </c>
      <c r="E95" s="292" t="s">
        <v>4777</v>
      </c>
    </row>
    <row r="96" spans="2:5" ht="17">
      <c r="B96" s="16" t="s">
        <v>346</v>
      </c>
      <c r="C96" s="16">
        <v>64</v>
      </c>
      <c r="E96" s="292" t="s">
        <v>4778</v>
      </c>
    </row>
    <row r="97" spans="2:5" ht="17">
      <c r="B97" s="8" t="s">
        <v>382</v>
      </c>
      <c r="C97" s="8" t="s">
        <v>340</v>
      </c>
      <c r="E97" s="292" t="s">
        <v>4779</v>
      </c>
    </row>
    <row r="98" spans="2:5" ht="17">
      <c r="B98" s="16" t="s">
        <v>343</v>
      </c>
      <c r="C98" s="16">
        <v>200</v>
      </c>
      <c r="E98" s="292" t="s">
        <v>4780</v>
      </c>
    </row>
    <row r="99" spans="2:5" ht="17">
      <c r="B99" s="16" t="s">
        <v>344</v>
      </c>
      <c r="C99" s="16">
        <v>200</v>
      </c>
      <c r="E99" s="292" t="s">
        <v>4781</v>
      </c>
    </row>
    <row r="100" spans="2:5" ht="17">
      <c r="B100" s="16" t="s">
        <v>345</v>
      </c>
      <c r="C100" s="16">
        <v>200</v>
      </c>
      <c r="E100" s="292" t="s">
        <v>4782</v>
      </c>
    </row>
    <row r="101" spans="2:5" ht="17">
      <c r="B101" s="16" t="s">
        <v>346</v>
      </c>
      <c r="C101" s="16">
        <v>200</v>
      </c>
      <c r="E101" s="292" t="s">
        <v>4783</v>
      </c>
    </row>
    <row r="102" spans="2:5" ht="17">
      <c r="B102" s="8" t="s">
        <v>3330</v>
      </c>
      <c r="C102" s="8" t="s">
        <v>340</v>
      </c>
      <c r="E102" s="292" t="s">
        <v>4784</v>
      </c>
    </row>
    <row r="103" spans="2:5" ht="17">
      <c r="B103" s="16" t="s">
        <v>233</v>
      </c>
      <c r="C103" s="18">
        <v>2</v>
      </c>
      <c r="E103" s="292" t="s">
        <v>4785</v>
      </c>
    </row>
    <row r="104" spans="2:5" ht="17">
      <c r="B104" s="16" t="s">
        <v>354</v>
      </c>
      <c r="C104" s="18">
        <v>6</v>
      </c>
      <c r="E104" s="292" t="s">
        <v>4786</v>
      </c>
    </row>
    <row r="105" spans="2:5" ht="17">
      <c r="B105" s="16" t="s">
        <v>355</v>
      </c>
      <c r="C105" s="18">
        <v>178</v>
      </c>
      <c r="E105" s="292" t="s">
        <v>4787</v>
      </c>
    </row>
    <row r="106" spans="2:5" ht="17">
      <c r="B106" s="2" t="s">
        <v>383</v>
      </c>
      <c r="C106" s="8" t="s">
        <v>340</v>
      </c>
      <c r="E106" s="292" t="s">
        <v>4788</v>
      </c>
    </row>
    <row r="107" spans="2:5" ht="17">
      <c r="B107" s="16" t="s">
        <v>233</v>
      </c>
      <c r="C107" s="18">
        <v>1</v>
      </c>
      <c r="E107" s="292" t="s">
        <v>4789</v>
      </c>
    </row>
    <row r="108" spans="2:5" ht="17">
      <c r="B108" s="16" t="s">
        <v>354</v>
      </c>
      <c r="C108" s="18">
        <v>0.125</v>
      </c>
      <c r="E108" s="292" t="s">
        <v>4790</v>
      </c>
    </row>
    <row r="109" spans="2:5" ht="17">
      <c r="B109" s="16" t="s">
        <v>355</v>
      </c>
      <c r="C109" s="18">
        <v>2</v>
      </c>
      <c r="E109" s="292" t="s">
        <v>4791</v>
      </c>
    </row>
    <row r="110" spans="2:5" ht="17">
      <c r="B110" s="2" t="s">
        <v>384</v>
      </c>
      <c r="C110" s="8" t="s">
        <v>340</v>
      </c>
      <c r="E110" s="292" t="s">
        <v>4792</v>
      </c>
    </row>
    <row r="111" spans="2:5">
      <c r="B111" s="18" t="s">
        <v>385</v>
      </c>
      <c r="C111" s="18">
        <v>4</v>
      </c>
      <c r="E111" s="292" t="s">
        <v>4793</v>
      </c>
    </row>
    <row r="112" spans="2:5">
      <c r="B112" s="18" t="s">
        <v>343</v>
      </c>
      <c r="C112" s="18">
        <v>6</v>
      </c>
      <c r="E112" s="292" t="s">
        <v>4794</v>
      </c>
    </row>
    <row r="113" spans="2:5">
      <c r="B113" s="18" t="s">
        <v>344</v>
      </c>
      <c r="C113" s="18">
        <v>8</v>
      </c>
      <c r="E113" s="292" t="s">
        <v>4795</v>
      </c>
    </row>
    <row r="114" spans="2:5">
      <c r="B114" s="18" t="s">
        <v>345</v>
      </c>
      <c r="C114" s="18">
        <v>10</v>
      </c>
      <c r="E114" s="292" t="s">
        <v>4796</v>
      </c>
    </row>
    <row r="115" spans="2:5">
      <c r="B115" s="18" t="s">
        <v>386</v>
      </c>
      <c r="C115" s="18">
        <v>12</v>
      </c>
      <c r="E115" s="292" t="s">
        <v>4797</v>
      </c>
    </row>
    <row r="116" spans="2:5">
      <c r="B116" s="18" t="s">
        <v>387</v>
      </c>
      <c r="C116" s="18">
        <v>14</v>
      </c>
      <c r="E116" s="292" t="s">
        <v>4798</v>
      </c>
    </row>
    <row r="117" spans="2:5" ht="17">
      <c r="B117" s="2" t="s">
        <v>388</v>
      </c>
      <c r="C117" s="8" t="s">
        <v>340</v>
      </c>
      <c r="E117" s="292" t="s">
        <v>4799</v>
      </c>
    </row>
    <row r="118" spans="2:5">
      <c r="B118" s="18" t="s">
        <v>385</v>
      </c>
      <c r="C118" s="18">
        <v>8</v>
      </c>
      <c r="E118" s="292" t="s">
        <v>4800</v>
      </c>
    </row>
    <row r="119" spans="2:5">
      <c r="B119" s="18" t="s">
        <v>343</v>
      </c>
      <c r="C119" s="18">
        <v>10</v>
      </c>
      <c r="E119" s="292" t="s">
        <v>4801</v>
      </c>
    </row>
    <row r="120" spans="2:5">
      <c r="B120" s="18" t="s">
        <v>344</v>
      </c>
      <c r="C120" s="18">
        <v>16</v>
      </c>
      <c r="E120" s="292" t="s">
        <v>4802</v>
      </c>
    </row>
    <row r="121" spans="2:5">
      <c r="B121" s="18" t="s">
        <v>345</v>
      </c>
      <c r="C121" s="18">
        <v>16</v>
      </c>
      <c r="E121" s="292" t="s">
        <v>4803</v>
      </c>
    </row>
    <row r="122" spans="2:5">
      <c r="B122" s="18" t="s">
        <v>386</v>
      </c>
      <c r="C122" s="18">
        <v>32</v>
      </c>
      <c r="E122" s="292" t="s">
        <v>4804</v>
      </c>
    </row>
    <row r="123" spans="2:5">
      <c r="B123" s="18" t="s">
        <v>387</v>
      </c>
      <c r="C123" s="18">
        <v>48</v>
      </c>
      <c r="E123" s="292" t="s">
        <v>4805</v>
      </c>
    </row>
    <row r="124" spans="2:5" ht="17">
      <c r="B124" s="2" t="s">
        <v>389</v>
      </c>
      <c r="C124" s="8" t="s">
        <v>340</v>
      </c>
      <c r="E124" s="292" t="s">
        <v>4806</v>
      </c>
    </row>
    <row r="125" spans="2:5">
      <c r="B125" s="18" t="s">
        <v>385</v>
      </c>
      <c r="C125" s="18">
        <v>100</v>
      </c>
      <c r="E125" s="292" t="s">
        <v>4807</v>
      </c>
    </row>
    <row r="126" spans="2:5">
      <c r="B126" s="18" t="s">
        <v>343</v>
      </c>
      <c r="C126" s="18">
        <v>100</v>
      </c>
      <c r="E126" s="292" t="s">
        <v>4808</v>
      </c>
    </row>
    <row r="127" spans="2:5">
      <c r="B127" s="18" t="s">
        <v>344</v>
      </c>
      <c r="C127" s="18">
        <v>100</v>
      </c>
      <c r="E127" s="292" t="s">
        <v>4809</v>
      </c>
    </row>
    <row r="128" spans="2:5">
      <c r="B128" s="18" t="s">
        <v>345</v>
      </c>
      <c r="C128" s="18">
        <v>100</v>
      </c>
      <c r="E128" s="292" t="s">
        <v>4810</v>
      </c>
    </row>
    <row r="129" spans="2:5">
      <c r="B129" s="18" t="s">
        <v>386</v>
      </c>
      <c r="C129" s="18">
        <v>100</v>
      </c>
      <c r="E129" s="292" t="s">
        <v>4811</v>
      </c>
    </row>
    <row r="130" spans="2:5">
      <c r="B130" s="18" t="s">
        <v>387</v>
      </c>
      <c r="C130" s="18">
        <v>100</v>
      </c>
      <c r="E130" s="292" t="s">
        <v>4812</v>
      </c>
    </row>
    <row r="131" spans="2:5" ht="17">
      <c r="B131" s="2" t="s">
        <v>390</v>
      </c>
      <c r="C131" s="8" t="s">
        <v>340</v>
      </c>
      <c r="E131" s="292" t="s">
        <v>4813</v>
      </c>
    </row>
    <row r="132" spans="2:5">
      <c r="B132" s="18" t="s">
        <v>344</v>
      </c>
      <c r="C132" s="18">
        <v>12</v>
      </c>
      <c r="E132" s="292" t="s">
        <v>4814</v>
      </c>
    </row>
    <row r="133" spans="2:5">
      <c r="B133" s="18" t="s">
        <v>386</v>
      </c>
      <c r="C133" s="18">
        <v>24</v>
      </c>
      <c r="E133" s="292" t="s">
        <v>4815</v>
      </c>
    </row>
    <row r="134" spans="2:5" ht="17">
      <c r="B134" s="2" t="s">
        <v>391</v>
      </c>
      <c r="C134" s="8" t="s">
        <v>340</v>
      </c>
      <c r="E134" s="292" t="s">
        <v>4816</v>
      </c>
    </row>
    <row r="135" spans="2:5">
      <c r="B135" s="18" t="s">
        <v>344</v>
      </c>
      <c r="C135" s="18">
        <v>42</v>
      </c>
      <c r="E135" s="292" t="s">
        <v>4817</v>
      </c>
    </row>
    <row r="136" spans="2:5">
      <c r="B136" s="18" t="s">
        <v>386</v>
      </c>
      <c r="C136" s="18">
        <v>96</v>
      </c>
      <c r="E136" s="292" t="s">
        <v>4818</v>
      </c>
    </row>
    <row r="137" spans="2:5" ht="17">
      <c r="B137" s="2" t="s">
        <v>392</v>
      </c>
      <c r="C137" s="8" t="s">
        <v>340</v>
      </c>
      <c r="E137" s="292" t="s">
        <v>4819</v>
      </c>
    </row>
    <row r="138" spans="2:5">
      <c r="B138" s="18" t="s">
        <v>344</v>
      </c>
      <c r="C138" s="18">
        <v>246</v>
      </c>
      <c r="E138" s="292" t="s">
        <v>4820</v>
      </c>
    </row>
    <row r="139" spans="2:5">
      <c r="B139" s="18" t="s">
        <v>386</v>
      </c>
      <c r="C139" s="18">
        <v>246</v>
      </c>
      <c r="E139" s="292" t="s">
        <v>4821</v>
      </c>
    </row>
    <row r="140" spans="2:5" ht="17">
      <c r="B140" s="2" t="s">
        <v>393</v>
      </c>
      <c r="C140" s="8" t="s">
        <v>340</v>
      </c>
      <c r="E140" s="292" t="s">
        <v>4822</v>
      </c>
    </row>
    <row r="141" spans="2:5">
      <c r="B141" s="18" t="s">
        <v>343</v>
      </c>
      <c r="C141" s="18">
        <v>4</v>
      </c>
      <c r="E141" s="292" t="s">
        <v>4823</v>
      </c>
    </row>
    <row r="142" spans="2:5">
      <c r="B142" s="18" t="s">
        <v>344</v>
      </c>
      <c r="C142" s="18">
        <v>8</v>
      </c>
      <c r="E142" s="292" t="s">
        <v>4824</v>
      </c>
    </row>
    <row r="143" spans="2:5">
      <c r="B143" s="18" t="s">
        <v>345</v>
      </c>
      <c r="C143" s="18">
        <v>16</v>
      </c>
      <c r="E143" s="292" t="s">
        <v>4825</v>
      </c>
    </row>
    <row r="144" spans="2:5" ht="17">
      <c r="B144" s="2" t="s">
        <v>394</v>
      </c>
      <c r="C144" s="8" t="s">
        <v>340</v>
      </c>
      <c r="E144" s="292" t="s">
        <v>4826</v>
      </c>
    </row>
    <row r="145" spans="2:5">
      <c r="B145" s="18" t="s">
        <v>343</v>
      </c>
      <c r="C145" s="18">
        <v>8</v>
      </c>
      <c r="E145" s="292" t="s">
        <v>4827</v>
      </c>
    </row>
    <row r="146" spans="2:5">
      <c r="B146" s="18" t="s">
        <v>344</v>
      </c>
      <c r="C146" s="18">
        <v>16</v>
      </c>
      <c r="E146" s="292" t="s">
        <v>4828</v>
      </c>
    </row>
    <row r="147" spans="2:5">
      <c r="B147" s="18" t="s">
        <v>345</v>
      </c>
      <c r="C147" s="18">
        <v>32</v>
      </c>
      <c r="E147" s="292" t="s">
        <v>4829</v>
      </c>
    </row>
    <row r="148" spans="2:5" ht="17">
      <c r="B148" s="2" t="s">
        <v>395</v>
      </c>
      <c r="C148" s="8" t="s">
        <v>340</v>
      </c>
      <c r="E148" s="292" t="s">
        <v>4830</v>
      </c>
    </row>
    <row r="149" spans="2:5">
      <c r="B149" s="18" t="s">
        <v>343</v>
      </c>
      <c r="C149" s="18">
        <v>530</v>
      </c>
      <c r="E149" s="292" t="s">
        <v>4831</v>
      </c>
    </row>
    <row r="150" spans="2:5">
      <c r="B150" s="18" t="s">
        <v>344</v>
      </c>
      <c r="C150" s="18">
        <v>530</v>
      </c>
      <c r="E150" s="292" t="s">
        <v>4832</v>
      </c>
    </row>
    <row r="151" spans="2:5">
      <c r="B151" s="18" t="s">
        <v>345</v>
      </c>
      <c r="C151" s="18">
        <v>530</v>
      </c>
      <c r="E151" s="292" t="s">
        <v>4833</v>
      </c>
    </row>
    <row r="152" spans="2:5" ht="17">
      <c r="B152" s="2" t="s">
        <v>396</v>
      </c>
      <c r="C152" s="8" t="s">
        <v>340</v>
      </c>
      <c r="E152" s="292" t="s">
        <v>4834</v>
      </c>
    </row>
    <row r="153" spans="2:5">
      <c r="B153" s="18" t="s">
        <v>344</v>
      </c>
      <c r="C153" s="18">
        <v>8</v>
      </c>
      <c r="E153" s="292" t="s">
        <v>4835</v>
      </c>
    </row>
    <row r="154" spans="2:5">
      <c r="B154" s="18" t="s">
        <v>345</v>
      </c>
      <c r="C154" s="18">
        <v>16</v>
      </c>
      <c r="E154" s="292" t="s">
        <v>4836</v>
      </c>
    </row>
    <row r="155" spans="2:5">
      <c r="B155" s="18" t="s">
        <v>386</v>
      </c>
      <c r="C155" s="18">
        <v>24</v>
      </c>
      <c r="E155" s="292" t="s">
        <v>4837</v>
      </c>
    </row>
    <row r="156" spans="2:5" ht="17">
      <c r="B156" s="2" t="s">
        <v>397</v>
      </c>
      <c r="C156" s="8" t="s">
        <v>340</v>
      </c>
      <c r="E156" s="292" t="s">
        <v>4838</v>
      </c>
    </row>
    <row r="157" spans="2:5">
      <c r="B157" s="18" t="s">
        <v>344</v>
      </c>
      <c r="C157" s="18">
        <v>32</v>
      </c>
      <c r="E157" s="292" t="s">
        <v>4839</v>
      </c>
    </row>
    <row r="158" spans="2:5">
      <c r="B158" s="18" t="s">
        <v>345</v>
      </c>
      <c r="C158" s="18">
        <v>48</v>
      </c>
      <c r="E158" s="292" t="s">
        <v>4840</v>
      </c>
    </row>
    <row r="159" spans="2:5">
      <c r="B159" s="18" t="s">
        <v>386</v>
      </c>
      <c r="C159" s="18">
        <v>128</v>
      </c>
      <c r="E159" s="292" t="s">
        <v>4841</v>
      </c>
    </row>
    <row r="160" spans="2:5" ht="17">
      <c r="B160" s="2" t="s">
        <v>398</v>
      </c>
      <c r="C160" s="8" t="s">
        <v>340</v>
      </c>
      <c r="E160" s="292" t="s">
        <v>4842</v>
      </c>
    </row>
    <row r="161" spans="2:3">
      <c r="B161" s="18" t="s">
        <v>344</v>
      </c>
      <c r="C161" s="18">
        <v>1298</v>
      </c>
    </row>
    <row r="162" spans="2:3">
      <c r="B162" s="18" t="s">
        <v>345</v>
      </c>
      <c r="C162" s="18">
        <v>1298</v>
      </c>
    </row>
    <row r="163" spans="2:3">
      <c r="B163" s="18" t="s">
        <v>386</v>
      </c>
      <c r="C163" s="18">
        <v>1298</v>
      </c>
    </row>
    <row r="164" spans="2:3" ht="17">
      <c r="B164" s="2" t="s">
        <v>399</v>
      </c>
      <c r="C164" s="8" t="s">
        <v>340</v>
      </c>
    </row>
    <row r="165" spans="2:3">
      <c r="B165" s="18" t="s">
        <v>343</v>
      </c>
      <c r="C165" s="18">
        <v>2</v>
      </c>
    </row>
    <row r="166" spans="2:3">
      <c r="B166" s="18" t="s">
        <v>400</v>
      </c>
      <c r="C166" s="18">
        <v>4</v>
      </c>
    </row>
    <row r="167" spans="2:3" ht="17">
      <c r="B167" s="2" t="s">
        <v>401</v>
      </c>
      <c r="C167" s="8" t="s">
        <v>340</v>
      </c>
    </row>
    <row r="168" spans="2:3">
      <c r="B168" s="18" t="s">
        <v>343</v>
      </c>
      <c r="C168" s="18">
        <v>4</v>
      </c>
    </row>
    <row r="169" spans="2:3">
      <c r="B169" s="18" t="s">
        <v>400</v>
      </c>
      <c r="C169" s="18">
        <v>16</v>
      </c>
    </row>
    <row r="170" spans="2:3" ht="17">
      <c r="B170" s="2" t="s">
        <v>402</v>
      </c>
      <c r="C170" s="8" t="s">
        <v>340</v>
      </c>
    </row>
    <row r="171" spans="2:3">
      <c r="B171" s="18" t="s">
        <v>343</v>
      </c>
      <c r="C171" s="18">
        <v>274</v>
      </c>
    </row>
    <row r="172" spans="2:3">
      <c r="B172" s="18" t="s">
        <v>400</v>
      </c>
      <c r="C172" s="18">
        <v>274</v>
      </c>
    </row>
    <row r="173" spans="2:3" ht="17">
      <c r="B173" s="2" t="s">
        <v>403</v>
      </c>
      <c r="C173" s="8" t="s">
        <v>340</v>
      </c>
    </row>
    <row r="174" spans="2:3">
      <c r="B174" s="18" t="s">
        <v>404</v>
      </c>
      <c r="C174" s="18">
        <v>2</v>
      </c>
    </row>
    <row r="175" spans="2:3">
      <c r="B175" s="18" t="s">
        <v>400</v>
      </c>
      <c r="C175" s="18">
        <v>4</v>
      </c>
    </row>
    <row r="176" spans="2:3" ht="17">
      <c r="B176" s="2" t="s">
        <v>405</v>
      </c>
      <c r="C176" s="8" t="s">
        <v>340</v>
      </c>
    </row>
    <row r="177" spans="2:3">
      <c r="B177" s="18" t="s">
        <v>404</v>
      </c>
      <c r="C177" s="18">
        <v>8</v>
      </c>
    </row>
    <row r="178" spans="2:3">
      <c r="B178" s="18" t="s">
        <v>400</v>
      </c>
      <c r="C178" s="18">
        <v>8</v>
      </c>
    </row>
    <row r="179" spans="2:3" ht="17">
      <c r="B179" s="2" t="s">
        <v>406</v>
      </c>
      <c r="C179" s="8" t="s">
        <v>340</v>
      </c>
    </row>
    <row r="180" spans="2:3">
      <c r="B180" s="18" t="s">
        <v>404</v>
      </c>
      <c r="C180" s="18">
        <v>33</v>
      </c>
    </row>
    <row r="181" spans="2:3">
      <c r="B181" s="18" t="s">
        <v>400</v>
      </c>
      <c r="C181" s="18">
        <v>33</v>
      </c>
    </row>
    <row r="182" spans="2:3" ht="17">
      <c r="B182" s="2" t="s">
        <v>407</v>
      </c>
      <c r="C182" s="8" t="s">
        <v>340</v>
      </c>
    </row>
    <row r="183" spans="2:3">
      <c r="B183" s="18" t="s">
        <v>404</v>
      </c>
      <c r="C183" s="18">
        <v>2</v>
      </c>
    </row>
    <row r="184" spans="2:3">
      <c r="B184" s="18" t="s">
        <v>400</v>
      </c>
      <c r="C184" s="18">
        <v>4</v>
      </c>
    </row>
    <row r="185" spans="2:3" ht="17">
      <c r="B185" s="2" t="s">
        <v>408</v>
      </c>
      <c r="C185" s="8" t="s">
        <v>340</v>
      </c>
    </row>
    <row r="186" spans="2:3">
      <c r="B186" s="18" t="s">
        <v>404</v>
      </c>
      <c r="C186" s="18">
        <v>8</v>
      </c>
    </row>
    <row r="187" spans="2:3">
      <c r="B187" s="18" t="s">
        <v>400</v>
      </c>
      <c r="C187" s="18">
        <v>12</v>
      </c>
    </row>
    <row r="188" spans="2:3" ht="17">
      <c r="B188" s="2" t="s">
        <v>409</v>
      </c>
      <c r="C188" s="8" t="s">
        <v>340</v>
      </c>
    </row>
    <row r="189" spans="2:3">
      <c r="B189" s="18" t="s">
        <v>404</v>
      </c>
      <c r="C189" s="18">
        <v>20</v>
      </c>
    </row>
    <row r="190" spans="2:3">
      <c r="B190" s="18" t="s">
        <v>400</v>
      </c>
      <c r="C190" s="18">
        <v>20</v>
      </c>
    </row>
    <row r="191" spans="2:3" ht="17">
      <c r="B191" s="2" t="s">
        <v>410</v>
      </c>
      <c r="C191" s="8" t="s">
        <v>340</v>
      </c>
    </row>
    <row r="192" spans="2:3" ht="17">
      <c r="B192" s="16" t="s">
        <v>233</v>
      </c>
      <c r="C192" s="18">
        <v>2</v>
      </c>
    </row>
    <row r="193" spans="2:3" ht="17">
      <c r="B193" s="16" t="s">
        <v>354</v>
      </c>
      <c r="C193" s="18">
        <v>8</v>
      </c>
    </row>
    <row r="194" spans="2:3" ht="17">
      <c r="B194" s="16" t="s">
        <v>355</v>
      </c>
      <c r="C194" s="18">
        <v>20</v>
      </c>
    </row>
    <row r="195" spans="2:3" ht="17">
      <c r="B195" s="2" t="s">
        <v>3743</v>
      </c>
      <c r="C195" s="8" t="s">
        <v>340</v>
      </c>
    </row>
    <row r="196" spans="2:3" ht="17">
      <c r="B196" s="16" t="s">
        <v>233</v>
      </c>
      <c r="C196" s="18">
        <v>16</v>
      </c>
    </row>
    <row r="197" spans="2:3" ht="17">
      <c r="B197" s="16" t="s">
        <v>354</v>
      </c>
      <c r="C197" s="18">
        <v>64</v>
      </c>
    </row>
    <row r="198" spans="2:3" ht="17">
      <c r="B198" s="16" t="s">
        <v>355</v>
      </c>
      <c r="C198" s="18">
        <v>1028</v>
      </c>
    </row>
    <row r="199" spans="2:3" ht="17">
      <c r="B199" s="2" t="s">
        <v>3744</v>
      </c>
      <c r="C199" s="8" t="s">
        <v>340</v>
      </c>
    </row>
    <row r="200" spans="2:3" ht="17">
      <c r="B200" s="16" t="s">
        <v>233</v>
      </c>
      <c r="C200" s="18">
        <v>8</v>
      </c>
    </row>
    <row r="201" spans="2:3" ht="17">
      <c r="B201" s="16" t="s">
        <v>354</v>
      </c>
      <c r="C201" s="18">
        <v>16</v>
      </c>
    </row>
    <row r="202" spans="2:3" ht="17">
      <c r="B202" s="16" t="s">
        <v>355</v>
      </c>
      <c r="C202" s="18">
        <v>200</v>
      </c>
    </row>
    <row r="203" spans="2:3" ht="17">
      <c r="B203" s="2" t="s">
        <v>3554</v>
      </c>
      <c r="C203" s="8" t="s">
        <v>340</v>
      </c>
    </row>
    <row r="204" spans="2:3" ht="17">
      <c r="B204" s="16" t="s">
        <v>233</v>
      </c>
      <c r="C204" s="94">
        <v>8</v>
      </c>
    </row>
    <row r="205" spans="2:3" ht="17">
      <c r="B205" s="16" t="s">
        <v>354</v>
      </c>
      <c r="C205" s="175">
        <v>12</v>
      </c>
    </row>
    <row r="206" spans="2:3" ht="17">
      <c r="B206" s="16" t="s">
        <v>355</v>
      </c>
      <c r="C206" s="175">
        <v>100</v>
      </c>
    </row>
    <row r="207" spans="2:3" ht="17">
      <c r="B207" s="2" t="s">
        <v>3167</v>
      </c>
      <c r="C207" s="8" t="s">
        <v>340</v>
      </c>
    </row>
    <row r="208" spans="2:3" ht="17">
      <c r="B208" s="165" t="s">
        <v>233</v>
      </c>
      <c r="C208" s="18">
        <v>4</v>
      </c>
    </row>
    <row r="209" spans="2:3" ht="17">
      <c r="B209" s="166" t="s">
        <v>354</v>
      </c>
      <c r="C209" s="18">
        <v>12</v>
      </c>
    </row>
    <row r="210" spans="2:3" ht="17">
      <c r="B210" s="166" t="s">
        <v>355</v>
      </c>
      <c r="C210" s="18">
        <v>65</v>
      </c>
    </row>
    <row r="211" spans="2:3" ht="17">
      <c r="B211" s="2" t="s">
        <v>4241</v>
      </c>
      <c r="C211" s="8" t="s">
        <v>340</v>
      </c>
    </row>
    <row r="212" spans="2:3" ht="17">
      <c r="B212" s="166" t="s">
        <v>343</v>
      </c>
      <c r="C212" s="18">
        <v>8</v>
      </c>
    </row>
    <row r="213" spans="2:3" ht="17">
      <c r="B213" s="166" t="s">
        <v>344</v>
      </c>
      <c r="C213" s="18">
        <v>16</v>
      </c>
    </row>
    <row r="214" spans="2:3" ht="17">
      <c r="B214" s="166" t="s">
        <v>345</v>
      </c>
      <c r="C214" s="18">
        <v>24</v>
      </c>
    </row>
    <row r="215" spans="2:3" ht="17">
      <c r="B215" s="2" t="s">
        <v>4242</v>
      </c>
      <c r="C215" s="8" t="s">
        <v>340</v>
      </c>
    </row>
    <row r="216" spans="2:3" ht="17">
      <c r="B216" s="166" t="s">
        <v>343</v>
      </c>
      <c r="C216" s="18">
        <v>24</v>
      </c>
    </row>
    <row r="217" spans="2:3" ht="17">
      <c r="B217" s="166" t="s">
        <v>344</v>
      </c>
      <c r="C217" s="18">
        <v>32</v>
      </c>
    </row>
    <row r="218" spans="2:3" ht="17">
      <c r="B218" s="166" t="s">
        <v>345</v>
      </c>
      <c r="C218" s="18">
        <v>48</v>
      </c>
    </row>
    <row r="219" spans="2:3" ht="17">
      <c r="B219" s="2" t="s">
        <v>4243</v>
      </c>
      <c r="C219" s="8" t="s">
        <v>340</v>
      </c>
    </row>
    <row r="220" spans="2:3" ht="17">
      <c r="B220" s="166" t="s">
        <v>343</v>
      </c>
      <c r="C220" s="18">
        <v>128</v>
      </c>
    </row>
    <row r="221" spans="2:3" ht="17">
      <c r="B221" s="166" t="s">
        <v>344</v>
      </c>
      <c r="C221" s="18">
        <v>256</v>
      </c>
    </row>
    <row r="222" spans="2:3" ht="17">
      <c r="B222" s="166" t="s">
        <v>345</v>
      </c>
      <c r="C222" s="18">
        <v>512</v>
      </c>
    </row>
    <row r="223" spans="2:3" ht="17">
      <c r="B223" s="2" t="s">
        <v>411</v>
      </c>
      <c r="C223" s="2" t="s">
        <v>412</v>
      </c>
    </row>
    <row r="224" spans="2:3">
      <c r="B224" s="50">
        <v>32</v>
      </c>
      <c r="C224" s="50" t="s">
        <v>413</v>
      </c>
    </row>
    <row r="225" spans="2:3">
      <c r="B225" s="50">
        <v>31</v>
      </c>
      <c r="C225" s="50" t="s">
        <v>414</v>
      </c>
    </row>
    <row r="226" spans="2:3">
      <c r="B226" s="50">
        <v>30</v>
      </c>
      <c r="C226" s="50" t="s">
        <v>415</v>
      </c>
    </row>
    <row r="227" spans="2:3">
      <c r="B227" s="50">
        <v>29</v>
      </c>
      <c r="C227" s="50" t="s">
        <v>416</v>
      </c>
    </row>
    <row r="228" spans="2:3">
      <c r="B228" s="50">
        <v>28</v>
      </c>
      <c r="C228" s="50" t="s">
        <v>417</v>
      </c>
    </row>
    <row r="229" spans="2:3">
      <c r="B229" s="50">
        <v>27</v>
      </c>
      <c r="C229" s="50" t="s">
        <v>418</v>
      </c>
    </row>
    <row r="230" spans="2:3">
      <c r="B230" s="50">
        <v>26</v>
      </c>
      <c r="C230" s="50" t="s">
        <v>419</v>
      </c>
    </row>
    <row r="231" spans="2:3">
      <c r="B231" s="50">
        <v>25</v>
      </c>
      <c r="C231" s="50" t="s">
        <v>420</v>
      </c>
    </row>
    <row r="232" spans="2:3">
      <c r="B232" s="50">
        <v>24</v>
      </c>
      <c r="C232" s="50" t="s">
        <v>421</v>
      </c>
    </row>
    <row r="233" spans="2:3">
      <c r="B233" s="50">
        <v>23</v>
      </c>
      <c r="C233" s="50" t="s">
        <v>422</v>
      </c>
    </row>
    <row r="234" spans="2:3">
      <c r="B234" s="50">
        <v>22</v>
      </c>
      <c r="C234" s="50" t="s">
        <v>423</v>
      </c>
    </row>
    <row r="235" spans="2:3">
      <c r="B235" s="50">
        <v>21</v>
      </c>
      <c r="C235" s="50" t="s">
        <v>424</v>
      </c>
    </row>
    <row r="236" spans="2:3">
      <c r="B236" s="50">
        <v>20</v>
      </c>
      <c r="C236" s="50" t="s">
        <v>425</v>
      </c>
    </row>
    <row r="237" spans="2:3">
      <c r="B237" s="50">
        <v>19</v>
      </c>
      <c r="C237" s="50" t="s">
        <v>426</v>
      </c>
    </row>
    <row r="238" spans="2:3">
      <c r="B238" s="50">
        <v>18</v>
      </c>
      <c r="C238" s="50" t="s">
        <v>427</v>
      </c>
    </row>
    <row r="239" spans="2:3">
      <c r="B239" s="50">
        <v>17</v>
      </c>
      <c r="C239" s="50" t="s">
        <v>428</v>
      </c>
    </row>
    <row r="240" spans="2:3">
      <c r="B240" s="50">
        <v>16</v>
      </c>
      <c r="C240" s="50" t="s">
        <v>429</v>
      </c>
    </row>
    <row r="241" spans="2:3">
      <c r="B241" s="50">
        <v>15</v>
      </c>
      <c r="C241" s="50" t="s">
        <v>430</v>
      </c>
    </row>
    <row r="242" spans="2:3">
      <c r="B242" s="50">
        <v>14</v>
      </c>
      <c r="C242" s="50" t="s">
        <v>431</v>
      </c>
    </row>
    <row r="243" spans="2:3">
      <c r="B243" s="50">
        <v>13</v>
      </c>
      <c r="C243" s="50" t="s">
        <v>432</v>
      </c>
    </row>
    <row r="244" spans="2:3">
      <c r="B244" s="50">
        <v>12</v>
      </c>
      <c r="C244" s="50" t="s">
        <v>433</v>
      </c>
    </row>
    <row r="245" spans="2:3">
      <c r="B245" s="50">
        <v>11</v>
      </c>
      <c r="C245" s="50" t="s">
        <v>434</v>
      </c>
    </row>
    <row r="246" spans="2:3">
      <c r="B246" s="50">
        <v>10</v>
      </c>
      <c r="C246" s="50" t="s">
        <v>435</v>
      </c>
    </row>
    <row r="247" spans="2:3">
      <c r="B247" s="50">
        <v>9</v>
      </c>
      <c r="C247" s="50" t="s">
        <v>436</v>
      </c>
    </row>
    <row r="248" spans="2:3">
      <c r="B248" s="50">
        <v>8</v>
      </c>
      <c r="C248" s="50" t="s">
        <v>437</v>
      </c>
    </row>
    <row r="249" spans="2:3">
      <c r="B249" s="50">
        <v>7</v>
      </c>
      <c r="C249" s="50" t="s">
        <v>438</v>
      </c>
    </row>
    <row r="250" spans="2:3">
      <c r="B250" s="50">
        <v>6</v>
      </c>
      <c r="C250" s="50" t="s">
        <v>439</v>
      </c>
    </row>
    <row r="251" spans="2:3">
      <c r="B251" s="50">
        <v>5</v>
      </c>
      <c r="C251" s="50" t="s">
        <v>440</v>
      </c>
    </row>
    <row r="252" spans="2:3">
      <c r="B252" s="50">
        <v>4</v>
      </c>
      <c r="C252" s="50" t="s">
        <v>441</v>
      </c>
    </row>
    <row r="253" spans="2:3">
      <c r="B253" s="50">
        <v>3</v>
      </c>
      <c r="C253" s="50" t="s">
        <v>442</v>
      </c>
    </row>
    <row r="254" spans="2:3">
      <c r="B254" s="50">
        <v>2</v>
      </c>
      <c r="C254" s="50" t="s">
        <v>443</v>
      </c>
    </row>
    <row r="255" spans="2:3">
      <c r="B255" s="50">
        <v>1</v>
      </c>
      <c r="C255" s="50" t="s">
        <v>444</v>
      </c>
    </row>
    <row r="256" spans="2:3">
      <c r="B256" s="50">
        <v>0</v>
      </c>
      <c r="C256" s="50" t="s">
        <v>445</v>
      </c>
    </row>
    <row r="257" spans="2:3" ht="17">
      <c r="B257" s="2" t="s">
        <v>446</v>
      </c>
      <c r="C257" s="2" t="s">
        <v>446</v>
      </c>
    </row>
    <row r="258" spans="2:3">
      <c r="B258" s="18"/>
      <c r="C258" s="18" t="s">
        <v>447</v>
      </c>
    </row>
    <row r="259" spans="2:3">
      <c r="B259" s="18"/>
      <c r="C259" s="18" t="s">
        <v>448</v>
      </c>
    </row>
    <row r="260" spans="2:3" ht="17">
      <c r="B260" s="2"/>
      <c r="C260" s="2" t="s">
        <v>449</v>
      </c>
    </row>
    <row r="261" spans="2:3">
      <c r="B261" s="18"/>
      <c r="C261" s="18" t="s">
        <v>39</v>
      </c>
    </row>
    <row r="262" spans="2:3">
      <c r="B262" s="18"/>
      <c r="C262" s="18" t="s">
        <v>450</v>
      </c>
    </row>
    <row r="263" spans="2:3">
      <c r="B263" s="18"/>
      <c r="C263" s="18" t="s">
        <v>14</v>
      </c>
    </row>
    <row r="264" spans="2:3" ht="17">
      <c r="B264" s="2" t="s">
        <v>451</v>
      </c>
      <c r="C264" s="2"/>
    </row>
    <row r="265" spans="2:3">
      <c r="B265" s="18" t="s">
        <v>452</v>
      </c>
    </row>
    <row r="266" spans="2:3">
      <c r="B266" s="18" t="s">
        <v>453</v>
      </c>
    </row>
    <row r="267" spans="2:3">
      <c r="B267" s="18" t="s">
        <v>454</v>
      </c>
    </row>
    <row r="268" spans="2:3">
      <c r="B268" s="18" t="s">
        <v>455</v>
      </c>
    </row>
    <row r="269" spans="2:3">
      <c r="B269" s="18" t="s">
        <v>456</v>
      </c>
    </row>
    <row r="270" spans="2:3">
      <c r="B270" s="18" t="s">
        <v>457</v>
      </c>
    </row>
    <row r="271" spans="2:3">
      <c r="B271" s="18" t="s">
        <v>458</v>
      </c>
    </row>
    <row r="272" spans="2:3">
      <c r="B272" s="18" t="s">
        <v>459</v>
      </c>
    </row>
    <row r="273" spans="2:2">
      <c r="B273" s="18" t="s">
        <v>460</v>
      </c>
    </row>
    <row r="274" spans="2:2">
      <c r="B274" s="18" t="s">
        <v>461</v>
      </c>
    </row>
    <row r="275" spans="2:2">
      <c r="B275" s="18" t="s">
        <v>462</v>
      </c>
    </row>
    <row r="276" spans="2:2">
      <c r="B276" s="18" t="s">
        <v>463</v>
      </c>
    </row>
    <row r="277" spans="2:2">
      <c r="B277" s="18" t="s">
        <v>464</v>
      </c>
    </row>
    <row r="278" spans="2:2">
      <c r="B278" s="18" t="s">
        <v>465</v>
      </c>
    </row>
    <row r="279" spans="2:2">
      <c r="B279" s="18" t="s">
        <v>466</v>
      </c>
    </row>
    <row r="280" spans="2:2">
      <c r="B280" s="18" t="s">
        <v>467</v>
      </c>
    </row>
    <row r="281" spans="2:2">
      <c r="B281" s="18" t="s">
        <v>468</v>
      </c>
    </row>
    <row r="282" spans="2:2">
      <c r="B282" s="18" t="s">
        <v>469</v>
      </c>
    </row>
    <row r="283" spans="2:2">
      <c r="B283" s="18" t="s">
        <v>470</v>
      </c>
    </row>
    <row r="284" spans="2:2">
      <c r="B284" s="18" t="s">
        <v>471</v>
      </c>
    </row>
    <row r="285" spans="2:2">
      <c r="B285" s="18" t="s">
        <v>472</v>
      </c>
    </row>
    <row r="286" spans="2:2">
      <c r="B286" s="18" t="s">
        <v>473</v>
      </c>
    </row>
    <row r="287" spans="2:2">
      <c r="B287" s="18" t="s">
        <v>474</v>
      </c>
    </row>
    <row r="288" spans="2:2">
      <c r="B288" s="18" t="s">
        <v>475</v>
      </c>
    </row>
    <row r="289" spans="2:2" ht="17">
      <c r="B289" s="2" t="s">
        <v>3171</v>
      </c>
    </row>
    <row r="290" spans="2:2">
      <c r="B290" s="18" t="s">
        <v>3169</v>
      </c>
    </row>
    <row r="291" spans="2:2">
      <c r="B291" s="18" t="s">
        <v>3170</v>
      </c>
    </row>
    <row r="292" spans="2:2" ht="17">
      <c r="B292" s="2" t="s">
        <v>3172</v>
      </c>
    </row>
    <row r="293" spans="2:2">
      <c r="B293" s="18" t="s">
        <v>3170</v>
      </c>
    </row>
    <row r="294" spans="2:2" ht="17">
      <c r="B294" s="2" t="s">
        <v>3173</v>
      </c>
    </row>
    <row r="295" spans="2:2">
      <c r="B295" s="18" t="s">
        <v>3169</v>
      </c>
    </row>
    <row r="296" spans="2:2">
      <c r="B296" s="18" t="s">
        <v>3170</v>
      </c>
    </row>
    <row r="297" spans="2:2">
      <c r="B297" s="18" t="s">
        <v>3174</v>
      </c>
    </row>
    <row r="298" spans="2:2">
      <c r="B298" s="18" t="s">
        <v>3175</v>
      </c>
    </row>
    <row r="299" spans="2:2">
      <c r="B299" s="18" t="s">
        <v>3176</v>
      </c>
    </row>
    <row r="300" spans="2:2">
      <c r="B300" s="18" t="s">
        <v>3177</v>
      </c>
    </row>
    <row r="301" spans="2:2">
      <c r="B301" s="18" t="s">
        <v>3178</v>
      </c>
    </row>
    <row r="302" spans="2:2" ht="17">
      <c r="B302" s="2" t="s">
        <v>3179</v>
      </c>
    </row>
    <row r="303" spans="2:2">
      <c r="B303" s="18" t="s">
        <v>43</v>
      </c>
    </row>
    <row r="304" spans="2:2">
      <c r="B304" s="18" t="s">
        <v>3174</v>
      </c>
    </row>
    <row r="305" spans="2:2">
      <c r="B305" s="18" t="s">
        <v>3175</v>
      </c>
    </row>
    <row r="306" spans="2:2">
      <c r="B306" s="18" t="s">
        <v>3176</v>
      </c>
    </row>
    <row r="307" spans="2:2">
      <c r="B307" s="18" t="s">
        <v>3177</v>
      </c>
    </row>
    <row r="308" spans="2:2">
      <c r="B308" s="18" t="s">
        <v>3178</v>
      </c>
    </row>
    <row r="309" spans="2:2" ht="17">
      <c r="B309" s="2" t="s">
        <v>3181</v>
      </c>
    </row>
    <row r="310" spans="2:2">
      <c r="B310" s="18" t="s">
        <v>3180</v>
      </c>
    </row>
    <row r="311" spans="2:2">
      <c r="B311" s="18" t="s">
        <v>46</v>
      </c>
    </row>
    <row r="312" spans="2:2" ht="17">
      <c r="B312" s="2" t="s">
        <v>3182</v>
      </c>
    </row>
    <row r="313" spans="2:2">
      <c r="B313" s="18" t="s">
        <v>3180</v>
      </c>
    </row>
    <row r="314" spans="2:2" ht="17">
      <c r="B314" s="2" t="s">
        <v>3183</v>
      </c>
    </row>
    <row r="315" spans="2:2">
      <c r="B315" s="18" t="s">
        <v>46</v>
      </c>
    </row>
    <row r="316" spans="2:2" ht="17">
      <c r="B316" s="2" t="s">
        <v>3391</v>
      </c>
    </row>
    <row r="317" spans="2:2">
      <c r="B317" s="18" t="s">
        <v>3430</v>
      </c>
    </row>
    <row r="318" spans="2:2">
      <c r="B318" s="18" t="s">
        <v>3431</v>
      </c>
    </row>
    <row r="319" spans="2:2">
      <c r="B319" s="18" t="s">
        <v>3432</v>
      </c>
    </row>
    <row r="320" spans="2:2">
      <c r="B320" s="18" t="s">
        <v>3433</v>
      </c>
    </row>
    <row r="321" spans="2:7">
      <c r="B321" s="18" t="s">
        <v>3434</v>
      </c>
    </row>
    <row r="322" spans="2:7">
      <c r="B322" s="18" t="s">
        <v>3435</v>
      </c>
    </row>
    <row r="323" spans="2:7">
      <c r="B323" s="18" t="s">
        <v>3436</v>
      </c>
    </row>
    <row r="324" spans="2:7">
      <c r="B324" s="18" t="s">
        <v>3437</v>
      </c>
    </row>
    <row r="325" spans="2:7">
      <c r="B325" s="18" t="s">
        <v>3438</v>
      </c>
    </row>
    <row r="326" spans="2:7">
      <c r="B326" s="18" t="s">
        <v>3439</v>
      </c>
    </row>
    <row r="327" spans="2:7">
      <c r="B327" s="18" t="s">
        <v>3440</v>
      </c>
    </row>
    <row r="328" spans="2:7">
      <c r="B328" s="18" t="s">
        <v>3441</v>
      </c>
    </row>
    <row r="329" spans="2:7">
      <c r="B329" s="18" t="s">
        <v>3442</v>
      </c>
      <c r="D329" s="5"/>
      <c r="F329" s="3"/>
      <c r="G329" s="3"/>
    </row>
    <row r="330" spans="2:7">
      <c r="B330" s="18" t="s">
        <v>3443</v>
      </c>
      <c r="D330" s="5"/>
      <c r="F330" s="3"/>
      <c r="G330" s="3"/>
    </row>
    <row r="331" spans="2:7">
      <c r="B331" s="18" t="s">
        <v>3444</v>
      </c>
      <c r="D331" s="5"/>
      <c r="F331" s="3"/>
      <c r="G331" s="3"/>
    </row>
    <row r="332" spans="2:7">
      <c r="B332" s="18" t="s">
        <v>3445</v>
      </c>
      <c r="D332" s="5"/>
      <c r="F332" s="3"/>
      <c r="G332" s="3"/>
    </row>
    <row r="333" spans="2:7">
      <c r="B333" s="18" t="s">
        <v>3446</v>
      </c>
      <c r="D333" s="5"/>
      <c r="F333" s="3"/>
      <c r="G333" s="3"/>
    </row>
    <row r="334" spans="2:7">
      <c r="B334" s="18" t="s">
        <v>3447</v>
      </c>
      <c r="D334" s="5"/>
      <c r="F334" s="3"/>
      <c r="G334" s="3"/>
    </row>
    <row r="335" spans="2:7">
      <c r="B335" s="18" t="s">
        <v>3448</v>
      </c>
      <c r="D335" s="5"/>
      <c r="F335" s="3"/>
      <c r="G335" s="3"/>
    </row>
    <row r="336" spans="2:7">
      <c r="B336" s="18" t="s">
        <v>3449</v>
      </c>
      <c r="D336" s="5"/>
      <c r="F336" s="3"/>
      <c r="G336" s="3"/>
    </row>
    <row r="337" spans="2:7">
      <c r="B337" s="18" t="s">
        <v>3450</v>
      </c>
      <c r="D337" s="5"/>
      <c r="F337" s="3"/>
      <c r="G337" s="3"/>
    </row>
    <row r="338" spans="2:7">
      <c r="B338" s="18" t="s">
        <v>3451</v>
      </c>
      <c r="D338" s="5"/>
      <c r="F338" s="3"/>
      <c r="G338" s="3"/>
    </row>
    <row r="339" spans="2:7">
      <c r="B339" s="18" t="s">
        <v>3452</v>
      </c>
      <c r="D339" s="5"/>
      <c r="F339" s="3"/>
      <c r="G339" s="3"/>
    </row>
    <row r="340" spans="2:7">
      <c r="B340" s="18" t="s">
        <v>3453</v>
      </c>
      <c r="D340" s="5"/>
      <c r="F340" s="3"/>
      <c r="G340" s="3"/>
    </row>
    <row r="341" spans="2:7">
      <c r="B341" s="18" t="s">
        <v>3454</v>
      </c>
      <c r="D341" s="5"/>
      <c r="F341" s="3"/>
      <c r="G341" s="3"/>
    </row>
    <row r="342" spans="2:7">
      <c r="B342" s="18" t="s">
        <v>3455</v>
      </c>
      <c r="D342" s="5"/>
      <c r="F342" s="3"/>
      <c r="G342" s="3"/>
    </row>
    <row r="343" spans="2:7">
      <c r="B343" s="18" t="s">
        <v>3456</v>
      </c>
      <c r="D343" s="5"/>
      <c r="F343" s="3"/>
      <c r="G343" s="3"/>
    </row>
    <row r="344" spans="2:7">
      <c r="B344" s="18" t="s">
        <v>1092</v>
      </c>
      <c r="D344" s="5"/>
      <c r="F344" s="3"/>
      <c r="G344" s="3"/>
    </row>
    <row r="345" spans="2:7" ht="17">
      <c r="B345" s="2" t="s">
        <v>3507</v>
      </c>
      <c r="C345" s="5"/>
      <c r="D345" s="5"/>
      <c r="F345" s="3"/>
      <c r="G345" s="3"/>
    </row>
    <row r="346" spans="2:7">
      <c r="B346" s="17" t="s">
        <v>3508</v>
      </c>
      <c r="C346" s="5"/>
      <c r="D346" s="5"/>
      <c r="F346" s="3"/>
      <c r="G346" s="3"/>
    </row>
    <row r="347" spans="2:7">
      <c r="B347" s="17" t="s">
        <v>488</v>
      </c>
      <c r="C347" s="5"/>
      <c r="D347" s="5"/>
      <c r="F347" s="3"/>
      <c r="G347" s="3"/>
    </row>
    <row r="348" spans="2:7" ht="34">
      <c r="B348" s="17" t="s">
        <v>3509</v>
      </c>
      <c r="C348" s="5"/>
      <c r="D348" s="5"/>
      <c r="E348" s="5" t="s">
        <v>4496</v>
      </c>
      <c r="F348" s="3"/>
      <c r="G348" s="3"/>
    </row>
    <row r="349" spans="2:7" ht="17">
      <c r="B349" s="17" t="s">
        <v>3475</v>
      </c>
      <c r="C349" s="5"/>
      <c r="D349" s="5"/>
      <c r="E349" s="16" t="s">
        <v>14</v>
      </c>
      <c r="F349" s="3"/>
      <c r="G349" s="3"/>
    </row>
    <row r="350" spans="2:7" ht="34">
      <c r="B350" s="191" t="s">
        <v>3947</v>
      </c>
      <c r="C350" s="5"/>
      <c r="D350" s="5" t="s">
        <v>4495</v>
      </c>
      <c r="E350" s="16">
        <v>3</v>
      </c>
      <c r="F350" s="3"/>
      <c r="G350" s="3"/>
    </row>
    <row r="351" spans="2:7" ht="17">
      <c r="B351" s="18">
        <v>1</v>
      </c>
      <c r="C351" s="16" t="str" cm="1">
        <f t="array" ref="C351">IF(wld_multi_rack_count_chosen="Exclude","Exclude",(IF(wld_multi_rack_count_chosen=1,avail_rack_list_2,IF(wld_multi_rack_count_chosen=2,avail_rack_list_3,IF(wld_multi_rack_count_chosen=3,avail_rack_list_4,IF(wld_multi_rack_count_chosen=4,avail_rack_list_5,IF(wld_multi_rack_count_chosen=5,avail_rack_list_6,IF(wld_multi_rack_count_chosen=6,avail_rack_list_7,IF(wld_multi_rack_count_chosen=7,avail_rack_list_8)))))))))</f>
        <v>Exclude</v>
      </c>
      <c r="D351" s="17" t="s">
        <v>14</v>
      </c>
      <c r="E351" s="16">
        <v>4</v>
      </c>
      <c r="F351" s="3"/>
      <c r="G351" s="3"/>
    </row>
    <row r="352" spans="2:7">
      <c r="B352" s="18">
        <v>2</v>
      </c>
      <c r="C352" s="16"/>
      <c r="D352" s="16">
        <v>5</v>
      </c>
      <c r="E352" s="16">
        <v>5</v>
      </c>
      <c r="F352" s="3"/>
      <c r="G352" s="3"/>
    </row>
    <row r="353" spans="2:7">
      <c r="B353" s="18">
        <v>3</v>
      </c>
      <c r="C353" s="16"/>
      <c r="D353" s="16">
        <v>6</v>
      </c>
      <c r="E353" s="16">
        <v>6</v>
      </c>
      <c r="F353" s="3"/>
      <c r="G353" s="3"/>
    </row>
    <row r="354" spans="2:7">
      <c r="B354" s="18">
        <v>4</v>
      </c>
      <c r="C354" s="16"/>
      <c r="D354" s="16">
        <v>7</v>
      </c>
      <c r="E354" s="16">
        <v>7</v>
      </c>
      <c r="F354" s="3"/>
      <c r="G354" s="3"/>
    </row>
    <row r="355" spans="2:7">
      <c r="B355" s="18">
        <v>5</v>
      </c>
      <c r="C355" s="16"/>
      <c r="D355" s="16"/>
      <c r="E355" s="16"/>
      <c r="F355" s="3"/>
      <c r="G355" s="3"/>
    </row>
    <row r="356" spans="2:7">
      <c r="B356" s="18">
        <v>6</v>
      </c>
      <c r="C356" s="16"/>
      <c r="D356" s="16"/>
      <c r="E356" s="16"/>
      <c r="F356" s="3"/>
      <c r="G356" s="3"/>
    </row>
    <row r="357" spans="2:7">
      <c r="B357" s="18">
        <v>7</v>
      </c>
      <c r="C357" s="16"/>
      <c r="D357" s="16"/>
      <c r="F357" s="3"/>
      <c r="G357" s="3"/>
    </row>
    <row r="358" spans="2:7">
      <c r="B358" s="18">
        <v>8</v>
      </c>
      <c r="C358" s="16"/>
      <c r="D358" s="16"/>
      <c r="F358" s="3"/>
      <c r="G358" s="3"/>
    </row>
    <row r="359" spans="2:7" ht="17">
      <c r="B359" s="191" t="s">
        <v>3938</v>
      </c>
      <c r="C359" s="5"/>
      <c r="D359" s="5"/>
      <c r="F359" s="3"/>
      <c r="G359" s="3"/>
    </row>
    <row r="360" spans="2:7">
      <c r="B360" s="17" t="s">
        <v>4280</v>
      </c>
      <c r="C360" s="5"/>
      <c r="D360" s="5"/>
      <c r="F360" s="3"/>
      <c r="G360" s="3"/>
    </row>
    <row r="361" spans="2:7">
      <c r="B361" s="17" t="s">
        <v>4281</v>
      </c>
      <c r="D361" s="5"/>
      <c r="F361" s="3"/>
      <c r="G361" s="3"/>
    </row>
    <row r="362" spans="2:7">
      <c r="B362" s="17" t="s">
        <v>4279</v>
      </c>
      <c r="D362" s="5"/>
      <c r="F362" s="3"/>
      <c r="G362" s="3"/>
    </row>
    <row r="363" spans="2:7" ht="17">
      <c r="B363" s="2" t="s">
        <v>3939</v>
      </c>
      <c r="C363" s="2" t="s">
        <v>4282</v>
      </c>
      <c r="D363" s="5"/>
      <c r="F363" s="3"/>
      <c r="G363" s="3"/>
    </row>
    <row r="364" spans="2:7" ht="17">
      <c r="B364" s="165" t="str" cm="1">
        <f t="array" ref="B364">IF(wld_multirack_result="Excluded",shared_edge_and_compute,IF(AND(OR(wld_dedicated_edge_cluster_chosen_first=1,wld_dedicated_edge_cluster_chosen_second=1),wld_dedicated_edge_cluster_chosen="Include"),wld_cluster_edge,IF(AND(OR(wld_dedicated_edge_cluster_chosen_first=1,wld_dedicated_edge_cluster_chosen_second=1),wld_dedicated_edge_cluster_chosen="Exclude"),wld_cluster_compute_edge,wld_cluster_compute_only)))</f>
        <v>Shared Edge and Compute</v>
      </c>
      <c r="C364" s="16">
        <f>IF(wld_compute_hosts_per_rack_chosen="Exclude",16,IF(AND(wld_dedicated_edge_cluster_result="Excluded",(OR(wld_dedicated_edge_cluster_chosen_first=1,wld_dedicated_edge_cluster_chosen_second=1))),wld_compute_hosts_per_rack_chosen+3,IF(AND(wld_dedicated_edge_cluster_result="Included",(OR(wld_dedicated_edge_cluster_chosen_first=1,wld_dedicated_edge_cluster_chosen_second=1))),3,wld_compute_hosts_per_rack_chosen)))</f>
        <v>16</v>
      </c>
      <c r="D364" s="5"/>
      <c r="F364" s="3"/>
      <c r="G364" s="3"/>
    </row>
    <row r="365" spans="2:7">
      <c r="B365" s="165"/>
      <c r="C365" s="16"/>
      <c r="D365" s="5"/>
      <c r="F365" s="3"/>
      <c r="G365" s="3"/>
    </row>
    <row r="366" spans="2:7" ht="17">
      <c r="B366" s="2" t="s">
        <v>3940</v>
      </c>
      <c r="C366" s="2" t="s">
        <v>4283</v>
      </c>
      <c r="D366" s="5"/>
      <c r="F366" s="3"/>
      <c r="G366" s="3"/>
    </row>
    <row r="367" spans="2:7" ht="17">
      <c r="B367" s="16" t="str" cm="1">
        <f t="array" ref="B367">IF(AND(OR(wld_dedicated_edge_cluster_chosen_first=2,wld_dedicated_edge_cluster_chosen_second=2),wld_dedicated_edge_cluster_chosen="Include"),wld_cluster_edge,IF(AND(OR(wld_dedicated_edge_cluster_chosen_first=2,wld_dedicated_edge_cluster_chosen_second=2),wld_dedicated_edge_cluster_chosen="Exclude"),wld_cluster_compute_edge,wld_cluster_compute_only))</f>
        <v>Dedicated Compute</v>
      </c>
      <c r="C367" s="16">
        <f>IF(wld_compute_hosts_per_rack_chosen="Exclude",0,IF(AND(wld_dedicated_edge_cluster_result="Excluded",(OR(wld_dedicated_edge_cluster_chosen_first=2,wld_dedicated_edge_cluster_chosen_second=2))),wld_compute_hosts_per_rack_chosen+3,IF(AND(wld_dedicated_edge_cluster_result="Included",(OR(wld_dedicated_edge_cluster_chosen_first=2,wld_dedicated_edge_cluster_chosen_second=2))),3,wld_compute_hosts_per_rack_chosen)))</f>
        <v>0</v>
      </c>
      <c r="D367" s="5"/>
      <c r="F367" s="3"/>
      <c r="G367" s="3"/>
    </row>
    <row r="368" spans="2:7">
      <c r="B368" s="16"/>
      <c r="C368" s="16"/>
      <c r="D368" s="5"/>
      <c r="F368" s="3"/>
      <c r="G368" s="3"/>
    </row>
    <row r="369" spans="2:7" ht="17">
      <c r="B369" s="2" t="s">
        <v>3941</v>
      </c>
      <c r="C369" s="2" t="s">
        <v>4284</v>
      </c>
      <c r="D369" s="5"/>
      <c r="F369" s="3"/>
      <c r="G369" s="3"/>
    </row>
    <row r="370" spans="2:7" ht="17">
      <c r="B370" s="16" t="str" cm="1">
        <f t="array" ref="B370">IF(AND(OR(wld_dedicated_edge_cluster_chosen_first=3,wld_dedicated_edge_cluster_chosen_second=3),wld_dedicated_edge_cluster_chosen="Include"),wld_cluster_edge,IF(AND(OR(wld_dedicated_edge_cluster_chosen_first=3,wld_dedicated_edge_cluster_chosen_second=3),wld_dedicated_edge_cluster_chosen="Exclude"),wld_cluster_compute_edge,wld_cluster_compute_only))</f>
        <v>Dedicated Compute</v>
      </c>
      <c r="C370" s="16">
        <f>IF(wld_compute_hosts_per_rack_chosen="Exclude",0,IF(AND(wld_dedicated_edge_cluster_result="Excluded",(OR(wld_dedicated_edge_cluster_chosen_first=3,wld_dedicated_edge_cluster_chosen_second=3))),wld_compute_hosts_per_rack_chosen+3,IF(AND(wld_dedicated_edge_cluster_result="Included",(OR(wld_dedicated_edge_cluster_chosen_first=3,wld_dedicated_edge_cluster_chosen_second=3))),3,wld_compute_hosts_per_rack_chosen)))</f>
        <v>0</v>
      </c>
      <c r="D370" s="5"/>
      <c r="F370" s="3"/>
      <c r="G370" s="3"/>
    </row>
    <row r="371" spans="2:7">
      <c r="B371" s="16"/>
      <c r="C371" s="16"/>
    </row>
    <row r="372" spans="2:7" ht="17">
      <c r="B372" s="2" t="s">
        <v>3942</v>
      </c>
      <c r="C372" s="2" t="s">
        <v>4285</v>
      </c>
    </row>
    <row r="373" spans="2:7" ht="17">
      <c r="B373" s="16" t="str" cm="1">
        <f t="array" ref="B373">IF(AND(OR(wld_dedicated_edge_cluster_chosen_first=4,wld_dedicated_edge_cluster_chosen_second=4),wld_dedicated_edge_cluster_chosen="Include"),wld_cluster_edge,IF(AND(OR(wld_dedicated_edge_cluster_chosen_first=4,wld_dedicated_edge_cluster_chosen_second=4),wld_dedicated_edge_cluster_chosen="Exclude"),wld_cluster_compute_edge,wld_cluster_compute_only))</f>
        <v>Dedicated Compute</v>
      </c>
      <c r="C373" s="16">
        <f>IF(wld_compute_hosts_per_rack_chosen="Exclude",0,IF(AND(wld_dedicated_edge_cluster_result="Excluded",(OR(wld_dedicated_edge_cluster_chosen_first=4,wld_dedicated_edge_cluster_chosen_second=4))),wld_compute_hosts_per_rack_chosen+3,IF(AND(wld_dedicated_edge_cluster_result="Included",(OR(wld_dedicated_edge_cluster_chosen_first=4,wld_dedicated_edge_cluster_chosen_second=4))),3,wld_compute_hosts_per_rack_chosen)))</f>
        <v>0</v>
      </c>
    </row>
    <row r="374" spans="2:7">
      <c r="B374" s="16"/>
      <c r="C374" s="16"/>
    </row>
    <row r="375" spans="2:7" ht="17">
      <c r="B375" s="2" t="s">
        <v>3943</v>
      </c>
      <c r="C375" s="2" t="s">
        <v>4286</v>
      </c>
    </row>
    <row r="376" spans="2:7" ht="17">
      <c r="B376" s="16" t="str" cm="1">
        <f t="array" ref="B376">IF(AND(OR(wld_dedicated_edge_cluster_chosen_first=5,wld_dedicated_edge_cluster_chosen_second=5),wld_dedicated_edge_cluster_chosen="Include"),wld_cluster_edge,IF(AND(OR(wld_dedicated_edge_cluster_chosen_first=5,wld_dedicated_edge_cluster_chosen_second=5),wld_dedicated_edge_cluster_chosen="Exclude"),wld_cluster_compute_edge,wld_cluster_compute_only))</f>
        <v>Dedicated Compute</v>
      </c>
      <c r="C376" s="16">
        <f>IF(wld_compute_hosts_per_rack_chosen="Exclude",0,IF(AND(wld_dedicated_edge_cluster_result="Excluded",(OR(wld_dedicated_edge_cluster_chosen_first=5,wld_dedicated_edge_cluster_chosen_second=5))),wld_compute_hosts_per_rack_chosen+3,IF(AND(wld_dedicated_edge_cluster_result="Included",(OR(wld_dedicated_edge_cluster_chosen_first=5,wld_dedicated_edge_cluster_chosen_second=5))),3,wld_compute_hosts_per_rack_chosen)))</f>
        <v>0</v>
      </c>
    </row>
    <row r="377" spans="2:7">
      <c r="B377" s="16"/>
      <c r="C377" s="16"/>
    </row>
    <row r="378" spans="2:7" ht="17">
      <c r="B378" s="2" t="s">
        <v>3944</v>
      </c>
      <c r="C378" s="2" t="s">
        <v>4287</v>
      </c>
    </row>
    <row r="379" spans="2:7" ht="17">
      <c r="B379" s="16" t="str" cm="1">
        <f t="array" ref="B379">IF(AND(OR(wld_dedicated_edge_cluster_chosen_first=6,wld_dedicated_edge_cluster_chosen_second=6),wld_dedicated_edge_cluster_chosen="Include"),wld_cluster_edge,IF(AND(OR(wld_dedicated_edge_cluster_chosen_first=6,wld_dedicated_edge_cluster_chosen_second=6),wld_dedicated_edge_cluster_chosen="Exclude"),wld_cluster_compute_edge,wld_cluster_compute_only))</f>
        <v>Dedicated Compute</v>
      </c>
      <c r="C379" s="16">
        <f>IF(wld_compute_hosts_per_rack_chosen="Exclude",0,IF(AND(wld_dedicated_edge_cluster_result="Excluded",(OR(wld_dedicated_edge_cluster_chosen_first=6,wld_dedicated_edge_cluster_chosen_second=6))),wld_compute_hosts_per_rack_chosen+3,IF(AND(wld_dedicated_edge_cluster_result="Included",(OR(wld_dedicated_edge_cluster_chosen_first=6,wld_dedicated_edge_cluster_chosen_second=6))),3,wld_compute_hosts_per_rack_chosen)))</f>
        <v>0</v>
      </c>
    </row>
    <row r="380" spans="2:7">
      <c r="B380" s="16"/>
      <c r="C380" s="16"/>
    </row>
    <row r="381" spans="2:7" ht="17">
      <c r="B381" s="2" t="s">
        <v>3945</v>
      </c>
      <c r="C381" s="2" t="s">
        <v>4288</v>
      </c>
    </row>
    <row r="382" spans="2:7" ht="17">
      <c r="B382" s="16" t="str" cm="1">
        <f t="array" ref="B382">IF(AND(OR(wld_dedicated_edge_cluster_chosen_first=7,wld_dedicated_edge_cluster_chosen_second=7),wld_dedicated_edge_cluster_chosen="Include"),wld_cluster_edge,IF(AND(OR(wld_dedicated_edge_cluster_chosen_first=7,wld_dedicated_edge_cluster_chosen_second=7),wld_dedicated_edge_cluster_chosen="Exclude"),wld_cluster_compute_edge,wld_cluster_compute_only))</f>
        <v>Dedicated Compute</v>
      </c>
      <c r="C382" s="16">
        <f>IF(wld_compute_hosts_per_rack_chosen="Exclude",0,IF(AND(wld_dedicated_edge_cluster_result="Excluded",(OR(wld_dedicated_edge_cluster_chosen_first=7,wld_dedicated_edge_cluster_chosen_second=7))),wld_compute_hosts_per_rack_chosen+3,IF(AND(wld_dedicated_edge_cluster_result="Included",(OR(wld_dedicated_edge_cluster_chosen_first=7,wld_dedicated_edge_cluster_chosen_second=7))),3,wld_compute_hosts_per_rack_chosen)))</f>
        <v>0</v>
      </c>
    </row>
    <row r="383" spans="2:7">
      <c r="B383" s="16"/>
      <c r="C383" s="16"/>
    </row>
    <row r="384" spans="2:7" ht="17">
      <c r="B384" s="2" t="s">
        <v>3946</v>
      </c>
      <c r="C384" s="2" t="s">
        <v>4289</v>
      </c>
    </row>
    <row r="385" spans="2:3" ht="17">
      <c r="B385" s="16" t="str" cm="1">
        <f t="array" ref="B385">IF(AND(OR(wld_dedicated_edge_cluster_chosen_first=8,wld_dedicated_edge_cluster_chosen_second=8),wld_dedicated_edge_cluster_chosen="Include"),wld_cluster_edge,IF(AND(OR(wld_dedicated_edge_cluster_chosen_first=8,wld_dedicated_edge_cluster_chosen_second=8),wld_dedicated_edge_cluster_chosen="Exclude"),wld_cluster_compute_edge,wld_cluster_compute_only))</f>
        <v>Dedicated Compute</v>
      </c>
      <c r="C385" s="16">
        <f>IF(wld_compute_hosts_per_rack_chosen="Exclude",0,IF(AND(wld_dedicated_edge_cluster_result="Excluded",(OR(wld_dedicated_edge_cluster_chosen_first=8,wld_dedicated_edge_cluster_chosen_second=8))),wld_compute_hosts_per_rack_chosen+3,IF(AND(wld_dedicated_edge_cluster_result="Included",(OR(wld_dedicated_edge_cluster_chosen_first=8,wld_dedicated_edge_cluster_chosen_second=8))),3,wld_compute_hosts_per_rack_chosen)))</f>
        <v>0</v>
      </c>
    </row>
    <row r="386" spans="2:3">
      <c r="B386" s="16"/>
      <c r="C386" s="16"/>
    </row>
    <row r="387" spans="2:3" ht="17">
      <c r="B387" s="2" t="s">
        <v>3975</v>
      </c>
    </row>
    <row r="388" spans="2:3">
      <c r="B388" s="18" t="s">
        <v>33</v>
      </c>
    </row>
    <row r="389" spans="2:3">
      <c r="B389" s="18" t="s">
        <v>14</v>
      </c>
    </row>
    <row r="391" spans="2:3" ht="17">
      <c r="B391" s="2" t="s">
        <v>4208</v>
      </c>
      <c r="C391" s="2" t="s">
        <v>4207</v>
      </c>
    </row>
    <row r="392" spans="2:3" ht="17">
      <c r="B392" s="2" t="s">
        <v>4206</v>
      </c>
      <c r="C392" s="2" t="s">
        <v>1799</v>
      </c>
    </row>
    <row r="393" spans="2:3">
      <c r="B393" s="18" t="str" cm="1">
        <f t="array" ref="B393">IF(wld_dedicated_edge_cluster_chosen_first=1,input_wld_az1_host_functions,IF(wld_dedicated_edge_cluster_chosen_first=2,input_wld_az1_rack2_host_functions,IF(wld_dedicated_edge_cluster_chosen_first=3,input_wld_az1_rack3_host_functions,IF(wld_dedicated_edge_cluster_chosen_first=4,input_wld_az1_rack4_host_functions,IF(wld_dedicated_edge_cluster_chosen_first=5,input_wld_az1_rack5_host_functions,IF(wld_dedicated_edge_cluster_chosen_first=6,input_wld_az1_rack6_host_functions,IF(wld_dedicated_edge_cluster_chosen_first=7,input_wld_az1_rack7_host_functions,IF(wld_dedicated_edge_cluster_chosen_first=8,input_wld_az1_rack8_host_functions,""))))))))</f>
        <v/>
      </c>
      <c r="C393" s="18" t="str" cm="1">
        <f t="array" ref="C393">IF(wld_dedicated_edge_cluster_chosen_first=1,wld_az1_host_fqdns,IF(wld_dedicated_edge_cluster_chosen_first=2,wld_az1_rack2_host_fqdns,IF(wld_dedicated_edge_cluster_chosen_first=3,wld_az1_rack3_host_fqdns,IF(wld_dedicated_edge_cluster_chosen_first=4,wld_az1_rack4_host_fqdns,IF(wld_dedicated_edge_cluster_chosen_first=5,wld_az1_rack5_host_fqdns,IF(wld_dedicated_edge_cluster_chosen_first=6,wld_az1_rack6_host_fqdns,IF(wld_dedicated_edge_cluster_chosen_first=7,wld_az1_rack7_host_fqdns,IF(wld_dedicated_edge_cluster_chosen_first=8,wld_az1_rack8_host_fqdns,""))))))))</f>
        <v/>
      </c>
    </row>
    <row r="394" spans="2:3">
      <c r="B394" s="18"/>
      <c r="C394" s="18"/>
    </row>
    <row r="395" spans="2:3">
      <c r="B395" s="18"/>
      <c r="C395" s="18"/>
    </row>
    <row r="396" spans="2:3">
      <c r="B396" s="18"/>
      <c r="C396" s="18"/>
    </row>
    <row r="397" spans="2:3">
      <c r="B397" s="18"/>
      <c r="C397" s="18"/>
    </row>
    <row r="398" spans="2:3">
      <c r="B398" s="18"/>
      <c r="C398" s="18"/>
    </row>
    <row r="399" spans="2:3">
      <c r="B399" s="18"/>
      <c r="C399" s="18"/>
    </row>
    <row r="400" spans="2:3">
      <c r="B400" s="18"/>
      <c r="C400" s="18"/>
    </row>
    <row r="401" spans="2:3">
      <c r="B401" s="18"/>
      <c r="C401" s="18"/>
    </row>
    <row r="402" spans="2:3">
      <c r="B402" s="18"/>
      <c r="C402" s="18"/>
    </row>
    <row r="403" spans="2:3">
      <c r="B403" s="18"/>
      <c r="C403" s="18"/>
    </row>
    <row r="404" spans="2:3">
      <c r="B404" s="18"/>
      <c r="C404" s="18"/>
    </row>
    <row r="405" spans="2:3">
      <c r="B405" s="18"/>
      <c r="C405" s="18"/>
    </row>
    <row r="406" spans="2:3">
      <c r="B406" s="18"/>
      <c r="C406" s="18"/>
    </row>
    <row r="407" spans="2:3">
      <c r="B407" s="18"/>
      <c r="C407" s="18"/>
    </row>
    <row r="408" spans="2:3">
      <c r="B408" s="18"/>
      <c r="C408" s="18"/>
    </row>
    <row r="409" spans="2:3">
      <c r="B409" s="18">
        <f>COUNTIF(_xlfn.ANCHORARRAY(B393),"Edge")</f>
        <v>0</v>
      </c>
      <c r="C409" s="18"/>
    </row>
    <row r="410" spans="2:3" ht="17">
      <c r="B410" s="2" t="s">
        <v>4206</v>
      </c>
      <c r="C410" s="2" t="s">
        <v>3975</v>
      </c>
    </row>
    <row r="411" spans="2:3">
      <c r="B411" s="18" t="str" cm="1">
        <f t="array" ref="B411">IF(wld_dedicated_edge_cluster_chosen_second=1,input_wld_az1_host_functions,IF(wld_dedicated_edge_cluster_chosen_second=2,input_wld_az1_rack2_host_functions,IF(wld_dedicated_edge_cluster_chosen_second=3,input_wld_az1_rack3_host_functions,IF(wld_dedicated_edge_cluster_chosen_second=4,input_wld_az1_rack4_host_functions,IF(wld_dedicated_edge_cluster_chosen_second=5,input_wld_az1_rack5_host_functions,IF(wld_dedicated_edge_cluster_chosen_second=6,input_wld_az1_rack6_host_functions,IF(wld_dedicated_edge_cluster_chosen_second=7,input_wld_az1_rack7_host_functions,IF(wld_dedicated_edge_cluster_chosen_second=8,input_wld_az1_rack8_host_functions,""))))))))</f>
        <v/>
      </c>
      <c r="C411" s="18" t="str" cm="1">
        <f t="array" ref="C411">IF(wld_dedicated_edge_cluster_chosen_second=1,wld_az1_host_fqdns,IF(wld_dedicated_edge_cluster_chosen_second=2,wld_az1_rack2_host_fqdns,IF(wld_dedicated_edge_cluster_chosen_second=3,wld_az1_rack3_host_fqdns,IF(wld_dedicated_edge_cluster_chosen_second=4,wld_az1_rack4_host_fqdns,IF(wld_dedicated_edge_cluster_chosen_second=5,wld_az1_rack5_host_fqdns,IF(wld_dedicated_edge_cluster_chosen_second=6,wld_az1_rack6_host_fqdns,IF(wld_dedicated_edge_cluster_chosen_second=7,wld_az1_rack7_host_fqdns,IF(wld_dedicated_edge_cluster_chosen_second=8,wld_az1_rack8_host_fqdns,""))))))))</f>
        <v/>
      </c>
    </row>
    <row r="412" spans="2:3">
      <c r="B412" s="18"/>
      <c r="C412" s="18"/>
    </row>
    <row r="413" spans="2:3">
      <c r="B413" s="18"/>
      <c r="C413" s="18"/>
    </row>
    <row r="414" spans="2:3">
      <c r="B414" s="18"/>
      <c r="C414" s="18"/>
    </row>
    <row r="415" spans="2:3">
      <c r="B415" s="18"/>
      <c r="C415" s="18"/>
    </row>
    <row r="416" spans="2:3">
      <c r="B416" s="18"/>
      <c r="C416" s="18"/>
    </row>
    <row r="417" spans="2:14">
      <c r="B417" s="18"/>
      <c r="C417" s="18"/>
    </row>
    <row r="418" spans="2:14">
      <c r="B418" s="18"/>
      <c r="C418" s="18"/>
    </row>
    <row r="419" spans="2:14">
      <c r="B419" s="18"/>
      <c r="C419" s="18"/>
    </row>
    <row r="420" spans="2:14">
      <c r="B420" s="18"/>
      <c r="C420" s="18"/>
    </row>
    <row r="421" spans="2:14">
      <c r="B421" s="18"/>
      <c r="C421" s="18"/>
    </row>
    <row r="422" spans="2:14">
      <c r="B422" s="18"/>
      <c r="C422" s="18"/>
    </row>
    <row r="423" spans="2:14">
      <c r="B423" s="18"/>
      <c r="C423" s="18"/>
    </row>
    <row r="424" spans="2:14">
      <c r="B424" s="18"/>
      <c r="C424" s="18"/>
    </row>
    <row r="425" spans="2:14">
      <c r="B425" s="18"/>
      <c r="C425" s="18"/>
    </row>
    <row r="426" spans="2:14">
      <c r="B426" s="18"/>
      <c r="C426" s="18"/>
    </row>
    <row r="427" spans="2:14">
      <c r="B427" s="18">
        <f>COUNTIF(_xlfn.ANCHORARRAY(B411),"Edge")</f>
        <v>0</v>
      </c>
      <c r="C427" s="18"/>
    </row>
    <row r="428" spans="2:14" ht="34">
      <c r="E428" s="2" t="s">
        <v>4332</v>
      </c>
    </row>
    <row r="429" spans="2:14" ht="17">
      <c r="E429" s="249" t="str" cm="1">
        <f t="array" ref="E429">_xlfn._xlws.FILTER(C429:C556,"Dedicated Compute"=B429:B556,"")</f>
        <v/>
      </c>
    </row>
    <row r="430" spans="2:14" ht="68">
      <c r="B430" s="2" t="s">
        <v>4206</v>
      </c>
      <c r="C430" s="2" t="s">
        <v>1799</v>
      </c>
      <c r="E430" s="249"/>
      <c r="F430" s="2" t="s">
        <v>4333</v>
      </c>
      <c r="G430" s="2" t="s">
        <v>4334</v>
      </c>
      <c r="H430" s="2" t="s">
        <v>4334</v>
      </c>
      <c r="I430" s="2" t="s">
        <v>4335</v>
      </c>
      <c r="J430" s="2" t="s">
        <v>4336</v>
      </c>
      <c r="K430" s="2" t="s">
        <v>4336</v>
      </c>
      <c r="L430" s="2" t="s">
        <v>4337</v>
      </c>
      <c r="M430" s="2" t="s">
        <v>4338</v>
      </c>
      <c r="N430" s="2" t="s">
        <v>4339</v>
      </c>
    </row>
    <row r="431" spans="2:14" ht="20" customHeight="1">
      <c r="B431" s="18" t="str" cm="1">
        <f t="array" ref="B431:B446">input_wld_az1_host_functions</f>
        <v>Value Missing</v>
      </c>
      <c r="C431" s="18" t="str" cm="1">
        <f t="array" ref="C431:C446">wld_az1_host_fqdns</f>
        <v>Value Missing.Value Missing</v>
      </c>
      <c r="E431" s="249"/>
      <c r="F431" s="18" t="str">
        <f>E429</f>
        <v/>
      </c>
      <c r="G431" s="16" cm="1">
        <f t="array" ref="G431">INDEX('Value Reference Tables - MR'!F99:AA99,MATCH(TRUE,EXACT('Value Reference Tables - MR'!F178:AA178,'Static Reference Tables'!F431),0))</f>
        <v>0</v>
      </c>
      <c r="H431" s="18" cm="1">
        <f t="array" ref="H431">INDEX('Value Reference Tables - MR'!F101:AA101,MATCH(TRUE,EXACT('Value Reference Tables - MR'!F178:AA178,'Static Reference Tables'!F431),0))</f>
        <v>0</v>
      </c>
      <c r="I431" s="18" cm="1">
        <f t="array" ref="I431">INDEX('Value Reference Tables - MR'!F102:AA102,MATCH(TRUE,EXACT('Value Reference Tables - MR'!F178:AA178,'Static Reference Tables'!F431),0))</f>
        <v>0</v>
      </c>
      <c r="J431" s="18" cm="1">
        <f t="array" ref="J431">INDEX('Value Reference Tables - MR'!F87:AA87,MATCH(TRUE,EXACT('Value Reference Tables - MR'!F178:AA178,'Static Reference Tables'!F431),0))</f>
        <v>0</v>
      </c>
      <c r="K431" s="18" cm="1">
        <f t="array" ref="K431">INDEX('Value Reference Tables - MR'!F88:AA88,MATCH(TRUE,EXACT('Value Reference Tables - MR'!F178:AA178,'Static Reference Tables'!F431),0))</f>
        <v>0</v>
      </c>
      <c r="L431" s="18" cm="1">
        <f t="array" ref="L431">INDEX('Value Reference Tables - MR'!F12:AA12,MATCH(TRUE,EXACT('Value Reference Tables - MR'!F178:AA178,'Static Reference Tables'!F431),0))</f>
        <v>0</v>
      </c>
      <c r="M431" s="18" cm="1">
        <f t="array" ref="M431">INDEX('Value Reference Tables - MR'!F26:AA26,MATCH(TRUE,EXACT('Value Reference Tables - MR'!F178:AA178,'Static Reference Tables'!F431),0))</f>
        <v>0</v>
      </c>
      <c r="N431" s="18" cm="1">
        <f t="array" ref="N431">INDEX('Value Reference Tables - MR'!F40:AA40,MATCH(TRUE,EXACT('Value Reference Tables - MR'!F178:AA178,'Static Reference Tables'!F431),0))</f>
        <v>0</v>
      </c>
    </row>
    <row r="432" spans="2:14" ht="20" customHeight="1">
      <c r="B432" s="18" t="str">
        <v>Value Missing</v>
      </c>
      <c r="C432" s="18" t="str">
        <v>Value Missing.Value Missing</v>
      </c>
      <c r="E432" s="249"/>
      <c r="F432" s="18" t="e">
        <f ca="1">OFFSET($E$429,ROW(F1)*wld_compute_hosts_per_rack_chosen,0,1,1)</f>
        <v>#VALUE!</v>
      </c>
      <c r="G432" s="16" t="e" cm="1">
        <f t="array" aca="1" ref="G432" ca="1">INDEX('Value Reference Tables - MR'!F99:AA99,MATCH(TRUE,EXACT('Value Reference Tables - MR'!F178:AA178,'Static Reference Tables'!F432),0))</f>
        <v>#N/A</v>
      </c>
      <c r="H432" s="18" t="e" cm="1">
        <f t="array" aca="1" ref="H432" ca="1">INDEX('Value Reference Tables - MR'!F101:AA101,MATCH(TRUE,EXACT('Value Reference Tables - MR'!F178:AA178,'Static Reference Tables'!F432),0))</f>
        <v>#N/A</v>
      </c>
      <c r="I432" s="18" t="e" cm="1">
        <f t="array" aca="1" ref="I432" ca="1">INDEX('Value Reference Tables - MR'!F102:AA102,MATCH(TRUE,EXACT('Value Reference Tables - MR'!F178:AA178,'Static Reference Tables'!F432),0))</f>
        <v>#N/A</v>
      </c>
      <c r="J432" s="18" t="e" cm="1">
        <f t="array" aca="1" ref="J432" ca="1">INDEX('Value Reference Tables - MR'!F87:AA87,MATCH(TRUE,EXACT('Value Reference Tables - MR'!F178:AA178,'Static Reference Tables'!F432),0))</f>
        <v>#N/A</v>
      </c>
      <c r="K432" s="18" t="e" cm="1">
        <f t="array" aca="1" ref="K432" ca="1">INDEX('Value Reference Tables - MR'!F88:AA88,MATCH(TRUE,EXACT('Value Reference Tables - MR'!F178:AA178,'Static Reference Tables'!F432),0))</f>
        <v>#N/A</v>
      </c>
      <c r="L432" s="18" t="e" cm="1">
        <f t="array" aca="1" ref="L432" ca="1">INDEX('Value Reference Tables - MR'!F12:AA12,MATCH(TRUE,EXACT('Value Reference Tables - MR'!F178:AA178,'Static Reference Tables'!F432),0))</f>
        <v>#N/A</v>
      </c>
      <c r="M432" s="18" t="e" cm="1">
        <f t="array" aca="1" ref="M432" ca="1">INDEX('Value Reference Tables - MR'!F26:AA26,MATCH(TRUE,EXACT('Value Reference Tables - MR'!F178:AA178,'Static Reference Tables'!F432),0))</f>
        <v>#N/A</v>
      </c>
      <c r="N432" s="18" t="e" cm="1">
        <f t="array" aca="1" ref="N432" ca="1">INDEX('Value Reference Tables - MR'!F40:AA40,MATCH(TRUE,EXACT('Value Reference Tables - MR'!F178:AA178,'Static Reference Tables'!F432),0))</f>
        <v>#N/A</v>
      </c>
    </row>
    <row r="433" spans="2:14" ht="20" customHeight="1">
      <c r="B433" s="18" t="str">
        <v>Value Missing</v>
      </c>
      <c r="C433" s="18" t="str">
        <v>Value Missing.Value Missing</v>
      </c>
      <c r="E433" s="249"/>
      <c r="F433" s="18" t="e">
        <f ca="1">OFFSET($E$429,ROW(F2)*wld_compute_hosts_per_rack_chosen,0,1,1)</f>
        <v>#VALUE!</v>
      </c>
      <c r="G433" s="16" t="e" cm="1">
        <f t="array" aca="1" ref="G433" ca="1">INDEX('Value Reference Tables - MR'!F99:AA99,MATCH(TRUE,EXACT('Value Reference Tables - MR'!F178:AA178,'Static Reference Tables'!F433),0))</f>
        <v>#N/A</v>
      </c>
      <c r="H433" s="18" t="e" cm="1">
        <f t="array" aca="1" ref="H433" ca="1">INDEX('Value Reference Tables - MR'!F101:AA101,MATCH(TRUE,EXACT('Value Reference Tables - MR'!F178:AA178,'Static Reference Tables'!F433),0))</f>
        <v>#N/A</v>
      </c>
      <c r="I433" s="18" t="e" cm="1">
        <f t="array" aca="1" ref="I433" ca="1">INDEX('Value Reference Tables - MR'!F102:AA102,MATCH(TRUE,EXACT('Value Reference Tables - MR'!F178:AA178,'Static Reference Tables'!F433),0))</f>
        <v>#N/A</v>
      </c>
      <c r="J433" s="18" t="e" cm="1">
        <f t="array" aca="1" ref="J433" ca="1">INDEX('Value Reference Tables - MR'!F87:AA87,MATCH(TRUE,EXACT('Value Reference Tables - MR'!F178:AA178,'Static Reference Tables'!F433),0))</f>
        <v>#N/A</v>
      </c>
      <c r="K433" s="18" t="e" cm="1">
        <f t="array" aca="1" ref="K433" ca="1">INDEX('Value Reference Tables - MR'!F88:AA88,MATCH(TRUE,EXACT('Value Reference Tables - MR'!F178:AA178,'Static Reference Tables'!F433),0))</f>
        <v>#N/A</v>
      </c>
      <c r="L433" s="18" t="e" cm="1">
        <f t="array" aca="1" ref="L433" ca="1">INDEX('Value Reference Tables - MR'!F12:AA12,MATCH(TRUE,EXACT('Value Reference Tables - MR'!F178:AA178,'Static Reference Tables'!F433),0))</f>
        <v>#N/A</v>
      </c>
      <c r="M433" s="18" t="e" cm="1">
        <f t="array" aca="1" ref="M433" ca="1">INDEX('Value Reference Tables - MR'!F26:AA26,MATCH(TRUE,EXACT('Value Reference Tables - MR'!F178:AA178,'Static Reference Tables'!F433),0))</f>
        <v>#N/A</v>
      </c>
      <c r="N433" s="18" t="e" cm="1">
        <f t="array" aca="1" ref="N433" ca="1">INDEX('Value Reference Tables - MR'!F40:AA40,MATCH(TRUE,EXACT('Value Reference Tables - MR'!F178:AA178,'Static Reference Tables'!F433),0))</f>
        <v>#N/A</v>
      </c>
    </row>
    <row r="434" spans="2:14" ht="20" customHeight="1">
      <c r="B434" s="18" t="str">
        <v>Value Missing</v>
      </c>
      <c r="C434" s="18" t="str">
        <v>Value Missing.Value Missing</v>
      </c>
      <c r="E434" s="249"/>
      <c r="F434" s="18" t="e">
        <f ca="1">OFFSET($E$429,ROW(F3)*wld_compute_hosts_per_rack_chosen,0,1,1)</f>
        <v>#VALUE!</v>
      </c>
      <c r="G434" s="16" t="e" cm="1">
        <f t="array" aca="1" ref="G434" ca="1">INDEX('Value Reference Tables - MR'!F99:AA99,MATCH(TRUE,EXACT('Value Reference Tables - MR'!F178:AA178,'Static Reference Tables'!F434),0))</f>
        <v>#N/A</v>
      </c>
      <c r="H434" s="18" t="e" cm="1">
        <f t="array" aca="1" ref="H434" ca="1">INDEX('Value Reference Tables - MR'!F101:AA101,MATCH(TRUE,EXACT('Value Reference Tables - MR'!F178:AA178,'Static Reference Tables'!F434),0))</f>
        <v>#N/A</v>
      </c>
      <c r="I434" s="18" t="e" cm="1">
        <f t="array" aca="1" ref="I434" ca="1">INDEX('Value Reference Tables - MR'!F102:AA102,MATCH(TRUE,EXACT('Value Reference Tables - MR'!F178:AA178,'Static Reference Tables'!F434),0))</f>
        <v>#N/A</v>
      </c>
      <c r="J434" s="18" t="e" cm="1">
        <f t="array" aca="1" ref="J434" ca="1">INDEX('Value Reference Tables - MR'!F87:AA87,MATCH(TRUE,EXACT('Value Reference Tables - MR'!F178:AA178,'Static Reference Tables'!F434),0))</f>
        <v>#N/A</v>
      </c>
      <c r="K434" s="18" t="e" cm="1">
        <f t="array" aca="1" ref="K434" ca="1">INDEX('Value Reference Tables - MR'!F88:AA88,MATCH(TRUE,EXACT('Value Reference Tables - MR'!F178:AA178,'Static Reference Tables'!F434),0))</f>
        <v>#N/A</v>
      </c>
      <c r="L434" s="18" t="e" cm="1">
        <f t="array" aca="1" ref="L434" ca="1">INDEX('Value Reference Tables - MR'!F12:AA12,MATCH(TRUE,EXACT('Value Reference Tables - MR'!F178:AA178,'Static Reference Tables'!F434),0))</f>
        <v>#N/A</v>
      </c>
      <c r="M434" s="18" t="e" cm="1">
        <f t="array" aca="1" ref="M434" ca="1">INDEX('Value Reference Tables - MR'!F26:AA26,MATCH(TRUE,EXACT('Value Reference Tables - MR'!F178:AA178,'Static Reference Tables'!F434),0))</f>
        <v>#N/A</v>
      </c>
      <c r="N434" s="18" t="e" cm="1">
        <f t="array" aca="1" ref="N434" ca="1">INDEX('Value Reference Tables - MR'!F40:AA40,MATCH(TRUE,EXACT('Value Reference Tables - MR'!F178:AA178,'Static Reference Tables'!F434),0))</f>
        <v>#N/A</v>
      </c>
    </row>
    <row r="435" spans="2:14" ht="20" customHeight="1">
      <c r="B435" s="18" t="str">
        <v>Value Missing</v>
      </c>
      <c r="C435" s="18" t="str">
        <v>Value Missing.Value Missing</v>
      </c>
      <c r="E435" s="249"/>
    </row>
    <row r="436" spans="2:14" ht="20" customHeight="1">
      <c r="B436" s="18" t="str">
        <v>Value Missing</v>
      </c>
      <c r="C436" s="18" t="str">
        <v>Value Missing.Value Missing</v>
      </c>
      <c r="E436" s="249"/>
    </row>
    <row r="437" spans="2:14" ht="20" customHeight="1">
      <c r="B437" s="18" t="str">
        <v>Value Missing</v>
      </c>
      <c r="C437" s="18" t="str">
        <v>Value Missing.Value Missing</v>
      </c>
      <c r="E437" s="251"/>
    </row>
    <row r="438" spans="2:14" ht="20" customHeight="1">
      <c r="B438" s="18" t="str">
        <v>Value Missing</v>
      </c>
      <c r="C438" s="18" t="str">
        <v>Value Missing.Value Missing</v>
      </c>
      <c r="E438" s="251"/>
    </row>
    <row r="439" spans="2:14" ht="20" customHeight="1">
      <c r="B439" s="18" t="str">
        <v>Value Missing</v>
      </c>
      <c r="C439" s="18" t="str">
        <v>Value Missing.Value Missing</v>
      </c>
      <c r="E439" s="251"/>
    </row>
    <row r="440" spans="2:14" ht="20" customHeight="1">
      <c r="B440" s="18" t="str">
        <v>Value Missing</v>
      </c>
      <c r="C440" s="18" t="str">
        <v>Value Missing.Value Missing</v>
      </c>
      <c r="E440" s="251"/>
    </row>
    <row r="441" spans="2:14" ht="20" customHeight="1">
      <c r="B441" s="18" t="str">
        <v>Value Missing</v>
      </c>
      <c r="C441" s="18" t="str">
        <v>Value Missing.Value Missing</v>
      </c>
      <c r="E441" s="251"/>
    </row>
    <row r="442" spans="2:14" ht="20" customHeight="1">
      <c r="B442" s="18" t="str">
        <v>Value Missing</v>
      </c>
      <c r="C442" s="18" t="str">
        <v>Value Missing.Value Missing</v>
      </c>
      <c r="E442" s="251"/>
    </row>
    <row r="443" spans="2:14" ht="20" customHeight="1">
      <c r="B443" s="18" t="str">
        <v>Value Missing</v>
      </c>
      <c r="C443" s="18" t="str">
        <v>Value Missing.Value Missing</v>
      </c>
      <c r="E443" s="250"/>
    </row>
    <row r="444" spans="2:14">
      <c r="B444" s="18" t="str">
        <v>Value Missing</v>
      </c>
      <c r="C444" s="18" t="str">
        <v>Value Missing.Value Missing</v>
      </c>
      <c r="E444" s="250"/>
    </row>
    <row r="445" spans="2:14">
      <c r="B445" s="18" t="str">
        <v>Value Missing</v>
      </c>
      <c r="C445" s="18" t="str">
        <v>Value Missing.Value Missing</v>
      </c>
      <c r="E445" s="250"/>
    </row>
    <row r="446" spans="2:14">
      <c r="B446" s="18" t="str">
        <v>Value Missing</v>
      </c>
      <c r="C446" s="18" t="str">
        <v>Value Missing.Value Missing</v>
      </c>
      <c r="E446" s="250"/>
    </row>
    <row r="447" spans="2:14">
      <c r="B447" s="18" t="str" cm="1">
        <f t="array" ref="B447:B462">input_wld_az1_rack2_host_functions</f>
        <v>Value Missing</v>
      </c>
      <c r="C447" s="18" t="str" cm="1">
        <f t="array" ref="C447:C462">wld_az1_rack2_host_fqdns</f>
        <v>Value Missing.Value Missing</v>
      </c>
    </row>
    <row r="448" spans="2:14">
      <c r="B448" s="18" t="str">
        <v>Value Missing</v>
      </c>
      <c r="C448" s="18" t="str">
        <v>Value Missing.Value Missing</v>
      </c>
    </row>
    <row r="449" spans="2:3">
      <c r="B449" s="18" t="str">
        <v>Value Missing</v>
      </c>
      <c r="C449" s="18" t="str">
        <v>Value Missing.Value Missing</v>
      </c>
    </row>
    <row r="450" spans="2:3">
      <c r="B450" s="18" t="str">
        <v>Value Missing</v>
      </c>
      <c r="C450" s="18" t="str">
        <v>Value Missing.Value Missing</v>
      </c>
    </row>
    <row r="451" spans="2:3">
      <c r="B451" s="18" t="str">
        <v>Value Missing</v>
      </c>
      <c r="C451" s="18" t="str">
        <v>Value Missing.Value Missing</v>
      </c>
    </row>
    <row r="452" spans="2:3">
      <c r="B452" s="18" t="str">
        <v>Value Missing</v>
      </c>
      <c r="C452" s="18" t="str">
        <v>Value Missing.Value Missing</v>
      </c>
    </row>
    <row r="453" spans="2:3">
      <c r="B453" s="18" t="str">
        <v>Value Missing</v>
      </c>
      <c r="C453" s="18" t="str">
        <v>Value Missing.Value Missing</v>
      </c>
    </row>
    <row r="454" spans="2:3">
      <c r="B454" s="18" t="str">
        <v>Value Missing</v>
      </c>
      <c r="C454" s="18" t="str">
        <v>Value Missing.Value Missing</v>
      </c>
    </row>
    <row r="455" spans="2:3">
      <c r="B455" s="18" t="str">
        <v>Value Missing</v>
      </c>
      <c r="C455" s="18" t="str">
        <v>Value Missing.Value Missing</v>
      </c>
    </row>
    <row r="456" spans="2:3">
      <c r="B456" s="18" t="str">
        <v>Value Missing</v>
      </c>
      <c r="C456" s="18" t="str">
        <v>Value Missing.Value Missing</v>
      </c>
    </row>
    <row r="457" spans="2:3">
      <c r="B457" s="18" t="str">
        <v>Value Missing</v>
      </c>
      <c r="C457" s="18" t="str">
        <v>Value Missing.Value Missing</v>
      </c>
    </row>
    <row r="458" spans="2:3">
      <c r="B458" s="18" t="str">
        <v>Value Missing</v>
      </c>
      <c r="C458" s="18" t="str">
        <v>Value Missing.Value Missing</v>
      </c>
    </row>
    <row r="459" spans="2:3">
      <c r="B459" s="18" t="str">
        <v>Value Missing</v>
      </c>
      <c r="C459" s="18" t="str">
        <v>Value Missing.Value Missing</v>
      </c>
    </row>
    <row r="460" spans="2:3">
      <c r="B460" s="18" t="str">
        <v>Value Missing</v>
      </c>
      <c r="C460" s="18" t="str">
        <v>Value Missing.Value Missing</v>
      </c>
    </row>
    <row r="461" spans="2:3">
      <c r="B461" s="18" t="str">
        <v>Value Missing</v>
      </c>
      <c r="C461" s="18" t="str">
        <v>Value Missing.Value Missing</v>
      </c>
    </row>
    <row r="462" spans="2:3">
      <c r="B462" s="18" t="str">
        <v>Value Missing</v>
      </c>
      <c r="C462" s="18" t="str">
        <v>Value Missing.Value Missing</v>
      </c>
    </row>
    <row r="463" spans="2:3">
      <c r="B463" s="18" t="str" cm="1">
        <f t="array" ref="B463:B478">input_wld_az1_rack3_host_functions</f>
        <v>Value Missing</v>
      </c>
      <c r="C463" s="18" t="str" cm="1">
        <f t="array" ref="C463:C478">wld_az1_rack3_host_fqdns</f>
        <v>Value Missing.Value Missing</v>
      </c>
    </row>
    <row r="464" spans="2:3">
      <c r="B464" s="18" t="str">
        <v>Value Missing</v>
      </c>
      <c r="C464" s="18" t="str">
        <v>Value Missing.Value Missing</v>
      </c>
    </row>
    <row r="465" spans="2:3">
      <c r="B465" s="18" t="str">
        <v>Value Missing</v>
      </c>
      <c r="C465" s="18" t="str">
        <v>Value Missing.Value Missing</v>
      </c>
    </row>
    <row r="466" spans="2:3">
      <c r="B466" s="18" t="str">
        <v>Value Missing</v>
      </c>
      <c r="C466" s="18" t="str">
        <v>Value Missing.Value Missing</v>
      </c>
    </row>
    <row r="467" spans="2:3">
      <c r="B467" s="18" t="str">
        <v>Value Missing</v>
      </c>
      <c r="C467" s="18" t="str">
        <v>Value Missing.Value Missing</v>
      </c>
    </row>
    <row r="468" spans="2:3">
      <c r="B468" s="18" t="str">
        <v>Value Missing</v>
      </c>
      <c r="C468" s="18" t="str">
        <v>Value Missing.Value Missing</v>
      </c>
    </row>
    <row r="469" spans="2:3">
      <c r="B469" s="18" t="str">
        <v>Value Missing</v>
      </c>
      <c r="C469" s="18" t="str">
        <v>Value Missing.Value Missing</v>
      </c>
    </row>
    <row r="470" spans="2:3">
      <c r="B470" s="18" t="str">
        <v>Value Missing</v>
      </c>
      <c r="C470" s="18" t="str">
        <v>Value Missing.Value Missing</v>
      </c>
    </row>
    <row r="471" spans="2:3">
      <c r="B471" s="18" t="str">
        <v>Value Missing</v>
      </c>
      <c r="C471" s="18" t="str">
        <v>Value Missing.Value Missing</v>
      </c>
    </row>
    <row r="472" spans="2:3">
      <c r="B472" s="18" t="str">
        <v>Value Missing</v>
      </c>
      <c r="C472" s="18" t="str">
        <v>Value Missing.Value Missing</v>
      </c>
    </row>
    <row r="473" spans="2:3">
      <c r="B473" s="18" t="str">
        <v>Value Missing</v>
      </c>
      <c r="C473" s="18" t="str">
        <v>Value Missing.Value Missing</v>
      </c>
    </row>
    <row r="474" spans="2:3">
      <c r="B474" s="18" t="str">
        <v>Value Missing</v>
      </c>
      <c r="C474" s="18" t="str">
        <v>Value Missing.Value Missing</v>
      </c>
    </row>
    <row r="475" spans="2:3">
      <c r="B475" s="18" t="str">
        <v>Value Missing</v>
      </c>
      <c r="C475" s="18" t="str">
        <v>Value Missing.Value Missing</v>
      </c>
    </row>
    <row r="476" spans="2:3">
      <c r="B476" s="18" t="str">
        <v>Value Missing</v>
      </c>
      <c r="C476" s="18" t="str">
        <v>Value Missing.Value Missing</v>
      </c>
    </row>
    <row r="477" spans="2:3">
      <c r="B477" s="18" t="str">
        <v>Value Missing</v>
      </c>
      <c r="C477" s="18" t="str">
        <v>Value Missing.Value Missing</v>
      </c>
    </row>
    <row r="478" spans="2:3">
      <c r="B478" s="18" t="str">
        <v>Value Missing</v>
      </c>
      <c r="C478" s="18" t="str">
        <v>Value Missing.Value Missing</v>
      </c>
    </row>
    <row r="479" spans="2:3">
      <c r="B479" s="18" t="str" cm="1">
        <f t="array" ref="B479:B494">input_wld_az1_rack4_host_functions</f>
        <v>Value Missing</v>
      </c>
      <c r="C479" s="18" t="str" cm="1">
        <f t="array" ref="C479:C494">wld_az1_rack4_host_fqdns</f>
        <v>Value Missing.Value Missing</v>
      </c>
    </row>
    <row r="480" spans="2:3">
      <c r="B480" s="18" t="str">
        <v>Value Missing</v>
      </c>
      <c r="C480" s="18" t="str">
        <v>Value Missing.Value Missing</v>
      </c>
    </row>
    <row r="481" spans="2:3">
      <c r="B481" s="18" t="str">
        <v>Value Missing</v>
      </c>
      <c r="C481" s="18" t="str">
        <v>Value Missing.Value Missing</v>
      </c>
    </row>
    <row r="482" spans="2:3">
      <c r="B482" s="18" t="str">
        <v>Value Missing</v>
      </c>
      <c r="C482" s="18" t="str">
        <v>Value Missing.Value Missing</v>
      </c>
    </row>
    <row r="483" spans="2:3">
      <c r="B483" s="18" t="str">
        <v>Value Missing</v>
      </c>
      <c r="C483" s="18" t="str">
        <v>Value Missing.Value Missing</v>
      </c>
    </row>
    <row r="484" spans="2:3">
      <c r="B484" s="18" t="str">
        <v>Value Missing</v>
      </c>
      <c r="C484" s="18" t="str">
        <v>Value Missing.Value Missing</v>
      </c>
    </row>
    <row r="485" spans="2:3">
      <c r="B485" s="18" t="str">
        <v>Value Missing</v>
      </c>
      <c r="C485" s="18" t="str">
        <v>Value Missing.Value Missing</v>
      </c>
    </row>
    <row r="486" spans="2:3">
      <c r="B486" s="18" t="str">
        <v>Value Missing</v>
      </c>
      <c r="C486" s="18" t="str">
        <v>Value Missing.Value Missing</v>
      </c>
    </row>
    <row r="487" spans="2:3">
      <c r="B487" s="18" t="str">
        <v>Value Missing</v>
      </c>
      <c r="C487" s="18" t="str">
        <v>Value Missing.Value Missing</v>
      </c>
    </row>
    <row r="488" spans="2:3">
      <c r="B488" s="18" t="str">
        <v>Value Missing</v>
      </c>
      <c r="C488" s="18" t="str">
        <v>Value Missing.Value Missing</v>
      </c>
    </row>
    <row r="489" spans="2:3">
      <c r="B489" s="18" t="str">
        <v>Value Missing</v>
      </c>
      <c r="C489" s="18" t="str">
        <v>Value Missing.Value Missing</v>
      </c>
    </row>
    <row r="490" spans="2:3">
      <c r="B490" s="18" t="str">
        <v>Value Missing</v>
      </c>
      <c r="C490" s="18" t="str">
        <v>Value Missing.Value Missing</v>
      </c>
    </row>
    <row r="491" spans="2:3">
      <c r="B491" s="18" t="str">
        <v>Value Missing</v>
      </c>
      <c r="C491" s="18" t="str">
        <v>Value Missing.Value Missing</v>
      </c>
    </row>
    <row r="492" spans="2:3">
      <c r="B492" s="18" t="str">
        <v>Value Missing</v>
      </c>
      <c r="C492" s="18" t="str">
        <v>Value Missing.Value Missing</v>
      </c>
    </row>
    <row r="493" spans="2:3">
      <c r="B493" s="18" t="str">
        <v>Value Missing</v>
      </c>
      <c r="C493" s="18" t="str">
        <v>Value Missing.Value Missing</v>
      </c>
    </row>
    <row r="494" spans="2:3">
      <c r="B494" s="18" t="str">
        <v>Value Missing</v>
      </c>
      <c r="C494" s="18" t="str">
        <v>Value Missing.Value Missing</v>
      </c>
    </row>
    <row r="495" spans="2:3">
      <c r="B495" s="18" t="str" cm="1">
        <f t="array" ref="B495:B510">input_wld_az1_rack5_host_functions</f>
        <v>Value Missing</v>
      </c>
      <c r="C495" s="18" t="str" cm="1">
        <f t="array" ref="C495:C510">wld_az1_rack5_host_fqdns</f>
        <v>Value Missing.Value Missing</v>
      </c>
    </row>
    <row r="496" spans="2:3">
      <c r="B496" s="18" t="str">
        <v>Value Missing</v>
      </c>
      <c r="C496" s="18" t="str">
        <v>Value Missing.Value Missing</v>
      </c>
    </row>
    <row r="497" spans="2:3">
      <c r="B497" s="18" t="str">
        <v>Value Missing</v>
      </c>
      <c r="C497" s="18" t="str">
        <v>Value Missing.Value Missing</v>
      </c>
    </row>
    <row r="498" spans="2:3">
      <c r="B498" s="18" t="str">
        <v>Value Missing</v>
      </c>
      <c r="C498" s="18" t="str">
        <v>Value Missing.Value Missing</v>
      </c>
    </row>
    <row r="499" spans="2:3">
      <c r="B499" s="18" t="str">
        <v>Value Missing</v>
      </c>
      <c r="C499" s="18" t="str">
        <v>Value Missing.Value Missing</v>
      </c>
    </row>
    <row r="500" spans="2:3">
      <c r="B500" s="18" t="str">
        <v>Value Missing</v>
      </c>
      <c r="C500" s="18" t="str">
        <v>Value Missing.Value Missing</v>
      </c>
    </row>
    <row r="501" spans="2:3">
      <c r="B501" s="18" t="str">
        <v>Value Missing</v>
      </c>
      <c r="C501" s="18" t="str">
        <v>Value Missing.Value Missing</v>
      </c>
    </row>
    <row r="502" spans="2:3">
      <c r="B502" s="18" t="str">
        <v>Value Missing</v>
      </c>
      <c r="C502" s="18" t="str">
        <v>Value Missing.Value Missing</v>
      </c>
    </row>
    <row r="503" spans="2:3">
      <c r="B503" s="18" t="str">
        <v>Value Missing</v>
      </c>
      <c r="C503" s="18" t="str">
        <v>Value Missing.Value Missing</v>
      </c>
    </row>
    <row r="504" spans="2:3">
      <c r="B504" s="18" t="str">
        <v>Value Missing</v>
      </c>
      <c r="C504" s="18" t="str">
        <v>Value Missing.Value Missing</v>
      </c>
    </row>
    <row r="505" spans="2:3">
      <c r="B505" s="18" t="str">
        <v>Value Missing</v>
      </c>
      <c r="C505" s="18" t="str">
        <v>Value Missing.Value Missing</v>
      </c>
    </row>
    <row r="506" spans="2:3">
      <c r="B506" s="18" t="str">
        <v>Value Missing</v>
      </c>
      <c r="C506" s="18" t="str">
        <v>Value Missing.Value Missing</v>
      </c>
    </row>
    <row r="507" spans="2:3">
      <c r="B507" s="18" t="str">
        <v>Value Missing</v>
      </c>
      <c r="C507" s="18" t="str">
        <v>Value Missing.Value Missing</v>
      </c>
    </row>
    <row r="508" spans="2:3">
      <c r="B508" s="18" t="str">
        <v>Value Missing</v>
      </c>
      <c r="C508" s="18" t="str">
        <v>Value Missing.Value Missing</v>
      </c>
    </row>
    <row r="509" spans="2:3">
      <c r="B509" s="18" t="str">
        <v>Value Missing</v>
      </c>
      <c r="C509" s="18" t="str">
        <v>Value Missing.Value Missing</v>
      </c>
    </row>
    <row r="510" spans="2:3">
      <c r="B510" s="18" t="str">
        <v>Value Missing</v>
      </c>
      <c r="C510" s="18" t="str">
        <v>Value Missing.Value Missing</v>
      </c>
    </row>
    <row r="511" spans="2:3">
      <c r="B511" s="18" t="str" cm="1">
        <f t="array" ref="B511:B526">input_wld_az1_rack6_host_functions</f>
        <v>Value Missing</v>
      </c>
      <c r="C511" s="18" t="str" cm="1">
        <f t="array" ref="C511:C526">wld_az1_rack6_host_fqdns</f>
        <v>Value Missing.Value Missing</v>
      </c>
    </row>
    <row r="512" spans="2:3">
      <c r="B512" s="18" t="str">
        <v>Value Missing</v>
      </c>
      <c r="C512" s="18" t="str">
        <v>Value Missing.Value Missing</v>
      </c>
    </row>
    <row r="513" spans="2:3">
      <c r="B513" s="18" t="str">
        <v>Value Missing</v>
      </c>
      <c r="C513" s="18" t="str">
        <v>Value Missing.Value Missing</v>
      </c>
    </row>
    <row r="514" spans="2:3">
      <c r="B514" s="18" t="str">
        <v>Value Missing</v>
      </c>
      <c r="C514" s="18" t="str">
        <v>Value Missing.Value Missing</v>
      </c>
    </row>
    <row r="515" spans="2:3">
      <c r="B515" s="18" t="str">
        <v>Value Missing</v>
      </c>
      <c r="C515" s="18" t="str">
        <v>Value Missing.Value Missing</v>
      </c>
    </row>
    <row r="516" spans="2:3">
      <c r="B516" s="18" t="str">
        <v>Value Missing</v>
      </c>
      <c r="C516" s="18" t="str">
        <v>Value Missing.Value Missing</v>
      </c>
    </row>
    <row r="517" spans="2:3">
      <c r="B517" s="18" t="str">
        <v>Value Missing</v>
      </c>
      <c r="C517" s="18" t="str">
        <v>Value Missing.Value Missing</v>
      </c>
    </row>
    <row r="518" spans="2:3">
      <c r="B518" s="18" t="str">
        <v>Value Missing</v>
      </c>
      <c r="C518" s="18" t="str">
        <v>Value Missing.Value Missing</v>
      </c>
    </row>
    <row r="519" spans="2:3">
      <c r="B519" s="18" t="str">
        <v>Value Missing</v>
      </c>
      <c r="C519" s="18" t="str">
        <v>Value Missing.Value Missing</v>
      </c>
    </row>
    <row r="520" spans="2:3">
      <c r="B520" s="18" t="str">
        <v>Value Missing</v>
      </c>
      <c r="C520" s="18" t="str">
        <v>Value Missing.Value Missing</v>
      </c>
    </row>
    <row r="521" spans="2:3">
      <c r="B521" s="18" t="str">
        <v>Value Missing</v>
      </c>
      <c r="C521" s="18" t="str">
        <v>Value Missing.Value Missing</v>
      </c>
    </row>
    <row r="522" spans="2:3">
      <c r="B522" s="18" t="str">
        <v>Value Missing</v>
      </c>
      <c r="C522" s="18" t="str">
        <v>Value Missing.Value Missing</v>
      </c>
    </row>
    <row r="523" spans="2:3">
      <c r="B523" s="18" t="str">
        <v>Value Missing</v>
      </c>
      <c r="C523" s="18" t="str">
        <v>Value Missing.Value Missing</v>
      </c>
    </row>
    <row r="524" spans="2:3">
      <c r="B524" s="18" t="str">
        <v>Value Missing</v>
      </c>
      <c r="C524" s="18" t="str">
        <v>Value Missing.Value Missing</v>
      </c>
    </row>
    <row r="525" spans="2:3">
      <c r="B525" s="18" t="str">
        <v>Value Missing</v>
      </c>
      <c r="C525" s="18" t="str">
        <v>Value Missing.Value Missing</v>
      </c>
    </row>
    <row r="526" spans="2:3">
      <c r="B526" s="18" t="str">
        <v>Value Missing</v>
      </c>
      <c r="C526" s="18" t="str">
        <v>Value Missing.Value Missing</v>
      </c>
    </row>
    <row r="527" spans="2:3">
      <c r="B527" s="18" t="str" cm="1">
        <f t="array" ref="B527:B542">input_wld_az1_rack7_host_functions</f>
        <v>Value Missing</v>
      </c>
      <c r="C527" s="18" t="str" cm="1">
        <f t="array" ref="C527:C542">wld_az1_rack7_host_fqdns</f>
        <v>Value Missing.Value Missing</v>
      </c>
    </row>
    <row r="528" spans="2:3">
      <c r="B528" s="18" t="str">
        <v>Value Missing</v>
      </c>
      <c r="C528" s="18" t="str">
        <v>Value Missing.Value Missing</v>
      </c>
    </row>
    <row r="529" spans="2:3">
      <c r="B529" s="18" t="str">
        <v>Value Missing</v>
      </c>
      <c r="C529" s="18" t="str">
        <v>Value Missing.Value Missing</v>
      </c>
    </row>
    <row r="530" spans="2:3">
      <c r="B530" s="18" t="str">
        <v>Value Missing</v>
      </c>
      <c r="C530" s="18" t="str">
        <v>Value Missing.Value Missing</v>
      </c>
    </row>
    <row r="531" spans="2:3">
      <c r="B531" s="18" t="str">
        <v>Value Missing</v>
      </c>
      <c r="C531" s="18" t="str">
        <v>Value Missing.Value Missing</v>
      </c>
    </row>
    <row r="532" spans="2:3">
      <c r="B532" s="18" t="str">
        <v>Value Missing</v>
      </c>
      <c r="C532" s="18" t="str">
        <v>Value Missing.Value Missing</v>
      </c>
    </row>
    <row r="533" spans="2:3">
      <c r="B533" s="18" t="str">
        <v>Value Missing</v>
      </c>
      <c r="C533" s="18" t="str">
        <v>Value Missing.Value Missing</v>
      </c>
    </row>
    <row r="534" spans="2:3">
      <c r="B534" s="18" t="str">
        <v>Value Missing</v>
      </c>
      <c r="C534" s="18" t="str">
        <v>Value Missing.Value Missing</v>
      </c>
    </row>
    <row r="535" spans="2:3">
      <c r="B535" s="18" t="str">
        <v>Value Missing</v>
      </c>
      <c r="C535" s="18" t="str">
        <v>Value Missing.Value Missing</v>
      </c>
    </row>
    <row r="536" spans="2:3">
      <c r="B536" s="18" t="str">
        <v>Value Missing</v>
      </c>
      <c r="C536" s="18" t="str">
        <v>Value Missing.Value Missing</v>
      </c>
    </row>
    <row r="537" spans="2:3">
      <c r="B537" s="18" t="str">
        <v>Value Missing</v>
      </c>
      <c r="C537" s="18" t="str">
        <v>Value Missing.Value Missing</v>
      </c>
    </row>
    <row r="538" spans="2:3">
      <c r="B538" s="18" t="str">
        <v>Value Missing</v>
      </c>
      <c r="C538" s="18" t="str">
        <v>Value Missing.Value Missing</v>
      </c>
    </row>
    <row r="539" spans="2:3">
      <c r="B539" s="18" t="str">
        <v>Value Missing</v>
      </c>
      <c r="C539" s="18" t="str">
        <v>Value Missing.Value Missing</v>
      </c>
    </row>
    <row r="540" spans="2:3">
      <c r="B540" s="18" t="str">
        <v>Value Missing</v>
      </c>
      <c r="C540" s="18" t="str">
        <v>Value Missing.Value Missing</v>
      </c>
    </row>
    <row r="541" spans="2:3">
      <c r="B541" s="18" t="str">
        <v>Value Missing</v>
      </c>
      <c r="C541" s="18" t="str">
        <v>Value Missing.Value Missing</v>
      </c>
    </row>
    <row r="542" spans="2:3">
      <c r="B542" s="18" t="str">
        <v>Value Missing</v>
      </c>
      <c r="C542" s="18" t="str">
        <v>Value Missing.Value Missing</v>
      </c>
    </row>
    <row r="543" spans="2:3">
      <c r="B543" s="18" t="str" cm="1">
        <f t="array" ref="B543:B558">input_wld_az1_rack8_host_functions</f>
        <v>Value Missing</v>
      </c>
      <c r="C543" s="18" t="str" cm="1">
        <f t="array" ref="C543:C558">wld_az1_rack8_host_fqdns</f>
        <v>Value Missing.Value Missing</v>
      </c>
    </row>
    <row r="544" spans="2:3">
      <c r="B544" s="18" t="str">
        <v>Value Missing</v>
      </c>
      <c r="C544" s="18" t="str">
        <v>Value Missing.Value Missing</v>
      </c>
    </row>
    <row r="545" spans="2:5">
      <c r="B545" s="18" t="str">
        <v>Value Missing</v>
      </c>
      <c r="C545" s="18" t="str">
        <v>Value Missing.Value Missing</v>
      </c>
    </row>
    <row r="546" spans="2:5">
      <c r="B546" s="18" t="str">
        <v>Value Missing</v>
      </c>
      <c r="C546" s="18" t="str">
        <v>Value Missing.Value Missing</v>
      </c>
    </row>
    <row r="547" spans="2:5">
      <c r="B547" s="18" t="str">
        <v>Value Missing</v>
      </c>
      <c r="C547" s="18" t="str">
        <v>Value Missing.Value Missing</v>
      </c>
    </row>
    <row r="548" spans="2:5">
      <c r="B548" s="18" t="str">
        <v>Value Missing</v>
      </c>
      <c r="C548" s="18" t="str">
        <v>Value Missing.Value Missing</v>
      </c>
    </row>
    <row r="549" spans="2:5">
      <c r="B549" s="18" t="str">
        <v>Value Missing</v>
      </c>
      <c r="C549" s="18" t="str">
        <v>Value Missing.Value Missing</v>
      </c>
    </row>
    <row r="550" spans="2:5">
      <c r="B550" s="18" t="str">
        <v>Value Missing</v>
      </c>
      <c r="C550" s="18" t="str">
        <v>Value Missing.Value Missing</v>
      </c>
    </row>
    <row r="551" spans="2:5">
      <c r="B551" s="18" t="str">
        <v>Value Missing</v>
      </c>
      <c r="C551" s="18" t="str">
        <v>Value Missing.Value Missing</v>
      </c>
    </row>
    <row r="552" spans="2:5">
      <c r="B552" s="18" t="str">
        <v>Value Missing</v>
      </c>
      <c r="C552" s="18" t="str">
        <v>Value Missing.Value Missing</v>
      </c>
    </row>
    <row r="553" spans="2:5">
      <c r="B553" s="18" t="str">
        <v>Value Missing</v>
      </c>
      <c r="C553" s="18" t="str">
        <v>Value Missing.Value Missing</v>
      </c>
    </row>
    <row r="554" spans="2:5">
      <c r="B554" s="18" t="str">
        <v>Value Missing</v>
      </c>
      <c r="C554" s="18" t="str">
        <v>Value Missing.Value Missing</v>
      </c>
    </row>
    <row r="555" spans="2:5">
      <c r="B555" s="18" t="str">
        <v>Value Missing</v>
      </c>
      <c r="C555" s="18" t="str">
        <v>Value Missing.Value Missing</v>
      </c>
    </row>
    <row r="556" spans="2:5">
      <c r="B556" s="18" t="str">
        <v>Value Missing</v>
      </c>
      <c r="C556" s="18" t="str">
        <v>Value Missing.Value Missing</v>
      </c>
    </row>
    <row r="557" spans="2:5">
      <c r="B557" s="18" t="str">
        <v>Value Missing</v>
      </c>
      <c r="C557" s="18" t="str">
        <v>Value Missing.Value Missing</v>
      </c>
    </row>
    <row r="558" spans="2:5">
      <c r="B558" s="18" t="str">
        <v>Value Missing</v>
      </c>
      <c r="C558" s="18" t="str">
        <v>Value Missing.Value Missing</v>
      </c>
    </row>
    <row r="559" spans="2:5">
      <c r="B559" s="3">
        <f>IF(wld_multirack_result="Included",COUNTIF(B431:B558,"Dedicated Compute"),COUNTIF(B431:B558,"Shared Edge and Compute"))</f>
        <v>0</v>
      </c>
      <c r="E559"/>
    </row>
    <row r="560" spans="2:5">
      <c r="E560" t="str">
        <f>""</f>
        <v/>
      </c>
    </row>
    <row r="561" spans="2:22">
      <c r="B561" t="str">
        <f>""</f>
        <v/>
      </c>
      <c r="C561" s="254" t="s">
        <v>4315</v>
      </c>
      <c r="E561" t="str">
        <f>""</f>
        <v/>
      </c>
      <c r="F561" t="s">
        <v>4554</v>
      </c>
      <c r="H561"/>
      <c r="I561" t="s">
        <v>4556</v>
      </c>
      <c r="L561"/>
      <c r="M561" t="s">
        <v>4555</v>
      </c>
      <c r="Q561" s="243" t="s">
        <v>4562</v>
      </c>
      <c r="V561" s="243" t="s">
        <v>4563</v>
      </c>
    </row>
    <row r="562" spans="2:22">
      <c r="B562" t="str">
        <f>""</f>
        <v/>
      </c>
      <c r="C562" s="255" t="str">
        <f>CONCATENATE(CHAR(34),"domainName",CHAR(34),": ",CHAR(34), wld_sddc_domain,CHAR(34),",")</f>
        <v>"domainName": "Value Missing",</v>
      </c>
      <c r="E562" t="str">
        <f>""</f>
        <v/>
      </c>
      <c r="F562" s="254" t="s">
        <v>4315</v>
      </c>
      <c r="H562" t="str">
        <f>""</f>
        <v/>
      </c>
      <c r="I562" s="264" t="s">
        <v>4315</v>
      </c>
      <c r="L562" t="str">
        <f>""</f>
        <v/>
      </c>
      <c r="M562" s="264" t="s">
        <v>4315</v>
      </c>
      <c r="P562" s="103" t="str">
        <f>""</f>
        <v/>
      </c>
      <c r="Q562" s="264" t="s">
        <v>4315</v>
      </c>
      <c r="U562" s="103" t="str">
        <f>""</f>
        <v/>
      </c>
      <c r="V562" s="264" t="s">
        <v>4315</v>
      </c>
    </row>
    <row r="563" spans="2:22">
      <c r="B563" t="str">
        <f>""</f>
        <v/>
      </c>
      <c r="C563" s="255" t="str">
        <f>CONCATENATE(CHAR(34),"orgName",CHAR(34),": ",CHAR(34), wld_sddc_org,CHAR(34),",")</f>
        <v>"orgName": "Value Missing",</v>
      </c>
      <c r="E563" t="str">
        <f>""</f>
        <v/>
      </c>
      <c r="F563" s="255" t="str">
        <f>CONCATENATE(CHAR(34),"domainName",CHAR(34),": ",CHAR(34), wld_sddc_domain,CHAR(34),",")</f>
        <v>"domainName": "Value Missing",</v>
      </c>
      <c r="H563" t="str">
        <f>""</f>
        <v/>
      </c>
      <c r="I563" s="263" t="str">
        <f>CONCATENATE(CHAR(34),"domainName",CHAR(34),": ",CHAR(34), wld_sddc_domain,CHAR(34),",")</f>
        <v>"domainName": "Value Missing",</v>
      </c>
      <c r="L563" t="str">
        <f>""</f>
        <v/>
      </c>
      <c r="M563" s="263" t="str">
        <f>CONCATENATE(CHAR(34),"domainName",CHAR(34),": ",CHAR(34), wld_sddc_domain,CHAR(34),",")</f>
        <v>"domainName": "Value Missing",</v>
      </c>
      <c r="P563" s="103" t="str">
        <f>""</f>
        <v/>
      </c>
      <c r="Q563" s="263" t="str">
        <f>CONCATENATE(CHAR(34),"edgeClusterName",CHAR(34),": ",CHAR(34), wld_ec_name,CHAR(34),",")</f>
        <v>"edgeClusterName": "Value Missing",</v>
      </c>
      <c r="U563" s="103" t="str">
        <f>""</f>
        <v/>
      </c>
      <c r="V563" s="263" t="str">
        <f>CONCATENATE(CHAR(34),"edgeClusterName",CHAR(34),": ",CHAR(34), wld_ec_name,CHAR(34),",")</f>
        <v>"edgeClusterName": "Value Missing",</v>
      </c>
    </row>
    <row r="564" spans="2:22">
      <c r="B564" t="str">
        <f>""</f>
        <v/>
      </c>
      <c r="C564" s="255" t="str">
        <f>CONCATENATE(CHAR(34),"vcenterSpec",(CHAR(34)),": {")</f>
        <v>"vcenterSpec": {</v>
      </c>
      <c r="E564" t="str">
        <f>""</f>
        <v/>
      </c>
      <c r="F564" s="255" t="str">
        <f>CONCATENATE(CHAR(34),"orgName",CHAR(34),": ",CHAR(34), wld_sddc_org,CHAR(34),",")</f>
        <v>"orgName": "Value Missing",</v>
      </c>
      <c r="H564" t="str">
        <f>""</f>
        <v/>
      </c>
      <c r="I564" s="263" t="str">
        <f>CONCATENATE(CHAR(34),"orgName",CHAR(34),": ",CHAR(34), wld_sddc_org,CHAR(34),",")</f>
        <v>"orgName": "Value Missing",</v>
      </c>
      <c r="L564" t="str">
        <f>""</f>
        <v/>
      </c>
      <c r="M564" s="263" t="str">
        <f>CONCATENATE(CHAR(34),"orgName",CHAR(34),": ",CHAR(34), wld_sddc_org,CHAR(34),",")</f>
        <v>"orgName": "Value Missing",</v>
      </c>
      <c r="P564" s="103" t="str">
        <f>""</f>
        <v/>
      </c>
      <c r="Q564" s="263" t="str">
        <f>CONCATENATE(CHAR(34),"edgeClusterProfileType",CHAR(34),": ",CHAR(34), "CUSTOM",CHAR(34),",")</f>
        <v>"edgeClusterProfileType": "CUSTOM",</v>
      </c>
      <c r="U564" s="103" t="str">
        <f>""</f>
        <v/>
      </c>
      <c r="V564" s="263" t="str">
        <f>CONCATENATE(CHAR(34),"edgeClusterProfileType",CHAR(34),": ",CHAR(34), "CUSTOM",CHAR(34),",")</f>
        <v>"edgeClusterProfileType": "CUSTOM",</v>
      </c>
    </row>
    <row r="565" spans="2:22">
      <c r="B565" t="str">
        <f>""</f>
        <v/>
      </c>
      <c r="C565" s="255" t="str">
        <f>CONCATENATE(CHAR(34),"name",CHAR(34),": ",CHAR(34), wld_vc_hostname,CHAR(34),",")</f>
        <v>"name": "Value Missing",</v>
      </c>
      <c r="E565" t="str">
        <f>""</f>
        <v/>
      </c>
      <c r="F565" s="255" t="str">
        <f>CONCATENATE(CHAR(34),"vcenterSpec",(CHAR(34)),": {")</f>
        <v>"vcenterSpec": {</v>
      </c>
      <c r="H565" t="str">
        <f>""</f>
        <v/>
      </c>
      <c r="I565" s="263" t="str">
        <f>CONCATENATE(CHAR(34),"vcenterSpec",(CHAR(34)),": {")</f>
        <v>"vcenterSpec": {</v>
      </c>
      <c r="L565" t="str">
        <f>""</f>
        <v/>
      </c>
      <c r="M565" s="263" t="str">
        <f>CONCATENATE(CHAR(34),"vcenterSpec",(CHAR(34)),": {")</f>
        <v>"vcenterSpec": {</v>
      </c>
      <c r="P565" s="103" t="str">
        <f>""</f>
        <v/>
      </c>
      <c r="Q565" s="263" t="str">
        <f>CONCATENATE(CHAR(34),"edgeClusterProfileSpec",(CHAR(34)),": {")</f>
        <v>"edgeClusterProfileSpec": {</v>
      </c>
      <c r="U565" s="103" t="str">
        <f>""</f>
        <v/>
      </c>
      <c r="V565" s="263" t="str">
        <f>CONCATENATE(CHAR(34),"edgeClusterProfileSpec",(CHAR(34)),": {")</f>
        <v>"edgeClusterProfileSpec": {</v>
      </c>
    </row>
    <row r="566" spans="2:22">
      <c r="B566" t="str">
        <f>""</f>
        <v/>
      </c>
      <c r="C566" s="255" t="str">
        <f>CONCATENATE(CHAR(34),"networkDetailsSpec",(CHAR(34)),": {")</f>
        <v>"networkDetailsSpec": {</v>
      </c>
      <c r="E566" t="str">
        <f>""</f>
        <v/>
      </c>
      <c r="F566" s="255" t="str">
        <f>CONCATENATE(CHAR(34),"name",CHAR(34),": ",CHAR(34), wld_vc_hostname,CHAR(34),",")</f>
        <v>"name": "Value Missing",</v>
      </c>
      <c r="H566" t="str">
        <f>""</f>
        <v/>
      </c>
      <c r="I566" s="263" t="str">
        <f>CONCATENATE(CHAR(34),"name",CHAR(34),": ",CHAR(34), wld_vc_hostname,CHAR(34),",")</f>
        <v>"name": "Value Missing",</v>
      </c>
      <c r="L566" t="str">
        <f>""</f>
        <v/>
      </c>
      <c r="M566" s="263" t="str">
        <f>CONCATENATE(CHAR(34),"name",CHAR(34),": ",CHAR(34), wld_vc_hostname,CHAR(34),",")</f>
        <v>"name": "Value Missing",</v>
      </c>
      <c r="P566" s="103" t="str">
        <f>""</f>
        <v/>
      </c>
      <c r="Q566" s="263" t="str">
        <f>CONCATENATE(CHAR(34),"bfdAllowedHop",CHAR(34),": ", "255",",")</f>
        <v>"bfdAllowedHop": 255,</v>
      </c>
      <c r="U566" s="103" t="str">
        <f>""</f>
        <v/>
      </c>
      <c r="V566" s="263" t="str">
        <f>CONCATENATE(CHAR(34),"bfdAllowedHop",CHAR(34),": ", "255",",")</f>
        <v>"bfdAllowedHop": 255,</v>
      </c>
    </row>
    <row r="567" spans="2:22">
      <c r="B567" t="str">
        <f>""</f>
        <v/>
      </c>
      <c r="C567" s="255" t="str">
        <f>CONCATENATE(CHAR(34),"ipAddress",CHAR(34),": ",CHAR(34), wld_vc_ip,CHAR(34),",")</f>
        <v>"ipAddress": "Value Missing",</v>
      </c>
      <c r="E567" t="str">
        <f>""</f>
        <v/>
      </c>
      <c r="F567" s="255" t="str">
        <f>CONCATENATE(CHAR(34),"networkDetailsSpec",(CHAR(34)),": {")</f>
        <v>"networkDetailsSpec": {</v>
      </c>
      <c r="H567" t="str">
        <f>""</f>
        <v/>
      </c>
      <c r="I567" s="263" t="str">
        <f>CONCATENATE(CHAR(34),"networkDetailsSpec",(CHAR(34)),": {")</f>
        <v>"networkDetailsSpec": {</v>
      </c>
      <c r="L567" t="str">
        <f>""</f>
        <v/>
      </c>
      <c r="M567" s="263" t="str">
        <f>CONCATENATE(CHAR(34),"networkDetailsSpec",(CHAR(34)),": {")</f>
        <v>"networkDetailsSpec": {</v>
      </c>
      <c r="P567" s="103" t="str">
        <f>""</f>
        <v/>
      </c>
      <c r="Q567" s="263" t="str">
        <f>CONCATENATE(CHAR(34),"bfdDeclareDeadMultiple",CHAR(34),": ", "3",",")</f>
        <v>"bfdDeclareDeadMultiple": 3,</v>
      </c>
      <c r="U567" s="103" t="str">
        <f>""</f>
        <v/>
      </c>
      <c r="V567" s="263" t="str">
        <f>CONCATENATE(CHAR(34),"bfdDeclareDeadMultiple",CHAR(34),": ", "3",",")</f>
        <v>"bfdDeclareDeadMultiple": 3,</v>
      </c>
    </row>
    <row r="568" spans="2:22">
      <c r="B568" t="str">
        <f>""</f>
        <v/>
      </c>
      <c r="C568" s="255" t="str">
        <f>CONCATENATE(CHAR(34),"dnsName",CHAR(34),": ",CHAR(34), wld_vc_fqdn,CHAR(34),",")</f>
        <v>"dnsName": "Value Missing.Value Missing",</v>
      </c>
      <c r="E568" t="str">
        <f>""</f>
        <v/>
      </c>
      <c r="F568" s="255" t="str">
        <f>CONCATENATE(CHAR(34),"ipAddress",CHAR(34),": ",CHAR(34), wld_vc_ip,CHAR(34),",")</f>
        <v>"ipAddress": "Value Missing",</v>
      </c>
      <c r="H568" t="str">
        <f>""</f>
        <v/>
      </c>
      <c r="I568" s="263" t="str">
        <f>CONCATENATE(CHAR(34),"ipAddress",CHAR(34),": ",CHAR(34), wld_vc_ip,CHAR(34),",")</f>
        <v>"ipAddress": "Value Missing",</v>
      </c>
      <c r="L568" t="str">
        <f>""</f>
        <v/>
      </c>
      <c r="M568" s="263" t="str">
        <f>CONCATENATE(CHAR(34),"ipAddress",CHAR(34),": ",CHAR(34), wld_vc_ip,CHAR(34),",")</f>
        <v>"ipAddress": "Value Missing",</v>
      </c>
      <c r="P568" s="103" t="str">
        <f>""</f>
        <v/>
      </c>
      <c r="Q568" s="263" t="str">
        <f>CONCATENATE(CHAR(34),"bfdProbeInterval",CHAR(34),": ","1000",",")</f>
        <v>"bfdProbeInterval": 1000,</v>
      </c>
      <c r="U568" s="103" t="str">
        <f>""</f>
        <v/>
      </c>
      <c r="V568" s="263" t="str">
        <f>CONCATENATE(CHAR(34),"bfdProbeInterval",CHAR(34),": ","1000",",")</f>
        <v>"bfdProbeInterval": 1000,</v>
      </c>
    </row>
    <row r="569" spans="2:22">
      <c r="B569" t="str">
        <f>""</f>
        <v/>
      </c>
      <c r="C569" s="255" t="str">
        <f>CONCATENATE(CHAR(34),"gateway",CHAR(34),": ",CHAR(34),mgmt_az1_mgmt_vm_gateway_ip,CHAR(34),",")</f>
        <v>"gateway": "Value Missing",</v>
      </c>
      <c r="E569" t="str">
        <f>""</f>
        <v/>
      </c>
      <c r="F569" s="255" t="str">
        <f>CONCATENATE(CHAR(34),"dnsName",CHAR(34),": ",CHAR(34), wld_vc_fqdn,CHAR(34),",")</f>
        <v>"dnsName": "Value Missing.Value Missing",</v>
      </c>
      <c r="H569" t="str">
        <f>""</f>
        <v/>
      </c>
      <c r="I569" s="263" t="str">
        <f>CONCATENATE(CHAR(34),"dnsName",CHAR(34),": ",CHAR(34), wld_vc_fqdn,CHAR(34),",")</f>
        <v>"dnsName": "Value Missing.Value Missing",</v>
      </c>
      <c r="L569" t="str">
        <f>""</f>
        <v/>
      </c>
      <c r="M569" s="263" t="str">
        <f>CONCATENATE(CHAR(34),"dnsName",CHAR(34),": ",CHAR(34), wld_vc_fqdn,CHAR(34),",")</f>
        <v>"dnsName": "Value Missing.Value Missing",</v>
      </c>
      <c r="P569" s="103" t="str">
        <f>""</f>
        <v/>
      </c>
      <c r="Q569" s="263" t="str">
        <f>CONCATENATE(CHAR(34),"edgeClusterProfileName",CHAR(34),": ",CHAR(34), wld_ec_profile_name,CHAR(34),",")</f>
        <v>"edgeClusterProfileName": "Value Missing",</v>
      </c>
      <c r="U569" s="103" t="str">
        <f>""</f>
        <v/>
      </c>
      <c r="V569" s="263" t="str">
        <f>CONCATENATE(CHAR(34),"edgeClusterProfileName",CHAR(34),": ",CHAR(34), wld_ec_profile_name,CHAR(34),",")</f>
        <v>"edgeClusterProfileName": "Value Missing",</v>
      </c>
    </row>
    <row r="570" spans="2:22">
      <c r="B570" t="str">
        <f>""</f>
        <v/>
      </c>
      <c r="C570" s="255" t="str">
        <f>CONCATENATE(CHAR(34),"subnetMask",CHAR(34),": ",CHAR(34), wld_az1_mgmt_mask,CHAR(34))</f>
        <v>"subnetMask": "Value Missing"</v>
      </c>
      <c r="E570" t="str">
        <f>""</f>
        <v/>
      </c>
      <c r="F570" s="255" t="str">
        <f>CONCATENATE(CHAR(34),"gateway",CHAR(34),": ",CHAR(34),mgmt_az1_mgmt_vm_gateway_ip,CHAR(34),",")</f>
        <v>"gateway": "Value Missing",</v>
      </c>
      <c r="H570" t="str">
        <f>""</f>
        <v/>
      </c>
      <c r="I570" s="263" t="str">
        <f>CONCATENATE(CHAR(34),"gateway",CHAR(34),": ",CHAR(34),mgmt_az1_mgmt_vm_gateway_ip,CHAR(34),",")</f>
        <v>"gateway": "Value Missing",</v>
      </c>
      <c r="L570" t="str">
        <f>""</f>
        <v/>
      </c>
      <c r="M570" s="263" t="str">
        <f>CONCATENATE(CHAR(34),"gateway",CHAR(34),": ",CHAR(34),mgmt_az1_mgmt_vm_gateway_ip,CHAR(34),",")</f>
        <v>"gateway": "Value Missing",</v>
      </c>
      <c r="P570" s="103" t="str">
        <f>""</f>
        <v/>
      </c>
      <c r="Q570" s="263" t="str">
        <f>CONCATENATE(CHAR(34),"standbyRelocationThreshold",CHAR(34),": ", "30")</f>
        <v>"standbyRelocationThreshold": 30</v>
      </c>
      <c r="U570" s="103" t="str">
        <f>""</f>
        <v/>
      </c>
      <c r="V570" s="263" t="str">
        <f>CONCATENATE(CHAR(34),"standbyRelocationThreshold",CHAR(34),": ", "30")</f>
        <v>"standbyRelocationThreshold": 30</v>
      </c>
    </row>
    <row r="571" spans="2:22">
      <c r="B571" t="str">
        <f>""</f>
        <v/>
      </c>
      <c r="C571" s="255" t="s">
        <v>4316</v>
      </c>
      <c r="E571" t="str">
        <f>""</f>
        <v/>
      </c>
      <c r="F571" s="255" t="str">
        <f>CONCATENATE(CHAR(34),"subnetMask",CHAR(34),": ",CHAR(34), wld_az1_mgmt_mask,CHAR(34))</f>
        <v>"subnetMask": "Value Missing"</v>
      </c>
      <c r="H571" t="str">
        <f>""</f>
        <v/>
      </c>
      <c r="I571" s="263" t="str">
        <f>CONCATENATE(CHAR(34),"subnetMask",CHAR(34),": ",CHAR(34), wld_az1_mgmt_mask,CHAR(34))</f>
        <v>"subnetMask": "Value Missing"</v>
      </c>
      <c r="L571" t="str">
        <f>""</f>
        <v/>
      </c>
      <c r="M571" s="263" t="str">
        <f>CONCATENATE(CHAR(34),"subnetMask",CHAR(34),": ",CHAR(34), wld_az1_mgmt_mask,CHAR(34))</f>
        <v>"subnetMask": "Value Missing"</v>
      </c>
      <c r="P571" s="103" t="str">
        <f>""</f>
        <v/>
      </c>
      <c r="Q571" s="263" t="s">
        <v>4316</v>
      </c>
      <c r="U571" s="103" t="str">
        <f>""</f>
        <v/>
      </c>
      <c r="V571" s="263" t="s">
        <v>4316</v>
      </c>
    </row>
    <row r="572" spans="2:22">
      <c r="B572" t="str">
        <f>""</f>
        <v/>
      </c>
      <c r="C572" s="255" t="str">
        <f>CONCATENATE(CHAR(34),"rootPassword",CHAR(34),": ",CHAR(34), vcenter_root_password,CHAR(34),",")</f>
        <v>"rootPassword": "Value Missing",</v>
      </c>
      <c r="E572" t="str">
        <f>""</f>
        <v/>
      </c>
      <c r="F572" s="255" t="s">
        <v>4316</v>
      </c>
      <c r="H572" t="str">
        <f>""</f>
        <v/>
      </c>
      <c r="I572" s="263" t="s">
        <v>4316</v>
      </c>
      <c r="L572" t="str">
        <f>""</f>
        <v/>
      </c>
      <c r="M572" s="263" t="s">
        <v>4316</v>
      </c>
      <c r="P572" s="103" t="str">
        <f>""</f>
        <v/>
      </c>
      <c r="Q572" s="263" t="str">
        <f>CONCATENATE(CHAR(34),"edgeClusterType",CHAR(34),": ",CHAR(34), "NSX-T",CHAR(34),",")</f>
        <v>"edgeClusterType": "NSX-T",</v>
      </c>
      <c r="U572" s="103" t="str">
        <f>""</f>
        <v/>
      </c>
      <c r="V572" s="263" t="str">
        <f>CONCATENATE(CHAR(34),"edgeClusterType",CHAR(34),": ",CHAR(34), "NSX-T",CHAR(34),",")</f>
        <v>"edgeClusterType": "NSX-T",</v>
      </c>
    </row>
    <row r="573" spans="2:22">
      <c r="B573" t="str">
        <f>""</f>
        <v/>
      </c>
      <c r="C573" s="255" t="str">
        <f>CONCATENATE(CHAR(34),"datacenterName",CHAR(34),": ",CHAR(34), wld_datacenter,CHAR(34),",")</f>
        <v>"datacenterName": "Value Missing",</v>
      </c>
      <c r="E573" t="str">
        <f>""</f>
        <v/>
      </c>
      <c r="F573" s="255" t="str">
        <f>CONCATENATE(CHAR(34),"rootPassword",CHAR(34),": ",CHAR(34), vcenter_root_password,CHAR(34),",")</f>
        <v>"rootPassword": "Value Missing",</v>
      </c>
      <c r="H573" t="str">
        <f>""</f>
        <v/>
      </c>
      <c r="I573" s="263" t="str">
        <f>CONCATENATE(CHAR(34),"rootPassword",CHAR(34),": ",CHAR(34), vcenter_root_password,CHAR(34),",")</f>
        <v>"rootPassword": "Value Missing",</v>
      </c>
      <c r="L573" t="str">
        <f>""</f>
        <v/>
      </c>
      <c r="M573" s="263" t="str">
        <f>CONCATENATE(CHAR(34),"rootPassword",CHAR(34),": ",CHAR(34), vcenter_root_password,CHAR(34),",")</f>
        <v>"rootPassword": "Value Missing",</v>
      </c>
      <c r="P573" s="103" t="str">
        <f>""</f>
        <v/>
      </c>
      <c r="Q573" s="263" t="str">
        <f>CONCATENATE(CHAR(34),"edgeRootPassword",CHAR(34),": ",CHAR(34), nsxt_en_root_password,CHAR(34),",")</f>
        <v>"edgeRootPassword": "Value Missing",</v>
      </c>
      <c r="U573" s="103" t="str">
        <f>""</f>
        <v/>
      </c>
      <c r="V573" s="263" t="str">
        <f>CONCATENATE(CHAR(34),"edgeRootPassword",CHAR(34),": ",CHAR(34), nsxt_en_root_password,CHAR(34),",")</f>
        <v>"edgeRootPassword": "Value Missing",</v>
      </c>
    </row>
    <row r="574" spans="2:22">
      <c r="B574" t="str">
        <f>""</f>
        <v/>
      </c>
      <c r="C574" s="255" t="str">
        <f>CONCATENATE(CHAR(34),"vmSize",CHAR(34),": ",CHAR(34),sizing_w01_vcenter_appliance_size,CHAR(34))</f>
        <v>"vmSize": "Medium"</v>
      </c>
      <c r="E574" t="str">
        <f>""</f>
        <v/>
      </c>
      <c r="F574" s="255" t="str">
        <f>CONCATENATE(CHAR(34),"datacenterName",CHAR(34),": ",CHAR(34), wld_datacenter,CHAR(34),",")</f>
        <v>"datacenterName": "Value Missing",</v>
      </c>
      <c r="H574" t="str">
        <f>""</f>
        <v/>
      </c>
      <c r="I574" s="263" t="str">
        <f>CONCATENATE(CHAR(34),"datacenterName",CHAR(34),": ",CHAR(34), wld_datacenter,CHAR(34),",")</f>
        <v>"datacenterName": "Value Missing",</v>
      </c>
      <c r="L574" t="str">
        <f>""</f>
        <v/>
      </c>
      <c r="M574" s="263" t="str">
        <f>CONCATENATE(CHAR(34),"datacenterName",CHAR(34),": ",CHAR(34), wld_datacenter,CHAR(34),",")</f>
        <v>"datacenterName": "Value Missing",</v>
      </c>
      <c r="P574" s="103" t="str">
        <f>""</f>
        <v/>
      </c>
      <c r="Q574" s="263" t="str">
        <f>CONCATENATE(CHAR(34),"edgeAdminPassword",CHAR(34),": ",CHAR(34), nsxt_en_admin_password,CHAR(34),",")</f>
        <v>"edgeAdminPassword": "Value Missing",</v>
      </c>
      <c r="U574" s="103" t="str">
        <f>""</f>
        <v/>
      </c>
      <c r="V574" s="263" t="str">
        <f>CONCATENATE(CHAR(34),"edgeAdminPassword",CHAR(34),": ",CHAR(34), nsxt_en_admin_password,CHAR(34),",")</f>
        <v>"edgeAdminPassword": "Value Missing",</v>
      </c>
    </row>
    <row r="575" spans="2:22">
      <c r="B575" t="str">
        <f>""</f>
        <v/>
      </c>
      <c r="C575" s="255" t="s">
        <v>4316</v>
      </c>
      <c r="E575" t="str">
        <f>""</f>
        <v/>
      </c>
      <c r="F575" s="255" t="str">
        <f>CONCATENATE(CHAR(34),"vmSize",CHAR(34),": ",CHAR(34),sizing_w01_vcenter_appliance_size,CHAR(34))</f>
        <v>"vmSize": "Medium"</v>
      </c>
      <c r="H575" t="str">
        <f>""</f>
        <v/>
      </c>
      <c r="I575" s="263" t="str">
        <f>CONCATENATE(CHAR(34),"vmSize",CHAR(34),": ",CHAR(34),sizing_w01_vcenter_appliance_size,CHAR(34))</f>
        <v>"vmSize": "Medium"</v>
      </c>
      <c r="L575" t="str">
        <f>""</f>
        <v/>
      </c>
      <c r="M575" s="263" t="str">
        <f>CONCATENATE(CHAR(34),"vmSize",CHAR(34),": ",CHAR(34),sizing_w01_vcenter_appliance_size,CHAR(34))</f>
        <v>"vmSize": "Medium"</v>
      </c>
      <c r="P575" s="103" t="str">
        <f>""</f>
        <v/>
      </c>
      <c r="Q575" s="263" t="str">
        <f>CONCATENATE(CHAR(34),"edgeAuditPassword",CHAR(34),": ",CHAR(34), nsxt_en_audit_password,CHAR(34),",")</f>
        <v>"edgeAuditPassword": "Value Missing",</v>
      </c>
      <c r="U575" s="103" t="str">
        <f>""</f>
        <v/>
      </c>
      <c r="V575" s="263" t="str">
        <f>CONCATENATE(CHAR(34),"edgeAuditPassword",CHAR(34),": ",CHAR(34), nsxt_en_audit_password,CHAR(34),",")</f>
        <v>"edgeAuditPassword": "Value Missing",</v>
      </c>
    </row>
    <row r="576" spans="2:22">
      <c r="B576" t="str">
        <f>""</f>
        <v/>
      </c>
      <c r="C576" s="255" t="s">
        <v>4367</v>
      </c>
      <c r="E576" t="str">
        <f>""</f>
        <v/>
      </c>
      <c r="F576" s="255" t="s">
        <v>4316</v>
      </c>
      <c r="H576" t="str">
        <f>""</f>
        <v/>
      </c>
      <c r="I576" s="263" t="s">
        <v>4316</v>
      </c>
      <c r="L576" t="str">
        <f>""</f>
        <v/>
      </c>
      <c r="M576" s="263" t="s">
        <v>4316</v>
      </c>
      <c r="P576" s="103" t="str">
        <f>""</f>
        <v/>
      </c>
      <c r="Q576" s="263" t="str">
        <f>CONCATENATE(CHAR(34),"edgeFormFactor",CHAR(34),": ",CHAR(34), UPPER(wld_ec_formfactor),CHAR(34),",")</f>
        <v>"edgeFormFactor": "VALUE MISSING",</v>
      </c>
      <c r="U576" s="103" t="str">
        <f>""</f>
        <v/>
      </c>
      <c r="V576" s="263" t="str">
        <f>CONCATENATE(CHAR(34),"edgeFormFactor",CHAR(34),": ",CHAR(34), UPPER(wld_ec_formfactor),CHAR(34),",")</f>
        <v>"edgeFormFactor": "VALUE MISSING",</v>
      </c>
    </row>
    <row r="577" spans="2:22">
      <c r="B577" t="str">
        <f>""</f>
        <v/>
      </c>
      <c r="C577" s="255" t="s">
        <v>4368</v>
      </c>
      <c r="E577" t="str">
        <f>""</f>
        <v/>
      </c>
      <c r="F577" s="255" t="s">
        <v>4367</v>
      </c>
      <c r="H577" t="str">
        <f>""</f>
        <v/>
      </c>
      <c r="I577" s="263" t="s">
        <v>4367</v>
      </c>
      <c r="L577" t="str">
        <f>""</f>
        <v/>
      </c>
      <c r="M577" s="263" t="s">
        <v>4367</v>
      </c>
      <c r="P577" s="103" t="str">
        <f>""</f>
        <v/>
      </c>
      <c r="Q577" s="263" t="str">
        <f>CONCATENATE(CHAR(34),"tier0ServicesHighAvailability",CHAR(34),": ",CHAR(34), "ACTIVE_ACTIVE",CHAR(34),",")</f>
        <v>"tier0ServicesHighAvailability": "ACTIVE_ACTIVE",</v>
      </c>
      <c r="U577" s="103" t="str">
        <f>""</f>
        <v/>
      </c>
      <c r="V577" s="263" t="str">
        <f>CONCATENATE(CHAR(34),"tier0ServicesHighAvailability",CHAR(34),": ",CHAR(34), "ACTIVE_ACTIVE",CHAR(34),",")</f>
        <v>"tier0ServicesHighAvailability": "ACTIVE_ACTIVE",</v>
      </c>
    </row>
    <row r="578" spans="2:22">
      <c r="B578" t="str">
        <f>""</f>
        <v/>
      </c>
      <c r="C578" s="255" t="s">
        <v>4315</v>
      </c>
      <c r="E578" t="str">
        <f>""</f>
        <v/>
      </c>
      <c r="F578" s="255" t="s">
        <v>4368</v>
      </c>
      <c r="H578" t="str">
        <f>""</f>
        <v/>
      </c>
      <c r="I578" s="263" t="s">
        <v>4368</v>
      </c>
      <c r="L578" t="str">
        <f>""</f>
        <v/>
      </c>
      <c r="M578" s="263" t="s">
        <v>4368</v>
      </c>
      <c r="P578" s="103" t="str">
        <f>""</f>
        <v/>
      </c>
      <c r="Q578" s="263" t="str">
        <f>CONCATENATE(CHAR(34),"mtu",CHAR(34),": ",9000,",")</f>
        <v>"mtu": 9000,</v>
      </c>
      <c r="U578" s="103" t="str">
        <f>""</f>
        <v/>
      </c>
      <c r="V578" s="263" t="str">
        <f>CONCATENATE(CHAR(34),"mtu",CHAR(34),": ",9000,",")</f>
        <v>"mtu": 9000,</v>
      </c>
    </row>
    <row r="579" spans="2:22">
      <c r="B579" t="str">
        <f>""</f>
        <v/>
      </c>
      <c r="C579" s="255" t="str">
        <f>CONCATENATE(CHAR(34),"name",CHAR(34),": ",CHAR(34), wld_cl01_cluster,CHAR(34),",")</f>
        <v>"name": "Value Missing",</v>
      </c>
      <c r="E579" t="str">
        <f>""</f>
        <v/>
      </c>
      <c r="F579" s="255" t="s">
        <v>4315</v>
      </c>
      <c r="H579" t="str">
        <f>""</f>
        <v/>
      </c>
      <c r="I579" s="263" t="s">
        <v>4315</v>
      </c>
      <c r="L579" t="str">
        <f>""</f>
        <v/>
      </c>
      <c r="M579" s="263" t="s">
        <v>4315</v>
      </c>
      <c r="P579" s="103" t="str">
        <f>""</f>
        <v/>
      </c>
      <c r="Q579" s="263" t="str">
        <f>CONCATENATE(CHAR(34),"asn",CHAR(34),": ",,wld_en_asn,",")</f>
        <v>"asn": Value Missing,</v>
      </c>
      <c r="U579" s="103" t="str">
        <f>""</f>
        <v/>
      </c>
      <c r="V579" s="263" t="str">
        <f>CONCATENATE(CHAR(34),"asn",CHAR(34),": ",,wld_en_asn,",")</f>
        <v>"asn": Value Missing,</v>
      </c>
    </row>
    <row r="580" spans="2:22">
      <c r="B580" t="str">
        <f>""</f>
        <v/>
      </c>
      <c r="C580" s="255" t="s">
        <v>4369</v>
      </c>
      <c r="E580" t="str">
        <f>""</f>
        <v/>
      </c>
      <c r="F580" s="255" t="str">
        <f>CONCATENATE(CHAR(34),"name",CHAR(34),": ",CHAR(34), wld_cl01_cluster,CHAR(34),",")</f>
        <v>"name": "Value Missing",</v>
      </c>
      <c r="H580" t="str">
        <f>""</f>
        <v/>
      </c>
      <c r="I580" s="263" t="str">
        <f>CONCATENATE(CHAR(34),"name",CHAR(34),": ",CHAR(34), wld_cl01_cluster,CHAR(34),",")</f>
        <v>"name": "Value Missing",</v>
      </c>
      <c r="L580" t="str">
        <f>""</f>
        <v/>
      </c>
      <c r="M580" s="263" t="str">
        <f>CONCATENATE(CHAR(34),"name",CHAR(34),": ",CHAR(34), wld_cl01_cluster,CHAR(34),",")</f>
        <v>"name": "Value Missing",</v>
      </c>
      <c r="P580" s="103" t="str">
        <f>""</f>
        <v/>
      </c>
      <c r="Q580" s="263" t="str">
        <f>CONCATENATE(CHAR(34),"tier0RoutingType",CHAR(34),": ",CHAR(34), "EBGP",CHAR(34),",")</f>
        <v>"tier0RoutingType": "EBGP",</v>
      </c>
      <c r="U580" s="103" t="str">
        <f>""</f>
        <v/>
      </c>
      <c r="V580" s="263" t="str">
        <f>CONCATENATE(CHAR(34),"tier0RoutingType",CHAR(34),": ",CHAR(34), "EBGP",CHAR(34),",")</f>
        <v>"tier0RoutingType": "EBGP",</v>
      </c>
    </row>
    <row r="581" spans="2:22">
      <c r="B581" t="str">
        <f>""</f>
        <v/>
      </c>
      <c r="C581" s="255" t="s">
        <v>4315</v>
      </c>
      <c r="E581" t="s">
        <v>4509</v>
      </c>
      <c r="F581" s="255" t="s">
        <v>4369</v>
      </c>
      <c r="H581" t="str">
        <f>""</f>
        <v/>
      </c>
      <c r="I581" s="263" t="s">
        <v>4369</v>
      </c>
      <c r="L581" t="str">
        <f>""</f>
        <v/>
      </c>
      <c r="M581" s="263" t="s">
        <v>4369</v>
      </c>
      <c r="P581" s="103" t="str">
        <f>""</f>
        <v/>
      </c>
      <c r="Q581" s="263" t="str">
        <f>CONCATENATE(CHAR(34),"tier0Name",CHAR(34),": ",CHAR(34), "sfo-w01-ec01-t0-gw01",CHAR(34),",")</f>
        <v>"tier0Name": "sfo-w01-ec01-t0-gw01",</v>
      </c>
      <c r="U581" s="103" t="str">
        <f>""</f>
        <v/>
      </c>
      <c r="V581" s="263" t="str">
        <f>CONCATENATE(CHAR(34),"tier0Name",CHAR(34),": ",CHAR(34), "sfo-w01-ec01-t0-gw01",CHAR(34),",")</f>
        <v>"tier0Name": "sfo-w01-ec01-t0-gw01",</v>
      </c>
    </row>
    <row r="582" spans="2:22">
      <c r="B582" t="s">
        <v>4509</v>
      </c>
      <c r="C582" s="255" t="s">
        <v>4340</v>
      </c>
      <c r="E582" t="str">
        <f>""</f>
        <v/>
      </c>
      <c r="F582" s="255" t="s">
        <v>4315</v>
      </c>
      <c r="H582" t="str">
        <f>""</f>
        <v/>
      </c>
      <c r="I582" s="263" t="s">
        <v>4315</v>
      </c>
      <c r="L582" t="str">
        <f>""</f>
        <v/>
      </c>
      <c r="M582" s="263" t="s">
        <v>4315</v>
      </c>
      <c r="P582" s="103" t="str">
        <f>""</f>
        <v/>
      </c>
      <c r="Q582" s="263" t="str">
        <f>CONCATENATE(CHAR(34),"tier1Name",CHAR(34),": ",CHAR(34), "sfo-w01-ec01-t1-gw01",CHAR(34),",")</f>
        <v>"tier1Name": "sfo-w01-ec01-t1-gw01",</v>
      </c>
      <c r="U582" s="103" t="str">
        <f>""</f>
        <v/>
      </c>
      <c r="V582" s="263" t="str">
        <f>CONCATENATE(CHAR(34),"tier1Name",CHAR(34),": ",CHAR(34), "sfo-w01-ec01-t1-gw01",CHAR(34),",")</f>
        <v>"tier1Name": "sfo-w01-ec01-t1-gw01",</v>
      </c>
    </row>
    <row r="583" spans="2:22">
      <c r="B583" t="str">
        <f>""</f>
        <v/>
      </c>
      <c r="C583" s="255" t="str">
        <f>CONCATENATE(CHAR(34),"licenseKey",CHAR(34),": ",CHAR(34), esx_std_license,CHAR(34),",")</f>
        <v>"licenseKey": "Value Missing",</v>
      </c>
      <c r="E583" t="str">
        <f>""</f>
        <v/>
      </c>
      <c r="F583" s="255" t="s">
        <v>4340</v>
      </c>
      <c r="H583" t="s">
        <v>4509</v>
      </c>
      <c r="I583" s="263" t="s">
        <v>4340</v>
      </c>
      <c r="L583" t="s">
        <v>4509</v>
      </c>
      <c r="M583" s="263" t="s">
        <v>4340</v>
      </c>
      <c r="P583" s="103" t="str">
        <f>""</f>
        <v/>
      </c>
      <c r="Q583" s="263" t="str">
        <f>CONCATENATE(CHAR(34),"newIpAddressPoolSpecs",(CHAR(34)),": [")</f>
        <v>"newIpAddressPoolSpecs": [</v>
      </c>
      <c r="U583" s="103" t="str">
        <f>""</f>
        <v/>
      </c>
      <c r="V583" s="263" t="str">
        <f>CONCATENATE(CHAR(34),"newIpAddressPoolSpecs",(CHAR(34)),": [")</f>
        <v>"newIpAddressPoolSpecs": [</v>
      </c>
    </row>
    <row r="584" spans="2:22">
      <c r="B584" t="str">
        <f>""</f>
        <v/>
      </c>
      <c r="C584" s="255" t="str">
        <f>CONCATENATE(CHAR(34),"hostname",CHAR(34),": ",CHAR(34), wld_az1_first_compute_rack_host_01_output,CHAR(34),",")</f>
        <v>"hostname": "",</v>
      </c>
      <c r="E584" t="str">
        <f>""</f>
        <v/>
      </c>
      <c r="F584" s="255" t="str">
        <f>CONCATENATE(CHAR(34),"licenseKey",CHAR(34),": ",CHAR(34), esx_std_license,CHAR(34),",")</f>
        <v>"licenseKey": "Value Missing",</v>
      </c>
      <c r="H584" t="str">
        <f>""</f>
        <v/>
      </c>
      <c r="I584" s="263" t="str">
        <f>CONCATENATE(CHAR(34),"licenseKey",CHAR(34),": ",CHAR(34), esx_std_license,CHAR(34),",")</f>
        <v>"licenseKey": "Value Missing",</v>
      </c>
      <c r="L584" t="str">
        <f>""</f>
        <v/>
      </c>
      <c r="M584" s="263" t="str">
        <f>CONCATENATE(CHAR(34),"licenseKey",CHAR(34),": ",CHAR(34), esx_std_license,CHAR(34),",")</f>
        <v>"licenseKey": "Value Missing",</v>
      </c>
      <c r="P584" s="103" t="str">
        <f>""</f>
        <v/>
      </c>
      <c r="Q584" s="263" t="s">
        <v>4315</v>
      </c>
      <c r="U584" s="103" t="str">
        <f>""</f>
        <v/>
      </c>
      <c r="V584" s="263" t="s">
        <v>4315</v>
      </c>
    </row>
    <row r="585" spans="2:22">
      <c r="B585" t="str">
        <f>""</f>
        <v/>
      </c>
      <c r="C585" s="255" t="s">
        <v>4370</v>
      </c>
      <c r="E585" t="str">
        <f>""</f>
        <v/>
      </c>
      <c r="F585" s="255" t="str">
        <f>CONCATENATE(CHAR(34),"hostname",CHAR(34),": ",CHAR(34), wld_az1_first_compute_rack_host_01_output,CHAR(34),",")</f>
        <v>"hostname": "",</v>
      </c>
      <c r="H585" t="str">
        <f>""</f>
        <v/>
      </c>
      <c r="I585" s="263" t="str">
        <f>CONCATENATE(CHAR(34),"hostname",CHAR(34),": ",CHAR(34), wld_az1_first_compute_rack_host_01_output,CHAR(34),",")</f>
        <v>"hostname": "",</v>
      </c>
      <c r="L585" t="str">
        <f>""</f>
        <v/>
      </c>
      <c r="M585" s="263" t="str">
        <f>CONCATENATE(CHAR(34),"hostname",CHAR(34),": ",CHAR(34), wld_az1_first_compute_rack_host_01_output,CHAR(34),",")</f>
        <v>"hostname": "",</v>
      </c>
      <c r="P585" s="103" t="str">
        <f>""</f>
        <v/>
      </c>
      <c r="Q585" s="263" t="str">
        <f>CONCATENATE(CHAR(34),"name",CHAR(34),": ",CHAR(34), wld_az1_first_edge_rack_edge_overlay_network_pool_name_output,CHAR(34),",")</f>
        <v>"name": "Value Missing",</v>
      </c>
      <c r="U585" s="103" t="str">
        <f>""</f>
        <v/>
      </c>
      <c r="V585" s="263" t="str">
        <f>CONCATENATE(CHAR(34),"name",CHAR(34),": ",CHAR(34), wld_az1_first_edge_rack_edge_overlay_network_pool_name_output,CHAR(34),",")</f>
        <v>"name": "Value Missing",</v>
      </c>
    </row>
    <row r="586" spans="2:22">
      <c r="B586" t="str">
        <f>""</f>
        <v/>
      </c>
      <c r="C586" s="255" t="str" cm="1">
        <f t="array" ref="C586">CONCATENATE(CHAR(34),"networkProfileName",CHAR(34),": ",CHAR(34), wld_az1_first_compute_rack_overlay_network_profile_name_output,CHAR(34),",")</f>
        <v>"networkProfileName": "0",</v>
      </c>
      <c r="E586" t="str">
        <f>""</f>
        <v/>
      </c>
      <c r="F586" s="255" t="s">
        <v>4370</v>
      </c>
      <c r="H586" t="str">
        <f>""</f>
        <v/>
      </c>
      <c r="I586" s="263" t="s">
        <v>4370</v>
      </c>
      <c r="L586" t="str">
        <f>""</f>
        <v/>
      </c>
      <c r="M586" s="263" t="s">
        <v>4370</v>
      </c>
      <c r="P586" s="103" t="str">
        <f>""</f>
        <v/>
      </c>
      <c r="Q586" s="263" t="str">
        <f>CONCATENATE(CHAR(34),"subnets",(CHAR(34)),": [")</f>
        <v>"subnets": [</v>
      </c>
      <c r="U586" s="103" t="str">
        <f>""</f>
        <v/>
      </c>
      <c r="V586" s="263" t="str">
        <f>CONCATENATE(CHAR(34),"subnets",(CHAR(34)),": [")</f>
        <v>"subnets": [</v>
      </c>
    </row>
    <row r="587" spans="2:22">
      <c r="B587" t="str">
        <f>""</f>
        <v/>
      </c>
      <c r="C587" s="255" t="s">
        <v>4371</v>
      </c>
      <c r="E587" t="str">
        <f>""</f>
        <v/>
      </c>
      <c r="F587" s="255" t="str" cm="1">
        <f t="array" ref="F587">CONCATENATE(CHAR(34),"networkProfileName",CHAR(34),": ",CHAR(34), wld_az1_first_compute_rack_overlay_network_profile_name_output,CHAR(34),",")</f>
        <v>"networkProfileName": "0",</v>
      </c>
      <c r="H587" t="str">
        <f>""</f>
        <v/>
      </c>
      <c r="I587" s="263" t="str" cm="1">
        <f t="array" ref="I587">CONCATENATE(CHAR(34),"networkProfileName",CHAR(34),": ",CHAR(34), wld_az1_first_compute_rack_overlay_network_profile_name_output,CHAR(34),",")</f>
        <v>"networkProfileName": "0",</v>
      </c>
      <c r="L587" t="str">
        <f>""</f>
        <v/>
      </c>
      <c r="M587" s="263" t="str" cm="1">
        <f t="array" ref="M587">CONCATENATE(CHAR(34),"networkProfileName",CHAR(34),": ",CHAR(34), wld_az1_first_compute_rack_overlay_network_profile_name_output,CHAR(34),",")</f>
        <v>"networkProfileName": "0",</v>
      </c>
      <c r="P587" s="103" t="str">
        <f>""</f>
        <v/>
      </c>
      <c r="Q587" s="263" t="s">
        <v>4315</v>
      </c>
      <c r="U587" s="103" t="str">
        <f>""</f>
        <v/>
      </c>
      <c r="V587" s="263" t="s">
        <v>4315</v>
      </c>
    </row>
    <row r="588" spans="2:22">
      <c r="B588" t="str">
        <f>""</f>
        <v/>
      </c>
      <c r="C588" s="255" t="s">
        <v>4315</v>
      </c>
      <c r="E588" t="str">
        <f>""</f>
        <v/>
      </c>
      <c r="F588" s="255" t="s">
        <v>4371</v>
      </c>
      <c r="H588" t="str">
        <f>""</f>
        <v/>
      </c>
      <c r="I588" s="263" t="s">
        <v>4371</v>
      </c>
      <c r="L588" t="str">
        <f>""</f>
        <v/>
      </c>
      <c r="M588" s="263" t="s">
        <v>4371</v>
      </c>
      <c r="P588" s="103" t="str">
        <f>""</f>
        <v/>
      </c>
      <c r="Q588" s="263" t="str">
        <f>CONCATENATE(CHAR(34),"ipAddressPoolRanges",(CHAR(34)),": [")</f>
        <v>"ipAddressPoolRanges": [</v>
      </c>
      <c r="U588" s="103" t="str">
        <f>""</f>
        <v/>
      </c>
      <c r="V588" s="263" t="str">
        <f>CONCATENATE(CHAR(34),"ipAddressPoolRanges",(CHAR(34)),": [")</f>
        <v>"ipAddressPoolRanges": [</v>
      </c>
    </row>
    <row r="589" spans="2:22">
      <c r="B589" t="str">
        <f>""</f>
        <v/>
      </c>
      <c r="C589" s="255" t="s">
        <v>4372</v>
      </c>
      <c r="E589" t="str">
        <f>""</f>
        <v/>
      </c>
      <c r="F589" s="255" t="s">
        <v>4315</v>
      </c>
      <c r="H589" t="str">
        <f>""</f>
        <v/>
      </c>
      <c r="I589" s="263" t="s">
        <v>4315</v>
      </c>
      <c r="L589" t="str">
        <f>""</f>
        <v/>
      </c>
      <c r="M589" s="263" t="s">
        <v>4315</v>
      </c>
      <c r="P589" s="103" t="str">
        <f>""</f>
        <v/>
      </c>
      <c r="Q589" s="263" t="s">
        <v>4315</v>
      </c>
      <c r="U589" s="103" t="str">
        <f>""</f>
        <v/>
      </c>
      <c r="V589" s="263" t="s">
        <v>4315</v>
      </c>
    </row>
    <row r="590" spans="2:22">
      <c r="B590" t="str">
        <f>""</f>
        <v/>
      </c>
      <c r="C590" s="255" t="str">
        <f>CONCATENATE(CHAR(34),"vdsName",CHAR(34),": ",CHAR(34), wld_cl01_vds_name,CHAR(34),",")</f>
        <v>"vdsName": "Value Missing",</v>
      </c>
      <c r="E590" t="str">
        <f>""</f>
        <v/>
      </c>
      <c r="F590" s="255" t="s">
        <v>4372</v>
      </c>
      <c r="H590" t="str">
        <f>""</f>
        <v/>
      </c>
      <c r="I590" s="263" t="s">
        <v>4372</v>
      </c>
      <c r="L590" t="str">
        <f>""</f>
        <v/>
      </c>
      <c r="M590" s="263" t="s">
        <v>4372</v>
      </c>
      <c r="P590" s="103" t="str">
        <f>""</f>
        <v/>
      </c>
      <c r="Q590" s="263" t="str">
        <f>CONCATENATE(CHAR(34),"start",CHAR(34),": ",CHAR(34), wld_az1_first_edge_rack_edge_overlay_pool_start_ip_output,CHAR(34),",")</f>
        <v>"start": "Value Missing",</v>
      </c>
      <c r="U590" s="103" t="str">
        <f>""</f>
        <v/>
      </c>
      <c r="V590" s="263" t="str">
        <f>CONCATENATE(CHAR(34),"start",CHAR(34),": ",CHAR(34), wld_az1_first_edge_rack_edge_overlay_pool_start_ip_output,CHAR(34),",")</f>
        <v>"start": "Value Missing",</v>
      </c>
    </row>
    <row r="591" spans="2:22">
      <c r="B591" t="str">
        <f>""</f>
        <v/>
      </c>
      <c r="C591" s="255" t="s">
        <v>4373</v>
      </c>
      <c r="E591" t="str">
        <f>""</f>
        <v/>
      </c>
      <c r="F591" s="255" t="str">
        <f>CONCATENATE(CHAR(34),"vdsName",CHAR(34),": ",CHAR(34), wld_cl01_vds_name,CHAR(34),",")</f>
        <v>"vdsName": "Value Missing",</v>
      </c>
      <c r="H591" t="str">
        <f>""</f>
        <v/>
      </c>
      <c r="I591" s="263" t="str">
        <f>CONCATENATE(CHAR(34),"vdsName",CHAR(34),": ",CHAR(34), wld_cl01_vds_name,CHAR(34),",")</f>
        <v>"vdsName": "Value Missing",</v>
      </c>
      <c r="L591" t="str">
        <f>""</f>
        <v/>
      </c>
      <c r="M591" s="263" t="str">
        <f>CONCATENATE(CHAR(34),"vdsName",CHAR(34),": ",CHAR(34), wld_cl01_vds_name,CHAR(34),",")</f>
        <v>"vdsName": "Value Missing",</v>
      </c>
      <c r="P591" s="103" t="str">
        <f>""</f>
        <v/>
      </c>
      <c r="Q591" s="263" t="str">
        <f>CONCATENATE(CHAR(34),"end",CHAR(34),": ",CHAR(34), wld_az1_first_edge_rack_edge_overlay_pool_end_ip_output,CHAR(34))</f>
        <v>"end": "Value Missing"</v>
      </c>
      <c r="U591" s="103" t="str">
        <f>""</f>
        <v/>
      </c>
      <c r="V591" s="263" t="str">
        <f>CONCATENATE(CHAR(34),"end",CHAR(34),": ",CHAR(34), wld_az1_first_edge_rack_edge_overlay_pool_end_ip_output,CHAR(34))</f>
        <v>"end": "Value Missing"</v>
      </c>
    </row>
    <row r="592" spans="2:22">
      <c r="B592" t="str">
        <f>""</f>
        <v/>
      </c>
      <c r="C592" s="255" t="s">
        <v>4316</v>
      </c>
      <c r="E592" t="str">
        <f>""</f>
        <v/>
      </c>
      <c r="F592" s="255" t="s">
        <v>4373</v>
      </c>
      <c r="H592" t="str">
        <f>""</f>
        <v/>
      </c>
      <c r="I592" s="263" t="s">
        <v>4373</v>
      </c>
      <c r="L592" t="str">
        <f>""</f>
        <v/>
      </c>
      <c r="M592" s="263" t="s">
        <v>4373</v>
      </c>
      <c r="P592" s="103" t="str">
        <f>""</f>
        <v/>
      </c>
      <c r="Q592" s="263" t="s">
        <v>4317</v>
      </c>
      <c r="U592" s="103" t="str">
        <f>""</f>
        <v/>
      </c>
      <c r="V592" s="263" t="s">
        <v>4317</v>
      </c>
    </row>
    <row r="593" spans="2:22">
      <c r="B593" t="str">
        <f>""</f>
        <v/>
      </c>
      <c r="C593" s="255" t="s">
        <v>4315</v>
      </c>
      <c r="E593" t="str">
        <f>""</f>
        <v/>
      </c>
      <c r="F593" s="255" t="s">
        <v>4316</v>
      </c>
      <c r="H593" t="str">
        <f>""</f>
        <v/>
      </c>
      <c r="I593" s="263" t="s">
        <v>4316</v>
      </c>
      <c r="L593" t="str">
        <f>""</f>
        <v/>
      </c>
      <c r="M593" s="263" t="s">
        <v>4316</v>
      </c>
      <c r="P593" s="103" t="str">
        <f>""</f>
        <v/>
      </c>
      <c r="Q593" s="263" t="s">
        <v>4319</v>
      </c>
      <c r="U593" s="103" t="str">
        <f>""</f>
        <v/>
      </c>
      <c r="V593" s="263" t="s">
        <v>4319</v>
      </c>
    </row>
    <row r="594" spans="2:22">
      <c r="B594" t="str">
        <f>""</f>
        <v/>
      </c>
      <c r="C594" s="255" t="s">
        <v>4374</v>
      </c>
      <c r="E594" t="str">
        <f>""</f>
        <v/>
      </c>
      <c r="F594" s="255" t="s">
        <v>4315</v>
      </c>
      <c r="H594" t="str">
        <f>""</f>
        <v/>
      </c>
      <c r="I594" s="263" t="s">
        <v>4315</v>
      </c>
      <c r="L594" t="str">
        <f>""</f>
        <v/>
      </c>
      <c r="M594" s="263" t="s">
        <v>4315</v>
      </c>
      <c r="P594" s="103" t="str">
        <f>""</f>
        <v/>
      </c>
      <c r="Q594" s="263" t="str">
        <f>CONCATENATE(CHAR(34),"cidr",CHAR(34),": ",CHAR(34), wld_az1_first_edge_rack_edge_overlay_cidr_output,CHAR(34),",")</f>
        <v>"cidr": "Value Missing",</v>
      </c>
      <c r="U594" s="103" t="str">
        <f>""</f>
        <v/>
      </c>
      <c r="V594" s="263" t="str">
        <f>CONCATENATE(CHAR(34),"cidr",CHAR(34),": ",CHAR(34), wld_az1_first_edge_rack_edge_overlay_cidr_output,CHAR(34),",")</f>
        <v>"cidr": "Value Missing",</v>
      </c>
    </row>
    <row r="595" spans="2:22">
      <c r="B595" t="str">
        <f>""</f>
        <v/>
      </c>
      <c r="C595" s="255" t="str">
        <f>CONCATENATE(CHAR(34),"vdsName",CHAR(34),": ",CHAR(34), wld_cl01_vds_name,CHAR(34),",")</f>
        <v>"vdsName": "Value Missing",</v>
      </c>
      <c r="E595" t="str">
        <f>""</f>
        <v/>
      </c>
      <c r="F595" s="255" t="s">
        <v>4374</v>
      </c>
      <c r="H595" t="str">
        <f>""</f>
        <v/>
      </c>
      <c r="I595" s="263" t="s">
        <v>4374</v>
      </c>
      <c r="L595" t="str">
        <f>""</f>
        <v/>
      </c>
      <c r="M595" s="263" t="s">
        <v>4374</v>
      </c>
      <c r="P595" s="103" t="str">
        <f>""</f>
        <v/>
      </c>
      <c r="Q595" s="263" t="str">
        <f>CONCATENATE(CHAR(34),"gateway",CHAR(34),": ",CHAR(34), wld_az1_first_edge_rack_edge_overlay_gateway_ip_output,CHAR(34))</f>
        <v>"gateway": "Value Missing"</v>
      </c>
      <c r="U595" s="103" t="str">
        <f>""</f>
        <v/>
      </c>
      <c r="V595" s="263" t="str">
        <f>CONCATENATE(CHAR(34),"gateway",CHAR(34),": ",CHAR(34), wld_az1_first_edge_rack_edge_overlay_gateway_ip_output,CHAR(34))</f>
        <v>"gateway": "Value Missing"</v>
      </c>
    </row>
    <row r="596" spans="2:22">
      <c r="B596" t="str">
        <f>""</f>
        <v/>
      </c>
      <c r="C596" s="255" t="s">
        <v>4375</v>
      </c>
      <c r="E596" t="str">
        <f>""</f>
        <v/>
      </c>
      <c r="F596" s="255" t="str">
        <f>CONCATENATE(CHAR(34),"vdsName",CHAR(34),": ",CHAR(34), wld_cl01_vds_name,CHAR(34),",")</f>
        <v>"vdsName": "Value Missing",</v>
      </c>
      <c r="H596" t="str">
        <f>""</f>
        <v/>
      </c>
      <c r="I596" s="263" t="str">
        <f>CONCATENATE(CHAR(34),"vdsName",CHAR(34),": ",CHAR(34), wld_cl01_vds_name,CHAR(34),",")</f>
        <v>"vdsName": "Value Missing",</v>
      </c>
      <c r="L596" t="str">
        <f>""</f>
        <v/>
      </c>
      <c r="M596" s="263" t="str">
        <f>CONCATENATE(CHAR(34),"vdsName",CHAR(34),": ",CHAR(34), wld_cl01_vds_name,CHAR(34),",")</f>
        <v>"vdsName": "Value Missing",</v>
      </c>
      <c r="P596" s="103" t="str">
        <f>""</f>
        <v/>
      </c>
      <c r="Q596" s="263" t="s">
        <v>4317</v>
      </c>
      <c r="U596" s="103" t="str">
        <f>""</f>
        <v/>
      </c>
      <c r="V596" s="263" t="s">
        <v>4317</v>
      </c>
    </row>
    <row r="597" spans="2:22">
      <c r="B597" t="str">
        <f>""</f>
        <v/>
      </c>
      <c r="C597" s="255" t="s">
        <v>4317</v>
      </c>
      <c r="E597" t="str">
        <f>""</f>
        <v/>
      </c>
      <c r="F597" s="255" t="s">
        <v>4375</v>
      </c>
      <c r="H597" t="str">
        <f>""</f>
        <v/>
      </c>
      <c r="I597" s="263" t="s">
        <v>4375</v>
      </c>
      <c r="L597" t="str">
        <f>""</f>
        <v/>
      </c>
      <c r="M597" s="263" t="s">
        <v>4375</v>
      </c>
      <c r="P597" s="103" t="str">
        <f>""</f>
        <v/>
      </c>
      <c r="Q597" s="263" t="s">
        <v>4318</v>
      </c>
      <c r="U597" s="103" t="str">
        <f>""</f>
        <v/>
      </c>
      <c r="V597" s="263" t="s">
        <v>4318</v>
      </c>
    </row>
    <row r="598" spans="2:22">
      <c r="B598" t="str">
        <f>""</f>
        <v/>
      </c>
      <c r="C598" s="255" t="s">
        <v>4318</v>
      </c>
      <c r="E598" t="str">
        <f>""</f>
        <v/>
      </c>
      <c r="F598" s="263" t="s">
        <v>4316</v>
      </c>
      <c r="H598" t="str">
        <f>""</f>
        <v/>
      </c>
      <c r="I598" s="263" t="s">
        <v>4316</v>
      </c>
      <c r="L598" t="str">
        <f>""</f>
        <v/>
      </c>
      <c r="M598" s="263" t="s">
        <v>4316</v>
      </c>
      <c r="P598" s="103" t="str">
        <f>""</f>
        <v/>
      </c>
      <c r="Q598" s="263" t="s">
        <v>4316</v>
      </c>
      <c r="U598" s="103" t="str">
        <f>""</f>
        <v/>
      </c>
      <c r="V598" s="263" t="s">
        <v>4316</v>
      </c>
    </row>
    <row r="599" spans="2:22">
      <c r="B599" t="str">
        <f>""</f>
        <v/>
      </c>
      <c r="C599" s="255" t="s">
        <v>4317</v>
      </c>
      <c r="E599" t="str">
        <f>""</f>
        <v/>
      </c>
      <c r="F599" s="263" t="s">
        <v>4315</v>
      </c>
      <c r="H599" t="str">
        <f>""</f>
        <v/>
      </c>
      <c r="I599" s="263" t="s">
        <v>4315</v>
      </c>
      <c r="L599" t="str">
        <f>""</f>
        <v/>
      </c>
      <c r="M599" s="263" t="s">
        <v>4315</v>
      </c>
      <c r="P599" s="103" t="str">
        <f>""</f>
        <v/>
      </c>
      <c r="Q599" s="263" t="s">
        <v>4315</v>
      </c>
      <c r="U599" s="103" t="str">
        <f>""</f>
        <v/>
      </c>
      <c r="V599" s="263" t="s">
        <v>4315</v>
      </c>
    </row>
    <row r="600" spans="2:22">
      <c r="B600" t="str">
        <f>""</f>
        <v/>
      </c>
      <c r="C600" s="255" t="s">
        <v>4316</v>
      </c>
      <c r="E600" t="str">
        <f>""</f>
        <v/>
      </c>
      <c r="F600" s="263" t="s">
        <v>4505</v>
      </c>
      <c r="H600" t="str">
        <f>""</f>
        <v/>
      </c>
      <c r="I600" s="263" t="s">
        <v>4505</v>
      </c>
      <c r="L600" t="str">
        <f>""</f>
        <v/>
      </c>
      <c r="M600" s="263" t="s">
        <v>4505</v>
      </c>
      <c r="P600" s="103" t="str">
        <f>""</f>
        <v/>
      </c>
      <c r="Q600" s="263" t="str">
        <f>CONCATENATE(CHAR(34),"name",CHAR(34),": ",CHAR(34), wld_az1_second_edge_rack_edge_overlay_network_pool_name_output,CHAR(34),",")</f>
        <v>"name": "Value Missing",</v>
      </c>
      <c r="U600" s="103" t="str">
        <f>""</f>
        <v/>
      </c>
      <c r="V600" s="263" t="str">
        <f>CONCATENATE(CHAR(34),"name",CHAR(34),": ",CHAR(34), wld_az1_second_edge_rack_edge_overlay_network_pool_name_output,CHAR(34),",")</f>
        <v>"name": "Value Missing",</v>
      </c>
    </row>
    <row r="601" spans="2:22">
      <c r="B601" t="str">
        <f>""</f>
        <v/>
      </c>
      <c r="C601" s="255" t="s">
        <v>4315</v>
      </c>
      <c r="E601" t="str">
        <f>""</f>
        <v/>
      </c>
      <c r="F601" s="263" t="str">
        <f>CONCATENATE(CHAR(34),"vdsName",CHAR(34),": ",CHAR(34), wld_cl01_vds02_name,CHAR(34),",")</f>
        <v>"vdsName": "Value Missing",</v>
      </c>
      <c r="H601" t="str">
        <f>""</f>
        <v/>
      </c>
      <c r="I601" s="263" t="str">
        <f>CONCATENATE(CHAR(34),"vdsName",CHAR(34),": ",CHAR(34), wld_cl01_vds02_name,CHAR(34),",")</f>
        <v>"vdsName": "Value Missing",</v>
      </c>
      <c r="L601" t="str">
        <f>""</f>
        <v/>
      </c>
      <c r="M601" s="263" t="str">
        <f>CONCATENATE(CHAR(34),"vdsName",CHAR(34),": ",CHAR(34), wld_cl01_vds02_name,CHAR(34),",")</f>
        <v>"vdsName": "Value Missing",</v>
      </c>
      <c r="P601" s="103" t="str">
        <f>""</f>
        <v/>
      </c>
      <c r="Q601" s="263" t="str">
        <f>CONCATENATE(CHAR(34),"subnets",(CHAR(34)),": [")</f>
        <v>"subnets": [</v>
      </c>
      <c r="U601" s="103" t="str">
        <f>""</f>
        <v/>
      </c>
      <c r="V601" s="263" t="str">
        <f>CONCATENATE(CHAR(34),"subnets",(CHAR(34)),": [")</f>
        <v>"subnets": [</v>
      </c>
    </row>
    <row r="602" spans="2:22">
      <c r="B602" t="str">
        <f>""</f>
        <v/>
      </c>
      <c r="C602" s="255" t="s">
        <v>4340</v>
      </c>
      <c r="E602" t="str">
        <f>""</f>
        <v/>
      </c>
      <c r="F602" s="263" t="s">
        <v>4373</v>
      </c>
      <c r="H602" t="str">
        <f>""</f>
        <v/>
      </c>
      <c r="I602" s="263" t="s">
        <v>4373</v>
      </c>
      <c r="L602" t="str">
        <f>""</f>
        <v/>
      </c>
      <c r="M602" s="263" t="s">
        <v>4373</v>
      </c>
      <c r="P602" s="103" t="str">
        <f>""</f>
        <v/>
      </c>
      <c r="Q602" s="263" t="s">
        <v>4315</v>
      </c>
      <c r="U602" s="103" t="str">
        <f>""</f>
        <v/>
      </c>
      <c r="V602" s="263" t="s">
        <v>4315</v>
      </c>
    </row>
    <row r="603" spans="2:22">
      <c r="B603" t="str">
        <f>""</f>
        <v/>
      </c>
      <c r="C603" s="255" t="str">
        <f>CONCATENATE(CHAR(34),"licenseKey",CHAR(34),": ",CHAR(34), esx_std_license,CHAR(34),",")</f>
        <v>"licenseKey": "Value Missing",</v>
      </c>
      <c r="E603" t="str">
        <f>""</f>
        <v/>
      </c>
      <c r="F603" s="263" t="s">
        <v>4316</v>
      </c>
      <c r="H603" t="str">
        <f>""</f>
        <v/>
      </c>
      <c r="I603" s="263" t="s">
        <v>4316</v>
      </c>
      <c r="L603" t="str">
        <f>""</f>
        <v/>
      </c>
      <c r="M603" s="263" t="s">
        <v>4316</v>
      </c>
      <c r="P603" s="103" t="str">
        <f>""</f>
        <v/>
      </c>
      <c r="Q603" s="263" t="str">
        <f>CONCATENATE(CHAR(34),"ipAddressPoolRanges",(CHAR(34)),": [")</f>
        <v>"ipAddressPoolRanges": [</v>
      </c>
      <c r="U603" s="103" t="str">
        <f>""</f>
        <v/>
      </c>
      <c r="V603" s="263" t="str">
        <f>CONCATENATE(CHAR(34),"ipAddressPoolRanges",(CHAR(34)),": [")</f>
        <v>"ipAddressPoolRanges": [</v>
      </c>
    </row>
    <row r="604" spans="2:22">
      <c r="B604" t="str">
        <f>""</f>
        <v/>
      </c>
      <c r="C604" s="255" t="e">
        <f ca="1">CONCATENATE(CHAR(34),"hostname",CHAR(34),": ",CHAR(34), wld_az1_second_compute_rack_host_01_output,CHAR(34),",")</f>
        <v>#VALUE!</v>
      </c>
      <c r="E604" t="str">
        <f>""</f>
        <v/>
      </c>
      <c r="F604" s="263" t="s">
        <v>4315</v>
      </c>
      <c r="H604" t="str">
        <f>""</f>
        <v/>
      </c>
      <c r="I604" s="263" t="s">
        <v>4315</v>
      </c>
      <c r="L604" t="str">
        <f>""</f>
        <v/>
      </c>
      <c r="M604" s="263" t="s">
        <v>4315</v>
      </c>
      <c r="P604" s="103" t="str">
        <f>""</f>
        <v/>
      </c>
      <c r="Q604" s="263" t="s">
        <v>4315</v>
      </c>
      <c r="U604" s="103" t="str">
        <f>""</f>
        <v/>
      </c>
      <c r="V604" s="263" t="s">
        <v>4315</v>
      </c>
    </row>
    <row r="605" spans="2:22">
      <c r="B605" t="str">
        <f>""</f>
        <v/>
      </c>
      <c r="C605" s="255" t="s">
        <v>4370</v>
      </c>
      <c r="E605" t="str">
        <f>""</f>
        <v/>
      </c>
      <c r="F605" s="263" t="s">
        <v>4506</v>
      </c>
      <c r="H605" t="str">
        <f>""</f>
        <v/>
      </c>
      <c r="I605" s="263" t="s">
        <v>4506</v>
      </c>
      <c r="L605" t="str">
        <f>""</f>
        <v/>
      </c>
      <c r="M605" s="263" t="s">
        <v>4506</v>
      </c>
      <c r="P605" s="103" t="str">
        <f>""</f>
        <v/>
      </c>
      <c r="Q605" s="263" t="str">
        <f>CONCATENATE(CHAR(34),"start",CHAR(34),": ",CHAR(34), wld_az1_second_edge_rack_edge_overlay_pool_start_ip_output,CHAR(34),",")</f>
        <v>"start": "Value Missing",</v>
      </c>
      <c r="U605" s="103" t="str">
        <f>""</f>
        <v/>
      </c>
      <c r="V605" s="263" t="str">
        <f>CONCATENATE(CHAR(34),"start",CHAR(34),": ",CHAR(34), wld_az1_second_edge_rack_edge_overlay_pool_start_ip_output,CHAR(34),",")</f>
        <v>"start": "Value Missing",</v>
      </c>
    </row>
    <row r="606" spans="2:22">
      <c r="B606" t="str">
        <f>""</f>
        <v/>
      </c>
      <c r="C606" s="255" t="e">
        <f ca="1">CONCATENATE(CHAR(34),"networkProfileName",CHAR(34),": ",CHAR(34), wld_az1_second_compute_rack_overlay_network_profile_name_output,CHAR(34),",")</f>
        <v>#N/A</v>
      </c>
      <c r="E606" t="str">
        <f>""</f>
        <v/>
      </c>
      <c r="F606" s="263" t="str">
        <f>CONCATENATE(CHAR(34),"vdsName",CHAR(34),": ",CHAR(34), wld_cl01_vds02_name,CHAR(34),",")</f>
        <v>"vdsName": "Value Missing",</v>
      </c>
      <c r="H606" t="str">
        <f>""</f>
        <v/>
      </c>
      <c r="I606" s="263" t="str">
        <f>CONCATENATE(CHAR(34),"vdsName",CHAR(34),": ",CHAR(34), wld_cl01_vds02_name,CHAR(34),",")</f>
        <v>"vdsName": "Value Missing",</v>
      </c>
      <c r="L606" t="str">
        <f>""</f>
        <v/>
      </c>
      <c r="M606" s="263" t="str">
        <f>CONCATENATE(CHAR(34),"vdsName",CHAR(34),": ",CHAR(34), wld_cl01_vds02_name,CHAR(34),",")</f>
        <v>"vdsName": "Value Missing",</v>
      </c>
      <c r="P606" s="103" t="str">
        <f>""</f>
        <v/>
      </c>
      <c r="Q606" s="263" t="str">
        <f>CONCATENATE(CHAR(34),"end",CHAR(34),": ",CHAR(34), wld_az1_second_edge_rack_edge_overlay_pool_end_ip_output,CHAR(34),)</f>
        <v>"end": "Value Missing"</v>
      </c>
      <c r="U606" s="103" t="str">
        <f>""</f>
        <v/>
      </c>
      <c r="V606" s="263" t="str">
        <f>CONCATENATE(CHAR(34),"end",CHAR(34),": ",CHAR(34), wld_az1_second_edge_rack_edge_overlay_pool_end_ip_output,CHAR(34),)</f>
        <v>"end": "Value Missing"</v>
      </c>
    </row>
    <row r="607" spans="2:22">
      <c r="B607" t="str">
        <f>""</f>
        <v/>
      </c>
      <c r="C607" s="255" t="s">
        <v>4371</v>
      </c>
      <c r="E607" t="str">
        <f>""</f>
        <v/>
      </c>
      <c r="F607" s="263" t="s">
        <v>4375</v>
      </c>
      <c r="H607" t="str">
        <f>""</f>
        <v/>
      </c>
      <c r="I607" s="263" t="s">
        <v>4375</v>
      </c>
      <c r="L607" t="str">
        <f>""</f>
        <v/>
      </c>
      <c r="M607" s="263" t="s">
        <v>4375</v>
      </c>
      <c r="P607" s="103" t="str">
        <f>""</f>
        <v/>
      </c>
      <c r="Q607" s="263" t="s">
        <v>4317</v>
      </c>
      <c r="U607" s="103" t="str">
        <f>""</f>
        <v/>
      </c>
      <c r="V607" s="263" t="s">
        <v>4317</v>
      </c>
    </row>
    <row r="608" spans="2:22">
      <c r="B608" t="str">
        <f>""</f>
        <v/>
      </c>
      <c r="C608" s="255" t="s">
        <v>4315</v>
      </c>
      <c r="E608" t="str">
        <f>""</f>
        <v/>
      </c>
      <c r="F608" s="263" t="s">
        <v>4316</v>
      </c>
      <c r="H608" t="str">
        <f>""</f>
        <v/>
      </c>
      <c r="I608" s="263" t="s">
        <v>4317</v>
      </c>
      <c r="L608" t="str">
        <f>""</f>
        <v/>
      </c>
      <c r="M608" s="263" t="s">
        <v>4317</v>
      </c>
      <c r="P608" s="103" t="str">
        <f>""</f>
        <v/>
      </c>
      <c r="Q608" s="263" t="s">
        <v>4319</v>
      </c>
      <c r="U608" s="103" t="str">
        <f>""</f>
        <v/>
      </c>
      <c r="V608" s="263" t="s">
        <v>4319</v>
      </c>
    </row>
    <row r="609" spans="2:22">
      <c r="B609" t="str">
        <f>""</f>
        <v/>
      </c>
      <c r="C609" s="255" t="s">
        <v>4372</v>
      </c>
      <c r="E609" t="str">
        <f>""</f>
        <v/>
      </c>
      <c r="F609" s="263" t="s">
        <v>4315</v>
      </c>
      <c r="H609" t="str">
        <f>""</f>
        <v/>
      </c>
      <c r="I609" s="263" t="s">
        <v>4318</v>
      </c>
      <c r="L609" t="str">
        <f>""</f>
        <v/>
      </c>
      <c r="M609" s="263" t="s">
        <v>4318</v>
      </c>
      <c r="P609" s="103" t="str">
        <f>""</f>
        <v/>
      </c>
      <c r="Q609" s="263" t="str">
        <f>CONCATENATE(CHAR(34),"cidr",CHAR(34),": ",CHAR(34), wld_az1_second_edge_rack_edge_overlay_cidr_output,CHAR(34),",")</f>
        <v>"cidr": "Value Missing",</v>
      </c>
      <c r="U609" s="103" t="str">
        <f>""</f>
        <v/>
      </c>
      <c r="V609" s="263" t="str">
        <f>CONCATENATE(CHAR(34),"cidr",CHAR(34),": ",CHAR(34), wld_az1_second_edge_rack_edge_overlay_cidr_output,CHAR(34),",")</f>
        <v>"cidr": "Value Missing",</v>
      </c>
    </row>
    <row r="610" spans="2:22">
      <c r="B610" t="str">
        <f>""</f>
        <v/>
      </c>
      <c r="C610" s="255" t="str">
        <f>CONCATENATE(CHAR(34),"vdsName",CHAR(34),": ",CHAR(34), wld_cl01_vds_name,CHAR(34),",")</f>
        <v>"vdsName": "Value Missing",</v>
      </c>
      <c r="E610" t="str">
        <f>""</f>
        <v/>
      </c>
      <c r="F610" s="263" t="s">
        <v>4507</v>
      </c>
      <c r="H610" t="str">
        <f>""</f>
        <v/>
      </c>
      <c r="I610" s="263" t="s">
        <v>4317</v>
      </c>
      <c r="L610" t="str">
        <f>""</f>
        <v/>
      </c>
      <c r="M610" s="263" t="s">
        <v>4317</v>
      </c>
      <c r="P610" s="103" t="str">
        <f>""</f>
        <v/>
      </c>
      <c r="Q610" s="263" t="str">
        <f>CONCATENATE(CHAR(34),"gateway",CHAR(34),": ",CHAR(34), wld_az1_second_edge_rack_edge_overlay_gateway_ip_output,CHAR(34))</f>
        <v>"gateway": "Value Missing"</v>
      </c>
      <c r="U610" s="103" t="str">
        <f>""</f>
        <v/>
      </c>
      <c r="V610" s="263" t="str">
        <f>CONCATENATE(CHAR(34),"gateway",CHAR(34),": ",CHAR(34), wld_az1_second_edge_rack_edge_overlay_gateway_ip_output,CHAR(34))</f>
        <v>"gateway": "Value Missing"</v>
      </c>
    </row>
    <row r="611" spans="2:22">
      <c r="B611" t="str">
        <f>""</f>
        <v/>
      </c>
      <c r="C611" s="255" t="s">
        <v>4373</v>
      </c>
      <c r="E611" t="str">
        <f>""</f>
        <v/>
      </c>
      <c r="F611" s="263" t="str">
        <f>CONCATENATE(CHAR(34),"vdsName",CHAR(34),": ",CHAR(34), wld_cl01_vds03_name,CHAR(34),",")</f>
        <v>"vdsName": "Value Missing",</v>
      </c>
      <c r="H611" t="str">
        <f>""</f>
        <v/>
      </c>
      <c r="I611" s="263" t="s">
        <v>4316</v>
      </c>
      <c r="L611" t="str">
        <f>""</f>
        <v/>
      </c>
      <c r="M611" s="263" t="s">
        <v>4316</v>
      </c>
      <c r="P611" s="103" t="str">
        <f>""</f>
        <v/>
      </c>
      <c r="Q611" s="263" t="s">
        <v>4317</v>
      </c>
      <c r="U611" s="103" t="str">
        <f>""</f>
        <v/>
      </c>
      <c r="V611" s="263" t="s">
        <v>4317</v>
      </c>
    </row>
    <row r="612" spans="2:22">
      <c r="B612" t="str">
        <f>""</f>
        <v/>
      </c>
      <c r="C612" s="255" t="s">
        <v>4316</v>
      </c>
      <c r="E612" t="str">
        <f>""</f>
        <v/>
      </c>
      <c r="F612" s="263" t="s">
        <v>4373</v>
      </c>
      <c r="H612" t="str">
        <f>""</f>
        <v/>
      </c>
      <c r="I612" s="263" t="s">
        <v>4315</v>
      </c>
      <c r="L612" t="str">
        <f>""</f>
        <v/>
      </c>
      <c r="M612" s="263" t="s">
        <v>4315</v>
      </c>
      <c r="P612" s="103" t="str">
        <f>""</f>
        <v/>
      </c>
      <c r="Q612" s="263" t="s">
        <v>4318</v>
      </c>
      <c r="U612" s="103" t="str">
        <f>""</f>
        <v/>
      </c>
      <c r="V612" s="263" t="s">
        <v>4318</v>
      </c>
    </row>
    <row r="613" spans="2:22">
      <c r="B613" t="str">
        <f>""</f>
        <v/>
      </c>
      <c r="C613" s="255" t="s">
        <v>4315</v>
      </c>
      <c r="E613" t="str">
        <f>""</f>
        <v/>
      </c>
      <c r="F613" s="263" t="s">
        <v>4316</v>
      </c>
      <c r="H613" t="str">
        <f>""</f>
        <v/>
      </c>
      <c r="I613" s="263" t="s">
        <v>4340</v>
      </c>
      <c r="L613" t="str">
        <f>""</f>
        <v/>
      </c>
      <c r="M613" s="263" t="s">
        <v>4340</v>
      </c>
      <c r="P613" s="103" t="str">
        <f>""</f>
        <v/>
      </c>
      <c r="Q613" s="263" t="s">
        <v>4317</v>
      </c>
      <c r="U613" s="103" t="str">
        <f>""</f>
        <v/>
      </c>
      <c r="V613" s="263" t="s">
        <v>4317</v>
      </c>
    </row>
    <row r="614" spans="2:22">
      <c r="B614" t="str">
        <f>""</f>
        <v/>
      </c>
      <c r="C614" s="255" t="s">
        <v>4374</v>
      </c>
      <c r="E614" t="str">
        <f>""</f>
        <v/>
      </c>
      <c r="F614" s="263" t="s">
        <v>4315</v>
      </c>
      <c r="H614" t="str">
        <f>""</f>
        <v/>
      </c>
      <c r="I614" s="263" t="str">
        <f>CONCATENATE(CHAR(34),"licenseKey",CHAR(34),": ",CHAR(34), esx_std_license,CHAR(34),",")</f>
        <v>"licenseKey": "Value Missing",</v>
      </c>
      <c r="L614" t="str">
        <f>""</f>
        <v/>
      </c>
      <c r="M614" s="263" t="str">
        <f>CONCATENATE(CHAR(34),"licenseKey",CHAR(34),": ",CHAR(34), esx_std_license,CHAR(34),",")</f>
        <v>"licenseKey": "Value Missing",</v>
      </c>
      <c r="P614" s="103" t="str">
        <f>""</f>
        <v/>
      </c>
      <c r="Q614" s="263" t="s">
        <v>4319</v>
      </c>
      <c r="U614" s="103" t="str">
        <f>""</f>
        <v/>
      </c>
      <c r="V614" s="263" t="s">
        <v>4319</v>
      </c>
    </row>
    <row r="615" spans="2:22">
      <c r="B615" t="str">
        <f>""</f>
        <v/>
      </c>
      <c r="C615" s="255" t="str">
        <f>CONCATENATE(CHAR(34),"vdsName",CHAR(34),": ",CHAR(34), wld_cl01_vds_name,CHAR(34),",")</f>
        <v>"vdsName": "Value Missing",</v>
      </c>
      <c r="E615" t="str">
        <f>""</f>
        <v/>
      </c>
      <c r="F615" s="263" t="s">
        <v>4508</v>
      </c>
      <c r="H615" t="str">
        <f>""</f>
        <v/>
      </c>
      <c r="I615" s="263" t="e">
        <f ca="1">CONCATENATE(CHAR(34),"hostname",CHAR(34),": ",CHAR(34), wld_az1_second_compute_rack_host_01_output,CHAR(34),",")</f>
        <v>#VALUE!</v>
      </c>
      <c r="L615" t="str">
        <f>""</f>
        <v/>
      </c>
      <c r="M615" s="263" t="e">
        <f ca="1">CONCATENATE(CHAR(34),"hostname",CHAR(34),": ",CHAR(34), wld_az1_second_compute_rack_host_01_output,CHAR(34),",")</f>
        <v>#VALUE!</v>
      </c>
      <c r="P615" s="103" t="str">
        <f>""</f>
        <v/>
      </c>
      <c r="Q615" s="263" t="str">
        <f>CONCATENATE(CHAR(34),"edgeNodeSpecs",(CHAR(34)),": [")</f>
        <v>"edgeNodeSpecs": [</v>
      </c>
      <c r="U615" s="103" t="str">
        <f>""</f>
        <v/>
      </c>
      <c r="V615" s="263" t="str">
        <f>CONCATENATE(CHAR(34),"edgeNodeSpecs",(CHAR(34)),": [")</f>
        <v>"edgeNodeSpecs": [</v>
      </c>
    </row>
    <row r="616" spans="2:22">
      <c r="B616" t="str">
        <f>""</f>
        <v/>
      </c>
      <c r="C616" s="255" t="s">
        <v>4375</v>
      </c>
      <c r="E616" t="str">
        <f>""</f>
        <v/>
      </c>
      <c r="F616" s="263" t="str">
        <f>CONCATENATE(CHAR(34),"vdsName",CHAR(34),": ",CHAR(34), wld_cl01_vds03_name,CHAR(34),",")</f>
        <v>"vdsName": "Value Missing",</v>
      </c>
      <c r="H616" t="str">
        <f>""</f>
        <v/>
      </c>
      <c r="I616" s="263" t="s">
        <v>4370</v>
      </c>
      <c r="L616" t="str">
        <f>""</f>
        <v/>
      </c>
      <c r="M616" s="263" t="s">
        <v>4370</v>
      </c>
      <c r="P616" s="103" t="str">
        <f>""</f>
        <v/>
      </c>
      <c r="Q616" s="263" t="s">
        <v>4315</v>
      </c>
      <c r="U616" s="103" t="str">
        <f>""</f>
        <v/>
      </c>
      <c r="V616" s="263" t="s">
        <v>4315</v>
      </c>
    </row>
    <row r="617" spans="2:22">
      <c r="B617" t="str">
        <f>""</f>
        <v/>
      </c>
      <c r="C617" s="255" t="s">
        <v>4317</v>
      </c>
      <c r="E617" t="str">
        <f>""</f>
        <v/>
      </c>
      <c r="F617" s="263" t="s">
        <v>4375</v>
      </c>
      <c r="H617" t="str">
        <f>""</f>
        <v/>
      </c>
      <c r="I617" s="263" t="e">
        <f ca="1">CONCATENATE(CHAR(34),"networkProfileName",CHAR(34),": ",CHAR(34), wld_az1_second_compute_rack_overlay_network_profile_name_output,CHAR(34),",")</f>
        <v>#N/A</v>
      </c>
      <c r="L617" t="str">
        <f>""</f>
        <v/>
      </c>
      <c r="M617" s="263" t="e">
        <f ca="1">CONCATENATE(CHAR(34),"networkProfileName",CHAR(34),": ",CHAR(34), wld_az1_second_compute_rack_overlay_network_profile_name_output,CHAR(34),",")</f>
        <v>#N/A</v>
      </c>
      <c r="P617" s="103" t="str">
        <f>""</f>
        <v/>
      </c>
      <c r="Q617" s="263" t="str">
        <f>CONCATENATE(CHAR(34),"edgeNodeName",CHAR(34),": ",CHAR(34), wld_az1_first_edge_rack_en01_fqdn_output,CHAR(34),",")</f>
        <v>"edgeNodeName": "Value Missing.Value Missing",</v>
      </c>
      <c r="U617" s="103" t="str">
        <f>""</f>
        <v/>
      </c>
      <c r="V617" s="263" t="str">
        <f>CONCATENATE(CHAR(34),"edgeNodeName",CHAR(34),": ",CHAR(34), wld_az1_first_edge_rack_en01_fqdn_output,CHAR(34),",")</f>
        <v>"edgeNodeName": "Value Missing.Value Missing",</v>
      </c>
    </row>
    <row r="618" spans="2:22">
      <c r="B618" t="str">
        <f>""</f>
        <v/>
      </c>
      <c r="C618" s="255" t="s">
        <v>4318</v>
      </c>
      <c r="E618" t="str">
        <f>""</f>
        <v/>
      </c>
      <c r="F618" s="263" t="s">
        <v>4317</v>
      </c>
      <c r="H618" t="str">
        <f>""</f>
        <v/>
      </c>
      <c r="I618" s="263" t="s">
        <v>4371</v>
      </c>
      <c r="L618" t="str">
        <f>""</f>
        <v/>
      </c>
      <c r="M618" s="263" t="s">
        <v>4371</v>
      </c>
      <c r="P618" s="103" t="str">
        <f>""</f>
        <v/>
      </c>
      <c r="Q618" s="263" t="str">
        <f>CONCATENATE(CHAR(34),"managementIP",CHAR(34),": ",CHAR(34), wld_az1_first_edge_rack_mgmt_en01_vm_cidr_output,CHAR(34),",")</f>
        <v>"managementIP": "Value Missing",</v>
      </c>
      <c r="U618" s="103" t="str">
        <f>""</f>
        <v/>
      </c>
      <c r="V618" s="263" t="str">
        <f>CONCATENATE(CHAR(34),"managementIP",CHAR(34),": ",CHAR(34), wld_az1_first_edge_rack_mgmt_en01_vm_cidr_output,CHAR(34),",")</f>
        <v>"managementIP": "Value Missing",</v>
      </c>
    </row>
    <row r="619" spans="2:22">
      <c r="B619" t="str">
        <f>""</f>
        <v/>
      </c>
      <c r="C619" s="255" t="s">
        <v>4317</v>
      </c>
      <c r="E619" t="str">
        <f>""</f>
        <v/>
      </c>
      <c r="F619" s="263" t="s">
        <v>4318</v>
      </c>
      <c r="H619" t="str">
        <f>""</f>
        <v/>
      </c>
      <c r="I619" s="263" t="s">
        <v>4315</v>
      </c>
      <c r="L619" t="str">
        <f>""</f>
        <v/>
      </c>
      <c r="M619" s="263" t="s">
        <v>4315</v>
      </c>
      <c r="P619" s="103" t="str">
        <f>""</f>
        <v/>
      </c>
      <c r="Q619" s="263" t="str">
        <f>CONCATENATE(CHAR(34),"managementGateway",CHAR(34),": ",CHAR(34), wld_az1_first_edge_rack_mgmt_vm_gateway_ip_output,CHAR(34),",")</f>
        <v>"managementGateway": "Value Missing",</v>
      </c>
      <c r="U619" s="103" t="str">
        <f>""</f>
        <v/>
      </c>
      <c r="V619" s="263" t="str">
        <f>CONCATENATE(CHAR(34),"managementGateway",CHAR(34),": ",CHAR(34), wld_az1_first_edge_rack_mgmt_vm_gateway_ip_output,CHAR(34),",")</f>
        <v>"managementGateway": "Value Missing",</v>
      </c>
    </row>
    <row r="620" spans="2:22">
      <c r="B620" t="str">
        <f>""</f>
        <v/>
      </c>
      <c r="C620" s="255" t="s">
        <v>4316</v>
      </c>
      <c r="E620" t="str">
        <f>""</f>
        <v/>
      </c>
      <c r="F620" s="263" t="s">
        <v>4317</v>
      </c>
      <c r="H620" t="str">
        <f>""</f>
        <v/>
      </c>
      <c r="I620" s="263" t="s">
        <v>4372</v>
      </c>
      <c r="L620" t="str">
        <f>""</f>
        <v/>
      </c>
      <c r="M620" s="263" t="s">
        <v>4372</v>
      </c>
      <c r="P620" s="103" t="str">
        <f>""</f>
        <v/>
      </c>
      <c r="Q620" s="263" t="s">
        <v>4446</v>
      </c>
      <c r="U620" s="103" t="str">
        <f>""</f>
        <v/>
      </c>
      <c r="V620" s="263" t="s">
        <v>4446</v>
      </c>
    </row>
    <row r="621" spans="2:22">
      <c r="B621" t="str">
        <f>""</f>
        <v/>
      </c>
      <c r="C621" s="255" t="s">
        <v>4315</v>
      </c>
      <c r="E621" t="str">
        <f>""</f>
        <v/>
      </c>
      <c r="F621" s="263" t="s">
        <v>4316</v>
      </c>
      <c r="H621" t="str">
        <f>""</f>
        <v/>
      </c>
      <c r="I621" s="263" t="str">
        <f>CONCATENATE(CHAR(34),"vdsName",CHAR(34),": ",CHAR(34), wld_cl01_vds_name,CHAR(34),",")</f>
        <v>"vdsName": "Value Missing",</v>
      </c>
      <c r="L621" t="str">
        <f>""</f>
        <v/>
      </c>
      <c r="M621" s="263" t="str">
        <f>CONCATENATE(CHAR(34),"vdsName",CHAR(34),": ",CHAR(34), wld_cl01_vds_name,CHAR(34),",")</f>
        <v>"vdsName": "Value Missing",</v>
      </c>
      <c r="P621" s="103" t="str">
        <f>""</f>
        <v/>
      </c>
      <c r="Q621" s="263" t="str">
        <f>CONCATENATE(CHAR(34),"name",CHAR(34),": ",CHAR(34), wld_az1_first_edge_rack_edge_overlay_network_pool_name_output,CHAR(34))</f>
        <v>"name": "Value Missing"</v>
      </c>
      <c r="U621" s="103" t="str">
        <f>""</f>
        <v/>
      </c>
      <c r="V621" s="263" t="str">
        <f>CONCATENATE(CHAR(34),"name",CHAR(34),": ",CHAR(34), wld_az1_first_edge_rack_edge_overlay_network_pool_name_output,CHAR(34))</f>
        <v>"name": "Value Missing"</v>
      </c>
    </row>
    <row r="622" spans="2:22">
      <c r="B622" t="str">
        <f>""</f>
        <v/>
      </c>
      <c r="C622" s="255" t="s">
        <v>4340</v>
      </c>
      <c r="E622" t="str">
        <f>""</f>
        <v/>
      </c>
      <c r="F622" s="263" t="s">
        <v>4315</v>
      </c>
      <c r="H622" t="str">
        <f>""</f>
        <v/>
      </c>
      <c r="I622" s="263" t="s">
        <v>4373</v>
      </c>
      <c r="L622" t="str">
        <f>""</f>
        <v/>
      </c>
      <c r="M622" s="263" t="s">
        <v>4373</v>
      </c>
      <c r="P622" s="103" t="str">
        <f>""</f>
        <v/>
      </c>
      <c r="Q622" s="263" t="s">
        <v>4316</v>
      </c>
      <c r="U622" s="103" t="str">
        <f>""</f>
        <v/>
      </c>
      <c r="V622" s="263" t="s">
        <v>4316</v>
      </c>
    </row>
    <row r="623" spans="2:22">
      <c r="B623" t="str">
        <f>""</f>
        <v/>
      </c>
      <c r="C623" s="255" t="str">
        <f>CONCATENATE(CHAR(34),"licenseKey",CHAR(34),": ",CHAR(34), esx_std_license,CHAR(34),",")</f>
        <v>"licenseKey": "Value Missing",</v>
      </c>
      <c r="E623" t="str">
        <f>""</f>
        <v/>
      </c>
      <c r="F623" s="263" t="s">
        <v>4340</v>
      </c>
      <c r="H623" t="str">
        <f>""</f>
        <v/>
      </c>
      <c r="I623" s="263" t="s">
        <v>4316</v>
      </c>
      <c r="L623" t="str">
        <f>""</f>
        <v/>
      </c>
      <c r="M623" s="263" t="s">
        <v>4316</v>
      </c>
      <c r="P623" s="103" t="str">
        <f>""</f>
        <v/>
      </c>
      <c r="Q623" s="263" t="str">
        <f>CONCATENATE(CHAR(34),"edgeTepVlan",CHAR(34),": ",CHAR(34), wld_az1_first_edge_rack_edge_overlay_vlan_output,CHAR(34),",")</f>
        <v>"edgeTepVlan": "Value Missing",</v>
      </c>
      <c r="U623" s="103" t="str">
        <f>""</f>
        <v/>
      </c>
      <c r="V623" s="263" t="str">
        <f>CONCATENATE(CHAR(34),"edgeTepVlan",CHAR(34),": ",CHAR(34), wld_az1_first_edge_rack_edge_overlay_vlan_output,CHAR(34),",")</f>
        <v>"edgeTepVlan": "Value Missing",</v>
      </c>
    </row>
    <row r="624" spans="2:22">
      <c r="B624" t="str">
        <f>""</f>
        <v/>
      </c>
      <c r="C624" s="255" t="e">
        <f ca="1">CONCATENATE(CHAR(34),"hostname",CHAR(34),": ",CHAR(34), wld_az1_third_compute_rack_host_01_output,CHAR(34),",")</f>
        <v>#VALUE!</v>
      </c>
      <c r="E624" t="str">
        <f>""</f>
        <v/>
      </c>
      <c r="F624" s="263" t="str">
        <f>CONCATENATE(CHAR(34),"licenseKey",CHAR(34),": ",CHAR(34), esx_std_license,CHAR(34),",")</f>
        <v>"licenseKey": "Value Missing",</v>
      </c>
      <c r="H624" t="str">
        <f>""</f>
        <v/>
      </c>
      <c r="I624" s="263" t="s">
        <v>4315</v>
      </c>
      <c r="L624" t="str">
        <f>""</f>
        <v/>
      </c>
      <c r="M624" s="263" t="s">
        <v>4315</v>
      </c>
      <c r="P624" s="103" t="s">
        <v>4561</v>
      </c>
      <c r="Q624" s="263" t="s">
        <v>4348</v>
      </c>
      <c r="U624" s="103" t="s">
        <v>4561</v>
      </c>
      <c r="V624" s="263" t="s">
        <v>4348</v>
      </c>
    </row>
    <row r="625" spans="2:22">
      <c r="B625" t="str">
        <f>""</f>
        <v/>
      </c>
      <c r="C625" s="255" t="s">
        <v>4370</v>
      </c>
      <c r="E625" t="str">
        <f>""</f>
        <v/>
      </c>
      <c r="F625" s="263" t="e">
        <f ca="1">CONCATENATE(CHAR(34),"hostname",CHAR(34),": ",CHAR(34), wld_az1_second_compute_rack_host_01_output,CHAR(34),",")</f>
        <v>#VALUE!</v>
      </c>
      <c r="H625" t="str">
        <f>""</f>
        <v/>
      </c>
      <c r="I625" s="263" t="s">
        <v>4374</v>
      </c>
      <c r="L625" t="str">
        <f>""</f>
        <v/>
      </c>
      <c r="M625" s="263" t="s">
        <v>4374</v>
      </c>
      <c r="P625" s="103" t="str">
        <f>""</f>
        <v/>
      </c>
      <c r="Q625" s="263" t="s">
        <v>4447</v>
      </c>
      <c r="U625" s="103" t="str">
        <f>""</f>
        <v/>
      </c>
      <c r="V625" s="263" t="s">
        <v>4447</v>
      </c>
    </row>
    <row r="626" spans="2:22">
      <c r="B626" t="str">
        <f>""</f>
        <v/>
      </c>
      <c r="C626" s="255" t="e">
        <f ca="1">CONCATENATE(CHAR(34),"networkProfileName",CHAR(34),": ",CHAR(34), wld_az1_third_compute_rack_overlay_network_profile_name_output,CHAR(34),",")</f>
        <v>#N/A</v>
      </c>
      <c r="E626" t="str">
        <f>""</f>
        <v/>
      </c>
      <c r="F626" s="263" t="s">
        <v>4370</v>
      </c>
      <c r="H626" t="str">
        <f>""</f>
        <v/>
      </c>
      <c r="I626" s="263" t="str">
        <f>CONCATENATE(CHAR(34),"vdsName",CHAR(34),": ",CHAR(34), wld_cl01_vds_name,CHAR(34),",")</f>
        <v>"vdsName": "Value Missing",</v>
      </c>
      <c r="L626" t="str">
        <f>""</f>
        <v/>
      </c>
      <c r="M626" s="263" t="str">
        <f>CONCATENATE(CHAR(34),"vdsName",CHAR(34),": ",CHAR(34), wld_cl01_vds_name,CHAR(34),",")</f>
        <v>"vdsName": "Value Missing",</v>
      </c>
      <c r="P626" s="103" t="str">
        <f>""</f>
        <v/>
      </c>
      <c r="Q626" s="263" t="s">
        <v>4448</v>
      </c>
      <c r="U626" s="103" t="str">
        <f>""</f>
        <v/>
      </c>
      <c r="V626" s="263" t="s">
        <v>4448</v>
      </c>
    </row>
    <row r="627" spans="2:22">
      <c r="B627" t="str">
        <f>""</f>
        <v/>
      </c>
      <c r="C627" s="255" t="s">
        <v>4371</v>
      </c>
      <c r="E627" t="str">
        <f>""</f>
        <v/>
      </c>
      <c r="F627" s="263" t="e">
        <f ca="1">CONCATENATE(CHAR(34),"networkProfileName",CHAR(34),": ",CHAR(34), wld_az1_second_compute_rack_overlay_network_profile_name_output,CHAR(34),",")</f>
        <v>#N/A</v>
      </c>
      <c r="H627" t="str">
        <f>""</f>
        <v/>
      </c>
      <c r="I627" s="263" t="s">
        <v>4375</v>
      </c>
      <c r="L627" t="str">
        <f>""</f>
        <v/>
      </c>
      <c r="M627" s="263" t="s">
        <v>4375</v>
      </c>
      <c r="P627" s="103" t="str">
        <f>""</f>
        <v/>
      </c>
      <c r="Q627" s="263" t="s">
        <v>4315</v>
      </c>
      <c r="U627" s="103" t="str">
        <f>""</f>
        <v/>
      </c>
      <c r="V627" s="263" t="s">
        <v>4315</v>
      </c>
    </row>
    <row r="628" spans="2:22">
      <c r="B628" t="str">
        <f>""</f>
        <v/>
      </c>
      <c r="C628" s="255" t="s">
        <v>4315</v>
      </c>
      <c r="E628" t="str">
        <f>""</f>
        <v/>
      </c>
      <c r="F628" s="255" t="s">
        <v>4371</v>
      </c>
      <c r="H628" t="str">
        <f>""</f>
        <v/>
      </c>
      <c r="I628" s="263" t="s">
        <v>4316</v>
      </c>
      <c r="L628" t="str">
        <f>""</f>
        <v/>
      </c>
      <c r="M628" s="263" t="s">
        <v>4316</v>
      </c>
      <c r="P628" s="103" t="str">
        <f>""</f>
        <v/>
      </c>
      <c r="Q628" s="263" t="str">
        <f>CONCATENATE(CHAR(34),"uplinkVlan",CHAR(34),": ",CHAR(34), wld_az1_first_edge_rack_uplink01_vlan_output,CHAR(34),",")</f>
        <v>"uplinkVlan": "Value Missing",</v>
      </c>
      <c r="U628" s="103" t="str">
        <f>""</f>
        <v/>
      </c>
      <c r="V628" s="263" t="str">
        <f>CONCATENATE(CHAR(34),"uplinkVlan",CHAR(34),": ",CHAR(34), wld_az1_first_edge_rack_uplink01_vlan_output,CHAR(34),",")</f>
        <v>"uplinkVlan": "Value Missing",</v>
      </c>
    </row>
    <row r="629" spans="2:22">
      <c r="B629" t="str">
        <f>""</f>
        <v/>
      </c>
      <c r="C629" s="255" t="s">
        <v>4372</v>
      </c>
      <c r="E629" t="str">
        <f>""</f>
        <v/>
      </c>
      <c r="F629" s="255" t="s">
        <v>4315</v>
      </c>
      <c r="H629" t="str">
        <f>""</f>
        <v/>
      </c>
      <c r="I629" s="263" t="s">
        <v>4315</v>
      </c>
      <c r="L629" t="str">
        <f>""</f>
        <v/>
      </c>
      <c r="M629" s="263" t="s">
        <v>4315</v>
      </c>
      <c r="P629" s="103" t="str">
        <f>""</f>
        <v/>
      </c>
      <c r="Q629" s="263" t="str">
        <f>CONCATENATE(CHAR(34),"uplinkInterfaceIP",CHAR(34),": ",CHAR(34), wld_az1_first_edge_rack_en01_uplink01_interface_cidr_output,CHAR(34),",")</f>
        <v>"uplinkInterfaceIP": "Value Missing",</v>
      </c>
      <c r="U629" s="103" t="str">
        <f>""</f>
        <v/>
      </c>
      <c r="V629" s="263" t="str">
        <f>CONCATENATE(CHAR(34),"uplinkInterfaceIP",CHAR(34),": ",CHAR(34), wld_az1_first_edge_rack_en01_uplink01_interface_cidr_output,CHAR(34),",")</f>
        <v>"uplinkInterfaceIP": "Value Missing",</v>
      </c>
    </row>
    <row r="630" spans="2:22">
      <c r="B630" t="str">
        <f>""</f>
        <v/>
      </c>
      <c r="C630" s="255" t="str">
        <f>CONCATENATE(CHAR(34),"vdsName",CHAR(34),": ",CHAR(34), wld_cl01_vds_name,CHAR(34),",")</f>
        <v>"vdsName": "Value Missing",</v>
      </c>
      <c r="E630" t="str">
        <f>""</f>
        <v/>
      </c>
      <c r="F630" s="255" t="s">
        <v>4372</v>
      </c>
      <c r="H630" t="str">
        <f>""</f>
        <v/>
      </c>
      <c r="I630" s="263" t="s">
        <v>4505</v>
      </c>
      <c r="L630" t="str">
        <f>""</f>
        <v/>
      </c>
      <c r="M630" s="263" t="s">
        <v>4505</v>
      </c>
      <c r="P630" s="103" t="str">
        <f>""</f>
        <v/>
      </c>
      <c r="Q630" s="263" t="s">
        <v>4449</v>
      </c>
      <c r="U630" s="103" t="str">
        <f>""</f>
        <v/>
      </c>
      <c r="V630" s="263" t="s">
        <v>4449</v>
      </c>
    </row>
    <row r="631" spans="2:22">
      <c r="B631" t="str">
        <f>""</f>
        <v/>
      </c>
      <c r="C631" s="255" t="s">
        <v>4373</v>
      </c>
      <c r="E631" t="str">
        <f>""</f>
        <v/>
      </c>
      <c r="F631" s="255" t="str">
        <f>CONCATENATE(CHAR(34),"vdsName",CHAR(34),": ",CHAR(34), wld_cl01_vds_name,CHAR(34),",")</f>
        <v>"vdsName": "Value Missing",</v>
      </c>
      <c r="H631" t="str">
        <f>""</f>
        <v/>
      </c>
      <c r="I631" s="263" t="str">
        <f>CONCATENATE(CHAR(34),"vdsName",CHAR(34),": ",CHAR(34), wld_cl01_vds02_name,CHAR(34),",")</f>
        <v>"vdsName": "Value Missing",</v>
      </c>
      <c r="L631" t="str">
        <f>""</f>
        <v/>
      </c>
      <c r="M631" s="263" t="str">
        <f>CONCATENATE(CHAR(34),"vdsName",CHAR(34),": ",CHAR(34), wld_cl01_vds02_name,CHAR(34),",")</f>
        <v>"vdsName": "Value Missing",</v>
      </c>
      <c r="P631" s="103" t="str">
        <f>""</f>
        <v/>
      </c>
      <c r="Q631" s="263" t="s">
        <v>4315</v>
      </c>
      <c r="U631" s="103" t="str">
        <f>""</f>
        <v/>
      </c>
      <c r="V631" s="263" t="s">
        <v>4315</v>
      </c>
    </row>
    <row r="632" spans="2:22">
      <c r="B632" t="str">
        <f>""</f>
        <v/>
      </c>
      <c r="C632" s="255" t="s">
        <v>4316</v>
      </c>
      <c r="E632" t="str">
        <f>""</f>
        <v/>
      </c>
      <c r="F632" s="255" t="s">
        <v>4373</v>
      </c>
      <c r="H632" t="str">
        <f>""</f>
        <v/>
      </c>
      <c r="I632" s="263" t="s">
        <v>4373</v>
      </c>
      <c r="L632" t="str">
        <f>""</f>
        <v/>
      </c>
      <c r="M632" s="263" t="s">
        <v>4373</v>
      </c>
      <c r="P632" s="103" t="str">
        <f>""</f>
        <v/>
      </c>
      <c r="Q632" s="263" t="str">
        <f>CONCATENATE(CHAR(34),"ip",CHAR(34),": ",CHAR(34), wld_az1_first_edge_rack_tor1_peer_cidr_output,CHAR(34),",")</f>
        <v>"ip": "Value Missing",</v>
      </c>
      <c r="U632" s="103" t="str">
        <f>""</f>
        <v/>
      </c>
      <c r="V632" s="263" t="str">
        <f>CONCATENATE(CHAR(34),"ip",CHAR(34),": ",CHAR(34), wld_az1_first_edge_rack_tor1_peer_cidr_output,CHAR(34),",")</f>
        <v>"ip": "Value Missing",</v>
      </c>
    </row>
    <row r="633" spans="2:22">
      <c r="B633" t="str">
        <f>""</f>
        <v/>
      </c>
      <c r="C633" s="255" t="s">
        <v>4315</v>
      </c>
      <c r="E633" t="str">
        <f>""</f>
        <v/>
      </c>
      <c r="F633" s="255" t="s">
        <v>4316</v>
      </c>
      <c r="H633" t="str">
        <f>""</f>
        <v/>
      </c>
      <c r="I633" s="263" t="s">
        <v>4316</v>
      </c>
      <c r="L633" t="str">
        <f>""</f>
        <v/>
      </c>
      <c r="M633" s="263" t="s">
        <v>4316</v>
      </c>
      <c r="P633" s="103" t="str">
        <f>""</f>
        <v/>
      </c>
      <c r="Q633" s="263" t="str">
        <f>CONCATENATE(CHAR(34),"asn",CHAR(34),": ", wld_az1_first_edge_rack_tor1_peer_asn_output,",")</f>
        <v>"asn": Value Missing,</v>
      </c>
      <c r="U633" s="103" t="str">
        <f>""</f>
        <v/>
      </c>
      <c r="V633" s="263" t="str">
        <f>CONCATENATE(CHAR(34),"asn",CHAR(34),": ", wld_az1_first_edge_rack_tor1_peer_asn_output,",")</f>
        <v>"asn": Value Missing,</v>
      </c>
    </row>
    <row r="634" spans="2:22">
      <c r="B634" t="str">
        <f>""</f>
        <v/>
      </c>
      <c r="C634" s="255" t="s">
        <v>4374</v>
      </c>
      <c r="E634" t="str">
        <f>""</f>
        <v/>
      </c>
      <c r="F634" s="255" t="s">
        <v>4315</v>
      </c>
      <c r="H634" t="str">
        <f>""</f>
        <v/>
      </c>
      <c r="I634" s="263" t="s">
        <v>4315</v>
      </c>
      <c r="L634" t="str">
        <f>""</f>
        <v/>
      </c>
      <c r="M634" s="263" t="s">
        <v>4315</v>
      </c>
      <c r="P634" s="103" t="str">
        <f>""</f>
        <v/>
      </c>
      <c r="Q634" s="263" t="str">
        <f>CONCATENATE(CHAR(34),"password",CHAR(34),": ",CHAR(34), wld_az1_first_edge_rack_tor1_peer_bgp_password_output,CHAR(34))</f>
        <v>"password": "Value Missing"</v>
      </c>
      <c r="U634" s="103" t="str">
        <f>""</f>
        <v/>
      </c>
      <c r="V634" s="263" t="str">
        <f>CONCATENATE(CHAR(34),"password",CHAR(34),": ",CHAR(34), wld_az1_first_edge_rack_tor1_peer_bgp_password_output,CHAR(34))</f>
        <v>"password": "Value Missing"</v>
      </c>
    </row>
    <row r="635" spans="2:22">
      <c r="B635" t="str">
        <f>""</f>
        <v/>
      </c>
      <c r="C635" s="255" t="str">
        <f>CONCATENATE(CHAR(34),"vdsName",CHAR(34),": ",CHAR(34), wld_cl01_vds_name,CHAR(34),",")</f>
        <v>"vdsName": "Value Missing",</v>
      </c>
      <c r="E635" t="str">
        <f>""</f>
        <v/>
      </c>
      <c r="F635" s="255" t="s">
        <v>4374</v>
      </c>
      <c r="H635" t="str">
        <f>""</f>
        <v/>
      </c>
      <c r="I635" s="263" t="s">
        <v>4506</v>
      </c>
      <c r="L635" t="str">
        <f>""</f>
        <v/>
      </c>
      <c r="M635" s="263" t="s">
        <v>4506</v>
      </c>
      <c r="P635" s="103" t="str">
        <f>""</f>
        <v/>
      </c>
      <c r="Q635" s="263" t="s">
        <v>4317</v>
      </c>
      <c r="U635" s="103" t="str">
        <f>""</f>
        <v/>
      </c>
      <c r="V635" s="263" t="s">
        <v>4317</v>
      </c>
    </row>
    <row r="636" spans="2:22">
      <c r="B636" t="str">
        <f>""</f>
        <v/>
      </c>
      <c r="C636" s="255" t="s">
        <v>4375</v>
      </c>
      <c r="E636" t="str">
        <f>""</f>
        <v/>
      </c>
      <c r="F636" s="255" t="str">
        <f>CONCATENATE(CHAR(34),"vdsName",CHAR(34),": ",CHAR(34), wld_cl01_vds_name,CHAR(34),",")</f>
        <v>"vdsName": "Value Missing",</v>
      </c>
      <c r="H636" t="str">
        <f>""</f>
        <v/>
      </c>
      <c r="I636" s="263" t="str">
        <f>CONCATENATE(CHAR(34),"vdsName",CHAR(34),": ",CHAR(34), wld_cl01_vds02_name,CHAR(34),",")</f>
        <v>"vdsName": "Value Missing",</v>
      </c>
      <c r="L636" t="str">
        <f>""</f>
        <v/>
      </c>
      <c r="M636" s="263" t="str">
        <f>CONCATENATE(CHAR(34),"vdsName",CHAR(34),": ",CHAR(34), wld_cl01_vds02_name,CHAR(34),",")</f>
        <v>"vdsName": "Value Missing",</v>
      </c>
      <c r="P636" s="103" t="str">
        <f>""</f>
        <v/>
      </c>
      <c r="Q636" s="263" t="s">
        <v>4318</v>
      </c>
      <c r="U636" s="103" t="str">
        <f>""</f>
        <v/>
      </c>
      <c r="V636" s="263" t="s">
        <v>4318</v>
      </c>
    </row>
    <row r="637" spans="2:22">
      <c r="B637" t="str">
        <f>""</f>
        <v/>
      </c>
      <c r="C637" s="255" t="s">
        <v>4317</v>
      </c>
      <c r="E637" t="str">
        <f>""</f>
        <v/>
      </c>
      <c r="F637" s="263" t="s">
        <v>4375</v>
      </c>
      <c r="H637" t="str">
        <f>""</f>
        <v/>
      </c>
      <c r="I637" s="263" t="s">
        <v>4375</v>
      </c>
      <c r="L637" t="str">
        <f>""</f>
        <v/>
      </c>
      <c r="M637" s="263" t="s">
        <v>4375</v>
      </c>
      <c r="P637" s="103" t="str">
        <f>""</f>
        <v/>
      </c>
      <c r="Q637" s="263" t="s">
        <v>4316</v>
      </c>
      <c r="U637" s="103" t="str">
        <f>""</f>
        <v/>
      </c>
      <c r="V637" s="263" t="s">
        <v>4316</v>
      </c>
    </row>
    <row r="638" spans="2:22">
      <c r="B638" t="str">
        <f>""</f>
        <v/>
      </c>
      <c r="C638" s="255" t="s">
        <v>4318</v>
      </c>
      <c r="E638" t="str">
        <f>""</f>
        <v/>
      </c>
      <c r="F638" s="263" t="s">
        <v>4316</v>
      </c>
      <c r="H638" t="str">
        <f>""</f>
        <v/>
      </c>
      <c r="I638" s="263" t="s">
        <v>4317</v>
      </c>
      <c r="L638" t="str">
        <f>""</f>
        <v/>
      </c>
      <c r="M638" s="263" t="s">
        <v>4317</v>
      </c>
      <c r="P638" s="103" t="str">
        <f>""</f>
        <v/>
      </c>
      <c r="Q638" s="263" t="s">
        <v>4315</v>
      </c>
      <c r="U638" s="103" t="str">
        <f>""</f>
        <v/>
      </c>
      <c r="V638" s="263" t="s">
        <v>4315</v>
      </c>
    </row>
    <row r="639" spans="2:22">
      <c r="B639" t="str">
        <f>""</f>
        <v/>
      </c>
      <c r="C639" s="255" t="s">
        <v>4317</v>
      </c>
      <c r="E639" t="str">
        <f>""</f>
        <v/>
      </c>
      <c r="F639" s="263" t="s">
        <v>4315</v>
      </c>
      <c r="H639" t="str">
        <f>""</f>
        <v/>
      </c>
      <c r="I639" s="263" t="s">
        <v>4318</v>
      </c>
      <c r="L639" t="str">
        <f>""</f>
        <v/>
      </c>
      <c r="M639" s="263" t="s">
        <v>4318</v>
      </c>
      <c r="P639" s="103" t="str">
        <f>""</f>
        <v/>
      </c>
      <c r="Q639" s="263" t="str">
        <f>CONCATENATE(CHAR(34),"uplinkVlan",CHAR(34),": ",CHAR(34), wld_az1_first_edge_rack_uplink02_vlan_output,CHAR(34),",")</f>
        <v>"uplinkVlan": "Value Missing",</v>
      </c>
      <c r="U639" s="103" t="str">
        <f>""</f>
        <v/>
      </c>
      <c r="V639" s="263" t="str">
        <f>CONCATENATE(CHAR(34),"uplinkVlan",CHAR(34),": ",CHAR(34), wld_az1_first_edge_rack_uplink02_vlan_output,CHAR(34),",")</f>
        <v>"uplinkVlan": "Value Missing",</v>
      </c>
    </row>
    <row r="640" spans="2:22">
      <c r="B640" t="str">
        <f>""</f>
        <v/>
      </c>
      <c r="C640" s="255" t="s">
        <v>4316</v>
      </c>
      <c r="E640" t="str">
        <f>""</f>
        <v/>
      </c>
      <c r="F640" s="263" t="s">
        <v>4505</v>
      </c>
      <c r="H640" t="str">
        <f>""</f>
        <v/>
      </c>
      <c r="I640" s="263" t="s">
        <v>4317</v>
      </c>
      <c r="L640" t="str">
        <f>""</f>
        <v/>
      </c>
      <c r="M640" s="263" t="s">
        <v>4317</v>
      </c>
      <c r="P640" s="103" t="str">
        <f>""</f>
        <v/>
      </c>
      <c r="Q640" s="263" t="str">
        <f>CONCATENATE(CHAR(34),"uplinkInterfaceIP",CHAR(34),": ",CHAR(34), wld_az1_first_edge_rack_en01_uplink02_interface_cidr_output,CHAR(34),",")</f>
        <v>"uplinkInterfaceIP": "Value Missing",</v>
      </c>
      <c r="U640" s="103" t="str">
        <f>""</f>
        <v/>
      </c>
      <c r="V640" s="263" t="str">
        <f>CONCATENATE(CHAR(34),"uplinkInterfaceIP",CHAR(34),": ",CHAR(34), wld_az1_first_edge_rack_en01_uplink02_interface_cidr_output,CHAR(34),",")</f>
        <v>"uplinkInterfaceIP": "Value Missing",</v>
      </c>
    </row>
    <row r="641" spans="2:22">
      <c r="B641" t="str">
        <f>""</f>
        <v/>
      </c>
      <c r="C641" s="255" t="s">
        <v>4315</v>
      </c>
      <c r="E641" t="str">
        <f>""</f>
        <v/>
      </c>
      <c r="F641" s="263" t="str">
        <f>CONCATENATE(CHAR(34),"vdsName",CHAR(34),": ",CHAR(34), wld_cl01_vds02_name,CHAR(34),",")</f>
        <v>"vdsName": "Value Missing",</v>
      </c>
      <c r="H641" t="str">
        <f>""</f>
        <v/>
      </c>
      <c r="I641" s="263" t="s">
        <v>4316</v>
      </c>
      <c r="L641" t="str">
        <f>""</f>
        <v/>
      </c>
      <c r="M641" s="263" t="s">
        <v>4316</v>
      </c>
      <c r="P641" s="103" t="str">
        <f>""</f>
        <v/>
      </c>
      <c r="Q641" s="263" t="str">
        <f>CONCATENATE(CHAR(34),"bgpPeers",(CHAR(34)),": [")</f>
        <v>"bgpPeers": [</v>
      </c>
      <c r="U641" s="103" t="str">
        <f>""</f>
        <v/>
      </c>
      <c r="V641" s="263" t="str">
        <f>CONCATENATE(CHAR(34),"bgpPeers",(CHAR(34)),": [")</f>
        <v>"bgpPeers": [</v>
      </c>
    </row>
    <row r="642" spans="2:22">
      <c r="B642" t="str">
        <f>""</f>
        <v/>
      </c>
      <c r="C642" s="255" t="s">
        <v>4340</v>
      </c>
      <c r="E642" t="str">
        <f>""</f>
        <v/>
      </c>
      <c r="F642" s="263" t="s">
        <v>4373</v>
      </c>
      <c r="H642" t="str">
        <f>""</f>
        <v/>
      </c>
      <c r="I642" s="263" t="s">
        <v>4315</v>
      </c>
      <c r="L642" t="str">
        <f>""</f>
        <v/>
      </c>
      <c r="M642" s="263" t="s">
        <v>4315</v>
      </c>
      <c r="P642" s="103" t="str">
        <f>""</f>
        <v/>
      </c>
      <c r="Q642" s="263" t="s">
        <v>4315</v>
      </c>
      <c r="U642" s="103" t="str">
        <f>""</f>
        <v/>
      </c>
      <c r="V642" s="263" t="s">
        <v>4315</v>
      </c>
    </row>
    <row r="643" spans="2:22">
      <c r="B643" t="str">
        <f>""</f>
        <v/>
      </c>
      <c r="C643" s="255" t="str">
        <f>CONCATENATE(CHAR(34),"licenseKey",CHAR(34),": ",CHAR(34), esx_std_license,CHAR(34),",")</f>
        <v>"licenseKey": "Value Missing",</v>
      </c>
      <c r="E643" t="str">
        <f>""</f>
        <v/>
      </c>
      <c r="F643" s="263" t="s">
        <v>4316</v>
      </c>
      <c r="H643" t="str">
        <f>""</f>
        <v/>
      </c>
      <c r="I643" s="263" t="s">
        <v>4340</v>
      </c>
      <c r="L643" t="str">
        <f>""</f>
        <v/>
      </c>
      <c r="M643" s="263" t="s">
        <v>4340</v>
      </c>
      <c r="P643" s="103" t="str">
        <f>""</f>
        <v/>
      </c>
      <c r="Q643" s="263" t="str">
        <f>CONCATENATE(CHAR(34),"ip",CHAR(34),": ",CHAR(34), wld_az1_first_edge_rack_tor2_peer_cidr_output,CHAR(34),",")</f>
        <v>"ip": "Value Missing",</v>
      </c>
      <c r="U643" s="103" t="str">
        <f>""</f>
        <v/>
      </c>
      <c r="V643" s="263" t="str">
        <f>CONCATENATE(CHAR(34),"ip",CHAR(34),": ",CHAR(34), wld_az1_first_edge_rack_tor2_peer_cidr_output,CHAR(34),",")</f>
        <v>"ip": "Value Missing",</v>
      </c>
    </row>
    <row r="644" spans="2:22">
      <c r="B644" t="str">
        <f>""</f>
        <v/>
      </c>
      <c r="C644" s="255" t="e">
        <f ca="1">CONCATENATE(CHAR(34),"hostname",CHAR(34),": ",CHAR(34), wld_az1_fourth_compute_rack_host_01_output,CHAR(34),",")</f>
        <v>#VALUE!</v>
      </c>
      <c r="E644" t="str">
        <f>""</f>
        <v/>
      </c>
      <c r="F644" s="263" t="s">
        <v>4315</v>
      </c>
      <c r="H644" t="str">
        <f>""</f>
        <v/>
      </c>
      <c r="I644" s="263" t="str">
        <f>CONCATENATE(CHAR(34),"licenseKey",CHAR(34),": ",CHAR(34), esx_std_license,CHAR(34),",")</f>
        <v>"licenseKey": "Value Missing",</v>
      </c>
      <c r="L644" t="str">
        <f>""</f>
        <v/>
      </c>
      <c r="M644" s="263" t="str">
        <f>CONCATENATE(CHAR(34),"licenseKey",CHAR(34),": ",CHAR(34), esx_std_license,CHAR(34),",")</f>
        <v>"licenseKey": "Value Missing",</v>
      </c>
      <c r="P644" s="103" t="str">
        <f>""</f>
        <v/>
      </c>
      <c r="Q644" s="263" t="str">
        <f>CONCATENATE(CHAR(34),"asn",CHAR(34),": ", wld_az1_first_edge_rack_tor2_peer_asn_output,",")</f>
        <v>"asn": Value Missing,</v>
      </c>
      <c r="U644" s="103" t="str">
        <f>""</f>
        <v/>
      </c>
      <c r="V644" s="263" t="str">
        <f>CONCATENATE(CHAR(34),"asn",CHAR(34),": ", wld_az1_first_edge_rack_tor2_peer_asn_output,",")</f>
        <v>"asn": Value Missing,</v>
      </c>
    </row>
    <row r="645" spans="2:22">
      <c r="B645" t="str">
        <f>""</f>
        <v/>
      </c>
      <c r="C645" s="255" t="s">
        <v>4370</v>
      </c>
      <c r="E645" t="str">
        <f>""</f>
        <v/>
      </c>
      <c r="F645" s="263" t="s">
        <v>4506</v>
      </c>
      <c r="H645" t="str">
        <f>""</f>
        <v/>
      </c>
      <c r="I645" s="263" t="e">
        <f ca="1">CONCATENATE(CHAR(34),"hostname",CHAR(34),": ",CHAR(34), wld_az1_third_compute_rack_host_01_output,CHAR(34),",")</f>
        <v>#VALUE!</v>
      </c>
      <c r="L645" t="str">
        <f>""</f>
        <v/>
      </c>
      <c r="M645" s="263" t="e">
        <f ca="1">CONCATENATE(CHAR(34),"hostname",CHAR(34),": ",CHAR(34), wld_az1_third_compute_rack_host_01_output,CHAR(34),",")</f>
        <v>#VALUE!</v>
      </c>
      <c r="P645" s="103" t="str">
        <f>""</f>
        <v/>
      </c>
      <c r="Q645" s="263" t="str">
        <f>CONCATENATE(CHAR(34),"password",CHAR(34),": ",CHAR(34), wld_az1_first_edge_rack_tor2_peer_bgp_password_output,CHAR(34))</f>
        <v>"password": "Value Missing"</v>
      </c>
      <c r="U645" s="103" t="str">
        <f>""</f>
        <v/>
      </c>
      <c r="V645" s="263" t="str">
        <f>CONCATENATE(CHAR(34),"password",CHAR(34),": ",CHAR(34), wld_az1_first_edge_rack_tor2_peer_bgp_password_output,CHAR(34))</f>
        <v>"password": "Value Missing"</v>
      </c>
    </row>
    <row r="646" spans="2:22">
      <c r="B646" t="str">
        <f>""</f>
        <v/>
      </c>
      <c r="C646" s="255" t="e">
        <f ca="1">CONCATENATE(CHAR(34),"networkProfileName",CHAR(34),": ",CHAR(34), wld_az1_fourth_compute_rack_overlay_network_profile_name_output,CHAR(34),",")</f>
        <v>#N/A</v>
      </c>
      <c r="E646" t="str">
        <f>""</f>
        <v/>
      </c>
      <c r="F646" s="263" t="str">
        <f>CONCATENATE(CHAR(34),"vdsName",CHAR(34),": ",CHAR(34), wld_cl01_vds02_name,CHAR(34),",")</f>
        <v>"vdsName": "Value Missing",</v>
      </c>
      <c r="H646" t="str">
        <f>""</f>
        <v/>
      </c>
      <c r="I646" s="263" t="s">
        <v>4370</v>
      </c>
      <c r="L646" t="str">
        <f>""</f>
        <v/>
      </c>
      <c r="M646" s="263" t="s">
        <v>4370</v>
      </c>
      <c r="P646" s="103" t="str">
        <f>""</f>
        <v/>
      </c>
      <c r="Q646" s="263" t="s">
        <v>4317</v>
      </c>
      <c r="U646" s="103" t="str">
        <f>""</f>
        <v/>
      </c>
      <c r="V646" s="263" t="s">
        <v>4317</v>
      </c>
    </row>
    <row r="647" spans="2:22">
      <c r="B647" t="str">
        <f>""</f>
        <v/>
      </c>
      <c r="C647" s="255" t="s">
        <v>4371</v>
      </c>
      <c r="E647" t="str">
        <f>""</f>
        <v/>
      </c>
      <c r="F647" s="263" t="s">
        <v>4375</v>
      </c>
      <c r="H647" t="str">
        <f>""</f>
        <v/>
      </c>
      <c r="I647" s="263" t="e">
        <f ca="1">CONCATENATE(CHAR(34),"networkProfileName",CHAR(34),": ",CHAR(34), wld_az1_third_compute_rack_overlay_network_profile_name_output,CHAR(34),",")</f>
        <v>#N/A</v>
      </c>
      <c r="L647" t="str">
        <f>""</f>
        <v/>
      </c>
      <c r="M647" s="263" t="e">
        <f ca="1">CONCATENATE(CHAR(34),"networkProfileName",CHAR(34),": ",CHAR(34), wld_az1_third_compute_rack_overlay_network_profile_name_output,CHAR(34),",")</f>
        <v>#N/A</v>
      </c>
      <c r="P647" s="103" t="str">
        <f>""</f>
        <v/>
      </c>
      <c r="Q647" s="263" t="s">
        <v>4318</v>
      </c>
      <c r="U647" s="103" t="str">
        <f>""</f>
        <v/>
      </c>
      <c r="V647" s="263" t="s">
        <v>4318</v>
      </c>
    </row>
    <row r="648" spans="2:22">
      <c r="B648" t="str">
        <f>""</f>
        <v/>
      </c>
      <c r="C648" s="255" t="s">
        <v>4315</v>
      </c>
      <c r="E648" t="str">
        <f>""</f>
        <v/>
      </c>
      <c r="F648" s="263" t="s">
        <v>4316</v>
      </c>
      <c r="H648" t="str">
        <f>""</f>
        <v/>
      </c>
      <c r="I648" s="263" t="s">
        <v>4371</v>
      </c>
      <c r="L648" t="str">
        <f>""</f>
        <v/>
      </c>
      <c r="M648" s="263" t="s">
        <v>4371</v>
      </c>
      <c r="P648" s="103" t="str">
        <f>""</f>
        <v/>
      </c>
      <c r="Q648" s="263" t="s">
        <v>4317</v>
      </c>
      <c r="U648" s="103" t="str">
        <f>""</f>
        <v/>
      </c>
      <c r="V648" s="263" t="s">
        <v>4317</v>
      </c>
    </row>
    <row r="649" spans="2:22">
      <c r="B649" t="str">
        <f>""</f>
        <v/>
      </c>
      <c r="C649" s="255" t="s">
        <v>4372</v>
      </c>
      <c r="E649" t="str">
        <f>""</f>
        <v/>
      </c>
      <c r="F649" s="263" t="s">
        <v>4315</v>
      </c>
      <c r="H649" t="str">
        <f>""</f>
        <v/>
      </c>
      <c r="I649" s="263" t="s">
        <v>4315</v>
      </c>
      <c r="L649" t="str">
        <f>""</f>
        <v/>
      </c>
      <c r="M649" s="263" t="s">
        <v>4315</v>
      </c>
      <c r="P649" s="103" t="str">
        <f>""</f>
        <v/>
      </c>
      <c r="Q649" s="263" t="s">
        <v>4319</v>
      </c>
      <c r="U649" s="103" t="str">
        <f>""</f>
        <v/>
      </c>
      <c r="V649" s="263" t="s">
        <v>4319</v>
      </c>
    </row>
    <row r="650" spans="2:22">
      <c r="B650" t="str">
        <f>""</f>
        <v/>
      </c>
      <c r="C650" s="255" t="str">
        <f>CONCATENATE(CHAR(34),"vdsName",CHAR(34),": ",CHAR(34), wld_cl01_vds_name,CHAR(34),",")</f>
        <v>"vdsName": "Value Missing",</v>
      </c>
      <c r="E650" t="str">
        <f>""</f>
        <v/>
      </c>
      <c r="F650" s="263" t="s">
        <v>4507</v>
      </c>
      <c r="H650" t="str">
        <f>""</f>
        <v/>
      </c>
      <c r="I650" s="263" t="s">
        <v>4372</v>
      </c>
      <c r="L650" t="str">
        <f>""</f>
        <v/>
      </c>
      <c r="M650" s="263" t="s">
        <v>4372</v>
      </c>
      <c r="P650" s="103" t="str">
        <f>""</f>
        <v/>
      </c>
      <c r="Q650" s="263" t="str">
        <f>CONCATENATE(CHAR(34),"vmManagementPortgroupName",CHAR(34),": ",CHAR(34), wld_cl02_az1_mgmt_vm_pg,CHAR(34),",")</f>
        <v>"vmManagementPortgroupName": "Value Missing",</v>
      </c>
      <c r="U650" s="103" t="str">
        <f>""</f>
        <v/>
      </c>
      <c r="V650" s="263" t="str">
        <f>CONCATENATE(CHAR(34),"vmManagementPortgroupName",CHAR(34),": ",CHAR(34), wld_cl02_az1_mgmt_vm_pg,CHAR(34),",")</f>
        <v>"vmManagementPortgroupName": "Value Missing",</v>
      </c>
    </row>
    <row r="651" spans="2:22">
      <c r="B651" t="str">
        <f>""</f>
        <v/>
      </c>
      <c r="C651" s="255" t="s">
        <v>4373</v>
      </c>
      <c r="E651" t="str">
        <f>""</f>
        <v/>
      </c>
      <c r="F651" s="263" t="str">
        <f>CONCATENATE(CHAR(34),"vdsName",CHAR(34),": ",CHAR(34), wld_cl01_vds03_name,CHAR(34),",")</f>
        <v>"vdsName": "Value Missing",</v>
      </c>
      <c r="H651" t="str">
        <f>""</f>
        <v/>
      </c>
      <c r="I651" s="263" t="str">
        <f>CONCATENATE(CHAR(34),"vdsName",CHAR(34),": ",CHAR(34), wld_cl01_vds_name,CHAR(34),",")</f>
        <v>"vdsName": "Value Missing",</v>
      </c>
      <c r="L651" t="str">
        <f>""</f>
        <v/>
      </c>
      <c r="M651" s="263" t="str">
        <f>CONCATENATE(CHAR(34),"vdsName",CHAR(34),": ",CHAR(34), wld_cl01_vds_name,CHAR(34),",")</f>
        <v>"vdsName": "Value Missing",</v>
      </c>
      <c r="P651" s="103" t="str">
        <f>""</f>
        <v/>
      </c>
      <c r="Q651" s="263" t="str">
        <f>CONCATENATE(CHAR(34),"vmManagementPortgroupVlan",CHAR(34),": ",CHAR(34), wld_az1_first_edge_rack_mgmt_vm_vlan_output,CHAR(34))</f>
        <v>"vmManagementPortgroupVlan": "Value Missing"</v>
      </c>
      <c r="U651" s="103" t="str">
        <f>""</f>
        <v/>
      </c>
      <c r="V651" s="263" t="str">
        <f>CONCATENATE(CHAR(34),"vmManagementPortgroupVlan",CHAR(34),": ",CHAR(34), wld_az1_first_edge_rack_mgmt_vm_vlan_output,CHAR(34))</f>
        <v>"vmManagementPortgroupVlan": "Value Missing"</v>
      </c>
    </row>
    <row r="652" spans="2:22">
      <c r="B652" t="str">
        <f>""</f>
        <v/>
      </c>
      <c r="C652" s="255" t="s">
        <v>4316</v>
      </c>
      <c r="E652" t="str">
        <f>""</f>
        <v/>
      </c>
      <c r="F652" s="263" t="s">
        <v>4373</v>
      </c>
      <c r="H652" t="str">
        <f>""</f>
        <v/>
      </c>
      <c r="I652" s="263" t="s">
        <v>4373</v>
      </c>
      <c r="L652" t="str">
        <f>""</f>
        <v/>
      </c>
      <c r="M652" s="263" t="s">
        <v>4373</v>
      </c>
      <c r="P652" s="103" t="str">
        <f>""</f>
        <v/>
      </c>
      <c r="Q652" s="263" t="s">
        <v>4316</v>
      </c>
      <c r="U652" s="103" t="str">
        <f>""</f>
        <v/>
      </c>
      <c r="V652" s="263" t="s">
        <v>4316</v>
      </c>
    </row>
    <row r="653" spans="2:22">
      <c r="B653" t="str">
        <f>""</f>
        <v/>
      </c>
      <c r="C653" s="255" t="s">
        <v>4315</v>
      </c>
      <c r="E653" t="str">
        <f>""</f>
        <v/>
      </c>
      <c r="F653" s="263" t="s">
        <v>4316</v>
      </c>
      <c r="H653" t="str">
        <f>""</f>
        <v/>
      </c>
      <c r="I653" s="263" t="s">
        <v>4316</v>
      </c>
      <c r="L653" t="str">
        <f>""</f>
        <v/>
      </c>
      <c r="M653" s="263" t="s">
        <v>4316</v>
      </c>
      <c r="P653" s="103" t="str">
        <f>""</f>
        <v/>
      </c>
      <c r="Q653" s="263" t="s">
        <v>4315</v>
      </c>
      <c r="U653" s="103" t="str">
        <f>""</f>
        <v/>
      </c>
      <c r="V653" s="263" t="s">
        <v>4315</v>
      </c>
    </row>
    <row r="654" spans="2:22">
      <c r="B654" t="str">
        <f>""</f>
        <v/>
      </c>
      <c r="C654" s="255" t="s">
        <v>4374</v>
      </c>
      <c r="E654" t="str">
        <f>""</f>
        <v/>
      </c>
      <c r="F654" s="263" t="s">
        <v>4315</v>
      </c>
      <c r="H654" t="str">
        <f>""</f>
        <v/>
      </c>
      <c r="I654" s="263" t="s">
        <v>4315</v>
      </c>
      <c r="L654" t="str">
        <f>""</f>
        <v/>
      </c>
      <c r="M654" s="263" t="s">
        <v>4315</v>
      </c>
      <c r="P654" s="103" t="str">
        <f>""</f>
        <v/>
      </c>
      <c r="Q654" s="263" t="str" cm="1">
        <f t="array" ref="Q654">CONCATENATE(CHAR(34),"edgeNodeName",CHAR(34),": ",CHAR(34), wld_az1_second_edge_rack_en01_fqdn_output,CHAR(34),",")</f>
        <v>"edgeNodeName": "Value Missing.Value Missing",</v>
      </c>
      <c r="U654" s="103" t="str">
        <f>""</f>
        <v/>
      </c>
      <c r="V654" s="263" t="str" cm="1">
        <f t="array" ref="V654">CONCATENATE(CHAR(34),"edgeNodeName",CHAR(34),": ",CHAR(34), wld_az1_second_edge_rack_en01_fqdn_output,CHAR(34),",")</f>
        <v>"edgeNodeName": "Value Missing.Value Missing",</v>
      </c>
    </row>
    <row r="655" spans="2:22">
      <c r="B655" t="str">
        <f>""</f>
        <v/>
      </c>
      <c r="C655" s="255" t="str">
        <f>CONCATENATE(CHAR(34),"vdsName",CHAR(34),": ",CHAR(34), wld_cl01_vds_name,CHAR(34),",")</f>
        <v>"vdsName": "Value Missing",</v>
      </c>
      <c r="E655" t="str">
        <f>""</f>
        <v/>
      </c>
      <c r="F655" s="263" t="s">
        <v>4508</v>
      </c>
      <c r="H655" t="str">
        <f>""</f>
        <v/>
      </c>
      <c r="I655" s="263" t="s">
        <v>4374</v>
      </c>
      <c r="L655" t="str">
        <f>""</f>
        <v/>
      </c>
      <c r="M655" s="263" t="s">
        <v>4374</v>
      </c>
      <c r="P655" s="103" t="str">
        <f>""</f>
        <v/>
      </c>
      <c r="Q655" s="263" t="str" cm="1">
        <f t="array" ref="Q655">CONCATENATE(CHAR(34),"managementIP",CHAR(34),": ",CHAR(34), wld_az1_second_edge_rack_mgmt_en01_vm_cidr_output,CHAR(34),",")</f>
        <v>"managementIP": "Value Missing",</v>
      </c>
      <c r="U655" s="103" t="str">
        <f>""</f>
        <v/>
      </c>
      <c r="V655" s="263" t="str" cm="1">
        <f t="array" ref="V655">CONCATENATE(CHAR(34),"managementIP",CHAR(34),": ",CHAR(34), wld_az1_second_edge_rack_mgmt_en01_vm_cidr_output,CHAR(34),",")</f>
        <v>"managementIP": "Value Missing",</v>
      </c>
    </row>
    <row r="656" spans="2:22">
      <c r="B656" t="str">
        <f>""</f>
        <v/>
      </c>
      <c r="C656" s="255" t="s">
        <v>4375</v>
      </c>
      <c r="E656" t="str">
        <f>""</f>
        <v/>
      </c>
      <c r="F656" s="263" t="str">
        <f>CONCATENATE(CHAR(34),"vdsName",CHAR(34),": ",CHAR(34), wld_cl01_vds03_name,CHAR(34),",")</f>
        <v>"vdsName": "Value Missing",</v>
      </c>
      <c r="H656" t="str">
        <f>""</f>
        <v/>
      </c>
      <c r="I656" s="263" t="str">
        <f>CONCATENATE(CHAR(34),"vdsName",CHAR(34),": ",CHAR(34), wld_cl01_vds_name,CHAR(34),",")</f>
        <v>"vdsName": "Value Missing",</v>
      </c>
      <c r="L656" t="str">
        <f>""</f>
        <v/>
      </c>
      <c r="M656" s="263" t="str">
        <f>CONCATENATE(CHAR(34),"vdsName",CHAR(34),": ",CHAR(34), wld_cl01_vds_name,CHAR(34),",")</f>
        <v>"vdsName": "Value Missing",</v>
      </c>
      <c r="P656" s="103" t="str">
        <f>""</f>
        <v/>
      </c>
      <c r="Q656" s="263" t="str">
        <f>CONCATENATE(CHAR(34),"managementGateway",CHAR(34),": ",CHAR(34), wld_az1_second_edge_rack_mgmt_vm_gateway_ip_output,CHAR(34),",")</f>
        <v>"managementGateway": "Value Missing",</v>
      </c>
      <c r="U656" s="103" t="str">
        <f>""</f>
        <v/>
      </c>
      <c r="V656" s="263" t="str">
        <f>CONCATENATE(CHAR(34),"managementGateway",CHAR(34),": ",CHAR(34), wld_az1_second_edge_rack_mgmt_vm_gateway_ip_output,CHAR(34),",")</f>
        <v>"managementGateway": "Value Missing",</v>
      </c>
    </row>
    <row r="657" spans="2:22">
      <c r="B657" t="str">
        <f>""</f>
        <v/>
      </c>
      <c r="C657" s="255" t="s">
        <v>4317</v>
      </c>
      <c r="E657" t="str">
        <f>""</f>
        <v/>
      </c>
      <c r="F657" s="263" t="s">
        <v>4375</v>
      </c>
      <c r="H657" t="str">
        <f>""</f>
        <v/>
      </c>
      <c r="I657" s="263" t="s">
        <v>4375</v>
      </c>
      <c r="L657" t="str">
        <f>""</f>
        <v/>
      </c>
      <c r="M657" s="263" t="s">
        <v>4375</v>
      </c>
      <c r="P657" s="103" t="str">
        <f>""</f>
        <v/>
      </c>
      <c r="Q657" s="263" t="s">
        <v>4446</v>
      </c>
      <c r="U657" s="103" t="str">
        <f>""</f>
        <v/>
      </c>
      <c r="V657" s="263" t="s">
        <v>4446</v>
      </c>
    </row>
    <row r="658" spans="2:22">
      <c r="B658" t="str">
        <f>""</f>
        <v/>
      </c>
      <c r="C658" s="255" t="s">
        <v>4318</v>
      </c>
      <c r="E658" t="str">
        <f>""</f>
        <v/>
      </c>
      <c r="F658" s="263" t="s">
        <v>4317</v>
      </c>
      <c r="H658" t="str">
        <f>""</f>
        <v/>
      </c>
      <c r="I658" s="263" t="s">
        <v>4316</v>
      </c>
      <c r="L658" t="str">
        <f>""</f>
        <v/>
      </c>
      <c r="M658" s="263" t="s">
        <v>4316</v>
      </c>
      <c r="P658" s="103" t="str">
        <f>""</f>
        <v/>
      </c>
      <c r="Q658" s="263" t="str">
        <f>CONCATENATE(CHAR(34),"name",CHAR(34),": ",CHAR(34), wld_az1_second_edge_rack_edge_overlay_network_pool_name_output,CHAR(34))</f>
        <v>"name": "Value Missing"</v>
      </c>
      <c r="U658" s="103" t="str">
        <f>""</f>
        <v/>
      </c>
      <c r="V658" s="263" t="str">
        <f>CONCATENATE(CHAR(34),"name",CHAR(34),": ",CHAR(34), wld_az1_second_edge_rack_edge_overlay_network_pool_name_output,CHAR(34))</f>
        <v>"name": "Value Missing"</v>
      </c>
    </row>
    <row r="659" spans="2:22">
      <c r="B659" t="str">
        <f>""</f>
        <v/>
      </c>
      <c r="C659" s="255" t="s">
        <v>4317</v>
      </c>
      <c r="E659" t="str">
        <f>""</f>
        <v/>
      </c>
      <c r="F659" s="263" t="s">
        <v>4318</v>
      </c>
      <c r="H659" t="str">
        <f>""</f>
        <v/>
      </c>
      <c r="I659" s="263" t="s">
        <v>4315</v>
      </c>
      <c r="L659" t="str">
        <f>""</f>
        <v/>
      </c>
      <c r="M659" s="263" t="s">
        <v>4315</v>
      </c>
      <c r="P659" s="103" t="str">
        <f>""</f>
        <v/>
      </c>
      <c r="Q659" s="263" t="s">
        <v>4316</v>
      </c>
      <c r="U659" s="103" t="str">
        <f>""</f>
        <v/>
      </c>
      <c r="V659" s="263" t="s">
        <v>4316</v>
      </c>
    </row>
    <row r="660" spans="2:22">
      <c r="B660" t="str">
        <f>""</f>
        <v/>
      </c>
      <c r="C660" s="255" t="s">
        <v>4317</v>
      </c>
      <c r="E660" t="str">
        <f>""</f>
        <v/>
      </c>
      <c r="F660" s="263" t="s">
        <v>4317</v>
      </c>
      <c r="H660" t="str">
        <f>""</f>
        <v/>
      </c>
      <c r="I660" s="263" t="s">
        <v>4505</v>
      </c>
      <c r="L660" t="str">
        <f>""</f>
        <v/>
      </c>
      <c r="M660" s="263" t="s">
        <v>4505</v>
      </c>
      <c r="P660" s="103" t="str">
        <f>""</f>
        <v/>
      </c>
      <c r="Q660" s="263" t="str">
        <f>CONCATENATE(CHAR(34),"edgeTepVlan",CHAR(34),": ", wld_az1_second_edge_rack_edge_overlay_vlan_output,",")</f>
        <v>"edgeTepVlan": Value Missing,</v>
      </c>
      <c r="U660" s="103" t="str">
        <f>""</f>
        <v/>
      </c>
      <c r="V660" s="263" t="str">
        <f>CONCATENATE(CHAR(34),"edgeTepVlan",CHAR(34),": ", wld_az1_second_edge_rack_edge_overlay_vlan_output,",")</f>
        <v>"edgeTepVlan": Value Missing,</v>
      </c>
    </row>
    <row r="661" spans="2:22">
      <c r="B661" t="str">
        <f>""</f>
        <v/>
      </c>
      <c r="C661" s="255" t="s">
        <v>4319</v>
      </c>
      <c r="E661" t="str">
        <f>""</f>
        <v/>
      </c>
      <c r="F661" s="263" t="s">
        <v>4316</v>
      </c>
      <c r="H661" t="str">
        <f>""</f>
        <v/>
      </c>
      <c r="I661" s="263" t="str">
        <f>CONCATENATE(CHAR(34),"vdsName",CHAR(34),": ",CHAR(34), wld_cl01_vds02_name,CHAR(34),",")</f>
        <v>"vdsName": "Value Missing",</v>
      </c>
      <c r="L661" t="str">
        <f>""</f>
        <v/>
      </c>
      <c r="M661" s="263" t="str">
        <f>CONCATENATE(CHAR(34),"vdsName",CHAR(34),": ",CHAR(34), wld_cl01_vds02_name,CHAR(34),",")</f>
        <v>"vdsName": "Value Missing",</v>
      </c>
      <c r="P661" s="103" t="s">
        <v>4561</v>
      </c>
      <c r="Q661" s="263" t="s">
        <v>4348</v>
      </c>
      <c r="U661" s="103" t="s">
        <v>4561</v>
      </c>
      <c r="V661" s="263" t="s">
        <v>4348</v>
      </c>
    </row>
    <row r="662" spans="2:22">
      <c r="B662" t="str">
        <f>""</f>
        <v/>
      </c>
      <c r="C662" s="255" t="s">
        <v>4376</v>
      </c>
      <c r="E662" t="str">
        <f>""</f>
        <v/>
      </c>
      <c r="F662" s="263" t="s">
        <v>4315</v>
      </c>
      <c r="H662" t="str">
        <f>""</f>
        <v/>
      </c>
      <c r="I662" s="263" t="s">
        <v>4373</v>
      </c>
      <c r="L662" t="str">
        <f>""</f>
        <v/>
      </c>
      <c r="M662" s="263" t="s">
        <v>4373</v>
      </c>
      <c r="P662" s="103" t="str">
        <f>""</f>
        <v/>
      </c>
      <c r="Q662" s="263" t="s">
        <v>4447</v>
      </c>
      <c r="U662" s="103" t="str">
        <f>""</f>
        <v/>
      </c>
      <c r="V662" s="263" t="s">
        <v>4447</v>
      </c>
    </row>
    <row r="663" spans="2:22">
      <c r="B663" t="str">
        <f>""</f>
        <v/>
      </c>
      <c r="C663" s="255" t="s">
        <v>4377</v>
      </c>
      <c r="E663" t="str">
        <f>""</f>
        <v/>
      </c>
      <c r="F663" s="263" t="s">
        <v>4340</v>
      </c>
      <c r="H663" t="str">
        <f>""</f>
        <v/>
      </c>
      <c r="I663" s="263" t="s">
        <v>4316</v>
      </c>
      <c r="L663" t="str">
        <f>""</f>
        <v/>
      </c>
      <c r="M663" s="263" t="s">
        <v>4316</v>
      </c>
      <c r="P663" s="103" t="str">
        <f>""</f>
        <v/>
      </c>
      <c r="Q663" s="263" t="s">
        <v>4448</v>
      </c>
      <c r="U663" s="103" t="str">
        <f>""</f>
        <v/>
      </c>
      <c r="V663" s="263" t="s">
        <v>4448</v>
      </c>
    </row>
    <row r="664" spans="2:22">
      <c r="B664" t="str">
        <f>""</f>
        <v/>
      </c>
      <c r="C664" s="255" t="str">
        <f>CONCATENATE(CHAR(34),"licenseKey",CHAR(34),": ",CHAR(34), vsan_license,CHAR(34),",")</f>
        <v>"licenseKey": "Value Missing",</v>
      </c>
      <c r="E664" t="str">
        <f>""</f>
        <v/>
      </c>
      <c r="F664" s="263" t="str">
        <f>CONCATENATE(CHAR(34),"licenseKey",CHAR(34),": ",CHAR(34), esx_std_license,CHAR(34),",")</f>
        <v>"licenseKey": "Value Missing",</v>
      </c>
      <c r="H664" t="str">
        <f>""</f>
        <v/>
      </c>
      <c r="I664" s="263" t="s">
        <v>4315</v>
      </c>
      <c r="L664" t="str">
        <f>""</f>
        <v/>
      </c>
      <c r="M664" s="263" t="s">
        <v>4315</v>
      </c>
      <c r="P664" s="103" t="str">
        <f>""</f>
        <v/>
      </c>
      <c r="Q664" s="263" t="s">
        <v>4315</v>
      </c>
      <c r="U664" s="103" t="str">
        <f>""</f>
        <v/>
      </c>
      <c r="V664" s="263" t="s">
        <v>4315</v>
      </c>
    </row>
    <row r="665" spans="2:22">
      <c r="B665" t="str">
        <f>""</f>
        <v/>
      </c>
      <c r="C665" s="255" t="str">
        <f>CONCATENATE(CHAR(34),"datastoreName",CHAR(34),": ",CHAR(34), wld_cl01_vsan_datastore,CHAR(34),",")</f>
        <v>"datastoreName": "Value Missing",</v>
      </c>
      <c r="E665" t="str">
        <f>""</f>
        <v/>
      </c>
      <c r="F665" s="263" t="e">
        <f ca="1">CONCATENATE(CHAR(34),"hostname",CHAR(34),": ",CHAR(34), wld_az1_third_compute_rack_host_01_output,CHAR(34),",")</f>
        <v>#VALUE!</v>
      </c>
      <c r="H665" t="str">
        <f>""</f>
        <v/>
      </c>
      <c r="I665" s="263" t="s">
        <v>4506</v>
      </c>
      <c r="L665" t="str">
        <f>""</f>
        <v/>
      </c>
      <c r="M665" s="263" t="s">
        <v>4506</v>
      </c>
      <c r="P665" s="103" t="str">
        <f>""</f>
        <v/>
      </c>
      <c r="Q665" s="263" t="str">
        <f>CONCATENATE(CHAR(34),"uplinkVlan",CHAR(34),": ",CHAR(34), wld_az1_second_edge_rack_uplink01_vlan_output,CHAR(34),",")</f>
        <v>"uplinkVlan": "Value Missing",</v>
      </c>
      <c r="U665" s="103" t="str">
        <f>""</f>
        <v/>
      </c>
      <c r="V665" s="263" t="str">
        <f>CONCATENATE(CHAR(34),"uplinkVlan",CHAR(34),": ",CHAR(34), wld_az1_second_edge_rack_uplink01_vlan_output,CHAR(34),",")</f>
        <v>"uplinkVlan": "Value Missing",</v>
      </c>
    </row>
    <row r="666" spans="2:22">
      <c r="B666" t="str">
        <f>""</f>
        <v/>
      </c>
      <c r="C666" s="255" t="s">
        <v>4378</v>
      </c>
      <c r="E666" t="str">
        <f>""</f>
        <v/>
      </c>
      <c r="F666" s="263" t="s">
        <v>4370</v>
      </c>
      <c r="H666" t="str">
        <f>""</f>
        <v/>
      </c>
      <c r="I666" s="263" t="str">
        <f>CONCATENATE(CHAR(34),"vdsName",CHAR(34),": ",CHAR(34), wld_cl01_vds02_name,CHAR(34),",")</f>
        <v>"vdsName": "Value Missing",</v>
      </c>
      <c r="L666" t="str">
        <f>""</f>
        <v/>
      </c>
      <c r="M666" s="263" t="str">
        <f>CONCATENATE(CHAR(34),"vdsName",CHAR(34),": ",CHAR(34), wld_cl01_vds02_name,CHAR(34),",")</f>
        <v>"vdsName": "Value Missing",</v>
      </c>
      <c r="P666" s="103" t="str">
        <f>""</f>
        <v/>
      </c>
      <c r="Q666" s="263" t="str">
        <f>CONCATENATE(CHAR(34),"uplinkInterfaceIP",CHAR(34),": ",CHAR(34), wld_az1_second_edge_rack_en01_uplink01_interface_cidr_output,CHAR(34),",")</f>
        <v>"uplinkInterfaceIP": "Value Missing",</v>
      </c>
      <c r="U666" s="103" t="str">
        <f>""</f>
        <v/>
      </c>
      <c r="V666" s="263" t="str">
        <f>CONCATENATE(CHAR(34),"uplinkInterfaceIP",CHAR(34),": ",CHAR(34), wld_az1_second_edge_rack_en01_uplink01_interface_cidr_output,CHAR(34),",")</f>
        <v>"uplinkInterfaceIP": "Value Missing",</v>
      </c>
    </row>
    <row r="667" spans="2:22">
      <c r="B667" t="str">
        <f>""</f>
        <v/>
      </c>
      <c r="C667" s="255" t="str">
        <f>IF(wld_principal_storage_chosen="vSAN-ESA",CONCATENATE(CHAR(34),"enabled",CHAR(34),":", CHAR(34),"true",CHAR(34)),CONCATENATE(CHAR(34),"enabled",CHAR(34),":", CHAR(34),"false",CHAR(34)))</f>
        <v>"enabled":"true"</v>
      </c>
      <c r="E667" t="str">
        <f>""</f>
        <v/>
      </c>
      <c r="F667" s="263" t="e">
        <f ca="1">CONCATENATE(CHAR(34),"networkProfileName",CHAR(34),": ",CHAR(34), wld_az1_third_compute_rack_overlay_network_profile_name_output,CHAR(34),",")</f>
        <v>#N/A</v>
      </c>
      <c r="H667" t="str">
        <f>""</f>
        <v/>
      </c>
      <c r="I667" s="263" t="s">
        <v>4375</v>
      </c>
      <c r="L667" t="str">
        <f>""</f>
        <v/>
      </c>
      <c r="M667" s="263" t="s">
        <v>4375</v>
      </c>
      <c r="P667" s="103" t="str">
        <f>""</f>
        <v/>
      </c>
      <c r="Q667" s="263" t="s">
        <v>4449</v>
      </c>
      <c r="U667" s="103" t="str">
        <f>""</f>
        <v/>
      </c>
      <c r="V667" s="263" t="s">
        <v>4449</v>
      </c>
    </row>
    <row r="668" spans="2:22">
      <c r="B668" t="str">
        <f>""</f>
        <v/>
      </c>
      <c r="C668" s="255" t="s">
        <v>4317</v>
      </c>
      <c r="E668" t="str">
        <f>""</f>
        <v/>
      </c>
      <c r="F668" s="255" t="s">
        <v>4371</v>
      </c>
      <c r="H668" t="str">
        <f>""</f>
        <v/>
      </c>
      <c r="I668" s="263" t="s">
        <v>4317</v>
      </c>
      <c r="L668" t="str">
        <f>""</f>
        <v/>
      </c>
      <c r="M668" s="263" t="s">
        <v>4317</v>
      </c>
      <c r="P668" s="103" t="str">
        <f>""</f>
        <v/>
      </c>
      <c r="Q668" s="263" t="s">
        <v>4315</v>
      </c>
      <c r="U668" s="103" t="str">
        <f>""</f>
        <v/>
      </c>
      <c r="V668" s="263" t="s">
        <v>4315</v>
      </c>
    </row>
    <row r="669" spans="2:22">
      <c r="B669" t="str">
        <f>""</f>
        <v/>
      </c>
      <c r="C669" s="255" t="s">
        <v>4317</v>
      </c>
      <c r="E669" t="str">
        <f>""</f>
        <v/>
      </c>
      <c r="F669" s="255" t="s">
        <v>4315</v>
      </c>
      <c r="H669" t="str">
        <f>""</f>
        <v/>
      </c>
      <c r="I669" s="263" t="s">
        <v>4318</v>
      </c>
      <c r="L669" t="str">
        <f>""</f>
        <v/>
      </c>
      <c r="M669" s="263" t="s">
        <v>4318</v>
      </c>
      <c r="P669" s="103" t="str">
        <f>""</f>
        <v/>
      </c>
      <c r="Q669" s="263" t="str">
        <f>CONCATENATE(CHAR(34),"ip",CHAR(34),": ",CHAR(34), wld_az1_second_edge_rack_tor1_peer_cidr_output,CHAR(34),",")</f>
        <v>"ip": "Value Missing",</v>
      </c>
      <c r="U669" s="103" t="str">
        <f>""</f>
        <v/>
      </c>
      <c r="V669" s="263" t="str">
        <f>CONCATENATE(CHAR(34),"ip",CHAR(34),": ",CHAR(34), wld_az1_second_edge_rack_tor1_peer_cidr_output,CHAR(34),",")</f>
        <v>"ip": "Value Missing",</v>
      </c>
    </row>
    <row r="670" spans="2:22">
      <c r="B670" t="str">
        <f>""</f>
        <v/>
      </c>
      <c r="C670" s="255" t="s">
        <v>4316</v>
      </c>
      <c r="E670" t="str">
        <f>""</f>
        <v/>
      </c>
      <c r="F670" s="255" t="s">
        <v>4372</v>
      </c>
      <c r="H670" t="str">
        <f>""</f>
        <v/>
      </c>
      <c r="I670" s="263" t="s">
        <v>4317</v>
      </c>
      <c r="L670" t="str">
        <f>""</f>
        <v/>
      </c>
      <c r="M670" s="263" t="s">
        <v>4317</v>
      </c>
      <c r="P670" s="103" t="str">
        <f>""</f>
        <v/>
      </c>
      <c r="Q670" s="263" t="str">
        <f>CONCATENATE(CHAR(34),"asn",CHAR(34),": ", wld_az1_second_edge_rack_tor1_peer_asn_output,",")</f>
        <v>"asn": Value Missing,</v>
      </c>
      <c r="U670" s="103" t="str">
        <f>""</f>
        <v/>
      </c>
      <c r="V670" s="263" t="str">
        <f>CONCATENATE(CHAR(34),"asn",CHAR(34),": ", wld_az1_second_edge_rack_tor1_peer_asn_output,",")</f>
        <v>"asn": Value Missing,</v>
      </c>
    </row>
    <row r="671" spans="2:22">
      <c r="B671" t="str">
        <f>""</f>
        <v/>
      </c>
      <c r="C671" s="255" t="s">
        <v>4379</v>
      </c>
      <c r="E671" t="str">
        <f>""</f>
        <v/>
      </c>
      <c r="F671" s="255" t="str">
        <f>CONCATENATE(CHAR(34),"vdsName",CHAR(34),": ",CHAR(34), wld_cl01_vds_name,CHAR(34),",")</f>
        <v>"vdsName": "Value Missing",</v>
      </c>
      <c r="H671" t="str">
        <f>""</f>
        <v/>
      </c>
      <c r="I671" s="263" t="s">
        <v>4316</v>
      </c>
      <c r="L671" t="str">
        <f>""</f>
        <v/>
      </c>
      <c r="M671" s="263" t="s">
        <v>4316</v>
      </c>
      <c r="P671" s="103" t="str">
        <f>""</f>
        <v/>
      </c>
      <c r="Q671" s="263" t="str">
        <f>CONCATENATE(CHAR(34),"password",CHAR(34),": ",CHAR(34), wld_az1_second_edge_rack_tor1_peer_bgp_password_output,CHAR(34))</f>
        <v>"password": "Value Missing"</v>
      </c>
      <c r="U671" s="103" t="str">
        <f>""</f>
        <v/>
      </c>
      <c r="V671" s="263" t="str">
        <f>CONCATENATE(CHAR(34),"password",CHAR(34),": ",CHAR(34), wld_az1_second_edge_rack_tor1_peer_bgp_password_output,CHAR(34))</f>
        <v>"password": "Value Missing"</v>
      </c>
    </row>
    <row r="672" spans="2:22">
      <c r="B672" t="str">
        <f>""</f>
        <v/>
      </c>
      <c r="C672" s="255" t="s">
        <v>4380</v>
      </c>
      <c r="E672" t="str">
        <f>""</f>
        <v/>
      </c>
      <c r="F672" s="255" t="s">
        <v>4373</v>
      </c>
      <c r="H672" t="str">
        <f>""</f>
        <v/>
      </c>
      <c r="I672" s="263" t="s">
        <v>4315</v>
      </c>
      <c r="L672" t="str">
        <f>""</f>
        <v/>
      </c>
      <c r="M672" s="263" t="s">
        <v>4315</v>
      </c>
      <c r="P672" s="103" t="str">
        <f>""</f>
        <v/>
      </c>
      <c r="Q672" s="263" t="s">
        <v>4317</v>
      </c>
      <c r="U672" s="103" t="str">
        <f>""</f>
        <v/>
      </c>
      <c r="V672" s="263" t="s">
        <v>4317</v>
      </c>
    </row>
    <row r="673" spans="2:22">
      <c r="B673" t="str">
        <f>""</f>
        <v/>
      </c>
      <c r="C673" s="255" t="s">
        <v>4315</v>
      </c>
      <c r="E673" t="str">
        <f>""</f>
        <v/>
      </c>
      <c r="F673" s="255" t="s">
        <v>4316</v>
      </c>
      <c r="H673" t="str">
        <f>""</f>
        <v/>
      </c>
      <c r="I673" s="263" t="s">
        <v>4340</v>
      </c>
      <c r="L673" t="str">
        <f>""</f>
        <v/>
      </c>
      <c r="M673" s="263" t="s">
        <v>4340</v>
      </c>
      <c r="P673" s="103" t="str">
        <f>""</f>
        <v/>
      </c>
      <c r="Q673" s="263" t="s">
        <v>4318</v>
      </c>
      <c r="U673" s="103" t="str">
        <f>""</f>
        <v/>
      </c>
      <c r="V673" s="263" t="s">
        <v>4318</v>
      </c>
    </row>
    <row r="674" spans="2:22">
      <c r="B674" t="str">
        <f>""</f>
        <v/>
      </c>
      <c r="C674" s="255" t="str">
        <f>CONCATENATE(CHAR(34),"name",CHAR(34),": ",CHAR(34), wld_cl01_vds_name,CHAR(34),",")</f>
        <v>"name": "Value Missing",</v>
      </c>
      <c r="E674" t="str">
        <f>""</f>
        <v/>
      </c>
      <c r="F674" s="255" t="s">
        <v>4315</v>
      </c>
      <c r="H674" t="str">
        <f>""</f>
        <v/>
      </c>
      <c r="I674" s="263" t="str">
        <f>CONCATENATE(CHAR(34),"licenseKey",CHAR(34),": ",CHAR(34), esx_std_license,CHAR(34),",")</f>
        <v>"licenseKey": "Value Missing",</v>
      </c>
      <c r="L674" t="str">
        <f>""</f>
        <v/>
      </c>
      <c r="M674" s="263" t="str">
        <f>CONCATENATE(CHAR(34),"licenseKey",CHAR(34),": ",CHAR(34), esx_std_license,CHAR(34),",")</f>
        <v>"licenseKey": "Value Missing",</v>
      </c>
      <c r="P674" s="103" t="str">
        <f>""</f>
        <v/>
      </c>
      <c r="Q674" s="263" t="s">
        <v>4316</v>
      </c>
      <c r="U674" s="103" t="str">
        <f>""</f>
        <v/>
      </c>
      <c r="V674" s="263" t="s">
        <v>4316</v>
      </c>
    </row>
    <row r="675" spans="2:22">
      <c r="B675" t="str">
        <f>""</f>
        <v/>
      </c>
      <c r="C675" s="255" t="str">
        <f>CONCATENATE(CHAR(34),"mtu",CHAR(34),": ",CHAR(34), wld_cl01_vds01_mtu,CHAR(34),",")</f>
        <v>"mtu": "Value Missing",</v>
      </c>
      <c r="E675" t="str">
        <f>""</f>
        <v/>
      </c>
      <c r="F675" s="255" t="s">
        <v>4374</v>
      </c>
      <c r="H675" t="str">
        <f>""</f>
        <v/>
      </c>
      <c r="I675" s="263" t="e">
        <f ca="1">CONCATENATE(CHAR(34),"hostname",CHAR(34),": ",CHAR(34), wld_az1_fourth_compute_rack_host_01_output,CHAR(34),",")</f>
        <v>#VALUE!</v>
      </c>
      <c r="L675" t="str">
        <f>""</f>
        <v/>
      </c>
      <c r="M675" s="263" t="e">
        <f ca="1">CONCATENATE(CHAR(34),"hostname",CHAR(34),": ",CHAR(34), wld_az1_fourth_compute_rack_host_01_output,CHAR(34),",")</f>
        <v>#VALUE!</v>
      </c>
      <c r="P675" s="103" t="str">
        <f>""</f>
        <v/>
      </c>
      <c r="Q675" s="263" t="s">
        <v>4315</v>
      </c>
      <c r="U675" s="103" t="str">
        <f>""</f>
        <v/>
      </c>
      <c r="V675" s="263" t="s">
        <v>4315</v>
      </c>
    </row>
    <row r="676" spans="2:22">
      <c r="B676" t="str">
        <f>""</f>
        <v/>
      </c>
      <c r="C676" s="255" t="s">
        <v>4381</v>
      </c>
      <c r="E676" t="str">
        <f>""</f>
        <v/>
      </c>
      <c r="F676" s="255" t="str">
        <f>CONCATENATE(CHAR(34),"vdsName",CHAR(34),": ",CHAR(34), wld_cl01_vds_name,CHAR(34),",")</f>
        <v>"vdsName": "Value Missing",</v>
      </c>
      <c r="H676" t="str">
        <f>""</f>
        <v/>
      </c>
      <c r="I676" s="263" t="s">
        <v>4370</v>
      </c>
      <c r="L676" t="str">
        <f>""</f>
        <v/>
      </c>
      <c r="M676" s="263" t="s">
        <v>4370</v>
      </c>
      <c r="P676" s="103" t="str">
        <f>""</f>
        <v/>
      </c>
      <c r="Q676" s="263" t="str">
        <f>CONCATENATE(CHAR(34),"uplinkVlan",CHAR(34),": ",CHAR(34), wld_az1_second_edge_rack_uplink02_vlan_output,CHAR(34),",")</f>
        <v>"uplinkVlan": "Value Missing",</v>
      </c>
      <c r="U676" s="103" t="str">
        <f>""</f>
        <v/>
      </c>
      <c r="V676" s="263" t="str">
        <f>CONCATENATE(CHAR(34),"uplinkVlan",CHAR(34),": ",CHAR(34), wld_az1_second_edge_rack_uplink02_vlan_output,CHAR(34),",")</f>
        <v>"uplinkVlan": "Value Missing",</v>
      </c>
    </row>
    <row r="677" spans="2:22">
      <c r="B677" t="str">
        <f>""</f>
        <v/>
      </c>
      <c r="C677" s="255" t="s">
        <v>4315</v>
      </c>
      <c r="E677" t="str">
        <f>""</f>
        <v/>
      </c>
      <c r="F677" s="263" t="s">
        <v>4375</v>
      </c>
      <c r="H677" t="str">
        <f>""</f>
        <v/>
      </c>
      <c r="I677" s="263" t="e">
        <f ca="1">CONCATENATE(CHAR(34),"networkProfileName",CHAR(34),": ",CHAR(34), wld_az1_fourth_compute_rack_overlay_network_profile_name_output,CHAR(34),",")</f>
        <v>#N/A</v>
      </c>
      <c r="L677" t="str">
        <f>""</f>
        <v/>
      </c>
      <c r="M677" s="263" t="e">
        <f ca="1">CONCATENATE(CHAR(34),"networkProfileName",CHAR(34),": ",CHAR(34), wld_az1_fourth_compute_rack_overlay_network_profile_name_output,CHAR(34),",")</f>
        <v>#N/A</v>
      </c>
      <c r="P677" s="103" t="str">
        <f>""</f>
        <v/>
      </c>
      <c r="Q677" s="263" t="str">
        <f>CONCATENATE(CHAR(34),"uplinkInterfaceIP",CHAR(34),": ",CHAR(34), wld_az1_second_edge_rack_en01_uplink02_interface_cidr_output,CHAR(34),",")</f>
        <v>"uplinkInterfaceIP": "Value Missing",</v>
      </c>
      <c r="U677" s="103" t="str">
        <f>""</f>
        <v/>
      </c>
      <c r="V677" s="263" t="str">
        <f>CONCATENATE(CHAR(34),"uplinkInterfaceIP",CHAR(34),": ",CHAR(34), wld_az1_second_edge_rack_en01_uplink02_interface_cidr_output,CHAR(34),",")</f>
        <v>"uplinkInterfaceIP": "Value Missing",</v>
      </c>
    </row>
    <row r="678" spans="2:22">
      <c r="B678" t="str">
        <f>""</f>
        <v/>
      </c>
      <c r="C678" s="255" t="str">
        <f>CONCATENATE(CHAR(34),"name",CHAR(34),": ",CHAR(34), wld_cl01_az1_mgmt_pg,CHAR(34),",")</f>
        <v>"name": "Value Missing",</v>
      </c>
      <c r="E678" t="str">
        <f>""</f>
        <v/>
      </c>
      <c r="F678" s="263" t="s">
        <v>4316</v>
      </c>
      <c r="H678" t="str">
        <f>""</f>
        <v/>
      </c>
      <c r="I678" s="263" t="s">
        <v>4371</v>
      </c>
      <c r="L678" t="str">
        <f>""</f>
        <v/>
      </c>
      <c r="M678" s="263" t="s">
        <v>4371</v>
      </c>
      <c r="P678" s="103" t="str">
        <f>""</f>
        <v/>
      </c>
      <c r="Q678" s="263" t="s">
        <v>4449</v>
      </c>
      <c r="U678" s="103" t="str">
        <f>""</f>
        <v/>
      </c>
      <c r="V678" s="263" t="s">
        <v>4449</v>
      </c>
    </row>
    <row r="679" spans="2:22">
      <c r="B679" t="str">
        <f>""</f>
        <v/>
      </c>
      <c r="C679" s="255" t="s">
        <v>4382</v>
      </c>
      <c r="E679" t="str">
        <f>""</f>
        <v/>
      </c>
      <c r="F679" s="263" t="s">
        <v>4315</v>
      </c>
      <c r="H679" t="str">
        <f>""</f>
        <v/>
      </c>
      <c r="I679" s="263" t="s">
        <v>4315</v>
      </c>
      <c r="L679" t="str">
        <f>""</f>
        <v/>
      </c>
      <c r="M679" s="263" t="s">
        <v>4315</v>
      </c>
      <c r="P679" s="103" t="str">
        <f>""</f>
        <v/>
      </c>
      <c r="Q679" s="263" t="s">
        <v>4315</v>
      </c>
      <c r="U679" s="103" t="str">
        <f>""</f>
        <v/>
      </c>
      <c r="V679" s="263" t="s">
        <v>4315</v>
      </c>
    </row>
    <row r="680" spans="2:22">
      <c r="B680" t="str">
        <f>""</f>
        <v/>
      </c>
      <c r="C680" s="255" t="s">
        <v>4383</v>
      </c>
      <c r="E680" t="str">
        <f>""</f>
        <v/>
      </c>
      <c r="F680" s="263" t="s">
        <v>4505</v>
      </c>
      <c r="H680" t="str">
        <f>""</f>
        <v/>
      </c>
      <c r="I680" s="263" t="s">
        <v>4372</v>
      </c>
      <c r="L680" t="str">
        <f>""</f>
        <v/>
      </c>
      <c r="M680" s="263" t="s">
        <v>4372</v>
      </c>
      <c r="P680" s="103" t="str">
        <f>""</f>
        <v/>
      </c>
      <c r="Q680" s="263" t="str">
        <f>CONCATENATE(CHAR(34),"ip",CHAR(34),": ",CHAR(34), wld_az1_second_edge_rack_tor2_peer_cidr_output,CHAR(34),",")</f>
        <v>"ip": "Value Missing",</v>
      </c>
      <c r="U680" s="103" t="str">
        <f>""</f>
        <v/>
      </c>
      <c r="V680" s="263" t="str">
        <f>CONCATENATE(CHAR(34),"ip",CHAR(34),": ",CHAR(34), wld_az1_second_edge_rack_tor2_peer_cidr_output,CHAR(34),",")</f>
        <v>"ip": "Value Missing",</v>
      </c>
    </row>
    <row r="681" spans="2:22">
      <c r="B681" t="str">
        <f>""</f>
        <v/>
      </c>
      <c r="C681" s="255" t="s">
        <v>4384</v>
      </c>
      <c r="E681" t="str">
        <f>""</f>
        <v/>
      </c>
      <c r="F681" s="263" t="str">
        <f>CONCATENATE(CHAR(34),"vdsName",CHAR(34),": ",CHAR(34), wld_cl01_vds02_name,CHAR(34),",")</f>
        <v>"vdsName": "Value Missing",</v>
      </c>
      <c r="H681" t="str">
        <f>""</f>
        <v/>
      </c>
      <c r="I681" s="263" t="str">
        <f>CONCATENATE(CHAR(34),"vdsName",CHAR(34),": ",CHAR(34), wld_cl01_vds_name,CHAR(34),",")</f>
        <v>"vdsName": "Value Missing",</v>
      </c>
      <c r="L681" t="str">
        <f>""</f>
        <v/>
      </c>
      <c r="M681" s="263" t="str">
        <f>CONCATENATE(CHAR(34),"vdsName",CHAR(34),": ",CHAR(34), wld_cl01_vds_name,CHAR(34),",")</f>
        <v>"vdsName": "Value Missing",</v>
      </c>
      <c r="P681" s="103" t="str">
        <f>""</f>
        <v/>
      </c>
      <c r="Q681" s="263" t="str">
        <f>CONCATENATE(CHAR(34),"asn",CHAR(34),": ", wld_az1_second_edge_rack_tor2_peer_asn_output,",")</f>
        <v>"asn": Value Missing,</v>
      </c>
      <c r="U681" s="103" t="str">
        <f>""</f>
        <v/>
      </c>
      <c r="V681" s="263" t="str">
        <f>CONCATENATE(CHAR(34),"asn",CHAR(34),": ", wld_az1_second_edge_rack_tor2_peer_asn_output,",")</f>
        <v>"asn": Value Missing,</v>
      </c>
    </row>
    <row r="682" spans="2:22">
      <c r="B682" t="str">
        <f>""</f>
        <v/>
      </c>
      <c r="C682" s="255" t="s">
        <v>4385</v>
      </c>
      <c r="E682" t="str">
        <f>""</f>
        <v/>
      </c>
      <c r="F682" s="263" t="s">
        <v>4373</v>
      </c>
      <c r="H682" t="str">
        <f>""</f>
        <v/>
      </c>
      <c r="I682" s="263" t="s">
        <v>4373</v>
      </c>
      <c r="L682" t="str">
        <f>""</f>
        <v/>
      </c>
      <c r="M682" s="263" t="s">
        <v>4373</v>
      </c>
      <c r="P682" s="103" t="str">
        <f>""</f>
        <v/>
      </c>
      <c r="Q682" s="263" t="str">
        <f>CONCATENATE(CHAR(34),"password",CHAR(34),": ",CHAR(34), wld_az1_second_edge_rack_tor2_peer_bgp_password_output,CHAR(34))</f>
        <v>"password": "Value Missing"</v>
      </c>
      <c r="U682" s="103" t="str">
        <f>""</f>
        <v/>
      </c>
      <c r="V682" s="263" t="str">
        <f>CONCATENATE(CHAR(34),"password",CHAR(34),": ",CHAR(34), wld_az1_second_edge_rack_tor2_peer_bgp_password_output,CHAR(34))</f>
        <v>"password": "Value Missing"</v>
      </c>
    </row>
    <row r="683" spans="2:22">
      <c r="B683" t="str">
        <f>""</f>
        <v/>
      </c>
      <c r="C683" s="255" t="s">
        <v>4386</v>
      </c>
      <c r="E683" t="str">
        <f>""</f>
        <v/>
      </c>
      <c r="F683" s="263" t="s">
        <v>4316</v>
      </c>
      <c r="H683" t="str">
        <f>""</f>
        <v/>
      </c>
      <c r="I683" s="263" t="s">
        <v>4316</v>
      </c>
      <c r="L683" t="str">
        <f>""</f>
        <v/>
      </c>
      <c r="M683" s="263" t="s">
        <v>4316</v>
      </c>
      <c r="P683" s="103" t="str">
        <f>""</f>
        <v/>
      </c>
      <c r="Q683" s="263" t="s">
        <v>4317</v>
      </c>
      <c r="U683" s="103" t="str">
        <f>""</f>
        <v/>
      </c>
      <c r="V683" s="263" t="s">
        <v>4317</v>
      </c>
    </row>
    <row r="684" spans="2:22">
      <c r="B684" t="str">
        <f>""</f>
        <v/>
      </c>
      <c r="C684" s="255" t="s">
        <v>4320</v>
      </c>
      <c r="E684" t="str">
        <f>""</f>
        <v/>
      </c>
      <c r="F684" s="263" t="s">
        <v>4315</v>
      </c>
      <c r="H684" t="str">
        <f>""</f>
        <v/>
      </c>
      <c r="I684" s="263" t="s">
        <v>4315</v>
      </c>
      <c r="L684" t="str">
        <f>""</f>
        <v/>
      </c>
      <c r="M684" s="263" t="s">
        <v>4315</v>
      </c>
      <c r="P684" s="103" t="str">
        <f>""</f>
        <v/>
      </c>
      <c r="Q684" s="263" t="s">
        <v>4318</v>
      </c>
      <c r="U684" s="103" t="str">
        <f>""</f>
        <v/>
      </c>
      <c r="V684" s="263" t="s">
        <v>4318</v>
      </c>
    </row>
    <row r="685" spans="2:22">
      <c r="B685" t="str">
        <f>""</f>
        <v/>
      </c>
      <c r="C685" s="255" t="s">
        <v>4318</v>
      </c>
      <c r="E685" t="str">
        <f>""</f>
        <v/>
      </c>
      <c r="F685" s="263" t="s">
        <v>4506</v>
      </c>
      <c r="H685" t="str">
        <f>""</f>
        <v/>
      </c>
      <c r="I685" s="263" t="s">
        <v>4374</v>
      </c>
      <c r="L685" t="str">
        <f>""</f>
        <v/>
      </c>
      <c r="M685" s="263" t="s">
        <v>4374</v>
      </c>
      <c r="P685" s="103" t="str">
        <f>""</f>
        <v/>
      </c>
      <c r="Q685" s="263" t="s">
        <v>4317</v>
      </c>
      <c r="U685" s="103" t="str">
        <f>""</f>
        <v/>
      </c>
      <c r="V685" s="263" t="s">
        <v>4317</v>
      </c>
    </row>
    <row r="686" spans="2:22">
      <c r="B686" t="str">
        <f>""</f>
        <v/>
      </c>
      <c r="C686" s="255" t="s">
        <v>4316</v>
      </c>
      <c r="E686" t="str">
        <f>""</f>
        <v/>
      </c>
      <c r="F686" s="263" t="str">
        <f>CONCATENATE(CHAR(34),"vdsName",CHAR(34),": ",CHAR(34), wld_cl01_vds02_name,CHAR(34),",")</f>
        <v>"vdsName": "Value Missing",</v>
      </c>
      <c r="H686" t="str">
        <f>""</f>
        <v/>
      </c>
      <c r="I686" s="263" t="str">
        <f>CONCATENATE(CHAR(34),"vdsName",CHAR(34),": ",CHAR(34), wld_cl01_vds_name,CHAR(34),",")</f>
        <v>"vdsName": "Value Missing",</v>
      </c>
      <c r="L686" t="str">
        <f>""</f>
        <v/>
      </c>
      <c r="M686" s="263" t="str">
        <f>CONCATENATE(CHAR(34),"vdsName",CHAR(34),": ",CHAR(34), wld_cl01_vds_name,CHAR(34),",")</f>
        <v>"vdsName": "Value Missing",</v>
      </c>
      <c r="P686" s="103" t="str">
        <f>""</f>
        <v/>
      </c>
      <c r="Q686" s="263" t="s">
        <v>4319</v>
      </c>
      <c r="U686" s="103" t="str">
        <f>""</f>
        <v/>
      </c>
      <c r="V686" s="263" t="s">
        <v>4319</v>
      </c>
    </row>
    <row r="687" spans="2:22">
      <c r="B687" t="str">
        <f>""</f>
        <v/>
      </c>
      <c r="C687" s="255" t="s">
        <v>4315</v>
      </c>
      <c r="E687" t="str">
        <f>""</f>
        <v/>
      </c>
      <c r="F687" s="263" t="s">
        <v>4375</v>
      </c>
      <c r="H687" t="str">
        <f>""</f>
        <v/>
      </c>
      <c r="I687" s="263" t="s">
        <v>4375</v>
      </c>
      <c r="L687" t="str">
        <f>""</f>
        <v/>
      </c>
      <c r="M687" s="263" t="s">
        <v>4375</v>
      </c>
      <c r="P687" s="103" t="str">
        <f>""</f>
        <v/>
      </c>
      <c r="Q687" s="263" t="str">
        <f>CONCATENATE(CHAR(34),"vmManagementPortgroupName",CHAR(34),": ",CHAR(34), wld_cl03_az1_mgmt_vm_pg,CHAR(34),",")</f>
        <v>"vmManagementPortgroupName": "Value Missing",</v>
      </c>
      <c r="U687" s="103" t="str">
        <f>""</f>
        <v/>
      </c>
      <c r="V687" s="263" t="str">
        <f>CONCATENATE(CHAR(34),"vmManagementPortgroupName",CHAR(34),": ",CHAR(34), wld_cl03_az1_mgmt_vm_pg,CHAR(34),",")</f>
        <v>"vmManagementPortgroupName": "Value Missing",</v>
      </c>
    </row>
    <row r="688" spans="2:22">
      <c r="B688" t="str">
        <f>""</f>
        <v/>
      </c>
      <c r="C688" s="255" t="str">
        <f>CONCATENATE(CHAR(34),"name",CHAR(34),": ",CHAR(34), wld_cl01_az1_vmotion_pg,CHAR(34),",")</f>
        <v>"name": "Value Missing",</v>
      </c>
      <c r="E688" t="str">
        <f>""</f>
        <v/>
      </c>
      <c r="F688" s="263" t="s">
        <v>4316</v>
      </c>
      <c r="H688" t="str">
        <f>""</f>
        <v/>
      </c>
      <c r="I688" s="263" t="s">
        <v>4316</v>
      </c>
      <c r="L688" t="str">
        <f>""</f>
        <v/>
      </c>
      <c r="M688" s="263" t="s">
        <v>4316</v>
      </c>
      <c r="P688" s="103" t="str">
        <f>""</f>
        <v/>
      </c>
      <c r="Q688" s="263" t="str">
        <f>CONCATENATE(CHAR(34),"vmManagementPortgroupVlan",CHAR(34),": ",CHAR(34), wld_az_second_edge_rack_mgmt_vm_vlan,CHAR(34))</f>
        <v>"vmManagementPortgroupVlan": "Value Missing"</v>
      </c>
      <c r="U688" s="103" t="str">
        <f>""</f>
        <v/>
      </c>
      <c r="V688" s="263" t="str">
        <f>CONCATENATE(CHAR(34),"vmManagementPortgroupVlan",CHAR(34),": ",CHAR(34), wld_az_second_edge_rack_mgmt_vm_vlan,CHAR(34))</f>
        <v>"vmManagementPortgroupVlan": "Value Missing"</v>
      </c>
    </row>
    <row r="689" spans="2:22">
      <c r="B689" t="str">
        <f>""</f>
        <v/>
      </c>
      <c r="C689" s="255" t="s">
        <v>4387</v>
      </c>
      <c r="E689" t="str">
        <f>""</f>
        <v/>
      </c>
      <c r="F689" s="263" t="s">
        <v>4315</v>
      </c>
      <c r="H689" t="str">
        <f>""</f>
        <v/>
      </c>
      <c r="I689" s="263" t="s">
        <v>4315</v>
      </c>
      <c r="L689" t="str">
        <f>""</f>
        <v/>
      </c>
      <c r="M689" s="263" t="s">
        <v>4315</v>
      </c>
      <c r="P689" s="103" t="str">
        <f>""</f>
        <v/>
      </c>
      <c r="Q689" s="263" t="s">
        <v>4317</v>
      </c>
      <c r="U689" s="103" t="str">
        <f>""</f>
        <v/>
      </c>
      <c r="V689" s="263" t="s">
        <v>4316</v>
      </c>
    </row>
    <row r="690" spans="2:22">
      <c r="B690" t="str">
        <f>""</f>
        <v/>
      </c>
      <c r="C690" s="255" t="s">
        <v>4383</v>
      </c>
      <c r="E690" t="str">
        <f>""</f>
        <v/>
      </c>
      <c r="F690" s="263" t="s">
        <v>4507</v>
      </c>
      <c r="H690" t="str">
        <f>""</f>
        <v/>
      </c>
      <c r="I690" s="263" t="s">
        <v>4505</v>
      </c>
      <c r="L690" t="str">
        <f>""</f>
        <v/>
      </c>
      <c r="M690" s="263" t="s">
        <v>4505</v>
      </c>
      <c r="P690" s="103" t="str">
        <f>""</f>
        <v/>
      </c>
      <c r="Q690" s="263" t="s">
        <v>4318</v>
      </c>
      <c r="U690" s="103" t="str">
        <f>""</f>
        <v/>
      </c>
      <c r="V690" s="263" t="s">
        <v>4315</v>
      </c>
    </row>
    <row r="691" spans="2:22">
      <c r="B691" t="str">
        <f>""</f>
        <v/>
      </c>
      <c r="C691" s="255" t="s">
        <v>4384</v>
      </c>
      <c r="E691" t="str">
        <f>""</f>
        <v/>
      </c>
      <c r="F691" s="263" t="str">
        <f>CONCATENATE(CHAR(34),"vdsName",CHAR(34),": ",CHAR(34), wld_cl01_vds03_name,CHAR(34),",")</f>
        <v>"vdsName": "Value Missing",</v>
      </c>
      <c r="H691" t="str">
        <f>""</f>
        <v/>
      </c>
      <c r="I691" s="263" t="str">
        <f>CONCATENATE(CHAR(34),"vdsName",CHAR(34),": ",CHAR(34), wld_cl01_vds02_name,CHAR(34),",")</f>
        <v>"vdsName": "Value Missing",</v>
      </c>
      <c r="L691" t="str">
        <f>""</f>
        <v/>
      </c>
      <c r="M691" s="263" t="str">
        <f>CONCATENATE(CHAR(34),"vdsName",CHAR(34),": ",CHAR(34), wld_cl01_vds02_name,CHAR(34),",")</f>
        <v>"vdsName": "Value Missing",</v>
      </c>
      <c r="P691" s="103" t="str">
        <f>""</f>
        <v/>
      </c>
      <c r="Q691" s="265" t="s">
        <v>4317</v>
      </c>
      <c r="U691" s="103" t="str">
        <f>""</f>
        <v/>
      </c>
      <c r="V691" s="263" t="str">
        <f>CONCATENATE(CHAR(34),"edgeNodeName",CHAR(34),": ",CHAR(34), wld_az1_first_edge_rack_en02_fqdn_output,CHAR(34),",")</f>
        <v>"edgeNodeName": "Value Missing.Value Missing",</v>
      </c>
    </row>
    <row r="692" spans="2:22">
      <c r="B692" t="str">
        <f>""</f>
        <v/>
      </c>
      <c r="C692" s="255" t="s">
        <v>4385</v>
      </c>
      <c r="E692" t="str">
        <f>""</f>
        <v/>
      </c>
      <c r="F692" s="263" t="s">
        <v>4373</v>
      </c>
      <c r="H692" t="str">
        <f>""</f>
        <v/>
      </c>
      <c r="I692" s="263" t="s">
        <v>4373</v>
      </c>
      <c r="L692" t="str">
        <f>""</f>
        <v/>
      </c>
      <c r="M692" s="263" t="s">
        <v>4373</v>
      </c>
      <c r="U692" s="103" t="str">
        <f>""</f>
        <v/>
      </c>
      <c r="V692" s="263" t="str">
        <f>CONCATENATE(CHAR(34),"managementIP",CHAR(34),": ",CHAR(34), wld_az1_first_edge_rack_mgmt_en02_vm_cidr_output,CHAR(34),",")</f>
        <v>"managementIP": "Value Missing",</v>
      </c>
    </row>
    <row r="693" spans="2:22">
      <c r="B693" t="str">
        <f>""</f>
        <v/>
      </c>
      <c r="C693" s="255" t="s">
        <v>4386</v>
      </c>
      <c r="E693" t="str">
        <f>""</f>
        <v/>
      </c>
      <c r="F693" s="263" t="s">
        <v>4316</v>
      </c>
      <c r="H693" t="str">
        <f>""</f>
        <v/>
      </c>
      <c r="I693" s="263" t="s">
        <v>4316</v>
      </c>
      <c r="L693" t="str">
        <f>""</f>
        <v/>
      </c>
      <c r="M693" s="263" t="s">
        <v>4316</v>
      </c>
      <c r="U693" s="103" t="str">
        <f>""</f>
        <v/>
      </c>
      <c r="V693" s="263" t="str">
        <f>CONCATENATE(CHAR(34),"managementGateway",CHAR(34),": ",CHAR(34), wld_az1_first_edge_rack_mgmt_vm_gateway_ip_output,CHAR(34),",")</f>
        <v>"managementGateway": "Value Missing",</v>
      </c>
    </row>
    <row r="694" spans="2:22">
      <c r="B694" t="str">
        <f>""</f>
        <v/>
      </c>
      <c r="C694" s="255" t="s">
        <v>4320</v>
      </c>
      <c r="E694" t="str">
        <f>""</f>
        <v/>
      </c>
      <c r="F694" s="263" t="s">
        <v>4315</v>
      </c>
      <c r="H694" t="str">
        <f>""</f>
        <v/>
      </c>
      <c r="I694" s="263" t="s">
        <v>4315</v>
      </c>
      <c r="L694" t="str">
        <f>""</f>
        <v/>
      </c>
      <c r="M694" s="263" t="s">
        <v>4315</v>
      </c>
      <c r="U694" s="103" t="str">
        <f>""</f>
        <v/>
      </c>
      <c r="V694" s="263" t="s">
        <v>4446</v>
      </c>
    </row>
    <row r="695" spans="2:22">
      <c r="B695" t="str">
        <f>""</f>
        <v/>
      </c>
      <c r="C695" s="255" t="s">
        <v>4318</v>
      </c>
      <c r="E695" t="str">
        <f>""</f>
        <v/>
      </c>
      <c r="F695" s="263" t="s">
        <v>4508</v>
      </c>
      <c r="H695" t="str">
        <f>""</f>
        <v/>
      </c>
      <c r="I695" s="263" t="s">
        <v>4506</v>
      </c>
      <c r="L695" t="str">
        <f>""</f>
        <v/>
      </c>
      <c r="M695" s="263" t="s">
        <v>4506</v>
      </c>
      <c r="U695" s="103" t="str">
        <f>""</f>
        <v/>
      </c>
      <c r="V695" s="263" t="str">
        <f>CONCATENATE(CHAR(34),"name",CHAR(34),": ",CHAR(34), wld_az1_first_edge_rack_edge_overlay_network_pool_name_output,CHAR(34))</f>
        <v>"name": "Value Missing"</v>
      </c>
    </row>
    <row r="696" spans="2:22">
      <c r="B696" t="str">
        <f>""</f>
        <v/>
      </c>
      <c r="C696" s="255" t="s">
        <v>4316</v>
      </c>
      <c r="E696" t="str">
        <f>""</f>
        <v/>
      </c>
      <c r="F696" s="263" t="str">
        <f>CONCATENATE(CHAR(34),"vdsName",CHAR(34),": ",CHAR(34), wld_cl01_vds03_name,CHAR(34),",")</f>
        <v>"vdsName": "Value Missing",</v>
      </c>
      <c r="H696" t="str">
        <f>""</f>
        <v/>
      </c>
      <c r="I696" s="263" t="str">
        <f>CONCATENATE(CHAR(34),"vdsName",CHAR(34),": ",CHAR(34), wld_cl01_vds02_name,CHAR(34),",")</f>
        <v>"vdsName": "Value Missing",</v>
      </c>
      <c r="L696" t="str">
        <f>""</f>
        <v/>
      </c>
      <c r="M696" s="263" t="str">
        <f>CONCATENATE(CHAR(34),"vdsName",CHAR(34),": ",CHAR(34), wld_cl01_vds02_name,CHAR(34),",")</f>
        <v>"vdsName": "Value Missing",</v>
      </c>
      <c r="U696" s="103" t="str">
        <f>""</f>
        <v/>
      </c>
      <c r="V696" s="263" t="s">
        <v>4316</v>
      </c>
    </row>
    <row r="697" spans="2:22">
      <c r="B697" t="str">
        <f>""</f>
        <v/>
      </c>
      <c r="C697" s="255" t="s">
        <v>4315</v>
      </c>
      <c r="E697" t="str">
        <f>""</f>
        <v/>
      </c>
      <c r="F697" s="263" t="s">
        <v>4375</v>
      </c>
      <c r="H697" t="str">
        <f>""</f>
        <v/>
      </c>
      <c r="I697" s="263" t="s">
        <v>4375</v>
      </c>
      <c r="L697" t="str">
        <f>""</f>
        <v/>
      </c>
      <c r="M697" s="263" t="s">
        <v>4375</v>
      </c>
      <c r="U697" s="103" t="str">
        <f>""</f>
        <v/>
      </c>
      <c r="V697" s="263" t="str">
        <f>CONCATENATE(CHAR(34),"edgeTepVlan",CHAR(34),": ",CHAR(34), wld_az1_first_edge_rack_edge_overlay_vlan_output,CHAR(34),",")</f>
        <v>"edgeTepVlan": "Value Missing",</v>
      </c>
    </row>
    <row r="698" spans="2:22">
      <c r="B698" t="str">
        <f>""</f>
        <v/>
      </c>
      <c r="C698" s="255" t="str">
        <f>CONCATENATE(CHAR(34),"name",CHAR(34),": ",CHAR(34), wld_cl01_az1_principal_storage_pg,CHAR(34),",")</f>
        <v>"name": "Value Missing",</v>
      </c>
      <c r="E698" t="str">
        <f>""</f>
        <v/>
      </c>
      <c r="F698" s="263" t="s">
        <v>4317</v>
      </c>
      <c r="H698" t="str">
        <f>""</f>
        <v/>
      </c>
      <c r="I698" s="263" t="s">
        <v>4317</v>
      </c>
      <c r="L698" t="str">
        <f>""</f>
        <v/>
      </c>
      <c r="M698" s="263" t="s">
        <v>4317</v>
      </c>
      <c r="U698" s="103" t="s">
        <v>4561</v>
      </c>
      <c r="V698" s="263" t="s">
        <v>4348</v>
      </c>
    </row>
    <row r="699" spans="2:22">
      <c r="B699" t="str">
        <f>""</f>
        <v/>
      </c>
      <c r="C699" s="255" t="s">
        <v>4388</v>
      </c>
      <c r="E699" t="str">
        <f>""</f>
        <v/>
      </c>
      <c r="F699" s="263" t="s">
        <v>4318</v>
      </c>
      <c r="H699" t="str">
        <f>""</f>
        <v/>
      </c>
      <c r="I699" s="263" t="s">
        <v>4318</v>
      </c>
      <c r="L699" t="str">
        <f>""</f>
        <v/>
      </c>
      <c r="M699" s="263" t="s">
        <v>4318</v>
      </c>
      <c r="U699" s="103" t="str">
        <f>""</f>
        <v/>
      </c>
      <c r="V699" s="263" t="s">
        <v>4447</v>
      </c>
    </row>
    <row r="700" spans="2:22">
      <c r="B700" t="str">
        <f>""</f>
        <v/>
      </c>
      <c r="C700" s="255" t="s">
        <v>4383</v>
      </c>
      <c r="E700" t="str">
        <f>""</f>
        <v/>
      </c>
      <c r="F700" s="263" t="s">
        <v>4317</v>
      </c>
      <c r="H700" t="str">
        <f>""</f>
        <v/>
      </c>
      <c r="I700" s="263" t="s">
        <v>4317</v>
      </c>
      <c r="L700" t="str">
        <f>""</f>
        <v/>
      </c>
      <c r="M700" s="263" t="s">
        <v>4317</v>
      </c>
      <c r="U700" s="103" t="str">
        <f>""</f>
        <v/>
      </c>
      <c r="V700" s="263" t="s">
        <v>4448</v>
      </c>
    </row>
    <row r="701" spans="2:22">
      <c r="B701" t="str">
        <f>""</f>
        <v/>
      </c>
      <c r="C701" s="255" t="s">
        <v>4384</v>
      </c>
      <c r="E701" t="str">
        <f>""</f>
        <v/>
      </c>
      <c r="F701" s="263" t="s">
        <v>4316</v>
      </c>
      <c r="H701" t="str">
        <f>""</f>
        <v/>
      </c>
      <c r="I701" s="263" t="s">
        <v>4317</v>
      </c>
      <c r="L701" t="str">
        <f>""</f>
        <v/>
      </c>
      <c r="M701" s="263" t="s">
        <v>4317</v>
      </c>
      <c r="U701" s="103" t="str">
        <f>""</f>
        <v/>
      </c>
      <c r="V701" s="263" t="s">
        <v>4315</v>
      </c>
    </row>
    <row r="702" spans="2:22">
      <c r="B702" t="str">
        <f>""</f>
        <v/>
      </c>
      <c r="C702" s="255" t="s">
        <v>4385</v>
      </c>
      <c r="E702" t="str">
        <f>""</f>
        <v/>
      </c>
      <c r="F702" s="263" t="s">
        <v>4315</v>
      </c>
      <c r="H702" t="str">
        <f>""</f>
        <v/>
      </c>
      <c r="I702" s="263" t="s">
        <v>4319</v>
      </c>
      <c r="L702" t="str">
        <f>""</f>
        <v/>
      </c>
      <c r="M702" s="263" t="s">
        <v>4319</v>
      </c>
      <c r="U702" s="103" t="str">
        <f>""</f>
        <v/>
      </c>
      <c r="V702" s="263" t="str">
        <f>CONCATENATE(CHAR(34),"uplinkVlan",CHAR(34),": ",CHAR(34), wld_az1_first_edge_rack_uplink01_vlan_output,CHAR(34),",")</f>
        <v>"uplinkVlan": "Value Missing",</v>
      </c>
    </row>
    <row r="703" spans="2:22">
      <c r="B703" t="str">
        <f>""</f>
        <v/>
      </c>
      <c r="C703" s="255" t="s">
        <v>4386</v>
      </c>
      <c r="E703" t="str">
        <f>""</f>
        <v/>
      </c>
      <c r="F703" s="263" t="s">
        <v>4340</v>
      </c>
      <c r="H703" t="str">
        <f>""</f>
        <v/>
      </c>
      <c r="I703" s="263" t="s">
        <v>4376</v>
      </c>
      <c r="L703" t="str">
        <f>""</f>
        <v/>
      </c>
      <c r="M703" s="263" t="s">
        <v>4376</v>
      </c>
      <c r="U703" s="103" t="str">
        <f>""</f>
        <v/>
      </c>
      <c r="V703" s="263" t="str">
        <f>CONCATENATE(CHAR(34),"uplinkInterfaceIP",CHAR(34),": ",CHAR(34), wld_az1_first_edge_rack_en02_uplink01_interface_cidr_output,CHAR(34),",")</f>
        <v>"uplinkInterfaceIP": "Value Missing",</v>
      </c>
    </row>
    <row r="704" spans="2:22">
      <c r="B704" t="str">
        <f>""</f>
        <v/>
      </c>
      <c r="C704" s="255" t="s">
        <v>4320</v>
      </c>
      <c r="E704" t="str">
        <f>""</f>
        <v/>
      </c>
      <c r="F704" s="263" t="str">
        <f>CONCATENATE(CHAR(34),"licenseKey",CHAR(34),": ",CHAR(34), esx_std_license,CHAR(34),",")</f>
        <v>"licenseKey": "Value Missing",</v>
      </c>
      <c r="H704" t="str">
        <f>""</f>
        <v/>
      </c>
      <c r="I704" s="263" t="s">
        <v>4377</v>
      </c>
      <c r="L704" t="str">
        <f>""</f>
        <v/>
      </c>
      <c r="M704" s="263" t="s">
        <v>4377</v>
      </c>
      <c r="U704" s="103" t="str">
        <f>""</f>
        <v/>
      </c>
      <c r="V704" s="263" t="s">
        <v>4449</v>
      </c>
    </row>
    <row r="705" spans="2:22">
      <c r="B705" t="str">
        <f>""</f>
        <v/>
      </c>
      <c r="C705" s="255" t="s">
        <v>4318</v>
      </c>
      <c r="E705" t="str">
        <f>""</f>
        <v/>
      </c>
      <c r="F705" s="263" t="e">
        <f ca="1">CONCATENATE(CHAR(34),"hostname",CHAR(34),": ",CHAR(34), wld_az1_fourth_compute_rack_host_01_output,CHAR(34),",")</f>
        <v>#VALUE!</v>
      </c>
      <c r="H705" t="str">
        <f>""</f>
        <v/>
      </c>
      <c r="I705" s="263" t="str">
        <f>CONCATENATE(CHAR(34),"licenseKey",CHAR(34),": ",CHAR(34), vsan_license,CHAR(34),",")</f>
        <v>"licenseKey": "Value Missing",</v>
      </c>
      <c r="L705" t="str">
        <f>""</f>
        <v/>
      </c>
      <c r="M705" s="263" t="str">
        <f>CONCATENATE(CHAR(34),"licenseKey",CHAR(34),": ",CHAR(34), vsan_license,CHAR(34),",")</f>
        <v>"licenseKey": "Value Missing",</v>
      </c>
      <c r="U705" s="103" t="str">
        <f>""</f>
        <v/>
      </c>
      <c r="V705" s="263" t="s">
        <v>4315</v>
      </c>
    </row>
    <row r="706" spans="2:22">
      <c r="B706" t="str">
        <f>""</f>
        <v/>
      </c>
      <c r="C706" s="255" t="s">
        <v>4317</v>
      </c>
      <c r="E706" t="str">
        <f>""</f>
        <v/>
      </c>
      <c r="F706" s="263" t="s">
        <v>4370</v>
      </c>
      <c r="H706" t="str">
        <f>""</f>
        <v/>
      </c>
      <c r="I706" s="263" t="str">
        <f>CONCATENATE(CHAR(34),"datastoreName",CHAR(34),": ",CHAR(34), wld_cl01_vsan_datastore,CHAR(34),",")</f>
        <v>"datastoreName": "Value Missing",</v>
      </c>
      <c r="L706" t="str">
        <f>""</f>
        <v/>
      </c>
      <c r="M706" s="263" t="str">
        <f>CONCATENATE(CHAR(34),"datastoreName",CHAR(34),": ",CHAR(34), wld_cl01_vsan_datastore,CHAR(34),",")</f>
        <v>"datastoreName": "Value Missing",</v>
      </c>
      <c r="U706" s="103" t="str">
        <f>""</f>
        <v/>
      </c>
      <c r="V706" s="263" t="str">
        <f>CONCATENATE(CHAR(34),"ip",CHAR(34),": ",CHAR(34), wld_az1_first_edge_rack_tor1_peer_cidr_output,CHAR(34),",")</f>
        <v>"ip": "Value Missing",</v>
      </c>
    </row>
    <row r="707" spans="2:22">
      <c r="B707" t="str">
        <f>""</f>
        <v/>
      </c>
      <c r="C707" s="255" t="s">
        <v>4319</v>
      </c>
      <c r="E707" t="str">
        <f>""</f>
        <v/>
      </c>
      <c r="F707" s="263" t="e">
        <f ca="1">CONCATENATE(CHAR(34),"networkProfileName",CHAR(34),": ",CHAR(34), wld_az1_fourth_compute_rack_overlay_network_profile_name_output,CHAR(34),",")</f>
        <v>#N/A</v>
      </c>
      <c r="H707" t="str">
        <f>""</f>
        <v/>
      </c>
      <c r="I707" s="263" t="s">
        <v>4378</v>
      </c>
      <c r="L707" t="str">
        <f>""</f>
        <v/>
      </c>
      <c r="M707" s="263" t="s">
        <v>4378</v>
      </c>
      <c r="U707" s="103" t="str">
        <f>""</f>
        <v/>
      </c>
      <c r="V707" s="263" t="str">
        <f>CONCATENATE(CHAR(34),"asn",CHAR(34),": ", wld_az1_first_edge_rack_tor1_peer_asn_output,",")</f>
        <v>"asn": Value Missing,</v>
      </c>
    </row>
    <row r="708" spans="2:22">
      <c r="B708" t="str">
        <f>""</f>
        <v/>
      </c>
      <c r="C708" s="255" t="s">
        <v>4389</v>
      </c>
      <c r="E708" t="str">
        <f>""</f>
        <v/>
      </c>
      <c r="F708" s="255" t="s">
        <v>4371</v>
      </c>
      <c r="H708" t="str">
        <f>""</f>
        <v/>
      </c>
      <c r="I708" s="263" t="str">
        <f>IF(wld_principal_storage_chosen="vSAN-ESA",CONCATENATE(CHAR(34),"enabled",CHAR(34),":", CHAR(34),"true",CHAR(34)),CONCATENATE(CHAR(34),"enabled",CHAR(34),":", CHAR(34),"false",CHAR(34)))</f>
        <v>"enabled":"true"</v>
      </c>
      <c r="L708" t="str">
        <f>""</f>
        <v/>
      </c>
      <c r="M708" s="263" t="str">
        <f>IF(wld_principal_storage_chosen="vSAN-ESA",CONCATENATE(CHAR(34),"enabled",CHAR(34),":", CHAR(34),"true",CHAR(34)),CONCATENATE(CHAR(34),"enabled",CHAR(34),":", CHAR(34),"false",CHAR(34)))</f>
        <v>"enabled":"true"</v>
      </c>
      <c r="U708" s="103" t="str">
        <f>""</f>
        <v/>
      </c>
      <c r="V708" s="263" t="str">
        <f>CONCATENATE(CHAR(34),"password",CHAR(34),": ",CHAR(34), wld_az1_first_edge_rack_tor1_peer_bgp_password_output,CHAR(34))</f>
        <v>"password": "Value Missing"</v>
      </c>
    </row>
    <row r="709" spans="2:22">
      <c r="B709" t="str">
        <f>""</f>
        <v/>
      </c>
      <c r="C709" s="255" t="s">
        <v>4390</v>
      </c>
      <c r="E709" t="str">
        <f>""</f>
        <v/>
      </c>
      <c r="F709" s="255" t="s">
        <v>4315</v>
      </c>
      <c r="H709" t="str">
        <f>""</f>
        <v/>
      </c>
      <c r="I709" s="263" t="s">
        <v>4317</v>
      </c>
      <c r="L709" t="str">
        <f>""</f>
        <v/>
      </c>
      <c r="M709" s="263" t="s">
        <v>4317</v>
      </c>
      <c r="U709" s="103" t="str">
        <f>""</f>
        <v/>
      </c>
      <c r="V709" s="263" t="s">
        <v>4317</v>
      </c>
    </row>
    <row r="710" spans="2:22">
      <c r="B710" t="str">
        <f>""</f>
        <v/>
      </c>
      <c r="C710" s="255" t="s">
        <v>4391</v>
      </c>
      <c r="E710" t="str">
        <f>""</f>
        <v/>
      </c>
      <c r="F710" s="255" t="s">
        <v>4372</v>
      </c>
      <c r="H710" t="str">
        <f>""</f>
        <v/>
      </c>
      <c r="I710" s="263" t="s">
        <v>4317</v>
      </c>
      <c r="L710" t="str">
        <f>""</f>
        <v/>
      </c>
      <c r="M710" s="263" t="s">
        <v>4317</v>
      </c>
      <c r="U710" s="103" t="str">
        <f>""</f>
        <v/>
      </c>
      <c r="V710" s="263" t="s">
        <v>4318</v>
      </c>
    </row>
    <row r="711" spans="2:22">
      <c r="B711" t="str">
        <f>""</f>
        <v/>
      </c>
      <c r="C711" s="255" t="s">
        <v>4315</v>
      </c>
      <c r="E711" t="str">
        <f>""</f>
        <v/>
      </c>
      <c r="F711" s="255" t="str">
        <f>CONCATENATE(CHAR(34),"vdsName",CHAR(34),": ",CHAR(34), wld_cl01_vds_name,CHAR(34),",")</f>
        <v>"vdsName": "Value Missing",</v>
      </c>
      <c r="H711" t="str">
        <f>""</f>
        <v/>
      </c>
      <c r="I711" s="263" t="s">
        <v>4316</v>
      </c>
      <c r="L711" t="str">
        <f>""</f>
        <v/>
      </c>
      <c r="M711" s="263" t="s">
        <v>4316</v>
      </c>
      <c r="U711" s="103" t="str">
        <f>""</f>
        <v/>
      </c>
      <c r="V711" s="263" t="s">
        <v>4316</v>
      </c>
    </row>
    <row r="712" spans="2:22">
      <c r="B712" t="str">
        <f>""</f>
        <v/>
      </c>
      <c r="C712" s="255" t="str">
        <f>CONCATENATE(CHAR(34),"name",CHAR(34),": ",CHAR(34), wld_sddc_domain,"-vlan-tz",CHAR(34),",")</f>
        <v>"name": "Value Missing-vlan-tz",</v>
      </c>
      <c r="E712" t="str">
        <f>""</f>
        <v/>
      </c>
      <c r="F712" s="255" t="s">
        <v>4373</v>
      </c>
      <c r="H712" t="str">
        <f>""</f>
        <v/>
      </c>
      <c r="I712" s="263" t="s">
        <v>4379</v>
      </c>
      <c r="L712" t="str">
        <f>""</f>
        <v/>
      </c>
      <c r="M712" s="263" t="s">
        <v>4379</v>
      </c>
      <c r="U712" s="103" t="str">
        <f>""</f>
        <v/>
      </c>
      <c r="V712" s="263" t="s">
        <v>4315</v>
      </c>
    </row>
    <row r="713" spans="2:22">
      <c r="B713" t="str">
        <f>""</f>
        <v/>
      </c>
      <c r="C713" s="255" t="s">
        <v>4392</v>
      </c>
      <c r="E713" t="str">
        <f>""</f>
        <v/>
      </c>
      <c r="F713" s="255" t="s">
        <v>4316</v>
      </c>
      <c r="H713" t="str">
        <f>""</f>
        <v/>
      </c>
      <c r="I713" s="263" t="s">
        <v>4380</v>
      </c>
      <c r="L713" t="str">
        <f>""</f>
        <v/>
      </c>
      <c r="M713" s="263" t="s">
        <v>4380</v>
      </c>
      <c r="U713" s="103" t="str">
        <f>""</f>
        <v/>
      </c>
      <c r="V713" s="263" t="str">
        <f>CONCATENATE(CHAR(34),"uplinkVlan",CHAR(34),": ",CHAR(34), wld_az1_first_edge_rack_uplink02_vlan_output,CHAR(34),",")</f>
        <v>"uplinkVlan": "Value Missing",</v>
      </c>
    </row>
    <row r="714" spans="2:22">
      <c r="B714" t="str">
        <f>""</f>
        <v/>
      </c>
      <c r="C714" s="255" t="s">
        <v>4316</v>
      </c>
      <c r="E714" t="str">
        <f>""</f>
        <v/>
      </c>
      <c r="F714" s="255" t="s">
        <v>4315</v>
      </c>
      <c r="H714" t="str">
        <f>""</f>
        <v/>
      </c>
      <c r="I714" s="263" t="s">
        <v>4315</v>
      </c>
      <c r="L714" t="str">
        <f>""</f>
        <v/>
      </c>
      <c r="M714" s="263" t="s">
        <v>4315</v>
      </c>
      <c r="U714" s="103" t="str">
        <f>""</f>
        <v/>
      </c>
      <c r="V714" s="263" t="str">
        <f>CONCATENATE(CHAR(34),"uplinkInterfaceIP",CHAR(34),": ",CHAR(34), wld_az1_first_edge_rack_en02_uplink02_interface_cidr_output,CHAR(34),",")</f>
        <v>"uplinkInterfaceIP": "Value Missing",</v>
      </c>
    </row>
    <row r="715" spans="2:22">
      <c r="B715" t="str">
        <f>""</f>
        <v/>
      </c>
      <c r="C715" s="255" t="s">
        <v>4315</v>
      </c>
      <c r="E715" t="str">
        <f>""</f>
        <v/>
      </c>
      <c r="F715" s="255" t="s">
        <v>4374</v>
      </c>
      <c r="H715" t="str">
        <f>""</f>
        <v/>
      </c>
      <c r="I715" s="263" t="str">
        <f>CONCATENATE(CHAR(34),"name",CHAR(34),": ",CHAR(34), wld_cl01_vds_name,CHAR(34),",")</f>
        <v>"name": "Value Missing",</v>
      </c>
      <c r="L715" t="str">
        <f>""</f>
        <v/>
      </c>
      <c r="M715" s="263" t="str">
        <f>CONCATENATE(CHAR(34),"name",CHAR(34),": ",CHAR(34), wld_cl01_vds_name,CHAR(34),",")</f>
        <v>"name": "Value Missing",</v>
      </c>
      <c r="U715" s="103" t="str">
        <f>""</f>
        <v/>
      </c>
      <c r="V715" s="263" t="str">
        <f>CONCATENATE(CHAR(34),"bgpPeers",(CHAR(34)),": [")</f>
        <v>"bgpPeers": [</v>
      </c>
    </row>
    <row r="716" spans="2:22">
      <c r="B716" t="str">
        <f>""</f>
        <v/>
      </c>
      <c r="C716" s="255" t="str">
        <f>CONCATENATE(CHAR(34),"name",CHAR(34),": ",CHAR(34), wld_sddc_domain,"-overlay-tz",CHAR(34),",")</f>
        <v>"name": "Value Missing-overlay-tz",</v>
      </c>
      <c r="E716" t="str">
        <f>""</f>
        <v/>
      </c>
      <c r="F716" s="255" t="str">
        <f>CONCATENATE(CHAR(34),"vdsName",CHAR(34),": ",CHAR(34), wld_cl01_vds_name,CHAR(34),",")</f>
        <v>"vdsName": "Value Missing",</v>
      </c>
      <c r="H716" t="str">
        <f>""</f>
        <v/>
      </c>
      <c r="I716" s="263" t="str">
        <f>CONCATENATE(CHAR(34),"mtu",CHAR(34),": ",CHAR(34), wld_cl01_vds01_mtu,CHAR(34),",")</f>
        <v>"mtu": "Value Missing",</v>
      </c>
      <c r="L716" t="str">
        <f>""</f>
        <v/>
      </c>
      <c r="M716" s="263" t="str">
        <f>CONCATENATE(CHAR(34),"mtu",CHAR(34),": ",CHAR(34), wld_cl01_vds01_mtu,CHAR(34),",")</f>
        <v>"mtu": "Value Missing",</v>
      </c>
      <c r="U716" s="103" t="str">
        <f>""</f>
        <v/>
      </c>
      <c r="V716" s="263" t="s">
        <v>4315</v>
      </c>
    </row>
    <row r="717" spans="2:22">
      <c r="B717" t="str">
        <f>""</f>
        <v/>
      </c>
      <c r="C717" s="255" t="s">
        <v>4393</v>
      </c>
      <c r="E717" t="str">
        <f>""</f>
        <v/>
      </c>
      <c r="F717" s="263" t="s">
        <v>4375</v>
      </c>
      <c r="H717" t="str">
        <f>""</f>
        <v/>
      </c>
      <c r="I717" s="263" t="s">
        <v>4381</v>
      </c>
      <c r="L717" t="str">
        <f>""</f>
        <v/>
      </c>
      <c r="M717" s="263" t="s">
        <v>4381</v>
      </c>
      <c r="U717" s="103" t="str">
        <f>""</f>
        <v/>
      </c>
      <c r="V717" s="263" t="str">
        <f>CONCATENATE(CHAR(34),"ip",CHAR(34),": ",CHAR(34), wld_az1_first_edge_rack_tor2_peer_cidr_output,CHAR(34),",")</f>
        <v>"ip": "Value Missing",</v>
      </c>
    </row>
    <row r="718" spans="2:22">
      <c r="B718" t="str">
        <f>""</f>
        <v/>
      </c>
      <c r="C718" s="255" t="s">
        <v>4317</v>
      </c>
      <c r="E718" t="str">
        <f>""</f>
        <v/>
      </c>
      <c r="F718" s="263" t="s">
        <v>4316</v>
      </c>
      <c r="H718" t="str">
        <f>""</f>
        <v/>
      </c>
      <c r="I718" s="263" t="s">
        <v>4315</v>
      </c>
      <c r="L718" t="str">
        <f>""</f>
        <v/>
      </c>
      <c r="M718" s="263" t="s">
        <v>4315</v>
      </c>
      <c r="U718" s="103" t="str">
        <f>""</f>
        <v/>
      </c>
      <c r="V718" s="263" t="str">
        <f>CONCATENATE(CHAR(34),"asn",CHAR(34),": ", wld_az1_first_edge_rack_tor2_peer_asn_output,",")</f>
        <v>"asn": Value Missing,</v>
      </c>
    </row>
    <row r="719" spans="2:22">
      <c r="B719" t="str">
        <f>""</f>
        <v/>
      </c>
      <c r="C719" s="255" t="s">
        <v>4318</v>
      </c>
      <c r="E719" t="str">
        <f>""</f>
        <v/>
      </c>
      <c r="F719" s="263" t="s">
        <v>4315</v>
      </c>
      <c r="H719" t="str">
        <f>""</f>
        <v/>
      </c>
      <c r="I719" s="263" t="str">
        <f>CONCATENATE(CHAR(34),"name",CHAR(34),": ",CHAR(34), wld_cl01_az1_mgmt_pg,CHAR(34),",")</f>
        <v>"name": "Value Missing",</v>
      </c>
      <c r="L719" t="str">
        <f>""</f>
        <v/>
      </c>
      <c r="M719" s="263" t="str">
        <f>CONCATENATE(CHAR(34),"name",CHAR(34),": ",CHAR(34), wld_cl01_az1_mgmt_pg,CHAR(34),",")</f>
        <v>"name": "Value Missing",</v>
      </c>
      <c r="U719" s="103" t="str">
        <f>""</f>
        <v/>
      </c>
      <c r="V719" s="263" t="str">
        <f>CONCATENATE(CHAR(34),"password",CHAR(34),": ",CHAR(34), wld_az1_first_edge_rack_tor2_peer_bgp_password_output,CHAR(34))</f>
        <v>"password": "Value Missing"</v>
      </c>
    </row>
    <row r="720" spans="2:22">
      <c r="B720" t="str">
        <f>""</f>
        <v/>
      </c>
      <c r="C720" s="255" t="s">
        <v>4317</v>
      </c>
      <c r="E720" t="str">
        <f>""</f>
        <v/>
      </c>
      <c r="F720" s="263" t="s">
        <v>4505</v>
      </c>
      <c r="H720" t="str">
        <f>""</f>
        <v/>
      </c>
      <c r="I720" s="263" t="s">
        <v>4382</v>
      </c>
      <c r="L720" t="str">
        <f>""</f>
        <v/>
      </c>
      <c r="M720" s="263" t="s">
        <v>4382</v>
      </c>
      <c r="U720" s="103" t="str">
        <f>""</f>
        <v/>
      </c>
      <c r="V720" s="263" t="s">
        <v>4317</v>
      </c>
    </row>
    <row r="721" spans="2:22">
      <c r="B721" t="str">
        <f>""</f>
        <v/>
      </c>
      <c r="C721" s="255" t="s">
        <v>4317</v>
      </c>
      <c r="E721" t="str">
        <f>""</f>
        <v/>
      </c>
      <c r="F721" s="263" t="str">
        <f>CONCATENATE(CHAR(34),"vdsName",CHAR(34),": ",CHAR(34), wld_cl01_vds02_name,CHAR(34),",")</f>
        <v>"vdsName": "Value Missing",</v>
      </c>
      <c r="H721" t="str">
        <f>""</f>
        <v/>
      </c>
      <c r="I721" s="263" t="s">
        <v>4383</v>
      </c>
      <c r="L721" t="str">
        <f>""</f>
        <v/>
      </c>
      <c r="M721" s="263" t="s">
        <v>4383</v>
      </c>
      <c r="U721" s="103" t="str">
        <f>""</f>
        <v/>
      </c>
      <c r="V721" s="263" t="s">
        <v>4318</v>
      </c>
    </row>
    <row r="722" spans="2:22">
      <c r="B722" t="str">
        <f>""</f>
        <v/>
      </c>
      <c r="C722" s="255" t="s">
        <v>4319</v>
      </c>
      <c r="E722" t="str">
        <f>""</f>
        <v/>
      </c>
      <c r="F722" s="263" t="s">
        <v>4373</v>
      </c>
      <c r="H722" t="str">
        <f>""</f>
        <v/>
      </c>
      <c r="I722" s="263" t="s">
        <v>4384</v>
      </c>
      <c r="L722" t="str">
        <f>""</f>
        <v/>
      </c>
      <c r="M722" s="263" t="s">
        <v>4384</v>
      </c>
      <c r="U722" s="103" t="str">
        <f>""</f>
        <v/>
      </c>
      <c r="V722" s="263" t="s">
        <v>4317</v>
      </c>
    </row>
    <row r="723" spans="2:22">
      <c r="B723" t="str">
        <f>""</f>
        <v/>
      </c>
      <c r="C723" s="255" t="s">
        <v>4394</v>
      </c>
      <c r="E723" t="str">
        <f>""</f>
        <v/>
      </c>
      <c r="F723" s="263" t="s">
        <v>4316</v>
      </c>
      <c r="H723" t="str">
        <f>""</f>
        <v/>
      </c>
      <c r="I723" s="263" t="s">
        <v>4385</v>
      </c>
      <c r="L723" t="str">
        <f>""</f>
        <v/>
      </c>
      <c r="M723" s="263" t="s">
        <v>4385</v>
      </c>
      <c r="U723" s="103" t="str">
        <f>""</f>
        <v/>
      </c>
      <c r="V723" s="263" t="s">
        <v>4319</v>
      </c>
    </row>
    <row r="724" spans="2:22">
      <c r="B724" t="str">
        <f>""</f>
        <v/>
      </c>
      <c r="C724" s="255" t="s">
        <v>4315</v>
      </c>
      <c r="E724" t="str">
        <f>""</f>
        <v/>
      </c>
      <c r="F724" s="263" t="s">
        <v>4315</v>
      </c>
      <c r="H724" t="str">
        <f>""</f>
        <v/>
      </c>
      <c r="I724" s="263" t="s">
        <v>4386</v>
      </c>
      <c r="L724" t="str">
        <f>""</f>
        <v/>
      </c>
      <c r="M724" s="263" t="s">
        <v>4386</v>
      </c>
      <c r="U724" s="103" t="str">
        <f>""</f>
        <v/>
      </c>
      <c r="V724" s="263" t="str">
        <f>CONCATENATE(CHAR(34),"vmManagementPortgroupName",CHAR(34),": ",CHAR(34), wld_cl02_az1_mgmt_vm_pg,CHAR(34),",")</f>
        <v>"vmManagementPortgroupName": "Value Missing",</v>
      </c>
    </row>
    <row r="725" spans="2:22">
      <c r="B725" t="str">
        <f>""</f>
        <v/>
      </c>
      <c r="C725" s="255" t="s">
        <v>4395</v>
      </c>
      <c r="E725" t="str">
        <f>""</f>
        <v/>
      </c>
      <c r="F725" s="263" t="s">
        <v>4506</v>
      </c>
      <c r="H725" t="str">
        <f>""</f>
        <v/>
      </c>
      <c r="I725" s="263" t="s">
        <v>4320</v>
      </c>
      <c r="L725" t="str">
        <f>""</f>
        <v/>
      </c>
      <c r="M725" s="263" t="s">
        <v>4320</v>
      </c>
      <c r="U725" s="103" t="str">
        <f>""</f>
        <v/>
      </c>
      <c r="V725" s="263" t="str">
        <f>CONCATENATE(CHAR(34),"vmManagementPortgroupVlan",CHAR(34),": ",CHAR(34), wld_az1_first_edge_rack_mgmt_vm_vlan_output,CHAR(34))</f>
        <v>"vmManagementPortgroupVlan": "Value Missing"</v>
      </c>
    </row>
    <row r="726" spans="2:22">
      <c r="B726" t="str">
        <f>""</f>
        <v/>
      </c>
      <c r="C726" s="255" t="str">
        <f>CONCATENATE(CHAR(34),"name",CHAR(34),": ",CHAR(34),wld_az1_first_compute_rack_overlay_network_profile_name_output,CHAR(34),",")</f>
        <v>"name": "0",</v>
      </c>
      <c r="E726" t="str">
        <f>""</f>
        <v/>
      </c>
      <c r="F726" s="263" t="str">
        <f>CONCATENATE(CHAR(34),"vdsName",CHAR(34),": ",CHAR(34), wld_cl01_vds02_name,CHAR(34),",")</f>
        <v>"vdsName": "Value Missing",</v>
      </c>
      <c r="H726" t="str">
        <f>""</f>
        <v/>
      </c>
      <c r="I726" s="263" t="s">
        <v>4318</v>
      </c>
      <c r="L726" t="str">
        <f>""</f>
        <v/>
      </c>
      <c r="M726" s="263" t="s">
        <v>4318</v>
      </c>
      <c r="U726" s="103" t="str">
        <f>""</f>
        <v/>
      </c>
      <c r="V726" s="263" t="s">
        <v>4316</v>
      </c>
    </row>
    <row r="727" spans="2:22">
      <c r="B727" t="str">
        <f>""</f>
        <v/>
      </c>
      <c r="C727" s="255" t="s">
        <v>4396</v>
      </c>
      <c r="E727" t="str">
        <f>""</f>
        <v/>
      </c>
      <c r="F727" s="263" t="s">
        <v>4375</v>
      </c>
      <c r="H727" t="str">
        <f>""</f>
        <v/>
      </c>
      <c r="I727" s="263" t="s">
        <v>4316</v>
      </c>
      <c r="L727" t="str">
        <f>""</f>
        <v/>
      </c>
      <c r="M727" s="263" t="s">
        <v>4316</v>
      </c>
      <c r="U727" s="103" t="str">
        <f>""</f>
        <v/>
      </c>
      <c r="V727" s="263" t="s">
        <v>4315</v>
      </c>
    </row>
    <row r="728" spans="2:22">
      <c r="B728" t="str">
        <f>""</f>
        <v/>
      </c>
      <c r="C728" s="255" t="s">
        <v>4315</v>
      </c>
      <c r="E728" t="str">
        <f>""</f>
        <v/>
      </c>
      <c r="F728" s="263" t="s">
        <v>4316</v>
      </c>
      <c r="H728" t="str">
        <f>""</f>
        <v/>
      </c>
      <c r="I728" s="263" t="s">
        <v>4315</v>
      </c>
      <c r="L728" t="str">
        <f>""</f>
        <v/>
      </c>
      <c r="M728" s="263" t="s">
        <v>4315</v>
      </c>
      <c r="U728" s="103" t="str">
        <f>""</f>
        <v/>
      </c>
      <c r="V728" s="263" t="str">
        <f>CONCATENATE(CHAR(34),"edgeNodeName",CHAR(34),": ",CHAR(34), wld_az1_second_edge_rack_en02_fqdn_output,CHAR(34),",")</f>
        <v>"edgeNodeName": "Value Missing.Value Missing",</v>
      </c>
    </row>
    <row r="729" spans="2:22">
      <c r="B729" t="str">
        <f>""</f>
        <v/>
      </c>
      <c r="C729" s="255" t="str">
        <f>CONCATENATE(CHAR(34),"ipAddressPoolName",CHAR(34),": ",CHAR(34), wld_az1_first_compute_rack_overlay_network_pool_name_output,CHAR(34),",")</f>
        <v>"ipAddressPoolName": "0",</v>
      </c>
      <c r="E729" t="str">
        <f>""</f>
        <v/>
      </c>
      <c r="F729" s="263" t="s">
        <v>4315</v>
      </c>
      <c r="H729" t="str">
        <f>""</f>
        <v/>
      </c>
      <c r="I729" s="263" t="str">
        <f>CONCATENATE(CHAR(34),"name",CHAR(34),": ",CHAR(34), wld_cl01_az1_vmotion_pg,CHAR(34),",")</f>
        <v>"name": "Value Missing",</v>
      </c>
      <c r="L729" t="str">
        <f>""</f>
        <v/>
      </c>
      <c r="M729" s="263" t="str">
        <f>CONCATENATE(CHAR(34),"name",CHAR(34),": ",CHAR(34), wld_cl01_az1_vmotion_pg,CHAR(34),",")</f>
        <v>"name": "Value Missing",</v>
      </c>
      <c r="U729" s="103" t="str">
        <f>""</f>
        <v/>
      </c>
      <c r="V729" s="263" t="str">
        <f>CONCATENATE(CHAR(34),"managementIP",CHAR(34),": ",CHAR(34), wld_az1_second_edge_rack_mgmt_en02_vm_cidr_output,CHAR(34),",")</f>
        <v>"managementIP": "Value Missing",</v>
      </c>
    </row>
    <row r="730" spans="2:22">
      <c r="B730" t="str">
        <f>""</f>
        <v/>
      </c>
      <c r="C730" s="255" t="str">
        <f>CONCATENATE(CHAR(34),"uplinkProfileName",CHAR(34),": ",CHAR(34), wld_az1_first_compute_rack_host_overlay_uplink_profile_name_output,CHAR(34),",")</f>
        <v>"uplinkProfileName": "0",</v>
      </c>
      <c r="E730" t="str">
        <f>""</f>
        <v/>
      </c>
      <c r="F730" s="263" t="s">
        <v>4507</v>
      </c>
      <c r="H730" t="str">
        <f>""</f>
        <v/>
      </c>
      <c r="I730" s="263" t="s">
        <v>4387</v>
      </c>
      <c r="L730" t="str">
        <f>""</f>
        <v/>
      </c>
      <c r="M730" s="263" t="s">
        <v>4387</v>
      </c>
      <c r="U730" s="103" t="str">
        <f>""</f>
        <v/>
      </c>
      <c r="V730" s="263" t="str">
        <f>CONCATENATE(CHAR(34),"managementGateway",CHAR(34),": ",CHAR(34), wld_az1_second_edge_rack_mgmt_vm_gateway_ip_output,CHAR(34),",")</f>
        <v>"managementGateway": "Value Missing",</v>
      </c>
    </row>
    <row r="731" spans="2:22">
      <c r="B731" t="str">
        <f>""</f>
        <v/>
      </c>
      <c r="C731" s="255" t="str">
        <f>CONCATENATE(CHAR(34),"vdsName",CHAR(34),": ",CHAR(34), wld_cl01_vds_name,CHAR(34),",")</f>
        <v>"vdsName": "Value Missing",</v>
      </c>
      <c r="E731" t="str">
        <f>""</f>
        <v/>
      </c>
      <c r="F731" s="263" t="str">
        <f>CONCATENATE(CHAR(34),"vdsName",CHAR(34),": ",CHAR(34), wld_cl01_vds03_name,CHAR(34),",")</f>
        <v>"vdsName": "Value Missing",</v>
      </c>
      <c r="H731" t="str">
        <f>""</f>
        <v/>
      </c>
      <c r="I731" s="263" t="s">
        <v>4383</v>
      </c>
      <c r="L731" t="str">
        <f>""</f>
        <v/>
      </c>
      <c r="M731" s="263" t="s">
        <v>4383</v>
      </c>
      <c r="U731" s="103" t="str">
        <f>""</f>
        <v/>
      </c>
      <c r="V731" s="263" t="s">
        <v>4446</v>
      </c>
    </row>
    <row r="732" spans="2:22">
      <c r="B732" t="str">
        <f>""</f>
        <v/>
      </c>
      <c r="C732" s="255" t="s">
        <v>4397</v>
      </c>
      <c r="E732" t="str">
        <f>""</f>
        <v/>
      </c>
      <c r="F732" s="263" t="s">
        <v>4373</v>
      </c>
      <c r="H732" t="str">
        <f>""</f>
        <v/>
      </c>
      <c r="I732" s="263" t="s">
        <v>4384</v>
      </c>
      <c r="L732" t="str">
        <f>""</f>
        <v/>
      </c>
      <c r="M732" s="263" t="s">
        <v>4384</v>
      </c>
      <c r="U732" s="103" t="str">
        <f>""</f>
        <v/>
      </c>
      <c r="V732" s="263" t="str">
        <f>CONCATENATE(CHAR(34),"name",CHAR(34),": ",CHAR(34), wld_az1_second_edge_rack_edge_overlay_network_pool_name_output,CHAR(34))</f>
        <v>"name": "Value Missing"</v>
      </c>
    </row>
    <row r="733" spans="2:22">
      <c r="B733" t="str">
        <f>""</f>
        <v/>
      </c>
      <c r="C733" s="255" t="s">
        <v>4315</v>
      </c>
      <c r="E733" t="str">
        <f>""</f>
        <v/>
      </c>
      <c r="F733" s="263" t="s">
        <v>4316</v>
      </c>
      <c r="H733" t="str">
        <f>""</f>
        <v/>
      </c>
      <c r="I733" s="263" t="s">
        <v>4385</v>
      </c>
      <c r="L733" t="str">
        <f>""</f>
        <v/>
      </c>
      <c r="M733" s="263" t="s">
        <v>4385</v>
      </c>
      <c r="U733" s="103" t="str">
        <f>""</f>
        <v/>
      </c>
      <c r="V733" s="263" t="s">
        <v>4316</v>
      </c>
    </row>
    <row r="734" spans="2:22">
      <c r="B734" t="str">
        <f>""</f>
        <v/>
      </c>
      <c r="C734" s="255" t="s">
        <v>4398</v>
      </c>
      <c r="E734" t="str">
        <f>""</f>
        <v/>
      </c>
      <c r="F734" s="263" t="s">
        <v>4315</v>
      </c>
      <c r="H734" t="str">
        <f>""</f>
        <v/>
      </c>
      <c r="I734" s="263" t="s">
        <v>4386</v>
      </c>
      <c r="L734" t="str">
        <f>""</f>
        <v/>
      </c>
      <c r="M734" s="263" t="s">
        <v>4386</v>
      </c>
      <c r="U734" s="103" t="str">
        <f>""</f>
        <v/>
      </c>
      <c r="V734" s="263" t="str">
        <f>CONCATENATE(CHAR(34),"edgeTepVlan",CHAR(34),": ", wld_az1_second_edge_rack_edge_overlay_vlan_output,",")</f>
        <v>"edgeTepVlan": Value Missing,</v>
      </c>
    </row>
    <row r="735" spans="2:22">
      <c r="B735" t="str">
        <f>""</f>
        <v/>
      </c>
      <c r="C735" s="255" t="s">
        <v>4399</v>
      </c>
      <c r="E735" t="str">
        <f>""</f>
        <v/>
      </c>
      <c r="F735" s="263" t="s">
        <v>4508</v>
      </c>
      <c r="H735" t="str">
        <f>""</f>
        <v/>
      </c>
      <c r="I735" s="263" t="s">
        <v>4320</v>
      </c>
      <c r="L735" t="str">
        <f>""</f>
        <v/>
      </c>
      <c r="M735" s="263" t="s">
        <v>4320</v>
      </c>
      <c r="U735" s="103" t="s">
        <v>4561</v>
      </c>
      <c r="V735" s="263" t="s">
        <v>4348</v>
      </c>
    </row>
    <row r="736" spans="2:22">
      <c r="B736" t="str">
        <f>""</f>
        <v/>
      </c>
      <c r="C736" s="255" t="s">
        <v>4316</v>
      </c>
      <c r="E736" t="str">
        <f>""</f>
        <v/>
      </c>
      <c r="F736" s="263" t="str">
        <f>CONCATENATE(CHAR(34),"vdsName",CHAR(34),": ",CHAR(34), wld_cl01_vds03_name,CHAR(34),",")</f>
        <v>"vdsName": "Value Missing",</v>
      </c>
      <c r="H736" t="str">
        <f>""</f>
        <v/>
      </c>
      <c r="I736" s="263" t="s">
        <v>4318</v>
      </c>
      <c r="L736" t="str">
        <f>""</f>
        <v/>
      </c>
      <c r="M736" s="263" t="s">
        <v>4318</v>
      </c>
      <c r="U736" s="103" t="str">
        <f>""</f>
        <v/>
      </c>
      <c r="V736" s="263" t="s">
        <v>4447</v>
      </c>
    </row>
    <row r="737" spans="2:22">
      <c r="B737" t="str">
        <f>""</f>
        <v/>
      </c>
      <c r="C737" s="255" t="s">
        <v>4315</v>
      </c>
      <c r="E737" t="str">
        <f>""</f>
        <v/>
      </c>
      <c r="F737" s="263" t="s">
        <v>4375</v>
      </c>
      <c r="H737" t="str">
        <f>""</f>
        <v/>
      </c>
      <c r="I737" s="263" t="s">
        <v>4317</v>
      </c>
      <c r="L737" t="str">
        <f>""</f>
        <v/>
      </c>
      <c r="M737" s="263" t="s">
        <v>4316</v>
      </c>
      <c r="U737" s="103" t="str">
        <f>""</f>
        <v/>
      </c>
      <c r="V737" s="263" t="s">
        <v>4448</v>
      </c>
    </row>
    <row r="738" spans="2:22">
      <c r="B738" t="str">
        <f>""</f>
        <v/>
      </c>
      <c r="C738" s="255" t="s">
        <v>4400</v>
      </c>
      <c r="E738" t="str">
        <f>""</f>
        <v/>
      </c>
      <c r="F738" s="263" t="s">
        <v>4317</v>
      </c>
      <c r="H738" t="str">
        <f>""</f>
        <v/>
      </c>
      <c r="I738" s="263" t="s">
        <v>4319</v>
      </c>
      <c r="L738" t="str">
        <f>""</f>
        <v/>
      </c>
      <c r="M738" s="263" t="s">
        <v>4315</v>
      </c>
      <c r="U738" s="103" t="str">
        <f>""</f>
        <v/>
      </c>
      <c r="V738" s="263" t="s">
        <v>4315</v>
      </c>
    </row>
    <row r="739" spans="2:22">
      <c r="B739" t="str">
        <f>""</f>
        <v/>
      </c>
      <c r="C739" s="255" t="s">
        <v>4401</v>
      </c>
      <c r="E739" t="str">
        <f>""</f>
        <v/>
      </c>
      <c r="F739" s="263" t="s">
        <v>4318</v>
      </c>
      <c r="H739" t="str">
        <f>""</f>
        <v/>
      </c>
      <c r="I739" s="263" t="s">
        <v>4389</v>
      </c>
      <c r="L739" t="str">
        <f>""</f>
        <v/>
      </c>
      <c r="M739" s="263" t="str">
        <f>CONCATENATE(CHAR(34),"name",CHAR(34),": ",CHAR(34), wld_cl01_az1_principal_storage_pg,CHAR(34),",")</f>
        <v>"name": "Value Missing",</v>
      </c>
      <c r="U739" s="103" t="str">
        <f>""</f>
        <v/>
      </c>
      <c r="V739" s="263" t="str">
        <f>CONCATENATE(CHAR(34),"uplinkVlan",CHAR(34),": ",CHAR(34), wld_az1_second_edge_rack_uplink01_vlan_output,CHAR(34),",")</f>
        <v>"uplinkVlan": "Value Missing",</v>
      </c>
    </row>
    <row r="740" spans="2:22">
      <c r="B740" t="str">
        <f>""</f>
        <v/>
      </c>
      <c r="C740" s="255" t="s">
        <v>4317</v>
      </c>
      <c r="E740" t="str">
        <f>""</f>
        <v/>
      </c>
      <c r="F740" s="263" t="s">
        <v>4317</v>
      </c>
      <c r="H740" t="str">
        <f>""</f>
        <v/>
      </c>
      <c r="I740" s="263" t="s">
        <v>4390</v>
      </c>
      <c r="L740" t="str">
        <f>""</f>
        <v/>
      </c>
      <c r="M740" s="263" t="s">
        <v>4388</v>
      </c>
      <c r="U740" s="103" t="str">
        <f>""</f>
        <v/>
      </c>
      <c r="V740" s="263" t="str">
        <f>CONCATENATE(CHAR(34),"uplinkInterfaceIP",CHAR(34),": ",CHAR(34), wld_az1_second_edge_rack_en02_uplink01_interface_cidr_output,CHAR(34),",")</f>
        <v>"uplinkInterfaceIP": "Value Missing",</v>
      </c>
    </row>
    <row r="741" spans="2:22">
      <c r="B741" t="str">
        <f>""</f>
        <v/>
      </c>
      <c r="C741" s="255" t="s">
        <v>4318</v>
      </c>
      <c r="E741" t="str">
        <f>""</f>
        <v/>
      </c>
      <c r="F741" s="263" t="s">
        <v>4317</v>
      </c>
      <c r="H741" t="str">
        <f>""</f>
        <v/>
      </c>
      <c r="I741" s="263" t="s">
        <v>4391</v>
      </c>
      <c r="L741" t="str">
        <f>""</f>
        <v/>
      </c>
      <c r="M741" s="263" t="s">
        <v>4383</v>
      </c>
      <c r="U741" s="103" t="str">
        <f>""</f>
        <v/>
      </c>
      <c r="V741" s="263" t="s">
        <v>4449</v>
      </c>
    </row>
    <row r="742" spans="2:22">
      <c r="B742" t="str">
        <f>""</f>
        <v/>
      </c>
      <c r="C742" s="255" t="s">
        <v>4317</v>
      </c>
      <c r="E742" t="str">
        <f>""</f>
        <v/>
      </c>
      <c r="F742" s="263" t="s">
        <v>4319</v>
      </c>
      <c r="H742" t="str">
        <f>""</f>
        <v/>
      </c>
      <c r="I742" s="263" t="s">
        <v>4315</v>
      </c>
      <c r="L742" t="str">
        <f>""</f>
        <v/>
      </c>
      <c r="M742" s="263" t="s">
        <v>4384</v>
      </c>
      <c r="U742" s="103" t="str">
        <f>""</f>
        <v/>
      </c>
      <c r="V742" s="263" t="s">
        <v>4315</v>
      </c>
    </row>
    <row r="743" spans="2:22">
      <c r="B743" t="str">
        <f>""</f>
        <v/>
      </c>
      <c r="C743" s="255" t="s">
        <v>4318</v>
      </c>
      <c r="E743" t="str">
        <f>""</f>
        <v/>
      </c>
      <c r="F743" s="255" t="s">
        <v>4376</v>
      </c>
      <c r="H743" t="str">
        <f>""</f>
        <v/>
      </c>
      <c r="I743" s="263" t="str">
        <f>CONCATENATE(CHAR(34),"name",CHAR(34),": ",CHAR(34), wld_sddc_domain,"-vlan-tz",CHAR(34),",")</f>
        <v>"name": "Value Missing-vlan-tz",</v>
      </c>
      <c r="L743" t="str">
        <f>""</f>
        <v/>
      </c>
      <c r="M743" s="263" t="s">
        <v>4385</v>
      </c>
      <c r="U743" s="103" t="str">
        <f>""</f>
        <v/>
      </c>
      <c r="V743" s="263" t="str">
        <f>CONCATENATE(CHAR(34),"ip",CHAR(34),": ",CHAR(34), wld_az1_second_edge_rack_tor1_peer_cidr_output,CHAR(34),",")</f>
        <v>"ip": "Value Missing",</v>
      </c>
    </row>
    <row r="744" spans="2:22">
      <c r="B744" t="str">
        <f>""</f>
        <v/>
      </c>
      <c r="C744" s="255" t="s">
        <v>4316</v>
      </c>
      <c r="E744" t="str">
        <f>""</f>
        <v/>
      </c>
      <c r="F744" s="255" t="s">
        <v>4377</v>
      </c>
      <c r="H744" t="str">
        <f>""</f>
        <v/>
      </c>
      <c r="I744" s="263" t="s">
        <v>4392</v>
      </c>
      <c r="L744" t="str">
        <f>""</f>
        <v/>
      </c>
      <c r="M744" s="263" t="s">
        <v>4386</v>
      </c>
      <c r="U744" s="103" t="str">
        <f>""</f>
        <v/>
      </c>
      <c r="V744" s="263" t="str">
        <f>CONCATENATE(CHAR(34),"asn",CHAR(34),": ", wld_az1_second_edge_rack_tor1_peer_asn_output,",")</f>
        <v>"asn": Value Missing,</v>
      </c>
    </row>
    <row r="745" spans="2:22">
      <c r="B745" t="str">
        <f>""</f>
        <v/>
      </c>
      <c r="C745" s="255" t="s">
        <v>4315</v>
      </c>
      <c r="E745" t="str">
        <f>""</f>
        <v/>
      </c>
      <c r="F745" s="263" t="str">
        <f>CONCATENATE(CHAR(34),"licenseKey",CHAR(34),": ",CHAR(34), vsan_license,CHAR(34),",")</f>
        <v>"licenseKey": "Value Missing",</v>
      </c>
      <c r="H745" t="str">
        <f>""</f>
        <v/>
      </c>
      <c r="I745" s="263" t="s">
        <v>4316</v>
      </c>
      <c r="L745" t="str">
        <f>""</f>
        <v/>
      </c>
      <c r="M745" s="263" t="s">
        <v>4320</v>
      </c>
      <c r="U745" s="103" t="str">
        <f>""</f>
        <v/>
      </c>
      <c r="V745" s="263" t="str">
        <f>CONCATENATE(CHAR(34),"password",CHAR(34),": ",CHAR(34), wld_az1_second_edge_rack_tor1_peer_bgp_password_output,CHAR(34))</f>
        <v>"password": "Value Missing"</v>
      </c>
    </row>
    <row r="746" spans="2:22">
      <c r="B746" t="str">
        <f>""</f>
        <v/>
      </c>
      <c r="C746" s="255" t="s">
        <v>4402</v>
      </c>
      <c r="E746" t="str">
        <f>""</f>
        <v/>
      </c>
      <c r="F746" s="263" t="str">
        <f>CONCATENATE(CHAR(34),"datastoreName",CHAR(34),": ",CHAR(34), wld_cl01_vsan_datastore,CHAR(34),",")</f>
        <v>"datastoreName": "Value Missing",</v>
      </c>
      <c r="H746" t="str">
        <f>""</f>
        <v/>
      </c>
      <c r="I746" s="263" t="s">
        <v>4315</v>
      </c>
      <c r="L746" t="str">
        <f>""</f>
        <v/>
      </c>
      <c r="M746" s="263" t="s">
        <v>4318</v>
      </c>
      <c r="U746" s="103" t="str">
        <f>""</f>
        <v/>
      </c>
      <c r="V746" s="263" t="s">
        <v>4317</v>
      </c>
    </row>
    <row r="747" spans="2:22">
      <c r="B747" t="str">
        <f>""</f>
        <v/>
      </c>
      <c r="C747" s="255" t="e">
        <f ca="1">CONCATENATE(CHAR(34),"name",CHAR(34),": ",CHAR(34),wld_az1_second_compute_rack_overlay_network_profile_name_output,CHAR(34),",")</f>
        <v>#N/A</v>
      </c>
      <c r="E747" t="str">
        <f>""</f>
        <v/>
      </c>
      <c r="F747" s="255" t="s">
        <v>4378</v>
      </c>
      <c r="H747" t="str">
        <f>""</f>
        <v/>
      </c>
      <c r="I747" s="263" t="str">
        <f>CONCATENATE(CHAR(34),"name",CHAR(34),": ",CHAR(34), wld_sddc_domain,"-overlay-tz",CHAR(34),",")</f>
        <v>"name": "Value Missing-overlay-tz",</v>
      </c>
      <c r="L747" t="str">
        <f>""</f>
        <v/>
      </c>
      <c r="M747" s="263" t="s">
        <v>4317</v>
      </c>
      <c r="U747" s="103" t="str">
        <f>""</f>
        <v/>
      </c>
      <c r="V747" s="263" t="s">
        <v>4318</v>
      </c>
    </row>
    <row r="748" spans="2:22">
      <c r="B748" t="str">
        <f>""</f>
        <v/>
      </c>
      <c r="C748" s="255" t="s">
        <v>4396</v>
      </c>
      <c r="E748" t="str">
        <f>""</f>
        <v/>
      </c>
      <c r="F748" s="255" t="str">
        <f>IF(wld_principal_storage_chosen="vSAN-ESA",CONCATENATE(CHAR(34),"enabled",CHAR(34),":", CHAR(34),"true",CHAR(34)),CONCATENATE(CHAR(34),"enabled",CHAR(34),":", CHAR(34),"false",CHAR(34)))</f>
        <v>"enabled":"true"</v>
      </c>
      <c r="H748" t="str">
        <f>""</f>
        <v/>
      </c>
      <c r="I748" s="263" t="s">
        <v>4393</v>
      </c>
      <c r="L748" t="str">
        <f>""</f>
        <v/>
      </c>
      <c r="M748" s="263" t="s">
        <v>4318</v>
      </c>
      <c r="U748" s="103" t="str">
        <f>""</f>
        <v/>
      </c>
      <c r="V748" s="263" t="s">
        <v>4316</v>
      </c>
    </row>
    <row r="749" spans="2:22">
      <c r="B749" t="str">
        <f>""</f>
        <v/>
      </c>
      <c r="C749" s="255" t="s">
        <v>4315</v>
      </c>
      <c r="E749" t="str">
        <f>""</f>
        <v/>
      </c>
      <c r="F749" s="255" t="s">
        <v>4317</v>
      </c>
      <c r="H749" t="str">
        <f>""</f>
        <v/>
      </c>
      <c r="I749" s="263" t="s">
        <v>4317</v>
      </c>
      <c r="L749" t="str">
        <f>""</f>
        <v/>
      </c>
      <c r="M749" s="263" t="s">
        <v>4316</v>
      </c>
      <c r="U749" s="103" t="str">
        <f>""</f>
        <v/>
      </c>
      <c r="V749" s="263" t="s">
        <v>4315</v>
      </c>
    </row>
    <row r="750" spans="2:22">
      <c r="B750" t="str">
        <f>""</f>
        <v/>
      </c>
      <c r="C750" s="255" t="e">
        <f ca="1">CONCATENATE(CHAR(34),"ipAddressPoolName",CHAR(34),": ",CHAR(34), wld_az1_second_compute_rack_overlay_network_pool_name_output,CHAR(34),",")</f>
        <v>#N/A</v>
      </c>
      <c r="E750" t="str">
        <f>""</f>
        <v/>
      </c>
      <c r="F750" s="263" t="s">
        <v>4317</v>
      </c>
      <c r="H750" t="str">
        <f>""</f>
        <v/>
      </c>
      <c r="I750" s="263" t="s">
        <v>4318</v>
      </c>
      <c r="L750" t="str">
        <f>""</f>
        <v/>
      </c>
      <c r="M750" s="263" t="s">
        <v>4315</v>
      </c>
      <c r="U750" s="103" t="str">
        <f>""</f>
        <v/>
      </c>
      <c r="V750" s="263" t="str">
        <f>CONCATENATE(CHAR(34),"uplinkVlan",CHAR(34),": ",CHAR(34), wld_az1_second_edge_rack_uplink02_vlan_output,CHAR(34),",")</f>
        <v>"uplinkVlan": "Value Missing",</v>
      </c>
    </row>
    <row r="751" spans="2:22">
      <c r="B751" t="str">
        <f>""</f>
        <v/>
      </c>
      <c r="C751" s="255" t="e">
        <f ca="1">CONCATENATE(CHAR(34),"uplinkProfileName",CHAR(34),": ",CHAR(34), wld_az1_second_compute_rack_host_overlay_uplink_profile_name_output,CHAR(34),",")</f>
        <v>#N/A</v>
      </c>
      <c r="E751" t="str">
        <f>""</f>
        <v/>
      </c>
      <c r="F751" s="263" t="s">
        <v>4316</v>
      </c>
      <c r="H751" t="str">
        <f>""</f>
        <v/>
      </c>
      <c r="I751" s="263" t="s">
        <v>4317</v>
      </c>
      <c r="L751" t="str">
        <f>""</f>
        <v/>
      </c>
      <c r="M751" s="263" t="str">
        <f>CONCATENATE(CHAR(34),"name",CHAR(34),": ",CHAR(34), wld_cl01_vds02_name,CHAR(34),",")</f>
        <v>"name": "Value Missing",</v>
      </c>
      <c r="U751" s="103" t="str">
        <f>""</f>
        <v/>
      </c>
      <c r="V751" s="263" t="str">
        <f>CONCATENATE(CHAR(34),"uplinkInterfaceIP",CHAR(34),": ",CHAR(34), wld_az1_second_edge_rack_en02_uplink02_interface_cidr_output,CHAR(34),",")</f>
        <v>"uplinkInterfaceIP": "Value Missing",</v>
      </c>
    </row>
    <row r="752" spans="2:22">
      <c r="B752" t="str">
        <f>""</f>
        <v/>
      </c>
      <c r="C752" s="255" t="str">
        <f>CONCATENATE(CHAR(34),"vdsName",CHAR(34),": ",CHAR(34), wld_cl01_vds_name,CHAR(34),",")</f>
        <v>"vdsName": "Value Missing",</v>
      </c>
      <c r="E752" t="str">
        <f>""</f>
        <v/>
      </c>
      <c r="F752" s="263" t="s">
        <v>4379</v>
      </c>
      <c r="H752" t="str">
        <f>""</f>
        <v/>
      </c>
      <c r="I752" s="263" t="s">
        <v>4316</v>
      </c>
      <c r="L752" t="str">
        <f>""</f>
        <v/>
      </c>
      <c r="M752" s="263" t="str">
        <f>CONCATENATE(CHAR(34),"mtu",CHAR(34),": ",CHAR(34), wld_cl01_vds02_mtu,CHAR(34),",")</f>
        <v>"mtu": "Value Missing",</v>
      </c>
      <c r="U752" s="103" t="str">
        <f>""</f>
        <v/>
      </c>
      <c r="V752" s="263" t="s">
        <v>4449</v>
      </c>
    </row>
    <row r="753" spans="2:22">
      <c r="B753" t="str">
        <f>""</f>
        <v/>
      </c>
      <c r="C753" s="255" t="s">
        <v>4397</v>
      </c>
      <c r="E753" t="str">
        <f>""</f>
        <v/>
      </c>
      <c r="F753" s="263" t="s">
        <v>4380</v>
      </c>
      <c r="H753" t="str">
        <f>""</f>
        <v/>
      </c>
      <c r="I753" s="263" t="s">
        <v>4315</v>
      </c>
      <c r="L753" t="str">
        <f>""</f>
        <v/>
      </c>
      <c r="M753" s="263" t="s">
        <v>4389</v>
      </c>
      <c r="U753" s="103" t="str">
        <f>""</f>
        <v/>
      </c>
      <c r="V753" s="263" t="s">
        <v>4315</v>
      </c>
    </row>
    <row r="754" spans="2:22">
      <c r="B754" t="str">
        <f>""</f>
        <v/>
      </c>
      <c r="C754" s="255" t="s">
        <v>4315</v>
      </c>
      <c r="E754" t="str">
        <f>""</f>
        <v/>
      </c>
      <c r="F754" s="263" t="s">
        <v>4315</v>
      </c>
      <c r="H754" t="str">
        <f>""</f>
        <v/>
      </c>
      <c r="I754" s="263" t="str">
        <f>CONCATENATE(CHAR(34),"name",CHAR(34),": ",CHAR(34), wld_cl01_vds02_name,CHAR(34),",")</f>
        <v>"name": "Value Missing",</v>
      </c>
      <c r="L754" t="str">
        <f>""</f>
        <v/>
      </c>
      <c r="M754" s="263" t="s">
        <v>4390</v>
      </c>
      <c r="U754" s="103" t="str">
        <f>""</f>
        <v/>
      </c>
      <c r="V754" s="263" t="str">
        <f>CONCATENATE(CHAR(34),"ip",CHAR(34),": ",CHAR(34), wld_az1_second_edge_rack_tor2_peer_cidr_output,CHAR(34),",")</f>
        <v>"ip": "Value Missing",</v>
      </c>
    </row>
    <row r="755" spans="2:22">
      <c r="B755" t="str">
        <f>""</f>
        <v/>
      </c>
      <c r="C755" s="255" t="s">
        <v>4398</v>
      </c>
      <c r="E755" t="str">
        <f>""</f>
        <v/>
      </c>
      <c r="F755" s="263" t="str">
        <f>CONCATENATE(CHAR(34),"name",CHAR(34),": ",CHAR(34), wld_cl01_vds_name,CHAR(34),",")</f>
        <v>"name": "Value Missing",</v>
      </c>
      <c r="H755" t="str">
        <f>""</f>
        <v/>
      </c>
      <c r="I755" s="263" t="str">
        <f>CONCATENATE(CHAR(34),"mtu",CHAR(34),": ",CHAR(34), wld_cl01_vds02_mtu,CHAR(34),",")</f>
        <v>"mtu": "Value Missing",</v>
      </c>
      <c r="L755" t="str">
        <f>""</f>
        <v/>
      </c>
      <c r="M755" s="263" t="s">
        <v>4391</v>
      </c>
      <c r="U755" s="103" t="str">
        <f>""</f>
        <v/>
      </c>
      <c r="V755" s="263" t="str">
        <f>CONCATENATE(CHAR(34),"asn",CHAR(34),": ", wld_az1_second_edge_rack_tor2_peer_asn_output,",")</f>
        <v>"asn": Value Missing,</v>
      </c>
    </row>
    <row r="756" spans="2:22">
      <c r="B756" t="str">
        <f>""</f>
        <v/>
      </c>
      <c r="C756" s="255" t="s">
        <v>4399</v>
      </c>
      <c r="E756" t="str">
        <f>""</f>
        <v/>
      </c>
      <c r="F756" s="263" t="str">
        <f>CONCATENATE(CHAR(34),"mtu",CHAR(34),": ",CHAR(34), wld_cl01_vds01_mtu,CHAR(34),",")</f>
        <v>"mtu": "Value Missing",</v>
      </c>
      <c r="H756" t="str">
        <f>""</f>
        <v/>
      </c>
      <c r="I756" s="263" t="s">
        <v>4381</v>
      </c>
      <c r="L756" t="str">
        <f>""</f>
        <v/>
      </c>
      <c r="M756" s="263" t="s">
        <v>4315</v>
      </c>
      <c r="U756" s="103" t="str">
        <f>""</f>
        <v/>
      </c>
      <c r="V756" s="263" t="str">
        <f>CONCATENATE(CHAR(34),"password",CHAR(34),": ",CHAR(34), wld_az1_second_edge_rack_tor2_peer_bgp_password_output,CHAR(34))</f>
        <v>"password": "Value Missing"</v>
      </c>
    </row>
    <row r="757" spans="2:22">
      <c r="B757" t="str">
        <f>""</f>
        <v/>
      </c>
      <c r="C757" s="255" t="s">
        <v>4316</v>
      </c>
      <c r="E757" t="str">
        <f>""</f>
        <v/>
      </c>
      <c r="F757" s="263" t="s">
        <v>4381</v>
      </c>
      <c r="H757" t="str">
        <f>""</f>
        <v/>
      </c>
      <c r="I757" s="263" t="s">
        <v>4315</v>
      </c>
      <c r="L757" t="str">
        <f>""</f>
        <v/>
      </c>
      <c r="M757" s="263" t="str">
        <f>CONCATENATE(CHAR(34),"name",CHAR(34),": ",CHAR(34), wld_sddc_domain,"-vlan-tz",CHAR(34),",")</f>
        <v>"name": "Value Missing-vlan-tz",</v>
      </c>
      <c r="U757" s="103" t="str">
        <f>""</f>
        <v/>
      </c>
      <c r="V757" s="263" t="s">
        <v>4317</v>
      </c>
    </row>
    <row r="758" spans="2:22">
      <c r="B758" t="str">
        <f>""</f>
        <v/>
      </c>
      <c r="C758" s="255" t="s">
        <v>4315</v>
      </c>
      <c r="E758" t="str">
        <f>""</f>
        <v/>
      </c>
      <c r="F758" s="263" t="s">
        <v>4315</v>
      </c>
      <c r="H758" t="str">
        <f>""</f>
        <v/>
      </c>
      <c r="I758" s="263" t="str">
        <f>CONCATENATE(CHAR(34),"name",CHAR(34),": ",CHAR(34), wld_cl01_az1_principal_storage_pg,CHAR(34),",")</f>
        <v>"name": "Value Missing",</v>
      </c>
      <c r="L758" t="str">
        <f>""</f>
        <v/>
      </c>
      <c r="M758" s="263" t="s">
        <v>4392</v>
      </c>
      <c r="U758" s="103" t="str">
        <f>""</f>
        <v/>
      </c>
      <c r="V758" s="263" t="s">
        <v>4318</v>
      </c>
    </row>
    <row r="759" spans="2:22">
      <c r="B759" t="str">
        <f>""</f>
        <v/>
      </c>
      <c r="C759" s="255" t="s">
        <v>4400</v>
      </c>
      <c r="E759" t="str">
        <f>""</f>
        <v/>
      </c>
      <c r="F759" s="263" t="str">
        <f>CONCATENATE(CHAR(34),"name",CHAR(34),": ",CHAR(34), wld_cl01_az1_mgmt_pg,CHAR(34),",")</f>
        <v>"name": "Value Missing",</v>
      </c>
      <c r="H759" t="str">
        <f>""</f>
        <v/>
      </c>
      <c r="I759" s="263" t="s">
        <v>4388</v>
      </c>
      <c r="L759" t="str">
        <f>""</f>
        <v/>
      </c>
      <c r="M759" s="263" t="s">
        <v>4316</v>
      </c>
      <c r="U759" s="103" t="str">
        <f>""</f>
        <v/>
      </c>
      <c r="V759" s="263" t="s">
        <v>4317</v>
      </c>
    </row>
    <row r="760" spans="2:22">
      <c r="B760" t="str">
        <f>""</f>
        <v/>
      </c>
      <c r="C760" s="255" t="s">
        <v>4401</v>
      </c>
      <c r="E760" t="str">
        <f>""</f>
        <v/>
      </c>
      <c r="F760" s="263" t="s">
        <v>4382</v>
      </c>
      <c r="H760" t="str">
        <f>""</f>
        <v/>
      </c>
      <c r="I760" s="263" t="s">
        <v>4383</v>
      </c>
      <c r="L760" t="str">
        <f>""</f>
        <v/>
      </c>
      <c r="M760" s="263" t="s">
        <v>4315</v>
      </c>
      <c r="U760" s="103" t="str">
        <f>""</f>
        <v/>
      </c>
      <c r="V760" s="263" t="s">
        <v>4319</v>
      </c>
    </row>
    <row r="761" spans="2:22">
      <c r="B761" t="str">
        <f>""</f>
        <v/>
      </c>
      <c r="C761" s="255" t="s">
        <v>4317</v>
      </c>
      <c r="E761" t="str">
        <f>""</f>
        <v/>
      </c>
      <c r="F761" s="263" t="s">
        <v>4383</v>
      </c>
      <c r="H761" t="str">
        <f>""</f>
        <v/>
      </c>
      <c r="I761" s="263" t="s">
        <v>4384</v>
      </c>
      <c r="L761" t="str">
        <f>""</f>
        <v/>
      </c>
      <c r="M761" s="263" t="str">
        <f>CONCATENATE(CHAR(34),"name",CHAR(34),": ",CHAR(34), wld_sddc_domain,"-overlay-tz",CHAR(34),",")</f>
        <v>"name": "Value Missing-overlay-tz",</v>
      </c>
      <c r="U761" s="103" t="str">
        <f>""</f>
        <v/>
      </c>
      <c r="V761" s="263" t="str">
        <f>CONCATENATE(CHAR(34),"vmManagementPortgroupName",CHAR(34),": ",CHAR(34), wld_cl03_az1_mgmt_vm_pg,CHAR(34),",")</f>
        <v>"vmManagementPortgroupName": "Value Missing",</v>
      </c>
    </row>
    <row r="762" spans="2:22">
      <c r="B762" t="str">
        <f>""</f>
        <v/>
      </c>
      <c r="C762" s="255" t="s">
        <v>4318</v>
      </c>
      <c r="E762" t="str">
        <f>""</f>
        <v/>
      </c>
      <c r="F762" s="263" t="s">
        <v>4384</v>
      </c>
      <c r="H762" t="str">
        <f>""</f>
        <v/>
      </c>
      <c r="I762" s="263" t="s">
        <v>4385</v>
      </c>
      <c r="L762" t="str">
        <f>""</f>
        <v/>
      </c>
      <c r="M762" s="263" t="s">
        <v>4393</v>
      </c>
      <c r="U762" s="103" t="str">
        <f>""</f>
        <v/>
      </c>
      <c r="V762" s="263" t="str">
        <f>CONCATENATE(CHAR(34),"vmManagementPortgroupVlan",CHAR(34),": ",CHAR(34), wld_az_second_edge_rack_mgmt_vm_vlan,CHAR(34))</f>
        <v>"vmManagementPortgroupVlan": "Value Missing"</v>
      </c>
    </row>
    <row r="763" spans="2:22">
      <c r="B763" t="str">
        <f>""</f>
        <v/>
      </c>
      <c r="C763" s="255" t="s">
        <v>4317</v>
      </c>
      <c r="E763" t="str">
        <f>""</f>
        <v/>
      </c>
      <c r="F763" s="263" t="s">
        <v>4385</v>
      </c>
      <c r="H763" t="str">
        <f>""</f>
        <v/>
      </c>
      <c r="I763" s="263" t="s">
        <v>4386</v>
      </c>
      <c r="L763" t="str">
        <f>""</f>
        <v/>
      </c>
      <c r="M763" s="263" t="s">
        <v>4317</v>
      </c>
      <c r="U763" s="103" t="str">
        <f>""</f>
        <v/>
      </c>
      <c r="V763" s="263" t="s">
        <v>4317</v>
      </c>
    </row>
    <row r="764" spans="2:22">
      <c r="B764" t="str">
        <f>""</f>
        <v/>
      </c>
      <c r="C764" s="255" t="s">
        <v>4318</v>
      </c>
      <c r="E764" t="str">
        <f>""</f>
        <v/>
      </c>
      <c r="F764" s="263" t="s">
        <v>4386</v>
      </c>
      <c r="H764" t="str">
        <f>""</f>
        <v/>
      </c>
      <c r="I764" s="263" t="s">
        <v>4320</v>
      </c>
      <c r="L764" t="str">
        <f>""</f>
        <v/>
      </c>
      <c r="M764" s="263" t="s">
        <v>4318</v>
      </c>
      <c r="U764" s="103" t="str">
        <f>""</f>
        <v/>
      </c>
      <c r="V764" s="280" t="s">
        <v>4318</v>
      </c>
    </row>
    <row r="765" spans="2:22">
      <c r="B765" t="str">
        <f>""</f>
        <v/>
      </c>
      <c r="C765" s="255" t="s">
        <v>4316</v>
      </c>
      <c r="E765" t="str">
        <f>""</f>
        <v/>
      </c>
      <c r="F765" s="263" t="s">
        <v>4320</v>
      </c>
      <c r="H765" t="str">
        <f>""</f>
        <v/>
      </c>
      <c r="I765" s="263" t="s">
        <v>4318</v>
      </c>
      <c r="L765" t="str">
        <f>""</f>
        <v/>
      </c>
      <c r="M765" s="263" t="s">
        <v>4317</v>
      </c>
      <c r="U765" s="103" t="str">
        <f>""</f>
        <v/>
      </c>
      <c r="V765" s="281" t="s">
        <v>4317</v>
      </c>
    </row>
    <row r="766" spans="2:22">
      <c r="B766" t="str">
        <f>""</f>
        <v/>
      </c>
      <c r="C766" s="255" t="s">
        <v>4315</v>
      </c>
      <c r="E766" t="str">
        <f>""</f>
        <v/>
      </c>
      <c r="F766" s="263" t="s">
        <v>4318</v>
      </c>
      <c r="H766" t="str">
        <f>""</f>
        <v/>
      </c>
      <c r="I766" s="263" t="s">
        <v>4317</v>
      </c>
      <c r="L766" t="str">
        <f>""</f>
        <v/>
      </c>
      <c r="M766" s="263" t="s">
        <v>4317</v>
      </c>
      <c r="U766" s="103"/>
    </row>
    <row r="767" spans="2:22">
      <c r="B767" t="str">
        <f>""</f>
        <v/>
      </c>
      <c r="C767" s="255" t="s">
        <v>4402</v>
      </c>
      <c r="E767" t="str">
        <f>""</f>
        <v/>
      </c>
      <c r="F767" s="263" t="s">
        <v>4316</v>
      </c>
      <c r="H767" t="str">
        <f>""</f>
        <v/>
      </c>
      <c r="I767" s="263" t="s">
        <v>4318</v>
      </c>
      <c r="L767" t="str">
        <f>""</f>
        <v/>
      </c>
      <c r="M767" s="263" t="s">
        <v>4319</v>
      </c>
      <c r="U767" s="103"/>
    </row>
    <row r="768" spans="2:22">
      <c r="B768" t="str">
        <f>""</f>
        <v/>
      </c>
      <c r="C768" s="255" t="e">
        <f ca="1">CONCATENATE(CHAR(34),"name",CHAR(34),": ",CHAR(34),wld_az1_third_compute_rack_overlay_network_profile_name_output,CHAR(34),",")</f>
        <v>#N/A</v>
      </c>
      <c r="E768" t="str">
        <f>""</f>
        <v/>
      </c>
      <c r="F768" s="263" t="s">
        <v>4315</v>
      </c>
      <c r="H768" t="str">
        <f>""</f>
        <v/>
      </c>
      <c r="I768" s="263" t="s">
        <v>4317</v>
      </c>
      <c r="L768" t="str">
        <f>""</f>
        <v/>
      </c>
      <c r="M768" s="263" t="s">
        <v>4394</v>
      </c>
      <c r="U768" s="103"/>
    </row>
    <row r="769" spans="2:21">
      <c r="B769" t="str">
        <f>""</f>
        <v/>
      </c>
      <c r="C769" s="255" t="s">
        <v>4396</v>
      </c>
      <c r="E769" t="str">
        <f>""</f>
        <v/>
      </c>
      <c r="F769" s="263" t="str">
        <f>CONCATENATE(CHAR(34),"name",CHAR(34),": ",CHAR(34), wld_cl01_az1_vmotion_pg,CHAR(34),",")</f>
        <v>"name": "Value Missing",</v>
      </c>
      <c r="H769" t="str">
        <f>""</f>
        <v/>
      </c>
      <c r="I769" s="263" t="s">
        <v>4319</v>
      </c>
      <c r="L769" t="str">
        <f>""</f>
        <v/>
      </c>
      <c r="M769" s="263" t="s">
        <v>4315</v>
      </c>
      <c r="U769" s="103"/>
    </row>
    <row r="770" spans="2:21">
      <c r="B770" t="str">
        <f>""</f>
        <v/>
      </c>
      <c r="C770" s="255" t="s">
        <v>4315</v>
      </c>
      <c r="E770" t="str">
        <f>""</f>
        <v/>
      </c>
      <c r="F770" s="263" t="s">
        <v>4387</v>
      </c>
      <c r="H770" t="str">
        <f>""</f>
        <v/>
      </c>
      <c r="I770" s="263" t="s">
        <v>4394</v>
      </c>
      <c r="L770" t="str">
        <f>""</f>
        <v/>
      </c>
      <c r="M770" s="263" t="s">
        <v>4395</v>
      </c>
      <c r="U770" s="103"/>
    </row>
    <row r="771" spans="2:21">
      <c r="B771" t="str">
        <f>""</f>
        <v/>
      </c>
      <c r="C771" s="255" t="e">
        <f ca="1">CONCATENATE(CHAR(34),"ipAddressPoolName",CHAR(34),": ",CHAR(34), wld_az1_third_compute_rack_overlay_network_pool_name_output,CHAR(34),",")</f>
        <v>#N/A</v>
      </c>
      <c r="E771" t="str">
        <f>""</f>
        <v/>
      </c>
      <c r="F771" s="263" t="s">
        <v>4383</v>
      </c>
      <c r="H771" t="str">
        <f>""</f>
        <v/>
      </c>
      <c r="I771" s="263" t="s">
        <v>4315</v>
      </c>
      <c r="L771" t="str">
        <f>""</f>
        <v/>
      </c>
      <c r="M771" s="263" t="str">
        <f>CONCATENATE(CHAR(34),"name",CHAR(34),": ",CHAR(34),wld_az1_first_compute_rack_overlay_network_profile_name_output,CHAR(34),",")</f>
        <v>"name": "0",</v>
      </c>
      <c r="U771" s="103"/>
    </row>
    <row r="772" spans="2:21">
      <c r="B772" t="str">
        <f>""</f>
        <v/>
      </c>
      <c r="C772" s="255" t="e">
        <f ca="1">CONCATENATE(CHAR(34),"uplinkProfileName",CHAR(34),": ",CHAR(34), wld_az1_third_compute_rack_host_overlay_uplink_profile_name_output,CHAR(34),",")</f>
        <v>#N/A</v>
      </c>
      <c r="E772" t="str">
        <f>""</f>
        <v/>
      </c>
      <c r="F772" s="263" t="s">
        <v>4384</v>
      </c>
      <c r="H772" t="str">
        <f>""</f>
        <v/>
      </c>
      <c r="I772" s="263" t="s">
        <v>4395</v>
      </c>
      <c r="L772" t="str">
        <f>""</f>
        <v/>
      </c>
      <c r="M772" s="263" t="s">
        <v>4396</v>
      </c>
      <c r="U772" s="103"/>
    </row>
    <row r="773" spans="2:21">
      <c r="B773" t="str">
        <f>""</f>
        <v/>
      </c>
      <c r="C773" s="255" t="str">
        <f>CONCATENATE(CHAR(34),"vdsName",CHAR(34),": ",CHAR(34), wld_cl01_vds_name,CHAR(34),",")</f>
        <v>"vdsName": "Value Missing",</v>
      </c>
      <c r="E773" t="str">
        <f>""</f>
        <v/>
      </c>
      <c r="F773" s="263" t="s">
        <v>4385</v>
      </c>
      <c r="H773" t="str">
        <f>""</f>
        <v/>
      </c>
      <c r="I773" s="263" t="str">
        <f>CONCATENATE(CHAR(34),"name",CHAR(34),": ",CHAR(34),wld_az1_first_compute_rack_overlay_network_profile_name_output,CHAR(34),",")</f>
        <v>"name": "0",</v>
      </c>
      <c r="L773" t="str">
        <f>""</f>
        <v/>
      </c>
      <c r="M773" s="263" t="s">
        <v>4315</v>
      </c>
      <c r="U773" s="103"/>
    </row>
    <row r="774" spans="2:21">
      <c r="B774" t="str">
        <f>""</f>
        <v/>
      </c>
      <c r="C774" s="255" t="s">
        <v>4397</v>
      </c>
      <c r="E774" t="str">
        <f>""</f>
        <v/>
      </c>
      <c r="F774" s="263" t="s">
        <v>4386</v>
      </c>
      <c r="H774" t="str">
        <f>""</f>
        <v/>
      </c>
      <c r="I774" s="263" t="s">
        <v>4396</v>
      </c>
      <c r="L774" t="str">
        <f>""</f>
        <v/>
      </c>
      <c r="M774" s="263" t="str">
        <f>CONCATENATE(CHAR(34),"ipAddressPoolName",CHAR(34),": ",CHAR(34), wld_az1_first_compute_rack_overlay_network_pool_name_output,CHAR(34),",")</f>
        <v>"ipAddressPoolName": "0",</v>
      </c>
      <c r="U774" s="103"/>
    </row>
    <row r="775" spans="2:21">
      <c r="B775" t="str">
        <f>""</f>
        <v/>
      </c>
      <c r="C775" s="255" t="s">
        <v>4315</v>
      </c>
      <c r="E775" t="str">
        <f>""</f>
        <v/>
      </c>
      <c r="F775" s="263" t="s">
        <v>4320</v>
      </c>
      <c r="H775" t="str">
        <f>""</f>
        <v/>
      </c>
      <c r="I775" s="263" t="s">
        <v>4315</v>
      </c>
      <c r="L775" t="str">
        <f>""</f>
        <v/>
      </c>
      <c r="M775" s="263" t="str">
        <f>CONCATENATE(CHAR(34),"uplinkProfileName",CHAR(34),": ",CHAR(34), wld_az1_first_compute_rack_host_overlay_uplink_profile_name_output,CHAR(34),",")</f>
        <v>"uplinkProfileName": "0",</v>
      </c>
      <c r="U775" s="103"/>
    </row>
    <row r="776" spans="2:21">
      <c r="B776" t="str">
        <f>""</f>
        <v/>
      </c>
      <c r="C776" s="255" t="s">
        <v>4398</v>
      </c>
      <c r="E776" t="str">
        <f>""</f>
        <v/>
      </c>
      <c r="F776" s="263" t="s">
        <v>4318</v>
      </c>
      <c r="H776" t="str">
        <f>""</f>
        <v/>
      </c>
      <c r="I776" s="263" t="str">
        <f>CONCATENATE(CHAR(34),"ipAddressPoolName",CHAR(34),": ",CHAR(34), wld_az1_first_compute_rack_overlay_network_pool_name_output,CHAR(34),",")</f>
        <v>"ipAddressPoolName": "0",</v>
      </c>
      <c r="L776" t="str">
        <f>""</f>
        <v/>
      </c>
      <c r="M776" s="263" t="str">
        <f>CONCATENATE(CHAR(34),"vdsName",CHAR(34),": ",CHAR(34), wld_cl01_vds02_name,CHAR(34),",")</f>
        <v>"vdsName": "Value Missing",</v>
      </c>
      <c r="U776" s="103"/>
    </row>
    <row r="777" spans="2:21">
      <c r="B777" t="str">
        <f>""</f>
        <v/>
      </c>
      <c r="C777" s="255" t="s">
        <v>4399</v>
      </c>
      <c r="E777" t="str">
        <f>""</f>
        <v/>
      </c>
      <c r="F777" s="263" t="s">
        <v>4317</v>
      </c>
      <c r="H777" t="str">
        <f>""</f>
        <v/>
      </c>
      <c r="I777" s="263" t="str">
        <f>CONCATENATE(CHAR(34),"uplinkProfileName",CHAR(34),": ",CHAR(34), wld_az1_first_compute_rack_host_overlay_uplink_profile_name_output,CHAR(34),",")</f>
        <v>"uplinkProfileName": "0",</v>
      </c>
      <c r="L777" t="str">
        <f>""</f>
        <v/>
      </c>
      <c r="M777" s="263" t="s">
        <v>4397</v>
      </c>
      <c r="U777" s="103"/>
    </row>
    <row r="778" spans="2:21">
      <c r="B778" t="str">
        <f>""</f>
        <v/>
      </c>
      <c r="C778" s="255" t="s">
        <v>4316</v>
      </c>
      <c r="E778" t="str">
        <f>""</f>
        <v/>
      </c>
      <c r="F778" s="263" t="s">
        <v>4318</v>
      </c>
      <c r="H778" t="str">
        <f>""</f>
        <v/>
      </c>
      <c r="I778" s="263" t="str">
        <f>CONCATENATE(CHAR(34),"vdsName",CHAR(34),": ",CHAR(34), wld_cl01_vds01_name,CHAR(34),",")</f>
        <v>"vdsName": "Value Missing",</v>
      </c>
      <c r="L778" t="str">
        <f>""</f>
        <v/>
      </c>
      <c r="M778" s="263" t="s">
        <v>4315</v>
      </c>
      <c r="U778" s="103"/>
    </row>
    <row r="779" spans="2:21">
      <c r="B779" t="str">
        <f>""</f>
        <v/>
      </c>
      <c r="C779" s="255" t="s">
        <v>4315</v>
      </c>
      <c r="E779" t="str">
        <f>""</f>
        <v/>
      </c>
      <c r="F779" s="263" t="s">
        <v>4316</v>
      </c>
      <c r="H779" t="str">
        <f>""</f>
        <v/>
      </c>
      <c r="I779" s="263" t="s">
        <v>4397</v>
      </c>
      <c r="L779" t="str">
        <f>""</f>
        <v/>
      </c>
      <c r="M779" s="263" t="s">
        <v>4398</v>
      </c>
      <c r="U779" s="103"/>
    </row>
    <row r="780" spans="2:21">
      <c r="B780" t="str">
        <f>""</f>
        <v/>
      </c>
      <c r="C780" s="255" t="s">
        <v>4400</v>
      </c>
      <c r="E780" t="str">
        <f>""</f>
        <v/>
      </c>
      <c r="F780" s="263" t="s">
        <v>4315</v>
      </c>
      <c r="H780" t="str">
        <f>""</f>
        <v/>
      </c>
      <c r="I780" s="263" t="s">
        <v>4315</v>
      </c>
      <c r="L780" t="str">
        <f>""</f>
        <v/>
      </c>
      <c r="M780" s="263" t="s">
        <v>4399</v>
      </c>
      <c r="U780" s="103"/>
    </row>
    <row r="781" spans="2:21">
      <c r="B781" t="str">
        <f>""</f>
        <v/>
      </c>
      <c r="C781" s="255" t="s">
        <v>4401</v>
      </c>
      <c r="E781" t="str">
        <f>""</f>
        <v/>
      </c>
      <c r="F781" s="263" t="str">
        <f>CONCATENATE(CHAR(34),"name",CHAR(34),": ",CHAR(34), wld_cl01_vds02_name,CHAR(34),",")</f>
        <v>"name": "Value Missing",</v>
      </c>
      <c r="H781" t="str">
        <f>""</f>
        <v/>
      </c>
      <c r="I781" s="263" t="s">
        <v>4398</v>
      </c>
      <c r="L781" t="str">
        <f>""</f>
        <v/>
      </c>
      <c r="M781" s="263" t="s">
        <v>4316</v>
      </c>
      <c r="U781" s="103"/>
    </row>
    <row r="782" spans="2:21">
      <c r="B782" t="str">
        <f>""</f>
        <v/>
      </c>
      <c r="C782" s="255" t="s">
        <v>4317</v>
      </c>
      <c r="E782" t="str">
        <f>""</f>
        <v/>
      </c>
      <c r="F782" s="263" t="str">
        <f>CONCATENATE(CHAR(34),"mtu",CHAR(34),": ",CHAR(34), wld_cl01_vds02_mtu,CHAR(34),",")</f>
        <v>"mtu": "Value Missing",</v>
      </c>
      <c r="H782" t="str">
        <f>""</f>
        <v/>
      </c>
      <c r="I782" s="263" t="s">
        <v>4399</v>
      </c>
      <c r="L782" t="str">
        <f>""</f>
        <v/>
      </c>
      <c r="M782" s="263" t="s">
        <v>4315</v>
      </c>
      <c r="U782" s="103"/>
    </row>
    <row r="783" spans="2:21">
      <c r="B783" t="str">
        <f>""</f>
        <v/>
      </c>
      <c r="C783" s="255" t="s">
        <v>4318</v>
      </c>
      <c r="E783" t="str">
        <f>""</f>
        <v/>
      </c>
      <c r="F783" s="263" t="s">
        <v>4381</v>
      </c>
      <c r="H783" t="str">
        <f>""</f>
        <v/>
      </c>
      <c r="I783" s="263" t="s">
        <v>4316</v>
      </c>
      <c r="L783" t="str">
        <f>""</f>
        <v/>
      </c>
      <c r="M783" s="263" t="s">
        <v>4400</v>
      </c>
      <c r="U783" s="103"/>
    </row>
    <row r="784" spans="2:21">
      <c r="B784" t="str">
        <f>""</f>
        <v/>
      </c>
      <c r="C784" s="255" t="s">
        <v>4317</v>
      </c>
      <c r="E784" t="str">
        <f>""</f>
        <v/>
      </c>
      <c r="F784" s="263" t="s">
        <v>4315</v>
      </c>
      <c r="H784" t="str">
        <f>""</f>
        <v/>
      </c>
      <c r="I784" s="263" t="s">
        <v>4315</v>
      </c>
      <c r="L784" t="str">
        <f>""</f>
        <v/>
      </c>
      <c r="M784" s="263" t="s">
        <v>4401</v>
      </c>
      <c r="U784" s="103"/>
    </row>
    <row r="785" spans="2:21">
      <c r="B785" t="str">
        <f>""</f>
        <v/>
      </c>
      <c r="C785" s="255" t="s">
        <v>4318</v>
      </c>
      <c r="E785" t="str">
        <f>""</f>
        <v/>
      </c>
      <c r="F785" s="263" t="str">
        <f>CONCATENATE(CHAR(34),"name",CHAR(34),": ",CHAR(34), wld_cl01_az1_principal_storage_pg,CHAR(34),",")</f>
        <v>"name": "Value Missing",</v>
      </c>
      <c r="H785" t="str">
        <f>""</f>
        <v/>
      </c>
      <c r="I785" s="263" t="s">
        <v>4400</v>
      </c>
      <c r="L785" t="str">
        <f>""</f>
        <v/>
      </c>
      <c r="M785" s="263" t="s">
        <v>4317</v>
      </c>
      <c r="U785" s="103"/>
    </row>
    <row r="786" spans="2:21">
      <c r="B786" t="str">
        <f>""</f>
        <v/>
      </c>
      <c r="C786" s="255" t="s">
        <v>4316</v>
      </c>
      <c r="E786" t="str">
        <f>""</f>
        <v/>
      </c>
      <c r="F786" s="263" t="s">
        <v>4388</v>
      </c>
      <c r="H786" t="str">
        <f>""</f>
        <v/>
      </c>
      <c r="I786" s="263" t="s">
        <v>4401</v>
      </c>
      <c r="L786" t="str">
        <f>""</f>
        <v/>
      </c>
      <c r="M786" s="263" t="s">
        <v>4318</v>
      </c>
      <c r="U786" s="103"/>
    </row>
    <row r="787" spans="2:21">
      <c r="B787" t="str">
        <f>""</f>
        <v/>
      </c>
      <c r="C787" s="255" t="s">
        <v>4315</v>
      </c>
      <c r="E787" t="str">
        <f>""</f>
        <v/>
      </c>
      <c r="F787" s="263" t="s">
        <v>4383</v>
      </c>
      <c r="H787" t="str">
        <f>""</f>
        <v/>
      </c>
      <c r="I787" s="263" t="s">
        <v>4317</v>
      </c>
      <c r="L787" t="str">
        <f>""</f>
        <v/>
      </c>
      <c r="M787" s="263" t="s">
        <v>4317</v>
      </c>
      <c r="U787" s="103"/>
    </row>
    <row r="788" spans="2:21">
      <c r="B788" t="str">
        <f>""</f>
        <v/>
      </c>
      <c r="C788" s="255" t="s">
        <v>4402</v>
      </c>
      <c r="E788" t="str">
        <f>""</f>
        <v/>
      </c>
      <c r="F788" s="263" t="s">
        <v>4384</v>
      </c>
      <c r="H788" t="str">
        <f>""</f>
        <v/>
      </c>
      <c r="I788" s="263" t="s">
        <v>4318</v>
      </c>
      <c r="L788" t="str">
        <f>""</f>
        <v/>
      </c>
      <c r="M788" s="263" t="s">
        <v>4318</v>
      </c>
      <c r="U788" s="103"/>
    </row>
    <row r="789" spans="2:21">
      <c r="B789" t="str">
        <f>""</f>
        <v/>
      </c>
      <c r="C789" s="255" t="e">
        <f ca="1">CONCATENATE(CHAR(34),"name",CHAR(34),": ",CHAR(34),wld_az1_fourth_compute_rack_overlay_network_profile_name_output,CHAR(34),",")</f>
        <v>#N/A</v>
      </c>
      <c r="E789" t="str">
        <f>""</f>
        <v/>
      </c>
      <c r="F789" s="263" t="s">
        <v>4385</v>
      </c>
      <c r="H789" t="str">
        <f>""</f>
        <v/>
      </c>
      <c r="I789" s="263" t="s">
        <v>4317</v>
      </c>
      <c r="L789" t="str">
        <f>""</f>
        <v/>
      </c>
      <c r="M789" s="263" t="s">
        <v>4316</v>
      </c>
      <c r="U789" s="103"/>
    </row>
    <row r="790" spans="2:21">
      <c r="B790" t="str">
        <f>""</f>
        <v/>
      </c>
      <c r="C790" s="255" t="s">
        <v>4396</v>
      </c>
      <c r="E790" t="str">
        <f>""</f>
        <v/>
      </c>
      <c r="F790" s="263" t="s">
        <v>4386</v>
      </c>
      <c r="H790" t="str">
        <f>""</f>
        <v/>
      </c>
      <c r="I790" s="263" t="s">
        <v>4318</v>
      </c>
      <c r="L790" t="str">
        <f>""</f>
        <v/>
      </c>
      <c r="M790" s="263" t="s">
        <v>4315</v>
      </c>
      <c r="U790" s="103"/>
    </row>
    <row r="791" spans="2:21">
      <c r="B791" t="str">
        <f>""</f>
        <v/>
      </c>
      <c r="C791" s="255" t="s">
        <v>4315</v>
      </c>
      <c r="E791" t="str">
        <f>""</f>
        <v/>
      </c>
      <c r="F791" s="263" t="s">
        <v>4320</v>
      </c>
      <c r="H791" t="str">
        <f>""</f>
        <v/>
      </c>
      <c r="I791" s="263" t="s">
        <v>4316</v>
      </c>
      <c r="L791" t="str">
        <f>""</f>
        <v/>
      </c>
      <c r="M791" s="263" t="s">
        <v>4402</v>
      </c>
      <c r="U791" s="103"/>
    </row>
    <row r="792" spans="2:21">
      <c r="B792" t="str">
        <f>""</f>
        <v/>
      </c>
      <c r="C792" s="255" t="e">
        <f ca="1">CONCATENATE(CHAR(34),"ipAddressPoolName",CHAR(34),": ",CHAR(34), wld_az1_fourth_compute_rack_overlay_network_pool_name_output,CHAR(34),",")</f>
        <v>#N/A</v>
      </c>
      <c r="E792" t="str">
        <f>""</f>
        <v/>
      </c>
      <c r="F792" s="263" t="s">
        <v>4318</v>
      </c>
      <c r="H792" t="str">
        <f>""</f>
        <v/>
      </c>
      <c r="I792" s="263" t="s">
        <v>4315</v>
      </c>
      <c r="L792" t="str">
        <f>""</f>
        <v/>
      </c>
      <c r="M792" s="263" t="e">
        <f ca="1">CONCATENATE(CHAR(34),"name",CHAR(34),": ",CHAR(34),wld_az1_second_compute_rack_overlay_network_profile_name_output,CHAR(34),",")</f>
        <v>#N/A</v>
      </c>
      <c r="U792" s="103"/>
    </row>
    <row r="793" spans="2:21">
      <c r="B793" t="str">
        <f>""</f>
        <v/>
      </c>
      <c r="C793" s="255" t="e">
        <f ca="1">CONCATENATE(CHAR(34),"uplinkProfileName",CHAR(34),": ",CHAR(34), wld_az1_fourth_compute_rack_host_overlay_uplink_profile_name_output,CHAR(34),",")</f>
        <v>#N/A</v>
      </c>
      <c r="E793" t="str">
        <f>""</f>
        <v/>
      </c>
      <c r="F793" s="263" t="s">
        <v>4317</v>
      </c>
      <c r="H793" t="str">
        <f>""</f>
        <v/>
      </c>
      <c r="I793" s="263" t="s">
        <v>4402</v>
      </c>
      <c r="L793" t="str">
        <f>""</f>
        <v/>
      </c>
      <c r="M793" s="263" t="s">
        <v>4396</v>
      </c>
      <c r="U793" s="103"/>
    </row>
    <row r="794" spans="2:21">
      <c r="B794" t="str">
        <f>""</f>
        <v/>
      </c>
      <c r="C794" s="255" t="str">
        <f>CONCATENATE(CHAR(34),"vdsName",CHAR(34),": ",CHAR(34), wld_cl01_vds_name,CHAR(34),",")</f>
        <v>"vdsName": "Value Missing",</v>
      </c>
      <c r="E794" t="str">
        <f>""</f>
        <v/>
      </c>
      <c r="F794" s="263" t="s">
        <v>4318</v>
      </c>
      <c r="H794" t="str">
        <f>""</f>
        <v/>
      </c>
      <c r="I794" s="263" t="e">
        <f ca="1">CONCATENATE(CHAR(34),"name",CHAR(34),": ",CHAR(34),wld_az1_second_compute_rack_overlay_network_profile_name_output,CHAR(34),",")</f>
        <v>#N/A</v>
      </c>
      <c r="L794" t="str">
        <f>""</f>
        <v/>
      </c>
      <c r="M794" s="263" t="s">
        <v>4315</v>
      </c>
      <c r="U794" s="103"/>
    </row>
    <row r="795" spans="2:21">
      <c r="B795" t="str">
        <f>""</f>
        <v/>
      </c>
      <c r="C795" s="255" t="s">
        <v>4397</v>
      </c>
      <c r="E795" t="str">
        <f>""</f>
        <v/>
      </c>
      <c r="F795" s="263" t="s">
        <v>4316</v>
      </c>
      <c r="H795" t="str">
        <f>""</f>
        <v/>
      </c>
      <c r="I795" s="263" t="s">
        <v>4396</v>
      </c>
      <c r="L795" t="str">
        <f>""</f>
        <v/>
      </c>
      <c r="M795" s="263" t="e">
        <f ca="1">CONCATENATE(CHAR(34),"ipAddressPoolName",CHAR(34),": ",CHAR(34), wld_az1_second_compute_rack_overlay_network_pool_name_output,CHAR(34),",")</f>
        <v>#N/A</v>
      </c>
      <c r="U795" s="103"/>
    </row>
    <row r="796" spans="2:21">
      <c r="B796" t="str">
        <f>""</f>
        <v/>
      </c>
      <c r="C796" s="255" t="s">
        <v>4315</v>
      </c>
      <c r="E796" t="str">
        <f>""</f>
        <v/>
      </c>
      <c r="F796" s="263" t="s">
        <v>4315</v>
      </c>
      <c r="H796" t="str">
        <f>""</f>
        <v/>
      </c>
      <c r="I796" s="263" t="s">
        <v>4315</v>
      </c>
      <c r="L796" t="str">
        <f>""</f>
        <v/>
      </c>
      <c r="M796" s="263" t="e">
        <f ca="1">CONCATENATE(CHAR(34),"uplinkProfileName",CHAR(34),": ",CHAR(34), wld_az1_second_compute_rack_host_overlay_uplink_profile_name_output,CHAR(34),",")</f>
        <v>#N/A</v>
      </c>
      <c r="U796" s="103"/>
    </row>
    <row r="797" spans="2:21">
      <c r="B797" t="str">
        <f>""</f>
        <v/>
      </c>
      <c r="C797" s="255" t="s">
        <v>4398</v>
      </c>
      <c r="E797" t="str">
        <f>""</f>
        <v/>
      </c>
      <c r="F797" s="263" t="str">
        <f>CONCATENATE(CHAR(34),"name",CHAR(34),": ",CHAR(34), wld_cl01_vds03_name,CHAR(34),",")</f>
        <v>"name": "Value Missing",</v>
      </c>
      <c r="H797" t="str">
        <f>""</f>
        <v/>
      </c>
      <c r="I797" s="263" t="e">
        <f ca="1">CONCATENATE(CHAR(34),"ipAddressPoolName",CHAR(34),": ",CHAR(34), wld_az1_second_compute_rack_overlay_network_pool_name_output,CHAR(34),",")</f>
        <v>#N/A</v>
      </c>
      <c r="L797" t="str">
        <f>""</f>
        <v/>
      </c>
      <c r="M797" s="263" t="str">
        <f>CONCATENATE(CHAR(34),"vdsName",CHAR(34),": ",CHAR(34), wld_cl01_vds02_name,CHAR(34),",")</f>
        <v>"vdsName": "Value Missing",</v>
      </c>
      <c r="U797" s="103"/>
    </row>
    <row r="798" spans="2:21">
      <c r="B798" t="str">
        <f>""</f>
        <v/>
      </c>
      <c r="C798" s="255" t="s">
        <v>4399</v>
      </c>
      <c r="E798" t="str">
        <f>""</f>
        <v/>
      </c>
      <c r="F798" s="263" t="str">
        <f>CONCATENATE(CHAR(34),"mtu",CHAR(34),": ",CHAR(34), wld_cl01_vds03_mtu,CHAR(34),",")</f>
        <v>"mtu": "Value Missing",</v>
      </c>
      <c r="H798" t="str">
        <f>""</f>
        <v/>
      </c>
      <c r="I798" s="263" t="e">
        <f ca="1">CONCATENATE(CHAR(34),"uplinkProfileName",CHAR(34),": ",CHAR(34), wld_az1_second_compute_rack_host_overlay_uplink_profile_name_output,CHAR(34),",")</f>
        <v>#N/A</v>
      </c>
      <c r="L798" t="str">
        <f>""</f>
        <v/>
      </c>
      <c r="M798" s="263" t="s">
        <v>4397</v>
      </c>
      <c r="U798" s="103"/>
    </row>
    <row r="799" spans="2:21">
      <c r="B799" t="str">
        <f>""</f>
        <v/>
      </c>
      <c r="C799" s="255" t="s">
        <v>4316</v>
      </c>
      <c r="E799" t="str">
        <f>""</f>
        <v/>
      </c>
      <c r="F799" s="263" t="s">
        <v>4389</v>
      </c>
      <c r="H799" t="str">
        <f>""</f>
        <v/>
      </c>
      <c r="I799" s="263" t="str">
        <f>CONCATENATE(CHAR(34),"vdsName",CHAR(34),": ",CHAR(34), wld_cl01_vds01_name,CHAR(34),",")</f>
        <v>"vdsName": "Value Missing",</v>
      </c>
      <c r="L799" t="str">
        <f>""</f>
        <v/>
      </c>
      <c r="M799" s="263" t="s">
        <v>4315</v>
      </c>
      <c r="U799" s="103"/>
    </row>
    <row r="800" spans="2:21">
      <c r="B800" t="str">
        <f>""</f>
        <v/>
      </c>
      <c r="C800" s="255" t="s">
        <v>4315</v>
      </c>
      <c r="E800" t="str">
        <f>""</f>
        <v/>
      </c>
      <c r="F800" s="263" t="s">
        <v>4390</v>
      </c>
      <c r="H800" t="str">
        <f>""</f>
        <v/>
      </c>
      <c r="I800" s="263" t="s">
        <v>4397</v>
      </c>
      <c r="L800" t="str">
        <f>""</f>
        <v/>
      </c>
      <c r="M800" s="263" t="s">
        <v>4398</v>
      </c>
      <c r="U800" s="103"/>
    </row>
    <row r="801" spans="2:21">
      <c r="B801" t="str">
        <f>""</f>
        <v/>
      </c>
      <c r="C801" s="255" t="s">
        <v>4400</v>
      </c>
      <c r="E801" t="str">
        <f>""</f>
        <v/>
      </c>
      <c r="F801" s="263" t="s">
        <v>4391</v>
      </c>
      <c r="H801" t="str">
        <f>""</f>
        <v/>
      </c>
      <c r="I801" s="263" t="s">
        <v>4315</v>
      </c>
      <c r="L801" t="str">
        <f>""</f>
        <v/>
      </c>
      <c r="M801" s="263" t="s">
        <v>4399</v>
      </c>
      <c r="U801" s="103"/>
    </row>
    <row r="802" spans="2:21">
      <c r="B802" t="str">
        <f>""</f>
        <v/>
      </c>
      <c r="C802" s="255" t="s">
        <v>4401</v>
      </c>
      <c r="E802" t="str">
        <f>""</f>
        <v/>
      </c>
      <c r="F802" s="263" t="s">
        <v>4315</v>
      </c>
      <c r="H802" t="str">
        <f>""</f>
        <v/>
      </c>
      <c r="I802" s="263" t="s">
        <v>4398</v>
      </c>
      <c r="L802" t="str">
        <f>""</f>
        <v/>
      </c>
      <c r="M802" s="263" t="s">
        <v>4316</v>
      </c>
      <c r="U802" s="103"/>
    </row>
    <row r="803" spans="2:21">
      <c r="B803" t="str">
        <f>""</f>
        <v/>
      </c>
      <c r="C803" s="255" t="s">
        <v>4317</v>
      </c>
      <c r="E803" t="str">
        <f>""</f>
        <v/>
      </c>
      <c r="F803" s="263" t="str">
        <f>CONCATENATE(CHAR(34),"name",CHAR(34),": ",CHAR(34), wld_sddc_domain,"-vlan-tz",CHAR(34),",")</f>
        <v>"name": "Value Missing-vlan-tz",</v>
      </c>
      <c r="H803" t="str">
        <f>""</f>
        <v/>
      </c>
      <c r="I803" s="263" t="s">
        <v>4399</v>
      </c>
      <c r="L803" t="str">
        <f>""</f>
        <v/>
      </c>
      <c r="M803" s="263" t="s">
        <v>4315</v>
      </c>
      <c r="U803" s="103"/>
    </row>
    <row r="804" spans="2:21">
      <c r="B804" t="str">
        <f>""</f>
        <v/>
      </c>
      <c r="C804" s="255" t="s">
        <v>4318</v>
      </c>
      <c r="E804" t="str">
        <f>""</f>
        <v/>
      </c>
      <c r="F804" s="263" t="s">
        <v>4392</v>
      </c>
      <c r="H804" t="str">
        <f>""</f>
        <v/>
      </c>
      <c r="I804" s="263" t="s">
        <v>4316</v>
      </c>
      <c r="L804" t="str">
        <f>""</f>
        <v/>
      </c>
      <c r="M804" s="263" t="s">
        <v>4400</v>
      </c>
      <c r="U804" s="103"/>
    </row>
    <row r="805" spans="2:21">
      <c r="B805" t="str">
        <f>""</f>
        <v/>
      </c>
      <c r="C805" s="255" t="s">
        <v>4317</v>
      </c>
      <c r="E805" t="str">
        <f>""</f>
        <v/>
      </c>
      <c r="F805" s="263" t="s">
        <v>4316</v>
      </c>
      <c r="H805" t="str">
        <f>""</f>
        <v/>
      </c>
      <c r="I805" s="263" t="s">
        <v>4315</v>
      </c>
      <c r="L805" t="str">
        <f>""</f>
        <v/>
      </c>
      <c r="M805" s="263" t="s">
        <v>4401</v>
      </c>
      <c r="U805" s="103"/>
    </row>
    <row r="806" spans="2:21">
      <c r="B806" t="str">
        <f>""</f>
        <v/>
      </c>
      <c r="C806" s="255" t="s">
        <v>4318</v>
      </c>
      <c r="E806" t="str">
        <f>""</f>
        <v/>
      </c>
      <c r="F806" s="263" t="s">
        <v>4315</v>
      </c>
      <c r="H806" t="str">
        <f>""</f>
        <v/>
      </c>
      <c r="I806" s="263" t="s">
        <v>4400</v>
      </c>
      <c r="L806" t="str">
        <f>""</f>
        <v/>
      </c>
      <c r="M806" s="263" t="s">
        <v>4317</v>
      </c>
      <c r="U806" s="103"/>
    </row>
    <row r="807" spans="2:21">
      <c r="B807" t="str">
        <f>""</f>
        <v/>
      </c>
      <c r="C807" s="255" t="s">
        <v>4317</v>
      </c>
      <c r="E807" t="str">
        <f>""</f>
        <v/>
      </c>
      <c r="F807" s="263" t="str">
        <f>CONCATENATE(CHAR(34),"name",CHAR(34),": ",CHAR(34), wld_sddc_domain,"-overlay-tz",CHAR(34),",")</f>
        <v>"name": "Value Missing-overlay-tz",</v>
      </c>
      <c r="H807" t="str">
        <f>""</f>
        <v/>
      </c>
      <c r="I807" s="263" t="s">
        <v>4401</v>
      </c>
      <c r="L807" t="str">
        <f>""</f>
        <v/>
      </c>
      <c r="M807" s="263" t="s">
        <v>4318</v>
      </c>
      <c r="U807" s="103"/>
    </row>
    <row r="808" spans="2:21">
      <c r="B808" t="str">
        <f>""</f>
        <v/>
      </c>
      <c r="C808" s="255" t="s">
        <v>4319</v>
      </c>
      <c r="E808" t="str">
        <f>""</f>
        <v/>
      </c>
      <c r="F808" s="263" t="s">
        <v>4393</v>
      </c>
      <c r="H808" t="str">
        <f>""</f>
        <v/>
      </c>
      <c r="I808" s="263" t="s">
        <v>4317</v>
      </c>
      <c r="L808" t="str">
        <f>""</f>
        <v/>
      </c>
      <c r="M808" s="263" t="s">
        <v>4317</v>
      </c>
      <c r="U808" s="103"/>
    </row>
    <row r="809" spans="2:21">
      <c r="B809" t="str">
        <f>""</f>
        <v/>
      </c>
      <c r="C809" s="255" t="s">
        <v>4403</v>
      </c>
      <c r="E809" t="str">
        <f>""</f>
        <v/>
      </c>
      <c r="F809" s="263" t="s">
        <v>4317</v>
      </c>
      <c r="H809" t="str">
        <f>""</f>
        <v/>
      </c>
      <c r="I809" s="263" t="s">
        <v>4318</v>
      </c>
      <c r="L809" t="str">
        <f>""</f>
        <v/>
      </c>
      <c r="M809" s="263" t="s">
        <v>4318</v>
      </c>
      <c r="U809" s="103"/>
    </row>
    <row r="810" spans="2:21">
      <c r="B810" t="str">
        <f>""</f>
        <v/>
      </c>
      <c r="C810" s="255" t="s">
        <v>4404</v>
      </c>
      <c r="E810" t="str">
        <f>""</f>
        <v/>
      </c>
      <c r="F810" s="263" t="s">
        <v>4318</v>
      </c>
      <c r="H810" t="str">
        <f>""</f>
        <v/>
      </c>
      <c r="I810" s="263" t="s">
        <v>4317</v>
      </c>
      <c r="L810" t="str">
        <f>""</f>
        <v/>
      </c>
      <c r="M810" s="263" t="s">
        <v>4316</v>
      </c>
      <c r="U810" s="103"/>
    </row>
    <row r="811" spans="2:21">
      <c r="B811" t="str">
        <f>""</f>
        <v/>
      </c>
      <c r="C811" s="255" t="s">
        <v>4405</v>
      </c>
      <c r="E811" t="str">
        <f>""</f>
        <v/>
      </c>
      <c r="F811" s="263" t="s">
        <v>4317</v>
      </c>
      <c r="H811" t="str">
        <f>""</f>
        <v/>
      </c>
      <c r="I811" s="263" t="s">
        <v>4318</v>
      </c>
      <c r="L811" t="str">
        <f>""</f>
        <v/>
      </c>
      <c r="M811" s="263" t="s">
        <v>4315</v>
      </c>
      <c r="U811" s="103"/>
    </row>
    <row r="812" spans="2:21">
      <c r="B812" t="str">
        <f>""</f>
        <v/>
      </c>
      <c r="C812" s="255" t="s">
        <v>4315</v>
      </c>
      <c r="E812" t="str">
        <f>""</f>
        <v/>
      </c>
      <c r="F812" s="263" t="s">
        <v>4317</v>
      </c>
      <c r="H812" t="str">
        <f>""</f>
        <v/>
      </c>
      <c r="I812" s="263" t="s">
        <v>4316</v>
      </c>
      <c r="L812" t="str">
        <f>""</f>
        <v/>
      </c>
      <c r="M812" s="263" t="s">
        <v>4402</v>
      </c>
      <c r="U812" s="103"/>
    </row>
    <row r="813" spans="2:21">
      <c r="B813" t="str">
        <f>""</f>
        <v/>
      </c>
      <c r="C813" s="255" t="str">
        <f>CONCATENATE(CHAR(34),"name",CHAR(34),": ",CHAR(34), wld_az1_first_compute_rack_overlay_network_pool_name_output,CHAR(34),",")</f>
        <v>"name": "0",</v>
      </c>
      <c r="E813" t="str">
        <f>""</f>
        <v/>
      </c>
      <c r="F813" s="263" t="s">
        <v>4319</v>
      </c>
      <c r="H813" t="str">
        <f>""</f>
        <v/>
      </c>
      <c r="I813" s="263" t="s">
        <v>4315</v>
      </c>
      <c r="L813" t="str">
        <f>""</f>
        <v/>
      </c>
      <c r="M813" s="263" t="e">
        <f ca="1">CONCATENATE(CHAR(34),"name",CHAR(34),": ",CHAR(34),wld_az1_third_compute_rack_overlay_network_profile_name_output,CHAR(34),",")</f>
        <v>#N/A</v>
      </c>
      <c r="U813" s="103"/>
    </row>
    <row r="814" spans="2:21">
      <c r="B814" t="str">
        <f>""</f>
        <v/>
      </c>
      <c r="C814" s="255" t="s">
        <v>4406</v>
      </c>
      <c r="E814" t="str">
        <f>""</f>
        <v/>
      </c>
      <c r="F814" s="263" t="s">
        <v>4394</v>
      </c>
      <c r="H814" t="str">
        <f>""</f>
        <v/>
      </c>
      <c r="I814" s="263" t="s">
        <v>4402</v>
      </c>
      <c r="L814" t="str">
        <f>""</f>
        <v/>
      </c>
      <c r="M814" s="263" t="s">
        <v>4396</v>
      </c>
      <c r="U814" s="103"/>
    </row>
    <row r="815" spans="2:21">
      <c r="B815" t="str">
        <f>""</f>
        <v/>
      </c>
      <c r="C815" s="255" t="s">
        <v>4315</v>
      </c>
      <c r="E815" t="str">
        <f>""</f>
        <v/>
      </c>
      <c r="F815" s="263" t="s">
        <v>4315</v>
      </c>
      <c r="H815" t="str">
        <f>""</f>
        <v/>
      </c>
      <c r="I815" s="263" t="e">
        <f ca="1">CONCATENATE(CHAR(34),"name",CHAR(34),": ",CHAR(34),wld_az1_third_compute_rack_overlay_network_profile_name_output,CHAR(34),",")</f>
        <v>#N/A</v>
      </c>
      <c r="L815" t="str">
        <f>""</f>
        <v/>
      </c>
      <c r="M815" s="263" t="s">
        <v>4315</v>
      </c>
      <c r="U815" s="103"/>
    </row>
    <row r="816" spans="2:21">
      <c r="B816" t="str">
        <f>""</f>
        <v/>
      </c>
      <c r="C816" s="255" t="str">
        <f>CONCATENATE(CHAR(34),"cidr",CHAR(34),": ",CHAR(34), wld_az1_first_compute_rack_host_overlay_cidr_output,CHAR(34),",")</f>
        <v>"cidr": "0",</v>
      </c>
      <c r="E816" t="str">
        <f>""</f>
        <v/>
      </c>
      <c r="F816" s="263" t="s">
        <v>4395</v>
      </c>
      <c r="H816" t="str">
        <f>""</f>
        <v/>
      </c>
      <c r="I816" s="263" t="s">
        <v>4396</v>
      </c>
      <c r="L816" t="str">
        <f>""</f>
        <v/>
      </c>
      <c r="M816" s="263" t="e">
        <f ca="1">CONCATENATE(CHAR(34),"ipAddressPoolName",CHAR(34),": ",CHAR(34), wld_az1_third_compute_rack_overlay_network_pool_name_output,CHAR(34),",")</f>
        <v>#N/A</v>
      </c>
      <c r="U816" s="103"/>
    </row>
    <row r="817" spans="2:21">
      <c r="B817" t="str">
        <f>""</f>
        <v/>
      </c>
      <c r="C817" s="255" t="str">
        <f>CONCATENATE(CHAR(34),"gateway",CHAR(34),": ",CHAR(34), wld_az1_first_compute_rack_host_overlay_gateway_output,CHAR(34),",")</f>
        <v>"gateway": "0",</v>
      </c>
      <c r="E817" t="str">
        <f>""</f>
        <v/>
      </c>
      <c r="F817" s="263" t="str">
        <f>CONCATENATE(CHAR(34),"name",CHAR(34),": ",CHAR(34),wld_az1_first_compute_rack_overlay_network_profile_name_output,CHAR(34),",")</f>
        <v>"name": "0",</v>
      </c>
      <c r="H817" t="str">
        <f>""</f>
        <v/>
      </c>
      <c r="I817" s="263" t="s">
        <v>4315</v>
      </c>
      <c r="L817" t="str">
        <f>""</f>
        <v/>
      </c>
      <c r="M817" s="263" t="e">
        <f ca="1">CONCATENATE(CHAR(34),"uplinkProfileName",CHAR(34),": ",CHAR(34), wld_az1_third_compute_rack_host_overlay_uplink_profile_name_output,CHAR(34),",")</f>
        <v>#N/A</v>
      </c>
      <c r="U817" s="103"/>
    </row>
    <row r="818" spans="2:21">
      <c r="B818" t="str">
        <f>""</f>
        <v/>
      </c>
      <c r="C818" s="255" t="s">
        <v>4407</v>
      </c>
      <c r="E818" t="str">
        <f>""</f>
        <v/>
      </c>
      <c r="F818" s="263" t="s">
        <v>4396</v>
      </c>
      <c r="H818" t="str">
        <f>""</f>
        <v/>
      </c>
      <c r="I818" s="263" t="e">
        <f ca="1">CONCATENATE(CHAR(34),"ipAddressPoolName",CHAR(34),": ",CHAR(34), wld_az1_third_compute_rack_overlay_network_pool_name_output,CHAR(34),",")</f>
        <v>#N/A</v>
      </c>
      <c r="L818" t="str">
        <f>""</f>
        <v/>
      </c>
      <c r="M818" s="263" t="str">
        <f>CONCATENATE(CHAR(34),"vdsName",CHAR(34),": ",CHAR(34), wld_cl01_vds02_name,CHAR(34),",")</f>
        <v>"vdsName": "Value Missing",</v>
      </c>
      <c r="U818" s="103"/>
    </row>
    <row r="819" spans="2:21">
      <c r="B819" t="str">
        <f>""</f>
        <v/>
      </c>
      <c r="C819" s="255" t="s">
        <v>4315</v>
      </c>
      <c r="E819" t="str">
        <f>""</f>
        <v/>
      </c>
      <c r="F819" s="263" t="s">
        <v>4315</v>
      </c>
      <c r="H819" t="str">
        <f>""</f>
        <v/>
      </c>
      <c r="I819" s="263" t="e">
        <f ca="1">CONCATENATE(CHAR(34),"uplinkProfileName",CHAR(34),": ",CHAR(34), wld_az1_third_compute_rack_host_overlay_uplink_profile_name_output,CHAR(34),",")</f>
        <v>#N/A</v>
      </c>
      <c r="L819" t="str">
        <f>""</f>
        <v/>
      </c>
      <c r="M819" s="263" t="s">
        <v>4397</v>
      </c>
      <c r="U819" s="103"/>
    </row>
    <row r="820" spans="2:21">
      <c r="B820" t="str">
        <f>""</f>
        <v/>
      </c>
      <c r="C820" s="255" t="str">
        <f>CONCATENATE(CHAR(34),"start",CHAR(34),": ",CHAR(34), wld_az1_first_compute_rack_host_overlay_start_ip_output,CHAR(34),",")</f>
        <v>"start": "0",</v>
      </c>
      <c r="E820" t="str">
        <f>""</f>
        <v/>
      </c>
      <c r="F820" s="263" t="str">
        <f>CONCATENATE(CHAR(34),"ipAddressPoolName",CHAR(34),": ",CHAR(34), wld_az1_first_compute_rack_overlay_network_pool_name_output,CHAR(34),",")</f>
        <v>"ipAddressPoolName": "0",</v>
      </c>
      <c r="H820" t="str">
        <f>""</f>
        <v/>
      </c>
      <c r="I820" s="263" t="str">
        <f>CONCATENATE(CHAR(34),"vdsName",CHAR(34),": ",CHAR(34), wld_cl01_vds01_name,CHAR(34),",")</f>
        <v>"vdsName": "Value Missing",</v>
      </c>
      <c r="L820" t="str">
        <f>""</f>
        <v/>
      </c>
      <c r="M820" s="263" t="s">
        <v>4315</v>
      </c>
      <c r="U820" s="103"/>
    </row>
    <row r="821" spans="2:21">
      <c r="B821" t="str">
        <f>""</f>
        <v/>
      </c>
      <c r="C821" s="255" t="str">
        <f>CONCATENATE(CHAR(34),"end",CHAR(34),": ",CHAR(34), wld_az1_first_compute_rack_host_overlay_end_ip_output,CHAR(34))</f>
        <v>"end": "0"</v>
      </c>
      <c r="E821" t="str">
        <f>""</f>
        <v/>
      </c>
      <c r="F821" s="263" t="str">
        <f>CONCATENATE(CHAR(34),"uplinkProfileName",CHAR(34),": ",CHAR(34), wld_az1_first_compute_rack_host_overlay_uplink_profile_name_output,CHAR(34),",")</f>
        <v>"uplinkProfileName": "0",</v>
      </c>
      <c r="H821" t="str">
        <f>""</f>
        <v/>
      </c>
      <c r="I821" s="263" t="s">
        <v>4397</v>
      </c>
      <c r="L821" t="str">
        <f>""</f>
        <v/>
      </c>
      <c r="M821" s="263" t="s">
        <v>4398</v>
      </c>
      <c r="U821" s="103"/>
    </row>
    <row r="822" spans="2:21">
      <c r="B822" t="str">
        <f>""</f>
        <v/>
      </c>
      <c r="C822" s="255" t="s">
        <v>4317</v>
      </c>
      <c r="E822" t="str">
        <f>""</f>
        <v/>
      </c>
      <c r="F822" s="263" t="str">
        <f>CONCATENATE(CHAR(34),"vdsName",CHAR(34),": ",CHAR(34), wld_cl01_vds03_name,CHAR(34),",")</f>
        <v>"vdsName": "Value Missing",</v>
      </c>
      <c r="H822" t="str">
        <f>""</f>
        <v/>
      </c>
      <c r="I822" s="263" t="s">
        <v>4315</v>
      </c>
      <c r="L822" t="str">
        <f>""</f>
        <v/>
      </c>
      <c r="M822" s="263" t="s">
        <v>4399</v>
      </c>
      <c r="U822" s="103"/>
    </row>
    <row r="823" spans="2:21">
      <c r="B823" t="str">
        <f>""</f>
        <v/>
      </c>
      <c r="C823" s="255" t="s">
        <v>4318</v>
      </c>
      <c r="E823" t="str">
        <f>""</f>
        <v/>
      </c>
      <c r="F823" s="263" t="s">
        <v>4397</v>
      </c>
      <c r="H823" t="str">
        <f>""</f>
        <v/>
      </c>
      <c r="I823" s="263" t="s">
        <v>4398</v>
      </c>
      <c r="L823" t="str">
        <f>""</f>
        <v/>
      </c>
      <c r="M823" s="263" t="s">
        <v>4316</v>
      </c>
      <c r="U823" s="103"/>
    </row>
    <row r="824" spans="2:21">
      <c r="B824" t="str">
        <f>""</f>
        <v/>
      </c>
      <c r="C824" s="255" t="s">
        <v>4317</v>
      </c>
      <c r="E824" t="str">
        <f>""</f>
        <v/>
      </c>
      <c r="F824" s="263" t="s">
        <v>4315</v>
      </c>
      <c r="H824" t="str">
        <f>""</f>
        <v/>
      </c>
      <c r="I824" s="263" t="s">
        <v>4399</v>
      </c>
      <c r="L824" t="str">
        <f>""</f>
        <v/>
      </c>
      <c r="M824" s="263" t="s">
        <v>4315</v>
      </c>
      <c r="U824" s="103"/>
    </row>
    <row r="825" spans="2:21">
      <c r="B825" t="str">
        <f>""</f>
        <v/>
      </c>
      <c r="C825" s="255" t="s">
        <v>4318</v>
      </c>
      <c r="E825" t="str">
        <f>""</f>
        <v/>
      </c>
      <c r="F825" s="263" t="s">
        <v>4398</v>
      </c>
      <c r="H825" t="str">
        <f>""</f>
        <v/>
      </c>
      <c r="I825" s="263" t="s">
        <v>4316</v>
      </c>
      <c r="L825" t="str">
        <f>""</f>
        <v/>
      </c>
      <c r="M825" s="263" t="s">
        <v>4400</v>
      </c>
      <c r="U825" s="103"/>
    </row>
    <row r="826" spans="2:21">
      <c r="B826" t="str">
        <f>""</f>
        <v/>
      </c>
      <c r="C826" s="255" t="s">
        <v>4316</v>
      </c>
      <c r="E826" t="str">
        <f>""</f>
        <v/>
      </c>
      <c r="F826" s="263" t="s">
        <v>4399</v>
      </c>
      <c r="H826" t="str">
        <f>""</f>
        <v/>
      </c>
      <c r="I826" s="263" t="s">
        <v>4315</v>
      </c>
      <c r="L826" t="str">
        <f>""</f>
        <v/>
      </c>
      <c r="M826" s="263" t="s">
        <v>4401</v>
      </c>
      <c r="U826" s="103"/>
    </row>
    <row r="827" spans="2:21">
      <c r="B827" t="str">
        <f>""</f>
        <v/>
      </c>
      <c r="C827" s="255" t="s">
        <v>4315</v>
      </c>
      <c r="E827" t="str">
        <f>""</f>
        <v/>
      </c>
      <c r="F827" s="263" t="s">
        <v>4316</v>
      </c>
      <c r="H827" t="str">
        <f>""</f>
        <v/>
      </c>
      <c r="I827" s="263" t="s">
        <v>4400</v>
      </c>
      <c r="L827" t="str">
        <f>""</f>
        <v/>
      </c>
      <c r="M827" s="263" t="s">
        <v>4317</v>
      </c>
      <c r="U827" s="103"/>
    </row>
    <row r="828" spans="2:21">
      <c r="B828" t="str">
        <f>""</f>
        <v/>
      </c>
      <c r="C828" s="255" t="e">
        <f ca="1">CONCATENATE(CHAR(34),"name",CHAR(34),": ",CHAR(34), wld_az1_second_compute_rack_overlay_network_pool_name_output,CHAR(34),",")</f>
        <v>#N/A</v>
      </c>
      <c r="E828" t="str">
        <f>""</f>
        <v/>
      </c>
      <c r="F828" s="263" t="s">
        <v>4315</v>
      </c>
      <c r="H828" t="str">
        <f>""</f>
        <v/>
      </c>
      <c r="I828" s="263" t="s">
        <v>4401</v>
      </c>
      <c r="L828" t="str">
        <f>""</f>
        <v/>
      </c>
      <c r="M828" s="263" t="s">
        <v>4318</v>
      </c>
      <c r="U828" s="103"/>
    </row>
    <row r="829" spans="2:21">
      <c r="B829" t="str">
        <f>""</f>
        <v/>
      </c>
      <c r="C829" s="255" t="s">
        <v>4406</v>
      </c>
      <c r="E829" t="str">
        <f>""</f>
        <v/>
      </c>
      <c r="F829" s="263" t="s">
        <v>4400</v>
      </c>
      <c r="H829" t="str">
        <f>""</f>
        <v/>
      </c>
      <c r="I829" s="263" t="s">
        <v>4317</v>
      </c>
      <c r="L829" t="str">
        <f>""</f>
        <v/>
      </c>
      <c r="M829" s="263" t="s">
        <v>4317</v>
      </c>
      <c r="U829" s="103"/>
    </row>
    <row r="830" spans="2:21">
      <c r="B830" t="str">
        <f>""</f>
        <v/>
      </c>
      <c r="C830" s="255" t="s">
        <v>4315</v>
      </c>
      <c r="E830" t="str">
        <f>""</f>
        <v/>
      </c>
      <c r="F830" s="263" t="s">
        <v>4401</v>
      </c>
      <c r="H830" t="str">
        <f>""</f>
        <v/>
      </c>
      <c r="I830" s="263" t="s">
        <v>4318</v>
      </c>
      <c r="L830" t="str">
        <f>""</f>
        <v/>
      </c>
      <c r="M830" s="263" t="s">
        <v>4318</v>
      </c>
      <c r="U830" s="103"/>
    </row>
    <row r="831" spans="2:21">
      <c r="B831" t="str">
        <f>""</f>
        <v/>
      </c>
      <c r="C831" s="255" t="e">
        <f ca="1">CONCATENATE(CHAR(34),"cidr",CHAR(34),": ",CHAR(34), wld_az1_second_compute_rack_host_overlay_cidr_output,CHAR(34),",")</f>
        <v>#N/A</v>
      </c>
      <c r="E831" t="str">
        <f>""</f>
        <v/>
      </c>
      <c r="F831" s="263" t="s">
        <v>4317</v>
      </c>
      <c r="H831" t="str">
        <f>""</f>
        <v/>
      </c>
      <c r="I831" s="263" t="s">
        <v>4317</v>
      </c>
      <c r="L831" t="str">
        <f>""</f>
        <v/>
      </c>
      <c r="M831" s="263" t="s">
        <v>4316</v>
      </c>
      <c r="U831" s="103"/>
    </row>
    <row r="832" spans="2:21">
      <c r="B832" t="str">
        <f>""</f>
        <v/>
      </c>
      <c r="C832" s="255" t="e">
        <f ca="1">CONCATENATE(CHAR(34),"gateway",CHAR(34),": ",CHAR(34), wld_az1_second_compute_rack_host_overlay_gateway_output,CHAR(34),",")</f>
        <v>#N/A</v>
      </c>
      <c r="E832" t="str">
        <f>""</f>
        <v/>
      </c>
      <c r="F832" s="263" t="s">
        <v>4318</v>
      </c>
      <c r="H832" t="str">
        <f>""</f>
        <v/>
      </c>
      <c r="I832" s="263" t="s">
        <v>4318</v>
      </c>
      <c r="L832" t="str">
        <f>""</f>
        <v/>
      </c>
      <c r="M832" s="263" t="s">
        <v>4315</v>
      </c>
      <c r="U832" s="103"/>
    </row>
    <row r="833" spans="2:21">
      <c r="B833" t="str">
        <f>""</f>
        <v/>
      </c>
      <c r="C833" s="255" t="s">
        <v>4407</v>
      </c>
      <c r="E833" t="str">
        <f>""</f>
        <v/>
      </c>
      <c r="F833" s="263" t="s">
        <v>4317</v>
      </c>
      <c r="H833" t="str">
        <f>""</f>
        <v/>
      </c>
      <c r="I833" s="263" t="s">
        <v>4316</v>
      </c>
      <c r="L833" t="str">
        <f>""</f>
        <v/>
      </c>
      <c r="M833" s="263" t="s">
        <v>4402</v>
      </c>
      <c r="U833" s="103"/>
    </row>
    <row r="834" spans="2:21">
      <c r="B834" t="str">
        <f>""</f>
        <v/>
      </c>
      <c r="C834" s="255" t="s">
        <v>4315</v>
      </c>
      <c r="E834" t="str">
        <f>""</f>
        <v/>
      </c>
      <c r="F834" s="263" t="s">
        <v>4318</v>
      </c>
      <c r="H834" t="str">
        <f>""</f>
        <v/>
      </c>
      <c r="I834" s="263" t="s">
        <v>4315</v>
      </c>
      <c r="L834" t="str">
        <f>""</f>
        <v/>
      </c>
      <c r="M834" s="263" t="e">
        <f ca="1">CONCATENATE(CHAR(34),"name",CHAR(34),": ",CHAR(34),wld_az1_fourth_compute_rack_overlay_network_profile_name_output,CHAR(34),",")</f>
        <v>#N/A</v>
      </c>
      <c r="U834" s="103"/>
    </row>
    <row r="835" spans="2:21">
      <c r="B835" t="str">
        <f>""</f>
        <v/>
      </c>
      <c r="C835" s="255" t="e">
        <f ca="1">CONCATENATE(CHAR(34),"start",CHAR(34),": ",CHAR(34), wld_az1_second_compute_rack_host_overlay_start_ip_output,CHAR(34),",")</f>
        <v>#N/A</v>
      </c>
      <c r="E835" t="str">
        <f>""</f>
        <v/>
      </c>
      <c r="F835" s="263" t="s">
        <v>4316</v>
      </c>
      <c r="H835" t="str">
        <f>""</f>
        <v/>
      </c>
      <c r="I835" s="263" t="s">
        <v>4402</v>
      </c>
      <c r="L835" t="str">
        <f>""</f>
        <v/>
      </c>
      <c r="M835" s="263" t="s">
        <v>4396</v>
      </c>
      <c r="U835" s="103"/>
    </row>
    <row r="836" spans="2:21">
      <c r="B836" t="str">
        <f>""</f>
        <v/>
      </c>
      <c r="C836" s="255" t="e">
        <f ca="1">CONCATENATE(CHAR(34),"end",CHAR(34),": ",CHAR(34), wld_az1_second_compute_rack_host_overlay_end_ip_output,CHAR(34))</f>
        <v>#N/A</v>
      </c>
      <c r="E836" t="str">
        <f>""</f>
        <v/>
      </c>
      <c r="F836" s="263" t="s">
        <v>4315</v>
      </c>
      <c r="H836" t="str">
        <f>""</f>
        <v/>
      </c>
      <c r="I836" s="263" t="e">
        <f ca="1">CONCATENATE(CHAR(34),"name",CHAR(34),": ",CHAR(34),wld_az1_fourth_compute_rack_overlay_network_profile_name_output,CHAR(34),",")</f>
        <v>#N/A</v>
      </c>
      <c r="L836" t="str">
        <f>""</f>
        <v/>
      </c>
      <c r="M836" s="263" t="s">
        <v>4315</v>
      </c>
      <c r="U836" s="103"/>
    </row>
    <row r="837" spans="2:21">
      <c r="B837" t="str">
        <f>""</f>
        <v/>
      </c>
      <c r="C837" s="255" t="s">
        <v>4317</v>
      </c>
      <c r="E837" t="str">
        <f>""</f>
        <v/>
      </c>
      <c r="F837" s="263" t="s">
        <v>4402</v>
      </c>
      <c r="H837" t="str">
        <f>""</f>
        <v/>
      </c>
      <c r="I837" s="263" t="s">
        <v>4396</v>
      </c>
      <c r="L837" t="str">
        <f>""</f>
        <v/>
      </c>
      <c r="M837" s="263" t="e">
        <f ca="1">CONCATENATE(CHAR(34),"ipAddressPoolName",CHAR(34),": ",CHAR(34), wld_az1_fourth_compute_rack_overlay_network_pool_name_output,CHAR(34),",")</f>
        <v>#N/A</v>
      </c>
      <c r="U837" s="103"/>
    </row>
    <row r="838" spans="2:21">
      <c r="B838" t="str">
        <f>""</f>
        <v/>
      </c>
      <c r="C838" s="255" t="s">
        <v>4318</v>
      </c>
      <c r="E838" t="str">
        <f>""</f>
        <v/>
      </c>
      <c r="F838" s="263" t="e">
        <f ca="1">CONCATENATE(CHAR(34),"name",CHAR(34),": ",CHAR(34),wld_az1_second_compute_rack_overlay_network_profile_name_output,CHAR(34),",")</f>
        <v>#N/A</v>
      </c>
      <c r="H838" t="str">
        <f>""</f>
        <v/>
      </c>
      <c r="I838" s="263" t="s">
        <v>4315</v>
      </c>
      <c r="L838" t="str">
        <f>""</f>
        <v/>
      </c>
      <c r="M838" s="263" t="e">
        <f ca="1">CONCATENATE(CHAR(34),"uplinkProfileName",CHAR(34),": ",CHAR(34), wld_az1_fourth_compute_rack_host_overlay_uplink_profile_name_output,CHAR(34),",")</f>
        <v>#N/A</v>
      </c>
      <c r="U838" s="103"/>
    </row>
    <row r="839" spans="2:21">
      <c r="B839" t="str">
        <f>""</f>
        <v/>
      </c>
      <c r="C839" s="255" t="s">
        <v>4317</v>
      </c>
      <c r="E839" t="str">
        <f>""</f>
        <v/>
      </c>
      <c r="F839" s="263" t="s">
        <v>4396</v>
      </c>
      <c r="H839" t="str">
        <f>""</f>
        <v/>
      </c>
      <c r="I839" s="263" t="e">
        <f ca="1">CONCATENATE(CHAR(34),"ipAddressPoolName",CHAR(34),": ",CHAR(34), wld_az1_fourth_compute_rack_overlay_network_pool_name_output,CHAR(34),",")</f>
        <v>#N/A</v>
      </c>
      <c r="L839" t="str">
        <f>""</f>
        <v/>
      </c>
      <c r="M839" s="263" t="str">
        <f>CONCATENATE(CHAR(34),"vdsName",CHAR(34),": ",CHAR(34), wld_cl01_vds02_name,CHAR(34),",")</f>
        <v>"vdsName": "Value Missing",</v>
      </c>
      <c r="U839" s="103"/>
    </row>
    <row r="840" spans="2:21">
      <c r="B840" t="str">
        <f>""</f>
        <v/>
      </c>
      <c r="C840" s="255" t="s">
        <v>4318</v>
      </c>
      <c r="E840" t="str">
        <f>""</f>
        <v/>
      </c>
      <c r="F840" s="263" t="s">
        <v>4315</v>
      </c>
      <c r="H840" t="str">
        <f>""</f>
        <v/>
      </c>
      <c r="I840" s="263" t="e">
        <f ca="1">CONCATENATE(CHAR(34),"uplinkProfileName",CHAR(34),": ",CHAR(34), wld_az1_fourth_compute_rack_host_overlay_uplink_profile_name_output,CHAR(34),",")</f>
        <v>#N/A</v>
      </c>
      <c r="L840" t="str">
        <f>""</f>
        <v/>
      </c>
      <c r="M840" s="263" t="s">
        <v>4397</v>
      </c>
      <c r="U840" s="103"/>
    </row>
    <row r="841" spans="2:21">
      <c r="B841" t="str">
        <f>""</f>
        <v/>
      </c>
      <c r="C841" s="255" t="s">
        <v>4316</v>
      </c>
      <c r="E841" t="str">
        <f>""</f>
        <v/>
      </c>
      <c r="F841" s="263" t="e">
        <f ca="1">CONCATENATE(CHAR(34),"ipAddressPoolName",CHAR(34),": ",CHAR(34), wld_az1_second_compute_rack_overlay_network_pool_name_output,CHAR(34),",")</f>
        <v>#N/A</v>
      </c>
      <c r="H841" t="str">
        <f>""</f>
        <v/>
      </c>
      <c r="I841" s="263" t="str">
        <f>CONCATENATE(CHAR(34),"vdsName",CHAR(34),": ",CHAR(34), wld_cl01_vds01_name,CHAR(34),",")</f>
        <v>"vdsName": "Value Missing",</v>
      </c>
      <c r="L841" t="str">
        <f>""</f>
        <v/>
      </c>
      <c r="M841" s="263" t="s">
        <v>4315</v>
      </c>
      <c r="U841" s="103"/>
    </row>
    <row r="842" spans="2:21">
      <c r="B842" t="str">
        <f>""</f>
        <v/>
      </c>
      <c r="C842" s="255" t="s">
        <v>4315</v>
      </c>
      <c r="E842" t="str">
        <f>""</f>
        <v/>
      </c>
      <c r="F842" s="263" t="e">
        <f ca="1">CONCATENATE(CHAR(34),"uplinkProfileName",CHAR(34),": ",CHAR(34), wld_az1_second_compute_rack_host_overlay_uplink_profile_name_output,CHAR(34),",")</f>
        <v>#N/A</v>
      </c>
      <c r="H842" t="str">
        <f>""</f>
        <v/>
      </c>
      <c r="I842" s="263" t="s">
        <v>4397</v>
      </c>
      <c r="L842" t="str">
        <f>""</f>
        <v/>
      </c>
      <c r="M842" s="263" t="s">
        <v>4398</v>
      </c>
      <c r="U842" s="103"/>
    </row>
    <row r="843" spans="2:21">
      <c r="B843" t="str">
        <f>""</f>
        <v/>
      </c>
      <c r="C843" s="255" t="e">
        <f ca="1">CONCATENATE(CHAR(34),"name",CHAR(34),": ",CHAR(34), wld_az1_third_compute_rack_overlay_network_pool_name_output,CHAR(34),",")</f>
        <v>#N/A</v>
      </c>
      <c r="E843" t="str">
        <f>""</f>
        <v/>
      </c>
      <c r="F843" s="263" t="str">
        <f>CONCATENATE(CHAR(34),"vdsName",CHAR(34),": ",CHAR(34), wld_cl01_vds03_name,CHAR(34),",")</f>
        <v>"vdsName": "Value Missing",</v>
      </c>
      <c r="H843" t="str">
        <f>""</f>
        <v/>
      </c>
      <c r="I843" s="263" t="s">
        <v>4315</v>
      </c>
      <c r="L843" t="str">
        <f>""</f>
        <v/>
      </c>
      <c r="M843" s="263" t="s">
        <v>4399</v>
      </c>
      <c r="U843" s="103"/>
    </row>
    <row r="844" spans="2:21">
      <c r="B844" t="str">
        <f>""</f>
        <v/>
      </c>
      <c r="C844" s="255" t="s">
        <v>4406</v>
      </c>
      <c r="E844" t="str">
        <f>""</f>
        <v/>
      </c>
      <c r="F844" s="263" t="s">
        <v>4397</v>
      </c>
      <c r="H844" t="str">
        <f>""</f>
        <v/>
      </c>
      <c r="I844" s="263" t="s">
        <v>4398</v>
      </c>
      <c r="L844" t="str">
        <f>""</f>
        <v/>
      </c>
      <c r="M844" s="263" t="s">
        <v>4316</v>
      </c>
      <c r="U844" s="103"/>
    </row>
    <row r="845" spans="2:21">
      <c r="B845" t="str">
        <f>""</f>
        <v/>
      </c>
      <c r="C845" s="255" t="s">
        <v>4315</v>
      </c>
      <c r="E845" t="str">
        <f>""</f>
        <v/>
      </c>
      <c r="F845" s="263" t="s">
        <v>4315</v>
      </c>
      <c r="H845" t="str">
        <f>""</f>
        <v/>
      </c>
      <c r="I845" s="263" t="s">
        <v>4399</v>
      </c>
      <c r="L845" t="str">
        <f>""</f>
        <v/>
      </c>
      <c r="M845" s="263" t="s">
        <v>4315</v>
      </c>
      <c r="U845" s="103"/>
    </row>
    <row r="846" spans="2:21">
      <c r="B846" t="str">
        <f>""</f>
        <v/>
      </c>
      <c r="C846" s="255" t="e">
        <f ca="1">CONCATENATE(CHAR(34),"cidr",CHAR(34),": ",CHAR(34), wld_az1_third_compute_rack_host_overlay_cidr_output,CHAR(34),",")</f>
        <v>#N/A</v>
      </c>
      <c r="E846" t="str">
        <f>""</f>
        <v/>
      </c>
      <c r="F846" s="263" t="s">
        <v>4398</v>
      </c>
      <c r="H846" t="str">
        <f>""</f>
        <v/>
      </c>
      <c r="I846" s="263" t="s">
        <v>4316</v>
      </c>
      <c r="L846" t="str">
        <f>""</f>
        <v/>
      </c>
      <c r="M846" s="263" t="s">
        <v>4400</v>
      </c>
      <c r="U846" s="103"/>
    </row>
    <row r="847" spans="2:21">
      <c r="B847" t="str">
        <f>""</f>
        <v/>
      </c>
      <c r="C847" s="255" t="e">
        <f ca="1">CONCATENATE(CHAR(34),"gateway",CHAR(34),": ",CHAR(34), wld_az1_third_compute_rack_host_overlay_gateway_output,CHAR(34),",")</f>
        <v>#N/A</v>
      </c>
      <c r="E847" t="str">
        <f>""</f>
        <v/>
      </c>
      <c r="F847" s="263" t="s">
        <v>4399</v>
      </c>
      <c r="H847" t="str">
        <f>""</f>
        <v/>
      </c>
      <c r="I847" s="263" t="s">
        <v>4315</v>
      </c>
      <c r="L847" t="str">
        <f>""</f>
        <v/>
      </c>
      <c r="M847" s="263" t="s">
        <v>4401</v>
      </c>
      <c r="U847" s="103"/>
    </row>
    <row r="848" spans="2:21">
      <c r="B848" t="str">
        <f>""</f>
        <v/>
      </c>
      <c r="C848" s="255" t="s">
        <v>4407</v>
      </c>
      <c r="E848" t="str">
        <f>""</f>
        <v/>
      </c>
      <c r="F848" s="263" t="s">
        <v>4316</v>
      </c>
      <c r="H848" t="str">
        <f>""</f>
        <v/>
      </c>
      <c r="I848" s="263" t="s">
        <v>4400</v>
      </c>
      <c r="L848" t="str">
        <f>""</f>
        <v/>
      </c>
      <c r="M848" s="263" t="s">
        <v>4317</v>
      </c>
      <c r="U848" s="103"/>
    </row>
    <row r="849" spans="2:21">
      <c r="B849" t="str">
        <f>""</f>
        <v/>
      </c>
      <c r="C849" s="255" t="s">
        <v>4315</v>
      </c>
      <c r="E849" t="str">
        <f>""</f>
        <v/>
      </c>
      <c r="F849" s="263" t="s">
        <v>4315</v>
      </c>
      <c r="H849" t="str">
        <f>""</f>
        <v/>
      </c>
      <c r="I849" s="263" t="s">
        <v>4401</v>
      </c>
      <c r="L849" t="str">
        <f>""</f>
        <v/>
      </c>
      <c r="M849" s="263" t="s">
        <v>4318</v>
      </c>
      <c r="U849" s="103"/>
    </row>
    <row r="850" spans="2:21">
      <c r="B850" t="str">
        <f>""</f>
        <v/>
      </c>
      <c r="C850" s="255" t="e">
        <f ca="1">CONCATENATE(CHAR(34),"start",CHAR(34),": ",CHAR(34), wld_az1_third_compute_rack_host_overlay_start_ip_output,CHAR(34),",")</f>
        <v>#N/A</v>
      </c>
      <c r="E850" t="str">
        <f>""</f>
        <v/>
      </c>
      <c r="F850" s="263" t="s">
        <v>4400</v>
      </c>
      <c r="H850" t="str">
        <f>""</f>
        <v/>
      </c>
      <c r="I850" s="263" t="s">
        <v>4317</v>
      </c>
      <c r="L850" t="str">
        <f>""</f>
        <v/>
      </c>
      <c r="M850" s="263" t="s">
        <v>4317</v>
      </c>
      <c r="U850" s="103"/>
    </row>
    <row r="851" spans="2:21">
      <c r="B851" t="str">
        <f>""</f>
        <v/>
      </c>
      <c r="C851" s="255" t="e">
        <f ca="1">CONCATENATE(CHAR(34),"end",CHAR(34),": ",CHAR(34), wld_az1_third_compute_rack_host_overlay_end_ip_output,CHAR(34))</f>
        <v>#N/A</v>
      </c>
      <c r="E851" t="str">
        <f>""</f>
        <v/>
      </c>
      <c r="F851" s="263" t="s">
        <v>4401</v>
      </c>
      <c r="H851" t="str">
        <f>""</f>
        <v/>
      </c>
      <c r="I851" s="263" t="s">
        <v>4318</v>
      </c>
      <c r="L851" t="str">
        <f>""</f>
        <v/>
      </c>
      <c r="M851" s="263" t="s">
        <v>4318</v>
      </c>
      <c r="U851" s="103"/>
    </row>
    <row r="852" spans="2:21">
      <c r="B852" t="str">
        <f>""</f>
        <v/>
      </c>
      <c r="C852" s="255" t="s">
        <v>4317</v>
      </c>
      <c r="E852" t="str">
        <f>""</f>
        <v/>
      </c>
      <c r="F852" s="263" t="s">
        <v>4317</v>
      </c>
      <c r="H852" t="str">
        <f>""</f>
        <v/>
      </c>
      <c r="I852" s="263" t="s">
        <v>4317</v>
      </c>
      <c r="L852" t="str">
        <f>""</f>
        <v/>
      </c>
      <c r="M852" s="263" t="s">
        <v>4317</v>
      </c>
      <c r="U852" s="103"/>
    </row>
    <row r="853" spans="2:21">
      <c r="B853" t="str">
        <f>""</f>
        <v/>
      </c>
      <c r="C853" s="255" t="s">
        <v>4318</v>
      </c>
      <c r="E853" t="str">
        <f>""</f>
        <v/>
      </c>
      <c r="F853" s="263" t="s">
        <v>4318</v>
      </c>
      <c r="H853" t="str">
        <f>""</f>
        <v/>
      </c>
      <c r="I853" s="263" t="s">
        <v>4318</v>
      </c>
      <c r="L853" t="str">
        <f>""</f>
        <v/>
      </c>
      <c r="M853" s="263" t="s">
        <v>4319</v>
      </c>
      <c r="U853" s="103"/>
    </row>
    <row r="854" spans="2:21">
      <c r="B854" t="str">
        <f>""</f>
        <v/>
      </c>
      <c r="C854" s="255" t="s">
        <v>4317</v>
      </c>
      <c r="E854" t="str">
        <f>""</f>
        <v/>
      </c>
      <c r="F854" s="263" t="s">
        <v>4317</v>
      </c>
      <c r="H854" t="str">
        <f>""</f>
        <v/>
      </c>
      <c r="I854" s="263" t="s">
        <v>4317</v>
      </c>
      <c r="L854" t="str">
        <f>""</f>
        <v/>
      </c>
      <c r="M854" s="263" t="s">
        <v>4403</v>
      </c>
      <c r="U854" s="103"/>
    </row>
    <row r="855" spans="2:21">
      <c r="B855" t="str">
        <f>""</f>
        <v/>
      </c>
      <c r="C855" s="255" t="s">
        <v>4318</v>
      </c>
      <c r="E855" t="str">
        <f>""</f>
        <v/>
      </c>
      <c r="F855" s="263" t="s">
        <v>4318</v>
      </c>
      <c r="H855" t="str">
        <f>""</f>
        <v/>
      </c>
      <c r="I855" s="263" t="s">
        <v>4319</v>
      </c>
      <c r="L855" t="str">
        <f>""</f>
        <v/>
      </c>
      <c r="M855" s="263" t="s">
        <v>4404</v>
      </c>
      <c r="U855" s="103"/>
    </row>
    <row r="856" spans="2:21">
      <c r="B856" t="str">
        <f>""</f>
        <v/>
      </c>
      <c r="C856" s="255" t="s">
        <v>4316</v>
      </c>
      <c r="E856" t="str">
        <f>""</f>
        <v/>
      </c>
      <c r="F856" s="263" t="s">
        <v>4316</v>
      </c>
      <c r="H856" t="str">
        <f>""</f>
        <v/>
      </c>
      <c r="I856" s="263" t="s">
        <v>4403</v>
      </c>
      <c r="L856" t="str">
        <f>""</f>
        <v/>
      </c>
      <c r="M856" s="263" t="s">
        <v>4405</v>
      </c>
      <c r="U856" s="103"/>
    </row>
    <row r="857" spans="2:21">
      <c r="B857" t="str">
        <f>""</f>
        <v/>
      </c>
      <c r="C857" s="255" t="s">
        <v>4315</v>
      </c>
      <c r="E857" t="str">
        <f>""</f>
        <v/>
      </c>
      <c r="F857" s="263" t="s">
        <v>4315</v>
      </c>
      <c r="H857" t="str">
        <f>""</f>
        <v/>
      </c>
      <c r="I857" s="263" t="s">
        <v>4404</v>
      </c>
      <c r="L857" t="str">
        <f>""</f>
        <v/>
      </c>
      <c r="M857" s="263" t="s">
        <v>4315</v>
      </c>
      <c r="U857" s="103"/>
    </row>
    <row r="858" spans="2:21">
      <c r="B858" t="str">
        <f>""</f>
        <v/>
      </c>
      <c r="C858" s="255" t="e">
        <f ca="1">CONCATENATE(CHAR(34),"name",CHAR(34),": ",CHAR(34), wld_az1_fourth_compute_rack_overlay_network_pool_name_output,CHAR(34),",")</f>
        <v>#N/A</v>
      </c>
      <c r="E858" t="str">
        <f>""</f>
        <v/>
      </c>
      <c r="F858" s="263" t="s">
        <v>4402</v>
      </c>
      <c r="H858" t="str">
        <f>""</f>
        <v/>
      </c>
      <c r="I858" s="263" t="s">
        <v>4405</v>
      </c>
      <c r="L858" t="str">
        <f>""</f>
        <v/>
      </c>
      <c r="M858" s="263" t="str">
        <f>CONCATENATE(CHAR(34),"name",CHAR(34),": ",CHAR(34), wld_az1_first_compute_rack_overlay_network_pool_name_output,CHAR(34),",")</f>
        <v>"name": "0",</v>
      </c>
      <c r="U858" s="103"/>
    </row>
    <row r="859" spans="2:21">
      <c r="B859" t="str">
        <f>""</f>
        <v/>
      </c>
      <c r="C859" s="255" t="s">
        <v>4406</v>
      </c>
      <c r="E859" t="str">
        <f>""</f>
        <v/>
      </c>
      <c r="F859" s="263" t="e">
        <f ca="1">CONCATENATE(CHAR(34),"name",CHAR(34),": ",CHAR(34),wld_az1_third_compute_rack_overlay_network_profile_name_output,CHAR(34),",")</f>
        <v>#N/A</v>
      </c>
      <c r="H859" t="str">
        <f>""</f>
        <v/>
      </c>
      <c r="I859" s="263" t="s">
        <v>4315</v>
      </c>
      <c r="L859" t="str">
        <f>""</f>
        <v/>
      </c>
      <c r="M859" s="263" t="s">
        <v>4406</v>
      </c>
      <c r="U859" s="103"/>
    </row>
    <row r="860" spans="2:21">
      <c r="B860" t="str">
        <f>""</f>
        <v/>
      </c>
      <c r="C860" s="255" t="s">
        <v>4315</v>
      </c>
      <c r="E860" t="str">
        <f>""</f>
        <v/>
      </c>
      <c r="F860" s="263" t="s">
        <v>4396</v>
      </c>
      <c r="H860" t="str">
        <f>""</f>
        <v/>
      </c>
      <c r="I860" s="263" t="str">
        <f>CONCATENATE(CHAR(34),"name",CHAR(34),": ",CHAR(34), wld_az1_first_compute_rack_overlay_network_pool_name_output,CHAR(34),",")</f>
        <v>"name": "0",</v>
      </c>
      <c r="L860" t="str">
        <f>""</f>
        <v/>
      </c>
      <c r="M860" s="263" t="s">
        <v>4315</v>
      </c>
      <c r="U860" s="103"/>
    </row>
    <row r="861" spans="2:21">
      <c r="B861" t="str">
        <f>""</f>
        <v/>
      </c>
      <c r="C861" s="255" t="e">
        <f ca="1">CONCATENATE(CHAR(34),"cidr",CHAR(34),": ",CHAR(34), wld_az1_fourth_compute_rack_host_overlay_cidr_output,CHAR(34),",")</f>
        <v>#N/A</v>
      </c>
      <c r="E861" t="str">
        <f>""</f>
        <v/>
      </c>
      <c r="F861" s="263" t="s">
        <v>4315</v>
      </c>
      <c r="H861" t="str">
        <f>""</f>
        <v/>
      </c>
      <c r="I861" s="263" t="s">
        <v>4406</v>
      </c>
      <c r="L861" t="str">
        <f>""</f>
        <v/>
      </c>
      <c r="M861" s="263" t="str">
        <f>CONCATENATE(CHAR(34),"cidr",CHAR(34),": ",CHAR(34), wld_az1_first_compute_rack_host_overlay_cidr_output,CHAR(34),",")</f>
        <v>"cidr": "0",</v>
      </c>
      <c r="U861" s="103"/>
    </row>
    <row r="862" spans="2:21">
      <c r="B862" t="str">
        <f>""</f>
        <v/>
      </c>
      <c r="C862" s="255" t="e">
        <f ca="1">CONCATENATE(CHAR(34),"gateway",CHAR(34),": ",CHAR(34), wld_az1_fourth_compute_rack_host_overlay_gateway_output,CHAR(34),",")</f>
        <v>#N/A</v>
      </c>
      <c r="E862" t="str">
        <f>""</f>
        <v/>
      </c>
      <c r="F862" s="263" t="e">
        <f ca="1">CONCATENATE(CHAR(34),"ipAddressPoolName",CHAR(34),": ",CHAR(34), wld_az1_third_compute_rack_overlay_network_pool_name_output,CHAR(34),",")</f>
        <v>#N/A</v>
      </c>
      <c r="H862" t="str">
        <f>""</f>
        <v/>
      </c>
      <c r="I862" s="263" t="s">
        <v>4315</v>
      </c>
      <c r="L862" t="str">
        <f>""</f>
        <v/>
      </c>
      <c r="M862" s="263" t="str">
        <f>CONCATENATE(CHAR(34),"gateway",CHAR(34),": ",CHAR(34), wld_az1_first_compute_rack_host_overlay_gateway_output,CHAR(34),",")</f>
        <v>"gateway": "0",</v>
      </c>
      <c r="U862" s="103"/>
    </row>
    <row r="863" spans="2:21">
      <c r="B863" t="str">
        <f>""</f>
        <v/>
      </c>
      <c r="C863" s="255" t="s">
        <v>4407</v>
      </c>
      <c r="E863" t="str">
        <f>""</f>
        <v/>
      </c>
      <c r="F863" s="263" t="e">
        <f ca="1">CONCATENATE(CHAR(34),"uplinkProfileName",CHAR(34),": ",CHAR(34), wld_az1_third_compute_rack_host_overlay_uplink_profile_name_output,CHAR(34),",")</f>
        <v>#N/A</v>
      </c>
      <c r="H863" t="str">
        <f>""</f>
        <v/>
      </c>
      <c r="I863" s="263" t="str">
        <f>CONCATENATE(CHAR(34),"cidr",CHAR(34),": ",CHAR(34), wld_az1_first_compute_rack_host_overlay_cidr_output,CHAR(34),",")</f>
        <v>"cidr": "0",</v>
      </c>
      <c r="L863" t="str">
        <f>""</f>
        <v/>
      </c>
      <c r="M863" s="263" t="s">
        <v>4407</v>
      </c>
      <c r="U863" s="103"/>
    </row>
    <row r="864" spans="2:21">
      <c r="B864" t="str">
        <f>""</f>
        <v/>
      </c>
      <c r="C864" s="255" t="s">
        <v>4315</v>
      </c>
      <c r="E864" t="str">
        <f>""</f>
        <v/>
      </c>
      <c r="F864" s="263" t="str">
        <f>CONCATENATE(CHAR(34),"vdsName",CHAR(34),": ",CHAR(34), wld_cl01_vds03_name,CHAR(34),",")</f>
        <v>"vdsName": "Value Missing",</v>
      </c>
      <c r="H864" t="str">
        <f>""</f>
        <v/>
      </c>
      <c r="I864" s="263" t="str">
        <f>CONCATENATE(CHAR(34),"gateway",CHAR(34),": ",CHAR(34), wld_az1_first_compute_rack_host_overlay_gateway_output,CHAR(34),",")</f>
        <v>"gateway": "0",</v>
      </c>
      <c r="L864" t="str">
        <f>""</f>
        <v/>
      </c>
      <c r="M864" s="263" t="s">
        <v>4315</v>
      </c>
      <c r="U864" s="103"/>
    </row>
    <row r="865" spans="2:21">
      <c r="B865" t="str">
        <f>""</f>
        <v/>
      </c>
      <c r="C865" s="255" t="e">
        <f ca="1">CONCATENATE(CHAR(34),"start",CHAR(34),": ",CHAR(34), wld_az1_fourth_compute_rack_host_overlay_start_ip_output,CHAR(34),",")</f>
        <v>#N/A</v>
      </c>
      <c r="E865" t="str">
        <f>""</f>
        <v/>
      </c>
      <c r="F865" s="263" t="s">
        <v>4397</v>
      </c>
      <c r="H865" t="str">
        <f>""</f>
        <v/>
      </c>
      <c r="I865" s="263" t="s">
        <v>4407</v>
      </c>
      <c r="L865" t="str">
        <f>""</f>
        <v/>
      </c>
      <c r="M865" s="263" t="str">
        <f>CONCATENATE(CHAR(34),"start",CHAR(34),": ",CHAR(34), wld_az1_first_compute_rack_host_overlay_start_ip_output,CHAR(34),",")</f>
        <v>"start": "0",</v>
      </c>
      <c r="U865" s="103"/>
    </row>
    <row r="866" spans="2:21">
      <c r="B866" t="str">
        <f>""</f>
        <v/>
      </c>
      <c r="C866" s="255" t="e">
        <f ca="1">CONCATENATE(CHAR(34),"end",CHAR(34),": ",CHAR(34), wld_az1_fourth_compute_rack_host_overlay_end_ip_output,CHAR(34))</f>
        <v>#N/A</v>
      </c>
      <c r="E866" t="str">
        <f>""</f>
        <v/>
      </c>
      <c r="F866" s="263" t="s">
        <v>4315</v>
      </c>
      <c r="H866" t="str">
        <f>""</f>
        <v/>
      </c>
      <c r="I866" s="263" t="s">
        <v>4315</v>
      </c>
      <c r="L866" t="str">
        <f>""</f>
        <v/>
      </c>
      <c r="M866" s="263" t="str">
        <f>CONCATENATE(CHAR(34),"end",CHAR(34),": ",CHAR(34), wld_az1_first_compute_rack_host_overlay_end_ip_output,CHAR(34))</f>
        <v>"end": "0"</v>
      </c>
      <c r="U866" s="103"/>
    </row>
    <row r="867" spans="2:21">
      <c r="B867" t="str">
        <f>""</f>
        <v/>
      </c>
      <c r="C867" s="255" t="s">
        <v>4317</v>
      </c>
      <c r="E867" t="str">
        <f>""</f>
        <v/>
      </c>
      <c r="F867" s="263" t="s">
        <v>4398</v>
      </c>
      <c r="H867" t="str">
        <f>""</f>
        <v/>
      </c>
      <c r="I867" s="263" t="str">
        <f>CONCATENATE(CHAR(34),"start",CHAR(34),": ",CHAR(34), wld_az1_first_compute_rack_host_overlay_start_ip_output,CHAR(34),",")</f>
        <v>"start": "0",</v>
      </c>
      <c r="L867" t="str">
        <f>""</f>
        <v/>
      </c>
      <c r="M867" s="263" t="s">
        <v>4317</v>
      </c>
      <c r="U867" s="103"/>
    </row>
    <row r="868" spans="2:21">
      <c r="B868" t="str">
        <f>""</f>
        <v/>
      </c>
      <c r="C868" s="255" t="s">
        <v>4318</v>
      </c>
      <c r="E868" t="str">
        <f>""</f>
        <v/>
      </c>
      <c r="F868" s="263" t="s">
        <v>4399</v>
      </c>
      <c r="H868" t="str">
        <f>""</f>
        <v/>
      </c>
      <c r="I868" s="263" t="str">
        <f>CONCATENATE(CHAR(34),"end",CHAR(34),": ",CHAR(34), wld_az1_first_compute_rack_host_overlay_end_ip_output,CHAR(34))</f>
        <v>"end": "0"</v>
      </c>
      <c r="L868" t="str">
        <f>""</f>
        <v/>
      </c>
      <c r="M868" s="263" t="s">
        <v>4318</v>
      </c>
      <c r="U868" s="103"/>
    </row>
    <row r="869" spans="2:21">
      <c r="B869" t="str">
        <f>""</f>
        <v/>
      </c>
      <c r="C869" s="255" t="s">
        <v>4317</v>
      </c>
      <c r="E869" t="str">
        <f>""</f>
        <v/>
      </c>
      <c r="F869" s="263" t="s">
        <v>4316</v>
      </c>
      <c r="H869" t="str">
        <f>""</f>
        <v/>
      </c>
      <c r="I869" s="263" t="s">
        <v>4317</v>
      </c>
      <c r="L869" t="str">
        <f>""</f>
        <v/>
      </c>
      <c r="M869" s="263" t="s">
        <v>4317</v>
      </c>
      <c r="U869" s="103"/>
    </row>
    <row r="870" spans="2:21">
      <c r="B870" t="str">
        <f>""</f>
        <v/>
      </c>
      <c r="C870" s="255" t="s">
        <v>4318</v>
      </c>
      <c r="E870" t="str">
        <f>""</f>
        <v/>
      </c>
      <c r="F870" s="263" t="s">
        <v>4315</v>
      </c>
      <c r="H870" t="str">
        <f>""</f>
        <v/>
      </c>
      <c r="I870" s="263" t="s">
        <v>4318</v>
      </c>
      <c r="L870" t="str">
        <f>""</f>
        <v/>
      </c>
      <c r="M870" s="263" t="s">
        <v>4318</v>
      </c>
      <c r="U870" s="103"/>
    </row>
    <row r="871" spans="2:21">
      <c r="B871" t="str">
        <f>""</f>
        <v/>
      </c>
      <c r="C871" s="255" t="s">
        <v>4317</v>
      </c>
      <c r="E871" t="str">
        <f>""</f>
        <v/>
      </c>
      <c r="F871" s="263" t="s">
        <v>4400</v>
      </c>
      <c r="H871" t="str">
        <f>""</f>
        <v/>
      </c>
      <c r="I871" s="263" t="s">
        <v>4317</v>
      </c>
      <c r="L871" t="str">
        <f>""</f>
        <v/>
      </c>
      <c r="M871" s="263" t="s">
        <v>4316</v>
      </c>
      <c r="U871" s="103"/>
    </row>
    <row r="872" spans="2:21">
      <c r="B872" t="str">
        <f>""</f>
        <v/>
      </c>
      <c r="C872" s="255" t="s">
        <v>4319</v>
      </c>
      <c r="E872" t="str">
        <f>""</f>
        <v/>
      </c>
      <c r="F872" s="263" t="s">
        <v>4401</v>
      </c>
      <c r="H872" t="str">
        <f>""</f>
        <v/>
      </c>
      <c r="I872" s="263" t="s">
        <v>4318</v>
      </c>
      <c r="L872" t="str">
        <f>""</f>
        <v/>
      </c>
      <c r="M872" s="263" t="s">
        <v>4315</v>
      </c>
      <c r="U872" s="103"/>
    </row>
    <row r="873" spans="2:21">
      <c r="B873" t="str">
        <f>""</f>
        <v/>
      </c>
      <c r="C873" s="255" t="s">
        <v>4408</v>
      </c>
      <c r="E873" t="str">
        <f>""</f>
        <v/>
      </c>
      <c r="F873" s="263" t="s">
        <v>4317</v>
      </c>
      <c r="H873" t="str">
        <f>""</f>
        <v/>
      </c>
      <c r="I873" s="263" t="s">
        <v>4316</v>
      </c>
      <c r="L873" t="str">
        <f>""</f>
        <v/>
      </c>
      <c r="M873" s="263" t="e">
        <f ca="1">CONCATENATE(CHAR(34),"name",CHAR(34),": ",CHAR(34), wld_az1_second_compute_rack_overlay_network_pool_name_output,CHAR(34),",")</f>
        <v>#N/A</v>
      </c>
      <c r="U873" s="103"/>
    </row>
    <row r="874" spans="2:21">
      <c r="B874" t="str">
        <f>""</f>
        <v/>
      </c>
      <c r="C874" s="255" t="s">
        <v>4315</v>
      </c>
      <c r="E874" t="str">
        <f>""</f>
        <v/>
      </c>
      <c r="F874" s="263" t="s">
        <v>4318</v>
      </c>
      <c r="H874" t="str">
        <f>""</f>
        <v/>
      </c>
      <c r="I874" s="263" t="s">
        <v>4315</v>
      </c>
      <c r="L874" t="str">
        <f>""</f>
        <v/>
      </c>
      <c r="M874" s="263" t="s">
        <v>4406</v>
      </c>
      <c r="U874" s="103"/>
    </row>
    <row r="875" spans="2:21">
      <c r="B875" t="str">
        <f>""</f>
        <v/>
      </c>
      <c r="C875" s="255" t="str">
        <f>CONCATENATE(CHAR(34),"name",CHAR(34),": ",CHAR(34), wld_az1_first_compute_rack_host_overlay_uplink_profile_name_output,CHAR(34),",")</f>
        <v>"name": "0",</v>
      </c>
      <c r="E875" t="str">
        <f>""</f>
        <v/>
      </c>
      <c r="F875" s="263" t="s">
        <v>4317</v>
      </c>
      <c r="H875" t="str">
        <f>""</f>
        <v/>
      </c>
      <c r="I875" s="263" t="e">
        <f ca="1">CONCATENATE(CHAR(34),"name",CHAR(34),": ",CHAR(34), wld_az1_second_compute_rack_overlay_network_pool_name_output,CHAR(34),",")</f>
        <v>#N/A</v>
      </c>
      <c r="L875" t="str">
        <f>""</f>
        <v/>
      </c>
      <c r="M875" s="263" t="s">
        <v>4315</v>
      </c>
      <c r="U875" s="103"/>
    </row>
    <row r="876" spans="2:21">
      <c r="B876" t="str">
        <f>""</f>
        <v/>
      </c>
      <c r="C876" s="255" t="str">
        <f>CONCATENATE(CHAR(34),"transportVlan",CHAR(34),": ", wld_az1_first_compute_rack_host_overlay_vlan_output,",")</f>
        <v>"transportVlan": 0,</v>
      </c>
      <c r="E876" t="str">
        <f>""</f>
        <v/>
      </c>
      <c r="F876" s="263" t="s">
        <v>4318</v>
      </c>
      <c r="H876" t="str">
        <f>""</f>
        <v/>
      </c>
      <c r="I876" s="263" t="s">
        <v>4406</v>
      </c>
      <c r="L876" t="str">
        <f>""</f>
        <v/>
      </c>
      <c r="M876" s="263" t="e">
        <f ca="1">CONCATENATE(CHAR(34),"cidr",CHAR(34),": ",CHAR(34), wld_az1_second_compute_rack_host_overlay_cidr_output,CHAR(34),",")</f>
        <v>#N/A</v>
      </c>
      <c r="U876" s="103"/>
    </row>
    <row r="877" spans="2:21">
      <c r="B877" t="str">
        <f>""</f>
        <v/>
      </c>
      <c r="C877" s="255" t="s">
        <v>4409</v>
      </c>
      <c r="E877" t="str">
        <f>""</f>
        <v/>
      </c>
      <c r="F877" s="263" t="s">
        <v>4316</v>
      </c>
      <c r="H877" t="str">
        <f>""</f>
        <v/>
      </c>
      <c r="I877" s="263" t="s">
        <v>4315</v>
      </c>
      <c r="L877" t="str">
        <f>""</f>
        <v/>
      </c>
      <c r="M877" s="263" t="e">
        <f ca="1">CONCATENATE(CHAR(34),"gateway",CHAR(34),": ",CHAR(34), wld_az1_second_compute_rack_host_overlay_gateway_output,CHAR(34),",")</f>
        <v>#N/A</v>
      </c>
      <c r="U877" s="103"/>
    </row>
    <row r="878" spans="2:21">
      <c r="B878" t="str">
        <f>""</f>
        <v/>
      </c>
      <c r="C878" s="255" t="s">
        <v>4315</v>
      </c>
      <c r="E878" t="str">
        <f>""</f>
        <v/>
      </c>
      <c r="F878" s="263" t="s">
        <v>4315</v>
      </c>
      <c r="H878" t="str">
        <f>""</f>
        <v/>
      </c>
      <c r="I878" s="263" t="e">
        <f ca="1">CONCATENATE(CHAR(34),"cidr",CHAR(34),": ",CHAR(34), wld_az1_second_compute_rack_host_overlay_cidr_output,CHAR(34),",")</f>
        <v>#N/A</v>
      </c>
      <c r="L878" t="str">
        <f>""</f>
        <v/>
      </c>
      <c r="M878" s="263" t="s">
        <v>4407</v>
      </c>
      <c r="U878" s="103"/>
    </row>
    <row r="879" spans="2:21">
      <c r="B879" t="str">
        <f>""</f>
        <v/>
      </c>
      <c r="C879" s="255" t="s">
        <v>4410</v>
      </c>
      <c r="E879" t="str">
        <f>""</f>
        <v/>
      </c>
      <c r="F879" s="263" t="s">
        <v>4402</v>
      </c>
      <c r="H879" t="str">
        <f>""</f>
        <v/>
      </c>
      <c r="I879" s="263" t="e">
        <f ca="1">CONCATENATE(CHAR(34),"gateway",CHAR(34),": ",CHAR(34), wld_az1_second_compute_rack_host_overlay_gateway_output,CHAR(34),",")</f>
        <v>#N/A</v>
      </c>
      <c r="L879" t="str">
        <f>""</f>
        <v/>
      </c>
      <c r="M879" s="263" t="s">
        <v>4315</v>
      </c>
      <c r="U879" s="103"/>
    </row>
    <row r="880" spans="2:21">
      <c r="B880" t="str">
        <f>""</f>
        <v/>
      </c>
      <c r="C880" s="255" t="s">
        <v>4411</v>
      </c>
      <c r="E880" t="str">
        <f>""</f>
        <v/>
      </c>
      <c r="F880" s="263" t="e">
        <f ca="1">CONCATENATE(CHAR(34),"name",CHAR(34),": ",CHAR(34),wld_az1_fourth_compute_rack_overlay_network_profile_name_output,CHAR(34),",")</f>
        <v>#N/A</v>
      </c>
      <c r="H880" t="str">
        <f>""</f>
        <v/>
      </c>
      <c r="I880" s="263" t="s">
        <v>4407</v>
      </c>
      <c r="L880" t="str">
        <f>""</f>
        <v/>
      </c>
      <c r="M880" s="263" t="e">
        <f ca="1">CONCATENATE(CHAR(34),"start",CHAR(34),": ",CHAR(34), wld_az1_second_compute_rack_host_overlay_start_ip_output,CHAR(34),",")</f>
        <v>#N/A</v>
      </c>
      <c r="U880" s="103"/>
    </row>
    <row r="881" spans="2:21">
      <c r="B881" t="str">
        <f>""</f>
        <v/>
      </c>
      <c r="C881" s="255" t="s">
        <v>4383</v>
      </c>
      <c r="E881" t="str">
        <f>""</f>
        <v/>
      </c>
      <c r="F881" s="263" t="s">
        <v>4396</v>
      </c>
      <c r="H881" t="str">
        <f>""</f>
        <v/>
      </c>
      <c r="I881" s="263" t="s">
        <v>4315</v>
      </c>
      <c r="L881" t="str">
        <f>""</f>
        <v/>
      </c>
      <c r="M881" s="263" t="e">
        <f ca="1">CONCATENATE(CHAR(34),"end",CHAR(34),": ",CHAR(34), wld_az1_second_compute_rack_host_overlay_end_ip_output,CHAR(34))</f>
        <v>#N/A</v>
      </c>
      <c r="U881" s="103"/>
    </row>
    <row r="882" spans="2:21">
      <c r="B882" t="str">
        <f>""</f>
        <v/>
      </c>
      <c r="C882" s="255" t="s">
        <v>4385</v>
      </c>
      <c r="E882" t="str">
        <f>""</f>
        <v/>
      </c>
      <c r="F882" s="263" t="s">
        <v>4315</v>
      </c>
      <c r="H882" t="str">
        <f>""</f>
        <v/>
      </c>
      <c r="I882" s="263" t="e">
        <f ca="1">CONCATENATE(CHAR(34),"start",CHAR(34),": ",CHAR(34), wld_az1_second_compute_rack_host_overlay_start_ip_output,CHAR(34),",")</f>
        <v>#N/A</v>
      </c>
      <c r="L882" t="str">
        <f>""</f>
        <v/>
      </c>
      <c r="M882" s="263" t="s">
        <v>4317</v>
      </c>
      <c r="U882" s="103"/>
    </row>
    <row r="883" spans="2:21">
      <c r="B883" t="str">
        <f>""</f>
        <v/>
      </c>
      <c r="C883" s="255" t="s">
        <v>4386</v>
      </c>
      <c r="E883" t="str">
        <f>""</f>
        <v/>
      </c>
      <c r="F883" s="263" t="e">
        <f ca="1">CONCATENATE(CHAR(34),"ipAddressPoolName",CHAR(34),": ",CHAR(34), wld_az1_fourth_compute_rack_overlay_network_pool_name_output,CHAR(34),",")</f>
        <v>#N/A</v>
      </c>
      <c r="H883" t="str">
        <f>""</f>
        <v/>
      </c>
      <c r="I883" s="263" t="e">
        <f ca="1">CONCATENATE(CHAR(34),"end",CHAR(34),": ",CHAR(34), wld_az1_second_compute_rack_host_overlay_end_ip_output,CHAR(34))</f>
        <v>#N/A</v>
      </c>
      <c r="L883" t="str">
        <f>""</f>
        <v/>
      </c>
      <c r="M883" s="263" t="s">
        <v>4318</v>
      </c>
      <c r="U883" s="103"/>
    </row>
    <row r="884" spans="2:21">
      <c r="B884" t="str">
        <f>""</f>
        <v/>
      </c>
      <c r="C884" s="255" t="s">
        <v>4320</v>
      </c>
      <c r="E884" t="str">
        <f>""</f>
        <v/>
      </c>
      <c r="F884" s="263" t="e">
        <f ca="1">CONCATENATE(CHAR(34),"uplinkProfileName",CHAR(34),": ",CHAR(34), wld_az1_fourth_compute_rack_host_overlay_uplink_profile_name_output,CHAR(34),",")</f>
        <v>#N/A</v>
      </c>
      <c r="H884" t="str">
        <f>""</f>
        <v/>
      </c>
      <c r="I884" s="263" t="s">
        <v>4317</v>
      </c>
      <c r="L884" t="str">
        <f>""</f>
        <v/>
      </c>
      <c r="M884" s="263" t="s">
        <v>4317</v>
      </c>
      <c r="U884" s="103"/>
    </row>
    <row r="885" spans="2:21">
      <c r="B885" t="str">
        <f>""</f>
        <v/>
      </c>
      <c r="C885" s="255" t="s">
        <v>4318</v>
      </c>
      <c r="E885" t="str">
        <f>""</f>
        <v/>
      </c>
      <c r="F885" s="263" t="str">
        <f>CONCATENATE(CHAR(34),"vdsName",CHAR(34),": ",CHAR(34), wld_cl01_vds03_name,CHAR(34),",")</f>
        <v>"vdsName": "Value Missing",</v>
      </c>
      <c r="H885" t="str">
        <f>""</f>
        <v/>
      </c>
      <c r="I885" s="263" t="s">
        <v>4318</v>
      </c>
      <c r="L885" t="str">
        <f>""</f>
        <v/>
      </c>
      <c r="M885" s="263" t="s">
        <v>4318</v>
      </c>
      <c r="U885" s="103"/>
    </row>
    <row r="886" spans="2:21">
      <c r="B886" t="str">
        <f>""</f>
        <v/>
      </c>
      <c r="C886" s="255" t="s">
        <v>4317</v>
      </c>
      <c r="E886" t="str">
        <f>""</f>
        <v/>
      </c>
      <c r="F886" s="263" t="s">
        <v>4397</v>
      </c>
      <c r="H886" t="str">
        <f>""</f>
        <v/>
      </c>
      <c r="I886" s="263" t="s">
        <v>4317</v>
      </c>
      <c r="L886" t="str">
        <f>""</f>
        <v/>
      </c>
      <c r="M886" s="263" t="s">
        <v>4316</v>
      </c>
      <c r="U886" s="103"/>
    </row>
    <row r="887" spans="2:21">
      <c r="B887" t="str">
        <f>""</f>
        <v/>
      </c>
      <c r="C887" s="255" t="s">
        <v>4318</v>
      </c>
      <c r="E887" t="str">
        <f>""</f>
        <v/>
      </c>
      <c r="F887" s="263" t="s">
        <v>4315</v>
      </c>
      <c r="H887" t="str">
        <f>""</f>
        <v/>
      </c>
      <c r="I887" s="263" t="s">
        <v>4318</v>
      </c>
      <c r="L887" t="str">
        <f>""</f>
        <v/>
      </c>
      <c r="M887" s="263" t="s">
        <v>4315</v>
      </c>
      <c r="U887" s="103"/>
    </row>
    <row r="888" spans="2:21">
      <c r="B888" t="str">
        <f>""</f>
        <v/>
      </c>
      <c r="C888" s="255" t="s">
        <v>4316</v>
      </c>
      <c r="E888" t="str">
        <f>""</f>
        <v/>
      </c>
      <c r="F888" s="263" t="s">
        <v>4398</v>
      </c>
      <c r="H888" t="str">
        <f>""</f>
        <v/>
      </c>
      <c r="I888" s="263" t="s">
        <v>4316</v>
      </c>
      <c r="L888" t="str">
        <f>""</f>
        <v/>
      </c>
      <c r="M888" s="263" t="e">
        <f ca="1">CONCATENATE(CHAR(34),"name",CHAR(34),": ",CHAR(34), wld_az1_third_compute_rack_overlay_network_pool_name_output,CHAR(34),",")</f>
        <v>#N/A</v>
      </c>
      <c r="U888" s="103"/>
    </row>
    <row r="889" spans="2:21">
      <c r="B889" t="str">
        <f>""</f>
        <v/>
      </c>
      <c r="C889" s="255" t="s">
        <v>4315</v>
      </c>
      <c r="E889" t="str">
        <f>""</f>
        <v/>
      </c>
      <c r="F889" s="263" t="s">
        <v>4399</v>
      </c>
      <c r="H889" t="str">
        <f>""</f>
        <v/>
      </c>
      <c r="I889" s="263" t="s">
        <v>4315</v>
      </c>
      <c r="L889" t="str">
        <f>""</f>
        <v/>
      </c>
      <c r="M889" s="263" t="s">
        <v>4406</v>
      </c>
      <c r="U889" s="103"/>
    </row>
    <row r="890" spans="2:21">
      <c r="B890" t="str">
        <f>""</f>
        <v/>
      </c>
      <c r="C890" s="255" t="e">
        <f ca="1">CONCATENATE(CHAR(34),"name",CHAR(34),": ",CHAR(34), wld_az1_second_compute_rack_host_overlay_uplink_profile_name_output,CHAR(34),",")</f>
        <v>#N/A</v>
      </c>
      <c r="E890" t="str">
        <f>""</f>
        <v/>
      </c>
      <c r="F890" s="263" t="s">
        <v>4316</v>
      </c>
      <c r="H890" t="str">
        <f>""</f>
        <v/>
      </c>
      <c r="I890" s="263" t="e">
        <f ca="1">CONCATENATE(CHAR(34),"name",CHAR(34),": ",CHAR(34), wld_az1_third_compute_rack_overlay_network_pool_name_output,CHAR(34),",")</f>
        <v>#N/A</v>
      </c>
      <c r="L890" t="str">
        <f>""</f>
        <v/>
      </c>
      <c r="M890" s="263" t="s">
        <v>4315</v>
      </c>
      <c r="U890" s="103"/>
    </row>
    <row r="891" spans="2:21">
      <c r="B891" t="str">
        <f>""</f>
        <v/>
      </c>
      <c r="C891" s="255" t="e">
        <f ca="1">CONCATENATE(CHAR(34),"transportVlan",CHAR(34),": ",wld_az1_second_compute_rack_host_overlay_vlan_output,",")</f>
        <v>#N/A</v>
      </c>
      <c r="E891" t="str">
        <f>""</f>
        <v/>
      </c>
      <c r="F891" s="263" t="s">
        <v>4315</v>
      </c>
      <c r="H891" t="str">
        <f>""</f>
        <v/>
      </c>
      <c r="I891" s="263" t="s">
        <v>4406</v>
      </c>
      <c r="L891" t="str">
        <f>""</f>
        <v/>
      </c>
      <c r="M891" s="263" t="e">
        <f ca="1">CONCATENATE(CHAR(34),"cidr",CHAR(34),": ",CHAR(34), wld_az1_third_compute_rack_host_overlay_cidr_output,CHAR(34),",")</f>
        <v>#N/A</v>
      </c>
      <c r="U891" s="103"/>
    </row>
    <row r="892" spans="2:21">
      <c r="B892" t="str">
        <f>""</f>
        <v/>
      </c>
      <c r="C892" s="255" t="s">
        <v>4409</v>
      </c>
      <c r="E892" t="str">
        <f>""</f>
        <v/>
      </c>
      <c r="F892" s="263" t="s">
        <v>4400</v>
      </c>
      <c r="H892" t="str">
        <f>""</f>
        <v/>
      </c>
      <c r="I892" s="263" t="s">
        <v>4315</v>
      </c>
      <c r="L892" t="str">
        <f>""</f>
        <v/>
      </c>
      <c r="M892" s="263" t="e">
        <f ca="1">CONCATENATE(CHAR(34),"gateway",CHAR(34),": ",CHAR(34), wld_az1_third_compute_rack_host_overlay_gateway_output,CHAR(34),",")</f>
        <v>#N/A</v>
      </c>
      <c r="U892" s="103"/>
    </row>
    <row r="893" spans="2:21">
      <c r="B893" t="str">
        <f>""</f>
        <v/>
      </c>
      <c r="C893" s="255" t="s">
        <v>4315</v>
      </c>
      <c r="E893" t="str">
        <f>""</f>
        <v/>
      </c>
      <c r="F893" s="263" t="s">
        <v>4401</v>
      </c>
      <c r="H893" t="str">
        <f>""</f>
        <v/>
      </c>
      <c r="I893" s="263" t="e">
        <f ca="1">CONCATENATE(CHAR(34),"cidr",CHAR(34),": ",CHAR(34), wld_az1_third_compute_rack_host_overlay_cidr_output,CHAR(34),",")</f>
        <v>#N/A</v>
      </c>
      <c r="L893" t="str">
        <f>""</f>
        <v/>
      </c>
      <c r="M893" s="263" t="s">
        <v>4407</v>
      </c>
      <c r="U893" s="103"/>
    </row>
    <row r="894" spans="2:21">
      <c r="B894" t="str">
        <f>""</f>
        <v/>
      </c>
      <c r="C894" s="255" t="s">
        <v>4410</v>
      </c>
      <c r="E894" t="str">
        <f>""</f>
        <v/>
      </c>
      <c r="F894" s="263" t="s">
        <v>4317</v>
      </c>
      <c r="H894" t="str">
        <f>""</f>
        <v/>
      </c>
      <c r="I894" s="263" t="e">
        <f ca="1">CONCATENATE(CHAR(34),"gateway",CHAR(34),": ",CHAR(34), wld_az1_third_compute_rack_host_overlay_gateway_output,CHAR(34),",")</f>
        <v>#N/A</v>
      </c>
      <c r="L894" t="str">
        <f>""</f>
        <v/>
      </c>
      <c r="M894" s="263" t="s">
        <v>4315</v>
      </c>
      <c r="U894" s="103"/>
    </row>
    <row r="895" spans="2:21">
      <c r="B895" t="str">
        <f>""</f>
        <v/>
      </c>
      <c r="C895" s="255" t="s">
        <v>4411</v>
      </c>
      <c r="E895" t="str">
        <f>""</f>
        <v/>
      </c>
      <c r="F895" s="263" t="s">
        <v>4318</v>
      </c>
      <c r="H895" t="str">
        <f>""</f>
        <v/>
      </c>
      <c r="I895" s="263" t="s">
        <v>4407</v>
      </c>
      <c r="L895" t="str">
        <f>""</f>
        <v/>
      </c>
      <c r="M895" s="263" t="e">
        <f ca="1">CONCATENATE(CHAR(34),"start",CHAR(34),": ",CHAR(34), wld_az1_third_compute_rack_host_overlay_start_ip_output,CHAR(34),",")</f>
        <v>#N/A</v>
      </c>
      <c r="U895" s="103"/>
    </row>
    <row r="896" spans="2:21">
      <c r="B896" t="str">
        <f>""</f>
        <v/>
      </c>
      <c r="C896" s="255" t="s">
        <v>4383</v>
      </c>
      <c r="E896" t="str">
        <f>""</f>
        <v/>
      </c>
      <c r="F896" s="263" t="s">
        <v>4317</v>
      </c>
      <c r="H896" t="str">
        <f>""</f>
        <v/>
      </c>
      <c r="I896" s="263" t="s">
        <v>4315</v>
      </c>
      <c r="L896" t="str">
        <f>""</f>
        <v/>
      </c>
      <c r="M896" s="263" t="e">
        <f ca="1">CONCATENATE(CHAR(34),"end",CHAR(34),": ",CHAR(34), wld_az1_third_compute_rack_host_overlay_end_ip_output,CHAR(34))</f>
        <v>#N/A</v>
      </c>
      <c r="U896" s="103"/>
    </row>
    <row r="897" spans="2:21">
      <c r="B897" t="str">
        <f>""</f>
        <v/>
      </c>
      <c r="C897" s="255" t="s">
        <v>4385</v>
      </c>
      <c r="E897" t="str">
        <f>""</f>
        <v/>
      </c>
      <c r="F897" s="263" t="s">
        <v>4318</v>
      </c>
      <c r="H897" t="str">
        <f>""</f>
        <v/>
      </c>
      <c r="I897" s="263" t="e">
        <f ca="1">CONCATENATE(CHAR(34),"start",CHAR(34),": ",CHAR(34), wld_az1_third_compute_rack_host_overlay_start_ip_output,CHAR(34),",")</f>
        <v>#N/A</v>
      </c>
      <c r="L897" t="str">
        <f>""</f>
        <v/>
      </c>
      <c r="M897" s="263" t="s">
        <v>4317</v>
      </c>
      <c r="U897" s="103"/>
    </row>
    <row r="898" spans="2:21">
      <c r="B898" t="str">
        <f>""</f>
        <v/>
      </c>
      <c r="C898" s="255" t="s">
        <v>4386</v>
      </c>
      <c r="E898" t="str">
        <f>""</f>
        <v/>
      </c>
      <c r="F898" s="263" t="s">
        <v>4317</v>
      </c>
      <c r="H898" t="str">
        <f>""</f>
        <v/>
      </c>
      <c r="I898" s="263" t="e">
        <f ca="1">CONCATENATE(CHAR(34),"end",CHAR(34),": ",CHAR(34), wld_az1_third_compute_rack_host_overlay_end_ip_output,CHAR(34))</f>
        <v>#N/A</v>
      </c>
      <c r="L898" t="str">
        <f>""</f>
        <v/>
      </c>
      <c r="M898" s="263" t="s">
        <v>4318</v>
      </c>
      <c r="U898" s="103"/>
    </row>
    <row r="899" spans="2:21">
      <c r="B899" t="str">
        <f>""</f>
        <v/>
      </c>
      <c r="C899" s="255" t="s">
        <v>4320</v>
      </c>
      <c r="E899" t="str">
        <f>""</f>
        <v/>
      </c>
      <c r="F899" s="263" t="s">
        <v>4319</v>
      </c>
      <c r="H899" t="str">
        <f>""</f>
        <v/>
      </c>
      <c r="I899" s="263" t="s">
        <v>4317</v>
      </c>
      <c r="L899" t="str">
        <f>""</f>
        <v/>
      </c>
      <c r="M899" s="263" t="s">
        <v>4317</v>
      </c>
      <c r="U899" s="103"/>
    </row>
    <row r="900" spans="2:21">
      <c r="B900" t="str">
        <f>""</f>
        <v/>
      </c>
      <c r="C900" s="255" t="s">
        <v>4318</v>
      </c>
      <c r="E900" t="str">
        <f>""</f>
        <v/>
      </c>
      <c r="F900" s="263" t="s">
        <v>4403</v>
      </c>
      <c r="H900" t="str">
        <f>""</f>
        <v/>
      </c>
      <c r="I900" s="263" t="s">
        <v>4318</v>
      </c>
      <c r="L900" t="str">
        <f>""</f>
        <v/>
      </c>
      <c r="M900" s="263" t="s">
        <v>4318</v>
      </c>
      <c r="U900" s="103"/>
    </row>
    <row r="901" spans="2:21">
      <c r="B901" t="str">
        <f>""</f>
        <v/>
      </c>
      <c r="C901" s="255" t="s">
        <v>4317</v>
      </c>
      <c r="E901" t="str">
        <f>""</f>
        <v/>
      </c>
      <c r="F901" s="263" t="s">
        <v>4404</v>
      </c>
      <c r="H901" t="str">
        <f>""</f>
        <v/>
      </c>
      <c r="I901" s="263" t="s">
        <v>4317</v>
      </c>
      <c r="L901" t="str">
        <f>""</f>
        <v/>
      </c>
      <c r="M901" s="263" t="s">
        <v>4316</v>
      </c>
      <c r="U901" s="103"/>
    </row>
    <row r="902" spans="2:21">
      <c r="B902" t="str">
        <f>""</f>
        <v/>
      </c>
      <c r="C902" s="255" t="s">
        <v>4318</v>
      </c>
      <c r="E902" t="str">
        <f>""</f>
        <v/>
      </c>
      <c r="F902" s="263" t="s">
        <v>4405</v>
      </c>
      <c r="H902" t="str">
        <f>""</f>
        <v/>
      </c>
      <c r="I902" s="263" t="s">
        <v>4318</v>
      </c>
      <c r="L902" t="str">
        <f>""</f>
        <v/>
      </c>
      <c r="M902" s="263" t="s">
        <v>4315</v>
      </c>
      <c r="U902" s="103"/>
    </row>
    <row r="903" spans="2:21">
      <c r="B903" t="str">
        <f>""</f>
        <v/>
      </c>
      <c r="C903" s="255" t="s">
        <v>4316</v>
      </c>
      <c r="E903" t="str">
        <f>""</f>
        <v/>
      </c>
      <c r="F903" s="263" t="s">
        <v>4315</v>
      </c>
      <c r="H903" t="str">
        <f>""</f>
        <v/>
      </c>
      <c r="I903" s="263" t="s">
        <v>4316</v>
      </c>
      <c r="L903" t="str">
        <f>""</f>
        <v/>
      </c>
      <c r="M903" s="263" t="e">
        <f ca="1">CONCATENATE(CHAR(34),"name",CHAR(34),": ",CHAR(34), wld_az1_fourth_compute_rack_overlay_network_pool_name_output,CHAR(34),",")</f>
        <v>#N/A</v>
      </c>
      <c r="U903" s="103"/>
    </row>
    <row r="904" spans="2:21">
      <c r="B904" t="str">
        <f>""</f>
        <v/>
      </c>
      <c r="C904" s="255" t="s">
        <v>4315</v>
      </c>
      <c r="E904" t="str">
        <f>""</f>
        <v/>
      </c>
      <c r="F904" s="263" t="str">
        <f>CONCATENATE(CHAR(34),"name",CHAR(34),": ",CHAR(34), wld_az1_first_compute_rack_overlay_network_pool_name_output,CHAR(34),",")</f>
        <v>"name": "0",</v>
      </c>
      <c r="H904" t="str">
        <f>""</f>
        <v/>
      </c>
      <c r="I904" s="263" t="s">
        <v>4315</v>
      </c>
      <c r="L904" t="str">
        <f>""</f>
        <v/>
      </c>
      <c r="M904" s="263" t="s">
        <v>4406</v>
      </c>
      <c r="U904" s="103"/>
    </row>
    <row r="905" spans="2:21">
      <c r="B905" t="str">
        <f>""</f>
        <v/>
      </c>
      <c r="C905" s="255" t="e">
        <f ca="1">CONCATENATE(CHAR(34),"name",CHAR(34),": ",CHAR(34), wld_az1_third_compute_rack_host_overlay_uplink_profile_name_output,CHAR(34),",")</f>
        <v>#N/A</v>
      </c>
      <c r="E905" t="str">
        <f>""</f>
        <v/>
      </c>
      <c r="F905" s="263" t="s">
        <v>4406</v>
      </c>
      <c r="H905" t="str">
        <f>""</f>
        <v/>
      </c>
      <c r="I905" s="263" t="e">
        <f ca="1">CONCATENATE(CHAR(34),"name",CHAR(34),": ",CHAR(34), wld_az1_fourth_compute_rack_overlay_network_pool_name_output,CHAR(34),",")</f>
        <v>#N/A</v>
      </c>
      <c r="L905" t="str">
        <f>""</f>
        <v/>
      </c>
      <c r="M905" s="263" t="s">
        <v>4315</v>
      </c>
      <c r="U905" s="103"/>
    </row>
    <row r="906" spans="2:21">
      <c r="B906" t="str">
        <f>""</f>
        <v/>
      </c>
      <c r="C906" s="255" t="e">
        <f ca="1">CONCATENATE(CHAR(34),"transportVlan",CHAR(34),": ",wld_az1_third_compute_rack_host_overlay_vlan_output,",")</f>
        <v>#N/A</v>
      </c>
      <c r="E906" t="str">
        <f>""</f>
        <v/>
      </c>
      <c r="F906" s="263" t="s">
        <v>4315</v>
      </c>
      <c r="H906" t="str">
        <f>""</f>
        <v/>
      </c>
      <c r="I906" s="263" t="s">
        <v>4406</v>
      </c>
      <c r="L906" t="str">
        <f>""</f>
        <v/>
      </c>
      <c r="M906" s="263" t="e">
        <f ca="1">CONCATENATE(CHAR(34),"cidr",CHAR(34),": ",CHAR(34), wld_az1_fourth_compute_rack_host_overlay_cidr_output,CHAR(34),",")</f>
        <v>#N/A</v>
      </c>
      <c r="U906" s="103"/>
    </row>
    <row r="907" spans="2:21">
      <c r="B907" t="str">
        <f>""</f>
        <v/>
      </c>
      <c r="C907" s="255" t="s">
        <v>4409</v>
      </c>
      <c r="E907" t="str">
        <f>""</f>
        <v/>
      </c>
      <c r="F907" s="263" t="str">
        <f>CONCATENATE(CHAR(34),"cidr",CHAR(34),": ",CHAR(34), wld_az1_first_compute_rack_host_overlay_cidr_output,CHAR(34),",")</f>
        <v>"cidr": "0",</v>
      </c>
      <c r="H907" t="str">
        <f>""</f>
        <v/>
      </c>
      <c r="I907" s="263" t="s">
        <v>4315</v>
      </c>
      <c r="L907" t="str">
        <f>""</f>
        <v/>
      </c>
      <c r="M907" s="263" t="e">
        <f ca="1">CONCATENATE(CHAR(34),"gateway",CHAR(34),": ",CHAR(34), wld_az1_fourth_compute_rack_host_overlay_gateway_output,CHAR(34),",")</f>
        <v>#N/A</v>
      </c>
      <c r="U907" s="103"/>
    </row>
    <row r="908" spans="2:21">
      <c r="B908" t="str">
        <f>""</f>
        <v/>
      </c>
      <c r="C908" s="255" t="s">
        <v>4315</v>
      </c>
      <c r="E908" t="str">
        <f>""</f>
        <v/>
      </c>
      <c r="F908" s="263" t="str">
        <f>CONCATENATE(CHAR(34),"gateway",CHAR(34),": ",CHAR(34), wld_az1_first_compute_rack_host_overlay_gateway_output,CHAR(34),",")</f>
        <v>"gateway": "0",</v>
      </c>
      <c r="H908" t="str">
        <f>""</f>
        <v/>
      </c>
      <c r="I908" s="263" t="e">
        <f ca="1">CONCATENATE(CHAR(34),"cidr",CHAR(34),": ",CHAR(34), wld_az1_fourth_compute_rack_host_overlay_cidr_output,CHAR(34),",")</f>
        <v>#N/A</v>
      </c>
      <c r="L908" t="str">
        <f>""</f>
        <v/>
      </c>
      <c r="M908" s="263" t="s">
        <v>4407</v>
      </c>
      <c r="U908" s="103"/>
    </row>
    <row r="909" spans="2:21">
      <c r="B909" t="str">
        <f>""</f>
        <v/>
      </c>
      <c r="C909" s="255" t="s">
        <v>4410</v>
      </c>
      <c r="E909" t="str">
        <f>""</f>
        <v/>
      </c>
      <c r="F909" s="263" t="s">
        <v>4407</v>
      </c>
      <c r="H909" t="str">
        <f>""</f>
        <v/>
      </c>
      <c r="I909" s="263" t="e">
        <f ca="1">CONCATENATE(CHAR(34),"gateway",CHAR(34),": ",CHAR(34), wld_az1_fourth_compute_rack_host_overlay_gateway_output,CHAR(34),",")</f>
        <v>#N/A</v>
      </c>
      <c r="L909" t="str">
        <f>""</f>
        <v/>
      </c>
      <c r="M909" s="263" t="s">
        <v>4315</v>
      </c>
      <c r="U909" s="103"/>
    </row>
    <row r="910" spans="2:21">
      <c r="B910" t="str">
        <f>""</f>
        <v/>
      </c>
      <c r="C910" s="255" t="s">
        <v>4411</v>
      </c>
      <c r="E910" t="str">
        <f>""</f>
        <v/>
      </c>
      <c r="F910" s="263" t="s">
        <v>4315</v>
      </c>
      <c r="H910" t="str">
        <f>""</f>
        <v/>
      </c>
      <c r="I910" s="263" t="s">
        <v>4407</v>
      </c>
      <c r="L910" t="str">
        <f>""</f>
        <v/>
      </c>
      <c r="M910" s="263" t="e">
        <f ca="1">CONCATENATE(CHAR(34),"start",CHAR(34),": ",CHAR(34), wld_az1_fourth_compute_rack_host_overlay_start_ip_output,CHAR(34),",")</f>
        <v>#N/A</v>
      </c>
      <c r="U910" s="103"/>
    </row>
    <row r="911" spans="2:21">
      <c r="B911" t="str">
        <f>""</f>
        <v/>
      </c>
      <c r="C911" s="255" t="s">
        <v>4383</v>
      </c>
      <c r="E911" t="str">
        <f>""</f>
        <v/>
      </c>
      <c r="F911" s="263" t="str">
        <f>CONCATENATE(CHAR(34),"start",CHAR(34),": ",CHAR(34), wld_az1_first_compute_rack_host_overlay_start_ip_output,CHAR(34),",")</f>
        <v>"start": "0",</v>
      </c>
      <c r="H911" t="str">
        <f>""</f>
        <v/>
      </c>
      <c r="I911" s="263" t="s">
        <v>4315</v>
      </c>
      <c r="L911" t="str">
        <f>""</f>
        <v/>
      </c>
      <c r="M911" s="263" t="e">
        <f ca="1">CONCATENATE(CHAR(34),"end",CHAR(34),": ",CHAR(34), wld_az1_fourth_compute_rack_host_overlay_end_ip_output,CHAR(34))</f>
        <v>#N/A</v>
      </c>
      <c r="U911" s="103"/>
    </row>
    <row r="912" spans="2:21">
      <c r="B912" t="str">
        <f>""</f>
        <v/>
      </c>
      <c r="C912" s="255" t="s">
        <v>4385</v>
      </c>
      <c r="E912" t="str">
        <f>""</f>
        <v/>
      </c>
      <c r="F912" s="263" t="str">
        <f>CONCATENATE(CHAR(34),"end",CHAR(34),": ",CHAR(34), wld_az1_first_compute_rack_host_overlay_end_ip_output,CHAR(34))</f>
        <v>"end": "0"</v>
      </c>
      <c r="H912" t="str">
        <f>""</f>
        <v/>
      </c>
      <c r="I912" s="263" t="e">
        <f ca="1">CONCATENATE(CHAR(34),"start",CHAR(34),": ",CHAR(34), wld_az1_fourth_compute_rack_host_overlay_start_ip_output,CHAR(34),",")</f>
        <v>#N/A</v>
      </c>
      <c r="L912" t="str">
        <f>""</f>
        <v/>
      </c>
      <c r="M912" s="263" t="s">
        <v>4317</v>
      </c>
      <c r="U912" s="103"/>
    </row>
    <row r="913" spans="2:21">
      <c r="B913" t="str">
        <f>""</f>
        <v/>
      </c>
      <c r="C913" s="255" t="s">
        <v>4386</v>
      </c>
      <c r="E913" t="str">
        <f>""</f>
        <v/>
      </c>
      <c r="F913" s="263" t="s">
        <v>4317</v>
      </c>
      <c r="H913" t="str">
        <f>""</f>
        <v/>
      </c>
      <c r="I913" s="263" t="e">
        <f ca="1">CONCATENATE(CHAR(34),"end",CHAR(34),": ",CHAR(34), wld_az1_fourth_compute_rack_host_overlay_end_ip_output,CHAR(34))</f>
        <v>#N/A</v>
      </c>
      <c r="L913" t="str">
        <f>""</f>
        <v/>
      </c>
      <c r="M913" s="263" t="s">
        <v>4318</v>
      </c>
      <c r="U913" s="103"/>
    </row>
    <row r="914" spans="2:21">
      <c r="B914" t="str">
        <f>""</f>
        <v/>
      </c>
      <c r="C914" s="255" t="s">
        <v>4320</v>
      </c>
      <c r="E914" t="str">
        <f>""</f>
        <v/>
      </c>
      <c r="F914" s="263" t="s">
        <v>4318</v>
      </c>
      <c r="H914" t="str">
        <f>""</f>
        <v/>
      </c>
      <c r="I914" s="263" t="s">
        <v>4317</v>
      </c>
      <c r="L914" t="str">
        <f>""</f>
        <v/>
      </c>
      <c r="M914" s="263" t="s">
        <v>4317</v>
      </c>
      <c r="U914" s="103"/>
    </row>
    <row r="915" spans="2:21">
      <c r="B915" t="str">
        <f>""</f>
        <v/>
      </c>
      <c r="C915" s="255" t="s">
        <v>4318</v>
      </c>
      <c r="E915" t="str">
        <f>""</f>
        <v/>
      </c>
      <c r="F915" s="263" t="s">
        <v>4317</v>
      </c>
      <c r="H915" t="str">
        <f>""</f>
        <v/>
      </c>
      <c r="I915" s="263" t="s">
        <v>4318</v>
      </c>
      <c r="L915" t="str">
        <f>""</f>
        <v/>
      </c>
      <c r="M915" s="263" t="s">
        <v>4318</v>
      </c>
      <c r="U915" s="103"/>
    </row>
    <row r="916" spans="2:21">
      <c r="B916" t="str">
        <f>""</f>
        <v/>
      </c>
      <c r="C916" s="255" t="s">
        <v>4317</v>
      </c>
      <c r="E916" t="str">
        <f>""</f>
        <v/>
      </c>
      <c r="F916" s="263" t="s">
        <v>4318</v>
      </c>
      <c r="H916" t="str">
        <f>""</f>
        <v/>
      </c>
      <c r="I916" s="263" t="s">
        <v>4317</v>
      </c>
      <c r="L916" t="str">
        <f>""</f>
        <v/>
      </c>
      <c r="M916" s="263" t="s">
        <v>4317</v>
      </c>
      <c r="U916" s="103"/>
    </row>
    <row r="917" spans="2:21">
      <c r="B917" t="str">
        <f>""</f>
        <v/>
      </c>
      <c r="C917" s="255" t="s">
        <v>4318</v>
      </c>
      <c r="E917" t="str">
        <f>""</f>
        <v/>
      </c>
      <c r="F917" s="263" t="s">
        <v>4316</v>
      </c>
      <c r="H917" t="str">
        <f>""</f>
        <v/>
      </c>
      <c r="I917" s="263" t="s">
        <v>4318</v>
      </c>
      <c r="L917" t="str">
        <f>""</f>
        <v/>
      </c>
      <c r="M917" s="263" t="s">
        <v>4319</v>
      </c>
      <c r="U917" s="103"/>
    </row>
    <row r="918" spans="2:21">
      <c r="B918" t="str">
        <f>""</f>
        <v/>
      </c>
      <c r="C918" s="255" t="s">
        <v>4316</v>
      </c>
      <c r="E918" t="str">
        <f>""</f>
        <v/>
      </c>
      <c r="F918" s="263" t="s">
        <v>4315</v>
      </c>
      <c r="H918" t="str">
        <f>""</f>
        <v/>
      </c>
      <c r="I918" s="263" t="s">
        <v>4317</v>
      </c>
      <c r="L918" t="str">
        <f>""</f>
        <v/>
      </c>
      <c r="M918" s="263" t="s">
        <v>4408</v>
      </c>
      <c r="U918" s="103"/>
    </row>
    <row r="919" spans="2:21">
      <c r="B919" t="str">
        <f>""</f>
        <v/>
      </c>
      <c r="C919" s="255" t="s">
        <v>4315</v>
      </c>
      <c r="E919" t="str">
        <f>""</f>
        <v/>
      </c>
      <c r="F919" s="263" t="e">
        <f ca="1">CONCATENATE(CHAR(34),"name",CHAR(34),": ",CHAR(34), wld_az1_second_compute_rack_overlay_network_pool_name_output,CHAR(34),",")</f>
        <v>#N/A</v>
      </c>
      <c r="H919" t="str">
        <f>""</f>
        <v/>
      </c>
      <c r="I919" s="263" t="s">
        <v>4319</v>
      </c>
      <c r="L919" t="str">
        <f>""</f>
        <v/>
      </c>
      <c r="M919" s="263" t="s">
        <v>4315</v>
      </c>
      <c r="U919" s="103"/>
    </row>
    <row r="920" spans="2:21">
      <c r="B920" t="str">
        <f>""</f>
        <v/>
      </c>
      <c r="C920" s="255" t="e">
        <f ca="1">CONCATENATE(CHAR(34),"name",CHAR(34),": ",CHAR(34), wld_az1_fourth_compute_rack_host_overlay_uplink_profile_name_output,CHAR(34),",")</f>
        <v>#N/A</v>
      </c>
      <c r="E920" t="str">
        <f>""</f>
        <v/>
      </c>
      <c r="F920" s="263" t="s">
        <v>4406</v>
      </c>
      <c r="H920" t="str">
        <f>""</f>
        <v/>
      </c>
      <c r="I920" s="263" t="s">
        <v>4408</v>
      </c>
      <c r="L920" t="str">
        <f>""</f>
        <v/>
      </c>
      <c r="M920" s="263" t="str">
        <f>CONCATENATE(CHAR(34),"name",CHAR(34),": ",CHAR(34), wld_az1_first_compute_rack_host_overlay_uplink_profile_name_output,CHAR(34),",")</f>
        <v>"name": "0",</v>
      </c>
      <c r="U920" s="103"/>
    </row>
    <row r="921" spans="2:21">
      <c r="B921" t="str">
        <f>""</f>
        <v/>
      </c>
      <c r="C921" s="255" t="e">
        <f ca="1">CONCATENATE(CHAR(34),"transportVlan",CHAR(34),": ",wld_az1_fourth_compute_rack_host_overlay_vlan_output,",")</f>
        <v>#N/A</v>
      </c>
      <c r="E921" t="str">
        <f>""</f>
        <v/>
      </c>
      <c r="F921" s="263" t="s">
        <v>4315</v>
      </c>
      <c r="H921" t="str">
        <f>""</f>
        <v/>
      </c>
      <c r="I921" s="263" t="s">
        <v>4315</v>
      </c>
      <c r="L921" t="str">
        <f>""</f>
        <v/>
      </c>
      <c r="M921" s="263" t="str">
        <f>CONCATENATE(CHAR(34),"transportVlan",CHAR(34),": ", wld_az1_first_compute_rack_host_overlay_vlan_output,",")</f>
        <v>"transportVlan": 0,</v>
      </c>
      <c r="U921" s="103"/>
    </row>
    <row r="922" spans="2:21">
      <c r="B922" t="str">
        <f>""</f>
        <v/>
      </c>
      <c r="C922" s="255" t="s">
        <v>4409</v>
      </c>
      <c r="E922" t="str">
        <f>""</f>
        <v/>
      </c>
      <c r="F922" s="263" t="e">
        <f ca="1">CONCATENATE(CHAR(34),"cidr",CHAR(34),": ",CHAR(34), wld_az1_second_compute_rack_host_overlay_cidr_output,CHAR(34),",")</f>
        <v>#N/A</v>
      </c>
      <c r="H922" t="str">
        <f>""</f>
        <v/>
      </c>
      <c r="I922" s="263" t="str">
        <f>CONCATENATE(CHAR(34),"name",CHAR(34),": ",CHAR(34), wld_az1_first_compute_rack_host_overlay_uplink_profile_name_output,CHAR(34),",")</f>
        <v>"name": "0",</v>
      </c>
      <c r="L922" t="str">
        <f>""</f>
        <v/>
      </c>
      <c r="M922" s="263" t="s">
        <v>4409</v>
      </c>
      <c r="U922" s="103"/>
    </row>
    <row r="923" spans="2:21">
      <c r="B923" t="str">
        <f>""</f>
        <v/>
      </c>
      <c r="C923" s="255" t="s">
        <v>4315</v>
      </c>
      <c r="E923" t="str">
        <f>""</f>
        <v/>
      </c>
      <c r="F923" s="263" t="e">
        <f ca="1">CONCATENATE(CHAR(34),"gateway",CHAR(34),": ",CHAR(34), wld_az1_second_compute_rack_host_overlay_gateway_output,CHAR(34),",")</f>
        <v>#N/A</v>
      </c>
      <c r="H923" t="str">
        <f>""</f>
        <v/>
      </c>
      <c r="I923" s="263" t="str">
        <f>CONCATENATE(CHAR(34),"transportVlan",CHAR(34),": ", wld_az1_first_compute_rack_host_overlay_vlan_output,",")</f>
        <v>"transportVlan": 0,</v>
      </c>
      <c r="L923" t="str">
        <f>""</f>
        <v/>
      </c>
      <c r="M923" s="263" t="s">
        <v>4315</v>
      </c>
      <c r="U923" s="103"/>
    </row>
    <row r="924" spans="2:21">
      <c r="B924" t="str">
        <f>""</f>
        <v/>
      </c>
      <c r="C924" s="255" t="s">
        <v>4410</v>
      </c>
      <c r="E924" t="str">
        <f>""</f>
        <v/>
      </c>
      <c r="F924" s="263" t="s">
        <v>4407</v>
      </c>
      <c r="H924" t="str">
        <f>""</f>
        <v/>
      </c>
      <c r="I924" s="263" t="s">
        <v>4409</v>
      </c>
      <c r="L924" t="str">
        <f>""</f>
        <v/>
      </c>
      <c r="M924" s="263" t="s">
        <v>4410</v>
      </c>
      <c r="U924" s="103"/>
    </row>
    <row r="925" spans="2:21">
      <c r="B925" t="str">
        <f>""</f>
        <v/>
      </c>
      <c r="C925" s="255" t="s">
        <v>4411</v>
      </c>
      <c r="E925" t="str">
        <f>""</f>
        <v/>
      </c>
      <c r="F925" s="263" t="s">
        <v>4315</v>
      </c>
      <c r="H925" t="str">
        <f>""</f>
        <v/>
      </c>
      <c r="I925" s="263" t="s">
        <v>4315</v>
      </c>
      <c r="L925" t="str">
        <f>""</f>
        <v/>
      </c>
      <c r="M925" s="263" t="s">
        <v>4411</v>
      </c>
      <c r="U925" s="103"/>
    </row>
    <row r="926" spans="2:21">
      <c r="B926" t="str">
        <f>""</f>
        <v/>
      </c>
      <c r="C926" s="255" t="s">
        <v>4383</v>
      </c>
      <c r="E926" t="str">
        <f>""</f>
        <v/>
      </c>
      <c r="F926" s="263" t="e">
        <f ca="1">CONCATENATE(CHAR(34),"start",CHAR(34),": ",CHAR(34), wld_az1_second_compute_rack_host_overlay_start_ip_output,CHAR(34),",")</f>
        <v>#N/A</v>
      </c>
      <c r="H926" t="str">
        <f>""</f>
        <v/>
      </c>
      <c r="I926" s="263" t="s">
        <v>4410</v>
      </c>
      <c r="L926" t="str">
        <f>""</f>
        <v/>
      </c>
      <c r="M926" s="263" t="s">
        <v>4383</v>
      </c>
      <c r="U926" s="103"/>
    </row>
    <row r="927" spans="2:21">
      <c r="B927" t="str">
        <f>""</f>
        <v/>
      </c>
      <c r="C927" s="255" t="s">
        <v>4385</v>
      </c>
      <c r="E927" t="str">
        <f>""</f>
        <v/>
      </c>
      <c r="F927" s="263" t="e">
        <f ca="1">CONCATENATE(CHAR(34),"end",CHAR(34),": ",CHAR(34), wld_az1_second_compute_rack_host_overlay_end_ip_output,CHAR(34))</f>
        <v>#N/A</v>
      </c>
      <c r="H927" t="str">
        <f>""</f>
        <v/>
      </c>
      <c r="I927" s="263" t="s">
        <v>4411</v>
      </c>
      <c r="L927" t="str">
        <f>""</f>
        <v/>
      </c>
      <c r="M927" s="263" t="s">
        <v>4385</v>
      </c>
      <c r="U927" s="103"/>
    </row>
    <row r="928" spans="2:21">
      <c r="B928" t="str">
        <f>""</f>
        <v/>
      </c>
      <c r="C928" s="255" t="s">
        <v>4386</v>
      </c>
      <c r="E928" t="str">
        <f>""</f>
        <v/>
      </c>
      <c r="F928" s="263" t="s">
        <v>4317</v>
      </c>
      <c r="H928" t="str">
        <f>""</f>
        <v/>
      </c>
      <c r="I928" s="263" t="s">
        <v>4383</v>
      </c>
      <c r="L928" t="str">
        <f>""</f>
        <v/>
      </c>
      <c r="M928" s="263" t="s">
        <v>4386</v>
      </c>
      <c r="U928" s="103"/>
    </row>
    <row r="929" spans="2:21">
      <c r="B929" t="str">
        <f>""</f>
        <v/>
      </c>
      <c r="C929" s="255" t="s">
        <v>4320</v>
      </c>
      <c r="E929" t="str">
        <f>""</f>
        <v/>
      </c>
      <c r="F929" s="263" t="s">
        <v>4318</v>
      </c>
      <c r="H929" t="str">
        <f>""</f>
        <v/>
      </c>
      <c r="I929" s="263" t="s">
        <v>4385</v>
      </c>
      <c r="L929" t="str">
        <f>""</f>
        <v/>
      </c>
      <c r="M929" s="263" t="s">
        <v>4320</v>
      </c>
      <c r="U929" s="103"/>
    </row>
    <row r="930" spans="2:21">
      <c r="B930" t="str">
        <f>""</f>
        <v/>
      </c>
      <c r="C930" s="255" t="s">
        <v>4318</v>
      </c>
      <c r="E930" t="str">
        <f>""</f>
        <v/>
      </c>
      <c r="F930" s="263" t="s">
        <v>4317</v>
      </c>
      <c r="H930" t="str">
        <f>""</f>
        <v/>
      </c>
      <c r="I930" s="263" t="s">
        <v>4386</v>
      </c>
      <c r="L930" t="str">
        <f>""</f>
        <v/>
      </c>
      <c r="M930" s="263" t="s">
        <v>4318</v>
      </c>
      <c r="U930" s="103"/>
    </row>
    <row r="931" spans="2:21">
      <c r="B931" t="str">
        <f>""</f>
        <v/>
      </c>
      <c r="C931" s="255" t="s">
        <v>4317</v>
      </c>
      <c r="E931" t="str">
        <f>""</f>
        <v/>
      </c>
      <c r="F931" s="263" t="s">
        <v>4318</v>
      </c>
      <c r="H931" t="str">
        <f>""</f>
        <v/>
      </c>
      <c r="I931" s="263" t="s">
        <v>4320</v>
      </c>
      <c r="L931" t="str">
        <f>""</f>
        <v/>
      </c>
      <c r="M931" s="263" t="s">
        <v>4317</v>
      </c>
      <c r="U931" s="103"/>
    </row>
    <row r="932" spans="2:21">
      <c r="B932" t="str">
        <f>""</f>
        <v/>
      </c>
      <c r="C932" s="255" t="s">
        <v>4318</v>
      </c>
      <c r="E932" t="str">
        <f>""</f>
        <v/>
      </c>
      <c r="F932" s="263" t="s">
        <v>4316</v>
      </c>
      <c r="H932" t="str">
        <f>""</f>
        <v/>
      </c>
      <c r="I932" s="263" t="s">
        <v>4318</v>
      </c>
      <c r="L932" t="str">
        <f>""</f>
        <v/>
      </c>
      <c r="M932" s="263" t="s">
        <v>4318</v>
      </c>
      <c r="U932" s="103"/>
    </row>
    <row r="933" spans="2:21">
      <c r="B933" t="str">
        <f>""</f>
        <v/>
      </c>
      <c r="C933" s="255" t="s">
        <v>4317</v>
      </c>
      <c r="E933" t="str">
        <f>""</f>
        <v/>
      </c>
      <c r="F933" s="263" t="s">
        <v>4315</v>
      </c>
      <c r="H933" t="str">
        <f>""</f>
        <v/>
      </c>
      <c r="I933" s="263" t="s">
        <v>4317</v>
      </c>
      <c r="L933" t="str">
        <f>""</f>
        <v/>
      </c>
      <c r="M933" s="263" t="s">
        <v>4316</v>
      </c>
      <c r="U933" s="103"/>
    </row>
    <row r="934" spans="2:21">
      <c r="B934" t="str">
        <f>""</f>
        <v/>
      </c>
      <c r="C934" s="255" t="s">
        <v>4318</v>
      </c>
      <c r="E934" t="str">
        <f>""</f>
        <v/>
      </c>
      <c r="F934" s="263" t="e">
        <f ca="1">CONCATENATE(CHAR(34),"name",CHAR(34),": ",CHAR(34), wld_az1_third_compute_rack_overlay_network_pool_name_output,CHAR(34),",")</f>
        <v>#N/A</v>
      </c>
      <c r="H934" t="str">
        <f>""</f>
        <v/>
      </c>
      <c r="I934" s="263" t="s">
        <v>4318</v>
      </c>
      <c r="L934" t="str">
        <f>""</f>
        <v/>
      </c>
      <c r="M934" s="263" t="s">
        <v>4315</v>
      </c>
      <c r="U934" s="103"/>
    </row>
    <row r="935" spans="2:21">
      <c r="B935" t="str">
        <f>""</f>
        <v/>
      </c>
      <c r="C935" s="255" t="s">
        <v>4317</v>
      </c>
      <c r="E935" t="str">
        <f>""</f>
        <v/>
      </c>
      <c r="F935" s="263" t="s">
        <v>4406</v>
      </c>
      <c r="H935" t="str">
        <f>""</f>
        <v/>
      </c>
      <c r="I935" s="263" t="s">
        <v>4316</v>
      </c>
      <c r="L935" t="str">
        <f>""</f>
        <v/>
      </c>
      <c r="M935" s="263" t="e">
        <f ca="1">CONCATENATE(CHAR(34),"name",CHAR(34),": ",CHAR(34), wld_az1_second_compute_rack_host_overlay_uplink_profile_name_output,CHAR(34),",")</f>
        <v>#N/A</v>
      </c>
      <c r="U935" s="103"/>
    </row>
    <row r="936" spans="2:21">
      <c r="B936" t="str">
        <f>""</f>
        <v/>
      </c>
      <c r="C936" s="255" t="s">
        <v>4317</v>
      </c>
      <c r="E936" t="str">
        <f>""</f>
        <v/>
      </c>
      <c r="F936" s="263" t="s">
        <v>4315</v>
      </c>
      <c r="H936" t="str">
        <f>""</f>
        <v/>
      </c>
      <c r="I936" s="263" t="s">
        <v>4315</v>
      </c>
      <c r="L936" t="str">
        <f>""</f>
        <v/>
      </c>
      <c r="M936" s="263" t="e">
        <f ca="1">CONCATENATE(CHAR(34),"transportVlan",CHAR(34),": ",wld_az1_second_compute_rack_host_overlay_vlan_output,",")</f>
        <v>#N/A</v>
      </c>
      <c r="U936" s="103"/>
    </row>
    <row r="937" spans="2:21">
      <c r="B937" t="str">
        <f>""</f>
        <v/>
      </c>
      <c r="C937" s="255" t="s">
        <v>4316</v>
      </c>
      <c r="E937" t="str">
        <f>""</f>
        <v/>
      </c>
      <c r="F937" s="263" t="e">
        <f ca="1">CONCATENATE(CHAR(34),"cidr",CHAR(34),": ",CHAR(34), wld_az1_third_compute_rack_host_overlay_cidr_output,CHAR(34),",")</f>
        <v>#N/A</v>
      </c>
      <c r="H937" t="str">
        <f>""</f>
        <v/>
      </c>
      <c r="I937" s="263" t="e">
        <f ca="1">CONCATENATE(CHAR(34),"name",CHAR(34),": ",CHAR(34), wld_az1_second_compute_rack_host_overlay_uplink_profile_name_output,CHAR(34),",")</f>
        <v>#N/A</v>
      </c>
      <c r="L937" t="str">
        <f>""</f>
        <v/>
      </c>
      <c r="M937" s="263" t="s">
        <v>4409</v>
      </c>
      <c r="U937" s="103"/>
    </row>
    <row r="938" spans="2:21">
      <c r="B938" t="str">
        <f>""</f>
        <v/>
      </c>
      <c r="C938" s="255" t="s">
        <v>4341</v>
      </c>
      <c r="E938" t="str">
        <f>""</f>
        <v/>
      </c>
      <c r="F938" s="263" t="e">
        <f ca="1">CONCATENATE(CHAR(34),"gateway",CHAR(34),": ",CHAR(34), wld_az1_third_compute_rack_host_overlay_gateway_output,CHAR(34),",")</f>
        <v>#N/A</v>
      </c>
      <c r="H938" t="str">
        <f>""</f>
        <v/>
      </c>
      <c r="I938" s="263" t="e">
        <f ca="1">CONCATENATE(CHAR(34),"transportVlan",CHAR(34),": ",wld_az1_second_compute_rack_host_overlay_vlan_output,",")</f>
        <v>#N/A</v>
      </c>
      <c r="L938" t="str">
        <f>""</f>
        <v/>
      </c>
      <c r="M938" s="263" t="s">
        <v>4315</v>
      </c>
      <c r="U938" s="103"/>
    </row>
    <row r="939" spans="2:21">
      <c r="B939" t="str">
        <f>""</f>
        <v/>
      </c>
      <c r="C939" s="255" t="s">
        <v>4317</v>
      </c>
      <c r="E939" t="str">
        <f>""</f>
        <v/>
      </c>
      <c r="F939" s="263" t="s">
        <v>4407</v>
      </c>
      <c r="H939" t="str">
        <f>""</f>
        <v/>
      </c>
      <c r="I939" s="263" t="s">
        <v>4409</v>
      </c>
      <c r="L939" t="str">
        <f>""</f>
        <v/>
      </c>
      <c r="M939" s="263" t="s">
        <v>4410</v>
      </c>
      <c r="U939" s="103"/>
    </row>
    <row r="940" spans="2:21">
      <c r="B940" t="str">
        <f>""</f>
        <v/>
      </c>
      <c r="C940" s="255" t="s">
        <v>4318</v>
      </c>
      <c r="E940" t="str">
        <f>""</f>
        <v/>
      </c>
      <c r="F940" s="263" t="s">
        <v>4315</v>
      </c>
      <c r="H940" t="str">
        <f>""</f>
        <v/>
      </c>
      <c r="I940" s="263" t="s">
        <v>4315</v>
      </c>
      <c r="L940" t="str">
        <f>""</f>
        <v/>
      </c>
      <c r="M940" s="263" t="s">
        <v>4411</v>
      </c>
      <c r="U940" s="103"/>
    </row>
    <row r="941" spans="2:21">
      <c r="B941" t="str">
        <f>""</f>
        <v/>
      </c>
      <c r="C941" s="255" t="s">
        <v>4316</v>
      </c>
      <c r="E941" t="str">
        <f>""</f>
        <v/>
      </c>
      <c r="F941" s="263" t="e">
        <f ca="1">CONCATENATE(CHAR(34),"start",CHAR(34),": ",CHAR(34), wld_az1_third_compute_rack_host_overlay_start_ip_output,CHAR(34),",")</f>
        <v>#N/A</v>
      </c>
      <c r="H941" t="str">
        <f>""</f>
        <v/>
      </c>
      <c r="I941" s="263" t="s">
        <v>4410</v>
      </c>
      <c r="L941" t="str">
        <f>""</f>
        <v/>
      </c>
      <c r="M941" s="263" t="s">
        <v>4383</v>
      </c>
      <c r="U941" s="103"/>
    </row>
    <row r="942" spans="2:21">
      <c r="B942" t="str">
        <f>""</f>
        <v/>
      </c>
      <c r="C942" s="255" t="s">
        <v>4412</v>
      </c>
      <c r="E942" t="str">
        <f>""</f>
        <v/>
      </c>
      <c r="F942" s="263" t="e">
        <f ca="1">CONCATENATE(CHAR(34),"end",CHAR(34),": ",CHAR(34), wld_az1_third_compute_rack_host_overlay_end_ip_output,CHAR(34))</f>
        <v>#N/A</v>
      </c>
      <c r="H942" t="str">
        <f>""</f>
        <v/>
      </c>
      <c r="I942" s="263" t="s">
        <v>4411</v>
      </c>
      <c r="L942" t="str">
        <f>""</f>
        <v/>
      </c>
      <c r="M942" s="263" t="s">
        <v>4385</v>
      </c>
      <c r="U942" s="103"/>
    </row>
    <row r="943" spans="2:21">
      <c r="B943" t="str">
        <f>""</f>
        <v/>
      </c>
      <c r="C943" s="255" t="s">
        <v>4413</v>
      </c>
      <c r="E943" t="str">
        <f>""</f>
        <v/>
      </c>
      <c r="F943" s="263" t="s">
        <v>4317</v>
      </c>
      <c r="H943" t="str">
        <f>""</f>
        <v/>
      </c>
      <c r="I943" s="263" t="s">
        <v>4383</v>
      </c>
      <c r="L943" t="str">
        <f>""</f>
        <v/>
      </c>
      <c r="M943" s="263" t="s">
        <v>4386</v>
      </c>
      <c r="U943" s="103"/>
    </row>
    <row r="944" spans="2:21">
      <c r="B944" t="str">
        <f>""</f>
        <v/>
      </c>
      <c r="C944" s="255" t="s">
        <v>4414</v>
      </c>
      <c r="E944" t="str">
        <f>""</f>
        <v/>
      </c>
      <c r="F944" s="263" t="s">
        <v>4318</v>
      </c>
      <c r="H944" t="str">
        <f>""</f>
        <v/>
      </c>
      <c r="I944" s="263" t="s">
        <v>4385</v>
      </c>
      <c r="L944" t="str">
        <f>""</f>
        <v/>
      </c>
      <c r="M944" s="263" t="s">
        <v>4320</v>
      </c>
      <c r="U944" s="103"/>
    </row>
    <row r="945" spans="2:21">
      <c r="B945" t="str">
        <f>""</f>
        <v/>
      </c>
      <c r="C945" s="255" t="s">
        <v>4315</v>
      </c>
      <c r="E945" t="str">
        <f>""</f>
        <v/>
      </c>
      <c r="F945" s="263" t="s">
        <v>4317</v>
      </c>
      <c r="H945" t="str">
        <f>""</f>
        <v/>
      </c>
      <c r="I945" s="263" t="s">
        <v>4386</v>
      </c>
      <c r="L945" t="str">
        <f>""</f>
        <v/>
      </c>
      <c r="M945" s="263" t="s">
        <v>4318</v>
      </c>
      <c r="U945" s="103"/>
    </row>
    <row r="946" spans="2:21">
      <c r="B946" t="str">
        <f>""</f>
        <v/>
      </c>
      <c r="C946" s="255" t="str">
        <f>CONCATENATE(CHAR(34),"name",CHAR(34),": ",CHAR(34), wld_nsxt_mgra_hostname,CHAR(34),",")</f>
        <v>"name": "Value Missing",</v>
      </c>
      <c r="E946" t="str">
        <f>""</f>
        <v/>
      </c>
      <c r="F946" s="263" t="s">
        <v>4318</v>
      </c>
      <c r="H946" t="str">
        <f>""</f>
        <v/>
      </c>
      <c r="I946" s="263" t="s">
        <v>4320</v>
      </c>
      <c r="L946" t="str">
        <f>""</f>
        <v/>
      </c>
      <c r="M946" s="263" t="s">
        <v>4317</v>
      </c>
      <c r="U946" s="103"/>
    </row>
    <row r="947" spans="2:21">
      <c r="B947" t="str">
        <f>""</f>
        <v/>
      </c>
      <c r="C947" s="255" t="s">
        <v>4415</v>
      </c>
      <c r="E947" t="str">
        <f>""</f>
        <v/>
      </c>
      <c r="F947" s="263" t="s">
        <v>4316</v>
      </c>
      <c r="H947" t="str">
        <f>""</f>
        <v/>
      </c>
      <c r="I947" s="263" t="s">
        <v>4318</v>
      </c>
      <c r="L947" t="str">
        <f>""</f>
        <v/>
      </c>
      <c r="M947" s="263" t="s">
        <v>4318</v>
      </c>
      <c r="U947" s="103"/>
    </row>
    <row r="948" spans="2:21">
      <c r="B948" t="str">
        <f>""</f>
        <v/>
      </c>
      <c r="C948" s="255" t="str">
        <f>CONCATENATE(CHAR(34),"ipAddress",CHAR(34),": ",CHAR(34), wld_nsxt_mgra_ip,CHAR(34),",")</f>
        <v>"ipAddress": "Value Missing",</v>
      </c>
      <c r="E948" t="str">
        <f>""</f>
        <v/>
      </c>
      <c r="F948" s="263" t="s">
        <v>4315</v>
      </c>
      <c r="H948" t="str">
        <f>""</f>
        <v/>
      </c>
      <c r="I948" s="263" t="s">
        <v>4317</v>
      </c>
      <c r="L948" t="str">
        <f>""</f>
        <v/>
      </c>
      <c r="M948" s="263" t="s">
        <v>4316</v>
      </c>
      <c r="U948" s="103"/>
    </row>
    <row r="949" spans="2:21">
      <c r="B949" t="str">
        <f>""</f>
        <v/>
      </c>
      <c r="C949" s="255" t="str">
        <f>CONCATENATE(CHAR(34),"dnsName",CHAR(34),": ",CHAR(34), wld_nsxt_mgra_fqdn,CHAR(34),",")</f>
        <v>"dnsName": "Value Missing.Value Missing",</v>
      </c>
      <c r="E949" t="str">
        <f>""</f>
        <v/>
      </c>
      <c r="F949" s="263" t="e">
        <f ca="1">CONCATENATE(CHAR(34),"name",CHAR(34),": ",CHAR(34), wld_az1_fourth_compute_rack_overlay_network_pool_name_output,CHAR(34),",")</f>
        <v>#N/A</v>
      </c>
      <c r="H949" t="str">
        <f>""</f>
        <v/>
      </c>
      <c r="I949" s="263" t="s">
        <v>4318</v>
      </c>
      <c r="L949" t="str">
        <f>""</f>
        <v/>
      </c>
      <c r="M949" s="263" t="s">
        <v>4315</v>
      </c>
      <c r="U949" s="103"/>
    </row>
    <row r="950" spans="2:21">
      <c r="B950" t="str">
        <f>""</f>
        <v/>
      </c>
      <c r="C950" s="255" t="str">
        <f>CONCATENATE(CHAR(34),"gateway",CHAR(34),": ",CHAR(34), mgmt_az1_mgmt_vm_gateway_ip,CHAR(34),",")</f>
        <v>"gateway": "Value Missing",</v>
      </c>
      <c r="E950" t="str">
        <f>""</f>
        <v/>
      </c>
      <c r="F950" s="263" t="s">
        <v>4406</v>
      </c>
      <c r="H950" t="str">
        <f>""</f>
        <v/>
      </c>
      <c r="I950" s="263" t="s">
        <v>4316</v>
      </c>
      <c r="L950" t="str">
        <f>""</f>
        <v/>
      </c>
      <c r="M950" s="263" t="e">
        <f ca="1">CONCATENATE(CHAR(34),"name",CHAR(34),": ",CHAR(34), wld_az1_third_compute_rack_host_overlay_uplink_profile_name_output,CHAR(34),",")</f>
        <v>#N/A</v>
      </c>
      <c r="U950" s="103"/>
    </row>
    <row r="951" spans="2:21">
      <c r="B951" t="str">
        <f>""</f>
        <v/>
      </c>
      <c r="C951" s="255" t="str">
        <f>CONCATENATE(CHAR(34),"subnetMask",CHAR(34),": ",CHAR(34), mgmt_az1_mgmt_vm_mask,CHAR(34))</f>
        <v>"subnetMask": "Value Missing"</v>
      </c>
      <c r="E951" t="str">
        <f>""</f>
        <v/>
      </c>
      <c r="F951" s="263" t="s">
        <v>4315</v>
      </c>
      <c r="H951" t="str">
        <f>""</f>
        <v/>
      </c>
      <c r="I951" s="263" t="s">
        <v>4315</v>
      </c>
      <c r="L951" t="str">
        <f>""</f>
        <v/>
      </c>
      <c r="M951" s="263" t="e">
        <f ca="1">CONCATENATE(CHAR(34),"transportVlan",CHAR(34),": ",wld_az1_third_compute_rack_host_overlay_vlan_output,",")</f>
        <v>#N/A</v>
      </c>
      <c r="U951" s="103"/>
    </row>
    <row r="952" spans="2:21">
      <c r="B952" t="str">
        <f>""</f>
        <v/>
      </c>
      <c r="C952" s="255" t="s">
        <v>4317</v>
      </c>
      <c r="E952" t="str">
        <f>""</f>
        <v/>
      </c>
      <c r="F952" s="263" t="e">
        <f ca="1">CONCATENATE(CHAR(34),"cidr",CHAR(34),": ",CHAR(34), wld_az1_fourth_compute_rack_host_overlay_cidr_output,CHAR(34),",")</f>
        <v>#N/A</v>
      </c>
      <c r="H952" t="str">
        <f>""</f>
        <v/>
      </c>
      <c r="I952" s="263" t="e">
        <f ca="1">CONCATENATE(CHAR(34),"name",CHAR(34),": ",CHAR(34), wld_az1_third_compute_rack_host_overlay_uplink_profile_name_output,CHAR(34),",")</f>
        <v>#N/A</v>
      </c>
      <c r="L952" t="str">
        <f>""</f>
        <v/>
      </c>
      <c r="M952" s="263" t="s">
        <v>4409</v>
      </c>
      <c r="U952" s="103"/>
    </row>
    <row r="953" spans="2:21">
      <c r="B953" t="str">
        <f>""</f>
        <v/>
      </c>
      <c r="C953" s="255" t="s">
        <v>4316</v>
      </c>
      <c r="E953" t="str">
        <f>""</f>
        <v/>
      </c>
      <c r="F953" s="263" t="e">
        <f ca="1">CONCATENATE(CHAR(34),"gateway",CHAR(34),": ",CHAR(34), wld_az1_fourth_compute_rack_host_overlay_gateway_output,CHAR(34),",")</f>
        <v>#N/A</v>
      </c>
      <c r="H953" t="str">
        <f>""</f>
        <v/>
      </c>
      <c r="I953" s="263" t="e">
        <f ca="1">CONCATENATE(CHAR(34),"transportVlan",CHAR(34),": ",wld_az1_third_compute_rack_host_overlay_vlan_output,",")</f>
        <v>#N/A</v>
      </c>
      <c r="L953" t="str">
        <f>""</f>
        <v/>
      </c>
      <c r="M953" s="263" t="s">
        <v>4315</v>
      </c>
      <c r="U953" s="103"/>
    </row>
    <row r="954" spans="2:21">
      <c r="B954" t="str">
        <f>""</f>
        <v/>
      </c>
      <c r="C954" s="255" t="s">
        <v>4315</v>
      </c>
      <c r="E954" t="str">
        <f>""</f>
        <v/>
      </c>
      <c r="F954" s="263" t="s">
        <v>4407</v>
      </c>
      <c r="H954" t="str">
        <f>""</f>
        <v/>
      </c>
      <c r="I954" s="263" t="s">
        <v>4409</v>
      </c>
      <c r="L954" t="str">
        <f>""</f>
        <v/>
      </c>
      <c r="M954" s="263" t="s">
        <v>4410</v>
      </c>
      <c r="U954" s="103"/>
    </row>
    <row r="955" spans="2:21">
      <c r="B955" t="str">
        <f>""</f>
        <v/>
      </c>
      <c r="C955" s="255" t="str">
        <f>CONCATENATE(CHAR(34),"name",CHAR(34),": ",CHAR(34), wld_nsxt_mgrb_hostname,CHAR(34),",")</f>
        <v>"name": "Value Missing",</v>
      </c>
      <c r="E955" t="str">
        <f>""</f>
        <v/>
      </c>
      <c r="F955" s="263" t="s">
        <v>4315</v>
      </c>
      <c r="H955" t="str">
        <f>""</f>
        <v/>
      </c>
      <c r="I955" s="263" t="s">
        <v>4315</v>
      </c>
      <c r="L955" t="str">
        <f>""</f>
        <v/>
      </c>
      <c r="M955" s="263" t="s">
        <v>4411</v>
      </c>
      <c r="U955" s="103"/>
    </row>
    <row r="956" spans="2:21">
      <c r="B956" t="str">
        <f>""</f>
        <v/>
      </c>
      <c r="C956" s="255" t="s">
        <v>4415</v>
      </c>
      <c r="E956" t="str">
        <f>""</f>
        <v/>
      </c>
      <c r="F956" s="263" t="e">
        <f ca="1">CONCATENATE(CHAR(34),"start",CHAR(34),": ",CHAR(34), wld_az1_fourth_compute_rack_host_overlay_start_ip_output,CHAR(34),",")</f>
        <v>#N/A</v>
      </c>
      <c r="H956" t="str">
        <f>""</f>
        <v/>
      </c>
      <c r="I956" s="263" t="s">
        <v>4410</v>
      </c>
      <c r="L956" t="str">
        <f>""</f>
        <v/>
      </c>
      <c r="M956" s="263" t="s">
        <v>4383</v>
      </c>
      <c r="U956" s="103"/>
    </row>
    <row r="957" spans="2:21">
      <c r="B957" t="str">
        <f>""</f>
        <v/>
      </c>
      <c r="C957" s="255" t="str">
        <f>CONCATENATE(CHAR(34),"ipAddress",CHAR(34),": ",CHAR(34), wld_nsxt_mgrb_ip,CHAR(34),",")</f>
        <v>"ipAddress": "Value Missing",</v>
      </c>
      <c r="E957" t="str">
        <f>""</f>
        <v/>
      </c>
      <c r="F957" s="263" t="e">
        <f ca="1">CONCATENATE(CHAR(34),"end",CHAR(34),": ",CHAR(34), wld_az1_fourth_compute_rack_host_overlay_end_ip_output,CHAR(34))</f>
        <v>#N/A</v>
      </c>
      <c r="H957" t="str">
        <f>""</f>
        <v/>
      </c>
      <c r="I957" s="263" t="s">
        <v>4411</v>
      </c>
      <c r="L957" t="str">
        <f>""</f>
        <v/>
      </c>
      <c r="M957" s="263" t="s">
        <v>4385</v>
      </c>
      <c r="U957" s="103"/>
    </row>
    <row r="958" spans="2:21">
      <c r="B958" t="str">
        <f>""</f>
        <v/>
      </c>
      <c r="C958" s="255" t="str">
        <f>CONCATENATE(CHAR(34),"dnsName",CHAR(34),": ",CHAR(34), wld_nsxt_mgrb_fqdn,CHAR(34),",")</f>
        <v>"dnsName": "Value Missing.Value Missing",</v>
      </c>
      <c r="E958" t="str">
        <f>""</f>
        <v/>
      </c>
      <c r="F958" s="263" t="s">
        <v>4317</v>
      </c>
      <c r="H958" t="str">
        <f>""</f>
        <v/>
      </c>
      <c r="I958" s="263" t="s">
        <v>4383</v>
      </c>
      <c r="L958" t="str">
        <f>""</f>
        <v/>
      </c>
      <c r="M958" s="263" t="s">
        <v>4386</v>
      </c>
      <c r="U958" s="103"/>
    </row>
    <row r="959" spans="2:21">
      <c r="B959" t="str">
        <f>""</f>
        <v/>
      </c>
      <c r="C959" s="255" t="str">
        <f>CONCATENATE(CHAR(34),"gateway",CHAR(34),": ",CHAR(34), mgmt_az1_mgmt_vm_gateway_ip,CHAR(34),",")</f>
        <v>"gateway": "Value Missing",</v>
      </c>
      <c r="E959" t="str">
        <f>""</f>
        <v/>
      </c>
      <c r="F959" s="263" t="s">
        <v>4318</v>
      </c>
      <c r="H959" t="str">
        <f>""</f>
        <v/>
      </c>
      <c r="I959" s="263" t="s">
        <v>4385</v>
      </c>
      <c r="L959" t="str">
        <f>""</f>
        <v/>
      </c>
      <c r="M959" s="263" t="s">
        <v>4320</v>
      </c>
      <c r="U959" s="103"/>
    </row>
    <row r="960" spans="2:21">
      <c r="B960" t="str">
        <f>""</f>
        <v/>
      </c>
      <c r="C960" s="255" t="str">
        <f>CONCATENATE(CHAR(34),"subnetMask",CHAR(34),": ",CHAR(34),mgmt_az1_mgmt_vm_mask,CHAR(34))</f>
        <v>"subnetMask": "Value Missing"</v>
      </c>
      <c r="E960" t="str">
        <f>""</f>
        <v/>
      </c>
      <c r="F960" s="263" t="s">
        <v>4317</v>
      </c>
      <c r="H960" t="str">
        <f>""</f>
        <v/>
      </c>
      <c r="I960" s="263" t="s">
        <v>4386</v>
      </c>
      <c r="L960" t="str">
        <f>""</f>
        <v/>
      </c>
      <c r="M960" s="263" t="s">
        <v>4318</v>
      </c>
      <c r="U960" s="103"/>
    </row>
    <row r="961" spans="2:21">
      <c r="B961" t="str">
        <f>""</f>
        <v/>
      </c>
      <c r="C961" s="255" t="s">
        <v>4317</v>
      </c>
      <c r="E961" t="str">
        <f>""</f>
        <v/>
      </c>
      <c r="F961" s="263" t="s">
        <v>4318</v>
      </c>
      <c r="H961" t="str">
        <f>""</f>
        <v/>
      </c>
      <c r="I961" s="263" t="s">
        <v>4320</v>
      </c>
      <c r="L961" t="str">
        <f>""</f>
        <v/>
      </c>
      <c r="M961" s="263" t="s">
        <v>4317</v>
      </c>
      <c r="U961" s="103"/>
    </row>
    <row r="962" spans="2:21">
      <c r="B962" t="str">
        <f>""</f>
        <v/>
      </c>
      <c r="C962" s="255" t="s">
        <v>4316</v>
      </c>
      <c r="E962" t="str">
        <f>""</f>
        <v/>
      </c>
      <c r="F962" s="263" t="s">
        <v>4317</v>
      </c>
      <c r="H962" t="str">
        <f>""</f>
        <v/>
      </c>
      <c r="I962" s="263" t="s">
        <v>4318</v>
      </c>
      <c r="L962" t="str">
        <f>""</f>
        <v/>
      </c>
      <c r="M962" s="263" t="s">
        <v>4318</v>
      </c>
      <c r="U962" s="103"/>
    </row>
    <row r="963" spans="2:21">
      <c r="B963" t="str">
        <f>""</f>
        <v/>
      </c>
      <c r="C963" s="255" t="s">
        <v>4315</v>
      </c>
      <c r="E963" t="str">
        <f>""</f>
        <v/>
      </c>
      <c r="F963" s="263" t="s">
        <v>4319</v>
      </c>
      <c r="H963" t="str">
        <f>""</f>
        <v/>
      </c>
      <c r="I963" s="263" t="s">
        <v>4317</v>
      </c>
      <c r="L963" t="str">
        <f>""</f>
        <v/>
      </c>
      <c r="M963" s="263" t="s">
        <v>4316</v>
      </c>
      <c r="U963" s="103"/>
    </row>
    <row r="964" spans="2:21">
      <c r="B964" t="str">
        <f>""</f>
        <v/>
      </c>
      <c r="C964" s="255" t="str">
        <f>CONCATENATE(CHAR(34),"name",CHAR(34),": ",CHAR(34), wld_nsxt_mgrc_hostname,CHAR(34),",")</f>
        <v>"name": "Value Missing",</v>
      </c>
      <c r="E964" t="str">
        <f>""</f>
        <v/>
      </c>
      <c r="F964" s="263" t="s">
        <v>4408</v>
      </c>
      <c r="H964" t="str">
        <f>""</f>
        <v/>
      </c>
      <c r="I964" s="263" t="s">
        <v>4318</v>
      </c>
      <c r="L964" t="str">
        <f>""</f>
        <v/>
      </c>
      <c r="M964" s="263" t="s">
        <v>4315</v>
      </c>
      <c r="U964" s="103"/>
    </row>
    <row r="965" spans="2:21">
      <c r="B965" t="str">
        <f>""</f>
        <v/>
      </c>
      <c r="C965" s="255" t="s">
        <v>4415</v>
      </c>
      <c r="E965" t="str">
        <f>""</f>
        <v/>
      </c>
      <c r="F965" s="263" t="s">
        <v>4315</v>
      </c>
      <c r="H965" t="str">
        <f>""</f>
        <v/>
      </c>
      <c r="I965" s="263" t="s">
        <v>4316</v>
      </c>
      <c r="L965" t="str">
        <f>""</f>
        <v/>
      </c>
      <c r="M965" s="263" t="e">
        <f ca="1">CONCATENATE(CHAR(34),"name",CHAR(34),": ",CHAR(34), wld_az1_fourth_compute_rack_host_overlay_uplink_profile_name_output,CHAR(34),",")</f>
        <v>#N/A</v>
      </c>
      <c r="U965" s="103"/>
    </row>
    <row r="966" spans="2:21">
      <c r="B966" t="str">
        <f>""</f>
        <v/>
      </c>
      <c r="C966" s="255" t="str">
        <f>CONCATENATE(CHAR(34),"ipAddress",CHAR(34),": ",CHAR(34), wld_nsxt_mgrc_ip,CHAR(34),",")</f>
        <v>"ipAddress": "Value Missing",</v>
      </c>
      <c r="E966" t="str">
        <f>""</f>
        <v/>
      </c>
      <c r="F966" s="263" t="str">
        <f>CONCATENATE(CHAR(34),"name",CHAR(34),": ",CHAR(34), wld_az1_first_compute_rack_host_overlay_uplink_profile_name_output,CHAR(34),",")</f>
        <v>"name": "0",</v>
      </c>
      <c r="H966" t="str">
        <f>""</f>
        <v/>
      </c>
      <c r="I966" s="263" t="s">
        <v>4315</v>
      </c>
      <c r="L966" t="str">
        <f>""</f>
        <v/>
      </c>
      <c r="M966" s="263" t="e">
        <f ca="1">CONCATENATE(CHAR(34),"transportVlan",CHAR(34),": ",wld_az1_fourth_compute_rack_host_overlay_vlan_output,",")</f>
        <v>#N/A</v>
      </c>
      <c r="U966" s="103"/>
    </row>
    <row r="967" spans="2:21">
      <c r="B967" t="str">
        <f>""</f>
        <v/>
      </c>
      <c r="C967" s="255" t="str">
        <f>CONCATENATE(CHAR(34),"dnsName",CHAR(34),": ",CHAR(34), wld_nsxt_mgrc_fqdn,CHAR(34),",")</f>
        <v>"dnsName": "Value Missing.Value Missing",</v>
      </c>
      <c r="E967" t="str">
        <f>""</f>
        <v/>
      </c>
      <c r="F967" s="263" t="str">
        <f>CONCATENATE(CHAR(34),"transportVlan",CHAR(34),": ", wld_az1_first_compute_rack_host_overlay_vlan_output,",")</f>
        <v>"transportVlan": 0,</v>
      </c>
      <c r="H967" t="str">
        <f>""</f>
        <v/>
      </c>
      <c r="I967" s="263" t="e">
        <f ca="1">CONCATENATE(CHAR(34),"name",CHAR(34),": ",CHAR(34), wld_az1_fourth_compute_rack_host_overlay_uplink_profile_name_output,CHAR(34),",")</f>
        <v>#N/A</v>
      </c>
      <c r="L967" t="str">
        <f>""</f>
        <v/>
      </c>
      <c r="M967" s="263" t="s">
        <v>4409</v>
      </c>
      <c r="U967" s="103"/>
    </row>
    <row r="968" spans="2:21">
      <c r="B968" t="str">
        <f>""</f>
        <v/>
      </c>
      <c r="C968" s="255" t="str">
        <f>CONCATENATE(CHAR(34),"gateway",CHAR(34),": ",CHAR(34), mgmt_az1_mgmt_vm_gateway_ip,CHAR(34),",")</f>
        <v>"gateway": "Value Missing",</v>
      </c>
      <c r="E968" t="str">
        <f>""</f>
        <v/>
      </c>
      <c r="F968" s="263" t="s">
        <v>4409</v>
      </c>
      <c r="H968" t="str">
        <f>""</f>
        <v/>
      </c>
      <c r="I968" s="263" t="e">
        <f ca="1">CONCATENATE(CHAR(34),"transportVlan",CHAR(34),": ",wld_az1_fourth_compute_rack_host_overlay_vlan_output,",")</f>
        <v>#N/A</v>
      </c>
      <c r="L968" t="str">
        <f>""</f>
        <v/>
      </c>
      <c r="M968" s="263" t="s">
        <v>4315</v>
      </c>
      <c r="U968" s="103"/>
    </row>
    <row r="969" spans="2:21">
      <c r="B969" t="str">
        <f>""</f>
        <v/>
      </c>
      <c r="C969" s="255" t="str">
        <f>CONCATENATE(CHAR(34),"subnetMask",CHAR(34),": ",CHAR(34),mgmt_az1_mgmt_vm_mask,CHAR(34))</f>
        <v>"subnetMask": "Value Missing"</v>
      </c>
      <c r="E969" t="str">
        <f>""</f>
        <v/>
      </c>
      <c r="F969" s="263" t="s">
        <v>4315</v>
      </c>
      <c r="H969" t="str">
        <f>""</f>
        <v/>
      </c>
      <c r="I969" s="263" t="s">
        <v>4409</v>
      </c>
      <c r="L969" t="str">
        <f>""</f>
        <v/>
      </c>
      <c r="M969" s="263" t="s">
        <v>4410</v>
      </c>
      <c r="U969" s="103"/>
    </row>
    <row r="970" spans="2:21">
      <c r="B970" t="str">
        <f>""</f>
        <v/>
      </c>
      <c r="C970" s="255" t="s">
        <v>4317</v>
      </c>
      <c r="E970" t="str">
        <f>""</f>
        <v/>
      </c>
      <c r="F970" s="263" t="s">
        <v>4410</v>
      </c>
      <c r="H970" t="str">
        <f>""</f>
        <v/>
      </c>
      <c r="I970" s="263" t="s">
        <v>4315</v>
      </c>
      <c r="L970" t="str">
        <f>""</f>
        <v/>
      </c>
      <c r="M970" s="263" t="s">
        <v>4411</v>
      </c>
      <c r="U970" s="103"/>
    </row>
    <row r="971" spans="2:21">
      <c r="B971" t="str">
        <f>""</f>
        <v/>
      </c>
      <c r="C971" s="255" t="s">
        <v>4317</v>
      </c>
      <c r="E971" t="str">
        <f>""</f>
        <v/>
      </c>
      <c r="F971" s="263" t="s">
        <v>4411</v>
      </c>
      <c r="H971" t="str">
        <f>""</f>
        <v/>
      </c>
      <c r="I971" s="263" t="s">
        <v>4410</v>
      </c>
      <c r="L971" t="str">
        <f>""</f>
        <v/>
      </c>
      <c r="M971" s="263" t="s">
        <v>4383</v>
      </c>
      <c r="U971" s="103"/>
    </row>
    <row r="972" spans="2:21">
      <c r="B972" t="str">
        <f>""</f>
        <v/>
      </c>
      <c r="C972" s="255" t="s">
        <v>4319</v>
      </c>
      <c r="E972" t="str">
        <f>""</f>
        <v/>
      </c>
      <c r="F972" s="263" t="s">
        <v>4383</v>
      </c>
      <c r="H972" t="str">
        <f>""</f>
        <v/>
      </c>
      <c r="I972" s="263" t="s">
        <v>4411</v>
      </c>
      <c r="L972" t="str">
        <f>""</f>
        <v/>
      </c>
      <c r="M972" s="263" t="s">
        <v>4385</v>
      </c>
      <c r="U972" s="103"/>
    </row>
    <row r="973" spans="2:21">
      <c r="B973" t="str">
        <f>""</f>
        <v/>
      </c>
      <c r="C973" s="255" t="str">
        <f>CONCATENATE(CHAR(34),"vip",CHAR(34),": ",CHAR(34), wld_nsxt_ip,CHAR(34),",")</f>
        <v>"vip": "Value Missing",</v>
      </c>
      <c r="E973" t="str">
        <f>""</f>
        <v/>
      </c>
      <c r="F973" s="263" t="s">
        <v>4385</v>
      </c>
      <c r="H973" t="str">
        <f>""</f>
        <v/>
      </c>
      <c r="I973" s="263" t="s">
        <v>4383</v>
      </c>
      <c r="L973" t="str">
        <f>""</f>
        <v/>
      </c>
      <c r="M973" s="263" t="s">
        <v>4386</v>
      </c>
      <c r="U973" s="103"/>
    </row>
    <row r="974" spans="2:21">
      <c r="B974" t="str">
        <f>""</f>
        <v/>
      </c>
      <c r="C974" s="255" t="str">
        <f>CONCATENATE(CHAR(34),"vipFqdn",CHAR(34),": ",CHAR(34), wld_nsxt_vip_fqdn,CHAR(34),",")</f>
        <v>"vipFqdn": "Value Missing.Value Missing",</v>
      </c>
      <c r="E974" t="str">
        <f>""</f>
        <v/>
      </c>
      <c r="F974" s="263" t="s">
        <v>4386</v>
      </c>
      <c r="H974" t="str">
        <f>""</f>
        <v/>
      </c>
      <c r="I974" s="263" t="s">
        <v>4385</v>
      </c>
      <c r="L974" t="str">
        <f>""</f>
        <v/>
      </c>
      <c r="M974" s="263" t="s">
        <v>4320</v>
      </c>
      <c r="U974" s="103"/>
    </row>
    <row r="975" spans="2:21">
      <c r="B975" t="str">
        <f>""</f>
        <v/>
      </c>
      <c r="C975" s="255" t="str">
        <f>CONCATENATE(CHAR(34),"licenseKey",CHAR(34),": ",CHAR(34), nsxt_license,CHAR(34),",")</f>
        <v>"licenseKey": "Value Missing",</v>
      </c>
      <c r="E975" t="str">
        <f>""</f>
        <v/>
      </c>
      <c r="F975" s="263" t="s">
        <v>4320</v>
      </c>
      <c r="H975" t="str">
        <f>""</f>
        <v/>
      </c>
      <c r="I975" s="263" t="s">
        <v>4386</v>
      </c>
      <c r="L975" t="str">
        <f>""</f>
        <v/>
      </c>
      <c r="M975" s="263" t="s">
        <v>4318</v>
      </c>
      <c r="U975" s="103"/>
    </row>
    <row r="976" spans="2:21">
      <c r="B976" t="str">
        <f>""</f>
        <v/>
      </c>
      <c r="C976" s="255" t="s">
        <v>4416</v>
      </c>
      <c r="E976" t="str">
        <f>""</f>
        <v/>
      </c>
      <c r="F976" s="263" t="s">
        <v>4318</v>
      </c>
      <c r="H976" t="str">
        <f>""</f>
        <v/>
      </c>
      <c r="I976" s="263" t="s">
        <v>4320</v>
      </c>
      <c r="L976" t="str">
        <f>""</f>
        <v/>
      </c>
      <c r="M976" s="263" t="s">
        <v>4317</v>
      </c>
      <c r="U976" s="103"/>
    </row>
    <row r="977" spans="2:21">
      <c r="B977" t="str">
        <f>""</f>
        <v/>
      </c>
      <c r="C977" s="255" t="s">
        <v>4317</v>
      </c>
      <c r="E977" t="str">
        <f>""</f>
        <v/>
      </c>
      <c r="F977" s="263" t="s">
        <v>4317</v>
      </c>
      <c r="H977" t="str">
        <f>""</f>
        <v/>
      </c>
      <c r="I977" s="263" t="s">
        <v>4318</v>
      </c>
      <c r="L977" t="str">
        <f>""</f>
        <v/>
      </c>
      <c r="M977" s="263" t="s">
        <v>4318</v>
      </c>
      <c r="U977" s="103"/>
    </row>
    <row r="978" spans="2:21">
      <c r="B978" t="str">
        <f>""</f>
        <v/>
      </c>
      <c r="C978" s="256" t="s">
        <v>4317</v>
      </c>
      <c r="E978" t="str">
        <f>""</f>
        <v/>
      </c>
      <c r="F978" s="263" t="s">
        <v>4318</v>
      </c>
      <c r="H978" t="str">
        <f>""</f>
        <v/>
      </c>
      <c r="I978" s="263" t="s">
        <v>4317</v>
      </c>
      <c r="L978" t="str">
        <f>""</f>
        <v/>
      </c>
      <c r="M978" s="263" t="s">
        <v>4317</v>
      </c>
      <c r="U978" s="103"/>
    </row>
    <row r="979" spans="2:21">
      <c r="E979" t="str">
        <f>""</f>
        <v/>
      </c>
      <c r="F979" s="263" t="s">
        <v>4316</v>
      </c>
      <c r="H979" t="str">
        <f>""</f>
        <v/>
      </c>
      <c r="I979" s="263" t="s">
        <v>4318</v>
      </c>
      <c r="L979" t="str">
        <f>""</f>
        <v/>
      </c>
      <c r="M979" s="263" t="s">
        <v>4318</v>
      </c>
      <c r="U979" s="103"/>
    </row>
    <row r="980" spans="2:21">
      <c r="E980" t="str">
        <f>""</f>
        <v/>
      </c>
      <c r="F980" s="263" t="s">
        <v>4315</v>
      </c>
      <c r="H980" t="str">
        <f>""</f>
        <v/>
      </c>
      <c r="I980" s="263" t="s">
        <v>4317</v>
      </c>
      <c r="L980" t="str">
        <f>""</f>
        <v/>
      </c>
      <c r="M980" s="263" t="s">
        <v>4317</v>
      </c>
      <c r="U980" s="103"/>
    </row>
    <row r="981" spans="2:21">
      <c r="E981" t="str">
        <f>""</f>
        <v/>
      </c>
      <c r="F981" s="263" t="e">
        <f ca="1">CONCATENATE(CHAR(34),"name",CHAR(34),": ",CHAR(34), wld_az1_second_compute_rack_host_overlay_uplink_profile_name_output,CHAR(34),",")</f>
        <v>#N/A</v>
      </c>
      <c r="H981" t="str">
        <f>""</f>
        <v/>
      </c>
      <c r="I981" s="263" t="s">
        <v>4318</v>
      </c>
      <c r="L981" t="str">
        <f>""</f>
        <v/>
      </c>
      <c r="M981" s="263" t="s">
        <v>4317</v>
      </c>
      <c r="U981" s="103"/>
    </row>
    <row r="982" spans="2:21">
      <c r="E982" t="str">
        <f>""</f>
        <v/>
      </c>
      <c r="F982" s="263" t="e">
        <f ca="1">CONCATENATE(CHAR(34),"transportVlan",CHAR(34),": ",wld_az1_second_compute_rack_host_overlay_vlan_output,",")</f>
        <v>#N/A</v>
      </c>
      <c r="H982" t="str">
        <f>""</f>
        <v/>
      </c>
      <c r="I982" s="263" t="s">
        <v>4317</v>
      </c>
      <c r="L982" t="str">
        <f>""</f>
        <v/>
      </c>
      <c r="M982" s="263" t="s">
        <v>4316</v>
      </c>
      <c r="U982" s="103"/>
    </row>
    <row r="983" spans="2:21">
      <c r="E983" t="str">
        <f>""</f>
        <v/>
      </c>
      <c r="F983" s="263" t="s">
        <v>4409</v>
      </c>
      <c r="H983" t="str">
        <f>""</f>
        <v/>
      </c>
      <c r="I983" s="263" t="s">
        <v>4317</v>
      </c>
      <c r="L983" t="str">
        <f>""</f>
        <v/>
      </c>
      <c r="M983" s="263" t="s">
        <v>4341</v>
      </c>
      <c r="U983" s="103"/>
    </row>
    <row r="984" spans="2:21">
      <c r="E984" t="str">
        <f>""</f>
        <v/>
      </c>
      <c r="F984" s="263" t="s">
        <v>4315</v>
      </c>
      <c r="H984" t="str">
        <f>""</f>
        <v/>
      </c>
      <c r="I984" s="263" t="s">
        <v>4316</v>
      </c>
      <c r="L984" t="s">
        <v>4417</v>
      </c>
      <c r="M984" s="263" t="s">
        <v>4317</v>
      </c>
      <c r="U984" s="103"/>
    </row>
    <row r="985" spans="2:21">
      <c r="E985" t="str">
        <f>""</f>
        <v/>
      </c>
      <c r="F985" s="263" t="s">
        <v>4410</v>
      </c>
      <c r="H985" t="str">
        <f>""</f>
        <v/>
      </c>
      <c r="I985" s="263" t="s">
        <v>4341</v>
      </c>
      <c r="L985" t="str">
        <f>""</f>
        <v/>
      </c>
      <c r="M985" s="263" t="s">
        <v>4318</v>
      </c>
      <c r="U985" s="103"/>
    </row>
    <row r="986" spans="2:21">
      <c r="E986" t="str">
        <f>""</f>
        <v/>
      </c>
      <c r="F986" s="263" t="s">
        <v>4411</v>
      </c>
      <c r="H986" t="s">
        <v>4417</v>
      </c>
      <c r="I986" s="263" t="s">
        <v>4317</v>
      </c>
      <c r="L986" t="str">
        <f>""</f>
        <v/>
      </c>
      <c r="M986" s="263" t="s">
        <v>4316</v>
      </c>
      <c r="U986" s="103"/>
    </row>
    <row r="987" spans="2:21">
      <c r="E987" t="str">
        <f>""</f>
        <v/>
      </c>
      <c r="F987" s="263" t="s">
        <v>4383</v>
      </c>
      <c r="H987" t="str">
        <f>""</f>
        <v/>
      </c>
      <c r="I987" s="263" t="s">
        <v>4318</v>
      </c>
      <c r="L987" t="str">
        <f>""</f>
        <v/>
      </c>
      <c r="M987" s="263" t="s">
        <v>4412</v>
      </c>
      <c r="U987" s="103"/>
    </row>
    <row r="988" spans="2:21">
      <c r="E988" t="str">
        <f>""</f>
        <v/>
      </c>
      <c r="F988" s="263" t="s">
        <v>4385</v>
      </c>
      <c r="H988" t="str">
        <f>""</f>
        <v/>
      </c>
      <c r="I988" s="263" t="s">
        <v>4316</v>
      </c>
      <c r="L988" t="str">
        <f>""</f>
        <v/>
      </c>
      <c r="M988" s="263" t="s">
        <v>4413</v>
      </c>
      <c r="U988" s="103"/>
    </row>
    <row r="989" spans="2:21">
      <c r="E989" t="str">
        <f>""</f>
        <v/>
      </c>
      <c r="F989" s="263" t="s">
        <v>4386</v>
      </c>
      <c r="H989" t="str">
        <f>""</f>
        <v/>
      </c>
      <c r="I989" s="263" t="s">
        <v>4412</v>
      </c>
      <c r="L989" t="str">
        <f>""</f>
        <v/>
      </c>
      <c r="M989" s="263" t="s">
        <v>4414</v>
      </c>
      <c r="U989" s="103"/>
    </row>
    <row r="990" spans="2:21">
      <c r="E990" t="str">
        <f>""</f>
        <v/>
      </c>
      <c r="F990" s="263" t="s">
        <v>4320</v>
      </c>
      <c r="H990" t="str">
        <f>""</f>
        <v/>
      </c>
      <c r="I990" s="263" t="s">
        <v>4413</v>
      </c>
      <c r="L990" t="str">
        <f>""</f>
        <v/>
      </c>
      <c r="M990" s="263" t="s">
        <v>4315</v>
      </c>
      <c r="U990" s="103"/>
    </row>
    <row r="991" spans="2:21">
      <c r="E991" t="str">
        <f>""</f>
        <v/>
      </c>
      <c r="F991" s="263" t="s">
        <v>4318</v>
      </c>
      <c r="H991" t="str">
        <f>""</f>
        <v/>
      </c>
      <c r="I991" s="263" t="s">
        <v>4414</v>
      </c>
      <c r="L991" t="str">
        <f>""</f>
        <v/>
      </c>
      <c r="M991" s="263" t="str">
        <f>CONCATENATE(CHAR(34),"name",CHAR(34),": ",CHAR(34), wld_nsxt_mgra_hostname,CHAR(34),",")</f>
        <v>"name": "Value Missing",</v>
      </c>
      <c r="U991" s="103"/>
    </row>
    <row r="992" spans="2:21">
      <c r="E992" t="str">
        <f>""</f>
        <v/>
      </c>
      <c r="F992" s="263" t="s">
        <v>4317</v>
      </c>
      <c r="H992" t="str">
        <f>""</f>
        <v/>
      </c>
      <c r="I992" s="263" t="s">
        <v>4315</v>
      </c>
      <c r="L992" t="str">
        <f>""</f>
        <v/>
      </c>
      <c r="M992" s="263" t="s">
        <v>4415</v>
      </c>
      <c r="U992" s="103"/>
    </row>
    <row r="993" spans="5:21">
      <c r="E993" t="str">
        <f>""</f>
        <v/>
      </c>
      <c r="F993" s="263" t="s">
        <v>4318</v>
      </c>
      <c r="H993" t="str">
        <f>""</f>
        <v/>
      </c>
      <c r="I993" s="263" t="str">
        <f>CONCATENATE(CHAR(34),"name",CHAR(34),": ",CHAR(34), wld_nsxt_mgra_hostname,CHAR(34),",")</f>
        <v>"name": "Value Missing",</v>
      </c>
      <c r="L993" t="str">
        <f>""</f>
        <v/>
      </c>
      <c r="M993" s="263" t="str">
        <f>CONCATENATE(CHAR(34),"ipAddress",CHAR(34),": ",CHAR(34), wld_nsxt_mgra_ip,CHAR(34),",")</f>
        <v>"ipAddress": "Value Missing",</v>
      </c>
      <c r="U993" s="103"/>
    </row>
    <row r="994" spans="5:21">
      <c r="E994" t="str">
        <f>""</f>
        <v/>
      </c>
      <c r="F994" s="263" t="s">
        <v>4316</v>
      </c>
      <c r="H994" t="str">
        <f>""</f>
        <v/>
      </c>
      <c r="I994" s="263" t="s">
        <v>4415</v>
      </c>
      <c r="L994" t="str">
        <f>""</f>
        <v/>
      </c>
      <c r="M994" s="263" t="str">
        <f>CONCATENATE(CHAR(34),"dnsName",CHAR(34),": ",CHAR(34), wld_nsxt_mgra_fqdn,CHAR(34),",")</f>
        <v>"dnsName": "Value Missing.Value Missing",</v>
      </c>
      <c r="U994" s="103"/>
    </row>
    <row r="995" spans="5:21">
      <c r="E995" t="str">
        <f>""</f>
        <v/>
      </c>
      <c r="F995" s="263" t="s">
        <v>4315</v>
      </c>
      <c r="H995" t="str">
        <f>""</f>
        <v/>
      </c>
      <c r="I995" s="263" t="str">
        <f>CONCATENATE(CHAR(34),"ipAddress",CHAR(34),": ",CHAR(34), wld_nsxt_mgra_ip,CHAR(34),",")</f>
        <v>"ipAddress": "Value Missing",</v>
      </c>
      <c r="L995" t="str">
        <f>""</f>
        <v/>
      </c>
      <c r="M995" s="263" t="str">
        <f>CONCATENATE(CHAR(34),"gateway",CHAR(34),": ",CHAR(34), mgmt_az1_mgmt_vm_gateway_ip,CHAR(34),",")</f>
        <v>"gateway": "Value Missing",</v>
      </c>
      <c r="U995" s="103"/>
    </row>
    <row r="996" spans="5:21">
      <c r="E996" t="str">
        <f>""</f>
        <v/>
      </c>
      <c r="F996" s="263" t="e">
        <f ca="1">CONCATENATE(CHAR(34),"name",CHAR(34),": ",CHAR(34), wld_az1_third_compute_rack_host_overlay_uplink_profile_name_output,CHAR(34),",")</f>
        <v>#N/A</v>
      </c>
      <c r="H996" t="str">
        <f>""</f>
        <v/>
      </c>
      <c r="I996" s="263" t="str">
        <f>CONCATENATE(CHAR(34),"dnsName",CHAR(34),": ",CHAR(34), wld_nsxt_mgra_fqdn,CHAR(34),",")</f>
        <v>"dnsName": "Value Missing.Value Missing",</v>
      </c>
      <c r="L996" t="str">
        <f>""</f>
        <v/>
      </c>
      <c r="M996" s="263" t="str">
        <f>CONCATENATE(CHAR(34),"subnetMask",CHAR(34),": ",CHAR(34), mgmt_az1_mgmt_vm_mask,CHAR(34))</f>
        <v>"subnetMask": "Value Missing"</v>
      </c>
      <c r="U996" s="103"/>
    </row>
    <row r="997" spans="5:21">
      <c r="E997" t="str">
        <f>""</f>
        <v/>
      </c>
      <c r="F997" s="263" t="e">
        <f ca="1">CONCATENATE(CHAR(34),"transportVlan",CHAR(34),": ",wld_az1_third_compute_rack_host_overlay_vlan_output,",")</f>
        <v>#N/A</v>
      </c>
      <c r="H997" t="str">
        <f>""</f>
        <v/>
      </c>
      <c r="I997" s="263" t="str">
        <f>CONCATENATE(CHAR(34),"gateway",CHAR(34),": ",CHAR(34), mgmt_az1_mgmt_vm_gateway_ip,CHAR(34),",")</f>
        <v>"gateway": "Value Missing",</v>
      </c>
      <c r="L997" t="str">
        <f>""</f>
        <v/>
      </c>
      <c r="M997" s="263" t="s">
        <v>4317</v>
      </c>
      <c r="U997" s="103"/>
    </row>
    <row r="998" spans="5:21">
      <c r="E998" t="str">
        <f>""</f>
        <v/>
      </c>
      <c r="F998" s="263" t="s">
        <v>4409</v>
      </c>
      <c r="H998" t="str">
        <f>""</f>
        <v/>
      </c>
      <c r="I998" s="263" t="str">
        <f>CONCATENATE(CHAR(34),"subnetMask",CHAR(34),": ",CHAR(34), mgmt_az1_mgmt_vm_mask,CHAR(34))</f>
        <v>"subnetMask": "Value Missing"</v>
      </c>
      <c r="L998" t="str">
        <f>""</f>
        <v/>
      </c>
      <c r="M998" s="263" t="s">
        <v>4316</v>
      </c>
    </row>
    <row r="999" spans="5:21">
      <c r="E999" t="str">
        <f>""</f>
        <v/>
      </c>
      <c r="F999" s="263" t="s">
        <v>4315</v>
      </c>
      <c r="H999" t="str">
        <f>""</f>
        <v/>
      </c>
      <c r="I999" s="263" t="s">
        <v>4317</v>
      </c>
      <c r="L999" t="str">
        <f>""</f>
        <v/>
      </c>
      <c r="M999" s="263" t="s">
        <v>4315</v>
      </c>
    </row>
    <row r="1000" spans="5:21">
      <c r="E1000" t="str">
        <f>""</f>
        <v/>
      </c>
      <c r="F1000" s="263" t="s">
        <v>4410</v>
      </c>
      <c r="H1000" t="str">
        <f>""</f>
        <v/>
      </c>
      <c r="I1000" s="263" t="s">
        <v>4316</v>
      </c>
      <c r="L1000" t="str">
        <f>""</f>
        <v/>
      </c>
      <c r="M1000" s="263" t="str">
        <f>CONCATENATE(CHAR(34),"name",CHAR(34),": ",CHAR(34), wld_nsxt_mgrb_hostname,CHAR(34),",")</f>
        <v>"name": "Value Missing",</v>
      </c>
    </row>
    <row r="1001" spans="5:21">
      <c r="E1001" t="str">
        <f>""</f>
        <v/>
      </c>
      <c r="F1001" s="263" t="s">
        <v>4411</v>
      </c>
      <c r="H1001" t="str">
        <f>""</f>
        <v/>
      </c>
      <c r="I1001" s="263" t="s">
        <v>4315</v>
      </c>
      <c r="L1001" t="str">
        <f>""</f>
        <v/>
      </c>
      <c r="M1001" s="263" t="s">
        <v>4415</v>
      </c>
    </row>
    <row r="1002" spans="5:21">
      <c r="E1002" t="str">
        <f>""</f>
        <v/>
      </c>
      <c r="F1002" s="263" t="s">
        <v>4383</v>
      </c>
      <c r="H1002" t="str">
        <f>""</f>
        <v/>
      </c>
      <c r="I1002" s="263" t="str">
        <f>CONCATENATE(CHAR(34),"name",CHAR(34),": ",CHAR(34), wld_nsxt_mgrb_hostname,CHAR(34),",")</f>
        <v>"name": "Value Missing",</v>
      </c>
      <c r="L1002" t="str">
        <f>""</f>
        <v/>
      </c>
      <c r="M1002" s="263" t="str">
        <f>CONCATENATE(CHAR(34),"ipAddress",CHAR(34),": ",CHAR(34), wld_nsxt_mgrb_ip,CHAR(34),",")</f>
        <v>"ipAddress": "Value Missing",</v>
      </c>
    </row>
    <row r="1003" spans="5:21">
      <c r="E1003" t="str">
        <f>""</f>
        <v/>
      </c>
      <c r="F1003" s="263" t="s">
        <v>4385</v>
      </c>
      <c r="H1003" t="str">
        <f>""</f>
        <v/>
      </c>
      <c r="I1003" s="263" t="s">
        <v>4415</v>
      </c>
      <c r="L1003" t="str">
        <f>""</f>
        <v/>
      </c>
      <c r="M1003" s="263" t="str">
        <f>CONCATENATE(CHAR(34),"dnsName",CHAR(34),": ",CHAR(34), wld_nsxt_mgrb_fqdn,CHAR(34),",")</f>
        <v>"dnsName": "Value Missing.Value Missing",</v>
      </c>
    </row>
    <row r="1004" spans="5:21">
      <c r="E1004" t="str">
        <f>""</f>
        <v/>
      </c>
      <c r="F1004" s="263" t="s">
        <v>4386</v>
      </c>
      <c r="H1004" t="str">
        <f>""</f>
        <v/>
      </c>
      <c r="I1004" s="263" t="str">
        <f>CONCATENATE(CHAR(34),"ipAddress",CHAR(34),": ",CHAR(34), wld_nsxt_mgrb_ip,CHAR(34),",")</f>
        <v>"ipAddress": "Value Missing",</v>
      </c>
      <c r="L1004" t="str">
        <f>""</f>
        <v/>
      </c>
      <c r="M1004" s="263" t="str">
        <f>CONCATENATE(CHAR(34),"gateway",CHAR(34),": ",CHAR(34), mgmt_az1_mgmt_vm_gateway_ip,CHAR(34),",")</f>
        <v>"gateway": "Value Missing",</v>
      </c>
    </row>
    <row r="1005" spans="5:21">
      <c r="E1005" t="str">
        <f>""</f>
        <v/>
      </c>
      <c r="F1005" s="263" t="s">
        <v>4320</v>
      </c>
      <c r="H1005" t="str">
        <f>""</f>
        <v/>
      </c>
      <c r="I1005" s="263" t="str">
        <f>CONCATENATE(CHAR(34),"dnsName",CHAR(34),": ",CHAR(34), wld_nsxt_mgrb_fqdn,CHAR(34),",")</f>
        <v>"dnsName": "Value Missing.Value Missing",</v>
      </c>
      <c r="L1005" t="str">
        <f>""</f>
        <v/>
      </c>
      <c r="M1005" s="263" t="str">
        <f>CONCATENATE(CHAR(34),"subnetMask",CHAR(34),": ",CHAR(34),mgmt_az1_mgmt_vm_mask,CHAR(34))</f>
        <v>"subnetMask": "Value Missing"</v>
      </c>
    </row>
    <row r="1006" spans="5:21">
      <c r="E1006" t="str">
        <f>""</f>
        <v/>
      </c>
      <c r="F1006" s="263" t="s">
        <v>4318</v>
      </c>
      <c r="H1006" t="str">
        <f>""</f>
        <v/>
      </c>
      <c r="I1006" s="263" t="str">
        <f>CONCATENATE(CHAR(34),"gateway",CHAR(34),": ",CHAR(34), mgmt_az1_mgmt_vm_gateway_ip,CHAR(34),",")</f>
        <v>"gateway": "Value Missing",</v>
      </c>
      <c r="L1006" t="str">
        <f>""</f>
        <v/>
      </c>
      <c r="M1006" s="263" t="s">
        <v>4317</v>
      </c>
    </row>
    <row r="1007" spans="5:21">
      <c r="E1007" t="str">
        <f>""</f>
        <v/>
      </c>
      <c r="F1007" s="263" t="s">
        <v>4317</v>
      </c>
      <c r="H1007" t="str">
        <f>""</f>
        <v/>
      </c>
      <c r="I1007" s="263" t="str">
        <f>CONCATENATE(CHAR(34),"subnetMask",CHAR(34),": ",CHAR(34),mgmt_az1_mgmt_vm_mask,CHAR(34))</f>
        <v>"subnetMask": "Value Missing"</v>
      </c>
      <c r="L1007" t="str">
        <f>""</f>
        <v/>
      </c>
      <c r="M1007" s="263" t="s">
        <v>4316</v>
      </c>
    </row>
    <row r="1008" spans="5:21">
      <c r="E1008" t="str">
        <f>""</f>
        <v/>
      </c>
      <c r="F1008" s="263" t="s">
        <v>4318</v>
      </c>
      <c r="H1008" t="str">
        <f>""</f>
        <v/>
      </c>
      <c r="I1008" s="263" t="s">
        <v>4317</v>
      </c>
      <c r="L1008" t="str">
        <f>""</f>
        <v/>
      </c>
      <c r="M1008" s="263" t="s">
        <v>4315</v>
      </c>
    </row>
    <row r="1009" spans="5:13">
      <c r="E1009" t="str">
        <f>""</f>
        <v/>
      </c>
      <c r="F1009" s="263" t="s">
        <v>4316</v>
      </c>
      <c r="H1009" t="str">
        <f>""</f>
        <v/>
      </c>
      <c r="I1009" s="263" t="s">
        <v>4316</v>
      </c>
      <c r="L1009" t="str">
        <f>""</f>
        <v/>
      </c>
      <c r="M1009" s="263" t="str">
        <f>CONCATENATE(CHAR(34),"name",CHAR(34),": ",CHAR(34), wld_nsxt_mgrc_hostname,CHAR(34),",")</f>
        <v>"name": "Value Missing",</v>
      </c>
    </row>
    <row r="1010" spans="5:13">
      <c r="E1010" t="str">
        <f>""</f>
        <v/>
      </c>
      <c r="F1010" s="263" t="s">
        <v>4315</v>
      </c>
      <c r="H1010" t="str">
        <f>""</f>
        <v/>
      </c>
      <c r="I1010" s="263" t="s">
        <v>4315</v>
      </c>
      <c r="L1010" t="str">
        <f>""</f>
        <v/>
      </c>
      <c r="M1010" s="263" t="s">
        <v>4415</v>
      </c>
    </row>
    <row r="1011" spans="5:13">
      <c r="E1011" t="str">
        <f>""</f>
        <v/>
      </c>
      <c r="F1011" s="263" t="e">
        <f ca="1">CONCATENATE(CHAR(34),"name",CHAR(34),": ",CHAR(34), wld_az1_fourth_compute_rack_host_overlay_uplink_profile_name_output,CHAR(34),",")</f>
        <v>#N/A</v>
      </c>
      <c r="H1011" t="str">
        <f>""</f>
        <v/>
      </c>
      <c r="I1011" s="263" t="str">
        <f>CONCATENATE(CHAR(34),"name",CHAR(34),": ",CHAR(34), wld_nsxt_mgrc_hostname,CHAR(34),",")</f>
        <v>"name": "Value Missing",</v>
      </c>
      <c r="L1011" t="str">
        <f>""</f>
        <v/>
      </c>
      <c r="M1011" s="263" t="str">
        <f>CONCATENATE(CHAR(34),"ipAddress",CHAR(34),": ",CHAR(34), wld_nsxt_mgrc_ip,CHAR(34),",")</f>
        <v>"ipAddress": "Value Missing",</v>
      </c>
    </row>
    <row r="1012" spans="5:13">
      <c r="E1012" t="str">
        <f>""</f>
        <v/>
      </c>
      <c r="F1012" s="263" t="e">
        <f ca="1">CONCATENATE(CHAR(34),"transportVlan",CHAR(34),": ",wld_az1_fourth_compute_rack_host_overlay_vlan_output,",")</f>
        <v>#N/A</v>
      </c>
      <c r="H1012" t="str">
        <f>""</f>
        <v/>
      </c>
      <c r="I1012" s="263" t="s">
        <v>4415</v>
      </c>
      <c r="L1012" t="str">
        <f>""</f>
        <v/>
      </c>
      <c r="M1012" s="263" t="str">
        <f>CONCATENATE(CHAR(34),"dnsName",CHAR(34),": ",CHAR(34), wld_nsxt_mgrc_fqdn,CHAR(34),",")</f>
        <v>"dnsName": "Value Missing.Value Missing",</v>
      </c>
    </row>
    <row r="1013" spans="5:13">
      <c r="E1013" t="str">
        <f>""</f>
        <v/>
      </c>
      <c r="F1013" s="263" t="s">
        <v>4409</v>
      </c>
      <c r="H1013" t="str">
        <f>""</f>
        <v/>
      </c>
      <c r="I1013" s="263" t="str">
        <f>CONCATENATE(CHAR(34),"ipAddress",CHAR(34),": ",CHAR(34), wld_nsxt_mgrc_ip,CHAR(34),",")</f>
        <v>"ipAddress": "Value Missing",</v>
      </c>
      <c r="L1013" t="str">
        <f>""</f>
        <v/>
      </c>
      <c r="M1013" s="263" t="str">
        <f>CONCATENATE(CHAR(34),"gateway",CHAR(34),": ",CHAR(34), mgmt_az1_mgmt_vm_gateway_ip,CHAR(34),",")</f>
        <v>"gateway": "Value Missing",</v>
      </c>
    </row>
    <row r="1014" spans="5:13">
      <c r="E1014" t="str">
        <f>""</f>
        <v/>
      </c>
      <c r="F1014" s="263" t="s">
        <v>4315</v>
      </c>
      <c r="H1014" t="str">
        <f>""</f>
        <v/>
      </c>
      <c r="I1014" s="263" t="str">
        <f>CONCATENATE(CHAR(34),"dnsName",CHAR(34),": ",CHAR(34), wld_nsxt_mgrc_fqdn,CHAR(34),",")</f>
        <v>"dnsName": "Value Missing.Value Missing",</v>
      </c>
      <c r="L1014" t="str">
        <f>""</f>
        <v/>
      </c>
      <c r="M1014" s="263" t="str">
        <f>CONCATENATE(CHAR(34),"subnetMask",CHAR(34),": ",CHAR(34),mgmt_az1_mgmt_vm_mask,CHAR(34))</f>
        <v>"subnetMask": "Value Missing"</v>
      </c>
    </row>
    <row r="1015" spans="5:13">
      <c r="E1015" t="str">
        <f>""</f>
        <v/>
      </c>
      <c r="F1015" s="263" t="s">
        <v>4410</v>
      </c>
      <c r="H1015" t="str">
        <f>""</f>
        <v/>
      </c>
      <c r="I1015" s="263" t="str">
        <f>CONCATENATE(CHAR(34),"gateway",CHAR(34),": ",CHAR(34), mgmt_az1_mgmt_vm_gateway_ip,CHAR(34),",")</f>
        <v>"gateway": "Value Missing",</v>
      </c>
      <c r="L1015" t="str">
        <f>""</f>
        <v/>
      </c>
      <c r="M1015" s="263" t="s">
        <v>4317</v>
      </c>
    </row>
    <row r="1016" spans="5:13">
      <c r="E1016" t="str">
        <f>""</f>
        <v/>
      </c>
      <c r="F1016" s="263" t="s">
        <v>4411</v>
      </c>
      <c r="H1016" t="str">
        <f>""</f>
        <v/>
      </c>
      <c r="I1016" s="263" t="str">
        <f>CONCATENATE(CHAR(34),"subnetMask",CHAR(34),": ",CHAR(34),mgmt_az1_mgmt_vm_mask,CHAR(34))</f>
        <v>"subnetMask": "Value Missing"</v>
      </c>
      <c r="L1016" t="str">
        <f>""</f>
        <v/>
      </c>
      <c r="M1016" s="263" t="s">
        <v>4317</v>
      </c>
    </row>
    <row r="1017" spans="5:13">
      <c r="E1017" t="str">
        <f>""</f>
        <v/>
      </c>
      <c r="F1017" s="263" t="s">
        <v>4383</v>
      </c>
      <c r="H1017" t="str">
        <f>""</f>
        <v/>
      </c>
      <c r="I1017" s="263" t="s">
        <v>4317</v>
      </c>
      <c r="L1017" t="str">
        <f>""</f>
        <v/>
      </c>
      <c r="M1017" s="263" t="s">
        <v>4319</v>
      </c>
    </row>
    <row r="1018" spans="5:13">
      <c r="E1018" t="str">
        <f>""</f>
        <v/>
      </c>
      <c r="F1018" s="263" t="s">
        <v>4385</v>
      </c>
      <c r="H1018" t="str">
        <f>""</f>
        <v/>
      </c>
      <c r="I1018" s="263" t="s">
        <v>4317</v>
      </c>
      <c r="L1018" t="str">
        <f>""</f>
        <v/>
      </c>
      <c r="M1018" s="263" t="str">
        <f>CONCATENATE(CHAR(34),"vip",CHAR(34),": ",CHAR(34), wld_nsxt_ip,CHAR(34),",")</f>
        <v>"vip": "Value Missing",</v>
      </c>
    </row>
    <row r="1019" spans="5:13">
      <c r="E1019" t="str">
        <f>""</f>
        <v/>
      </c>
      <c r="F1019" s="263" t="s">
        <v>4386</v>
      </c>
      <c r="H1019" t="str">
        <f>""</f>
        <v/>
      </c>
      <c r="I1019" s="263" t="s">
        <v>4319</v>
      </c>
      <c r="L1019" t="str">
        <f>""</f>
        <v/>
      </c>
      <c r="M1019" s="263" t="str">
        <f>CONCATENATE(CHAR(34),"vipFqdn",CHAR(34),": ",CHAR(34), wld_nsxt_vip_fqdn,CHAR(34),",")</f>
        <v>"vipFqdn": "Value Missing.Value Missing",</v>
      </c>
    </row>
    <row r="1020" spans="5:13">
      <c r="E1020" t="str">
        <f>""</f>
        <v/>
      </c>
      <c r="F1020" s="263" t="s">
        <v>4320</v>
      </c>
      <c r="H1020" t="str">
        <f>""</f>
        <v/>
      </c>
      <c r="I1020" s="263" t="str">
        <f>CONCATENATE(CHAR(34),"vip",CHAR(34),": ",CHAR(34), wld_nsxt_ip,CHAR(34),",")</f>
        <v>"vip": "Value Missing",</v>
      </c>
      <c r="L1020" t="str">
        <f>""</f>
        <v/>
      </c>
      <c r="M1020" s="263" t="str">
        <f>CONCATENATE(CHAR(34),"licenseKey",CHAR(34),": ",CHAR(34), nsxt_license,CHAR(34),",")</f>
        <v>"licenseKey": "Value Missing",</v>
      </c>
    </row>
    <row r="1021" spans="5:13">
      <c r="E1021" t="str">
        <f>""</f>
        <v/>
      </c>
      <c r="F1021" s="263" t="s">
        <v>4318</v>
      </c>
      <c r="H1021" t="str">
        <f>""</f>
        <v/>
      </c>
      <c r="I1021" s="263" t="str">
        <f>CONCATENATE(CHAR(34),"vipFqdn",CHAR(34),": ",CHAR(34), wld_nsxt_vip_fqdn,CHAR(34),",")</f>
        <v>"vipFqdn": "Value Missing.Value Missing",</v>
      </c>
      <c r="L1021" t="str">
        <f>""</f>
        <v/>
      </c>
      <c r="M1021" s="263" t="s">
        <v>4416</v>
      </c>
    </row>
    <row r="1022" spans="5:13">
      <c r="E1022" t="str">
        <f>""</f>
        <v/>
      </c>
      <c r="F1022" s="263" t="s">
        <v>4317</v>
      </c>
      <c r="H1022" t="str">
        <f>""</f>
        <v/>
      </c>
      <c r="I1022" s="263" t="str">
        <f>CONCATENATE(CHAR(34),"licenseKey",CHAR(34),": ",CHAR(34), nsxt_license,CHAR(34),",")</f>
        <v>"licenseKey": "Value Missing",</v>
      </c>
      <c r="L1022" t="str">
        <f>""</f>
        <v/>
      </c>
      <c r="M1022" s="263" t="s">
        <v>4317</v>
      </c>
    </row>
    <row r="1023" spans="5:13">
      <c r="E1023" t="str">
        <f>""</f>
        <v/>
      </c>
      <c r="F1023" s="263" t="s">
        <v>4318</v>
      </c>
      <c r="H1023" t="str">
        <f>""</f>
        <v/>
      </c>
      <c r="I1023" s="263" t="s">
        <v>4416</v>
      </c>
      <c r="L1023" t="str">
        <f>""</f>
        <v/>
      </c>
      <c r="M1023" s="265" t="s">
        <v>4317</v>
      </c>
    </row>
    <row r="1024" spans="5:13">
      <c r="E1024" t="str">
        <f>""</f>
        <v/>
      </c>
      <c r="F1024" s="263" t="s">
        <v>4317</v>
      </c>
      <c r="H1024" t="str">
        <f>""</f>
        <v/>
      </c>
      <c r="I1024" s="263" t="s">
        <v>4317</v>
      </c>
      <c r="L1024" t="str">
        <f>""</f>
        <v/>
      </c>
    </row>
    <row r="1025" spans="5:9">
      <c r="E1025" t="str">
        <f>""</f>
        <v/>
      </c>
      <c r="F1025" s="263" t="s">
        <v>4318</v>
      </c>
      <c r="H1025" t="str">
        <f>""</f>
        <v/>
      </c>
      <c r="I1025" s="265" t="s">
        <v>4317</v>
      </c>
    </row>
    <row r="1026" spans="5:9">
      <c r="E1026" t="str">
        <f>""</f>
        <v/>
      </c>
      <c r="F1026" s="263" t="s">
        <v>4317</v>
      </c>
      <c r="H1026" t="str">
        <f>""</f>
        <v/>
      </c>
    </row>
    <row r="1027" spans="5:9">
      <c r="E1027" t="str">
        <f>""</f>
        <v/>
      </c>
      <c r="F1027" s="263" t="s">
        <v>4317</v>
      </c>
    </row>
    <row r="1028" spans="5:9">
      <c r="E1028" t="s">
        <v>4417</v>
      </c>
      <c r="F1028" s="263" t="s">
        <v>4316</v>
      </c>
    </row>
    <row r="1029" spans="5:9">
      <c r="E1029" t="str">
        <f>""</f>
        <v/>
      </c>
      <c r="F1029" s="263" t="s">
        <v>4341</v>
      </c>
    </row>
    <row r="1030" spans="5:9">
      <c r="E1030" t="str">
        <f>""</f>
        <v/>
      </c>
      <c r="F1030" s="263" t="s">
        <v>4317</v>
      </c>
    </row>
    <row r="1031" spans="5:9">
      <c r="E1031" t="str">
        <f>""</f>
        <v/>
      </c>
      <c r="F1031" s="263" t="s">
        <v>4318</v>
      </c>
    </row>
    <row r="1032" spans="5:9">
      <c r="E1032" t="str">
        <f>""</f>
        <v/>
      </c>
      <c r="F1032" s="263" t="s">
        <v>4316</v>
      </c>
    </row>
    <row r="1033" spans="5:9">
      <c r="E1033" t="str">
        <f>""</f>
        <v/>
      </c>
      <c r="F1033" s="263" t="s">
        <v>4412</v>
      </c>
    </row>
    <row r="1034" spans="5:9">
      <c r="E1034" t="str">
        <f>""</f>
        <v/>
      </c>
      <c r="F1034" s="255" t="s">
        <v>4413</v>
      </c>
    </row>
    <row r="1035" spans="5:9">
      <c r="E1035" t="str">
        <f>""</f>
        <v/>
      </c>
      <c r="F1035" s="255" t="s">
        <v>4414</v>
      </c>
    </row>
    <row r="1036" spans="5:9">
      <c r="E1036" t="str">
        <f>""</f>
        <v/>
      </c>
      <c r="F1036" s="255" t="s">
        <v>4315</v>
      </c>
    </row>
    <row r="1037" spans="5:9">
      <c r="E1037" t="str">
        <f>""</f>
        <v/>
      </c>
      <c r="F1037" s="255" t="str">
        <f>CONCATENATE(CHAR(34),"name",CHAR(34),": ",CHAR(34), wld_nsxt_mgra_hostname,CHAR(34),",")</f>
        <v>"name": "Value Missing",</v>
      </c>
    </row>
    <row r="1038" spans="5:9">
      <c r="E1038" t="str">
        <f>""</f>
        <v/>
      </c>
      <c r="F1038" s="255" t="s">
        <v>4415</v>
      </c>
    </row>
    <row r="1039" spans="5:9">
      <c r="E1039" t="str">
        <f>""</f>
        <v/>
      </c>
      <c r="F1039" s="255" t="str">
        <f>CONCATENATE(CHAR(34),"ipAddress",CHAR(34),": ",CHAR(34), wld_nsxt_mgra_ip,CHAR(34),",")</f>
        <v>"ipAddress": "Value Missing",</v>
      </c>
    </row>
    <row r="1040" spans="5:9">
      <c r="E1040" t="str">
        <f>""</f>
        <v/>
      </c>
      <c r="F1040" s="255" t="str">
        <f>CONCATENATE(CHAR(34),"dnsName",CHAR(34),": ",CHAR(34), wld_nsxt_mgra_fqdn,CHAR(34),",")</f>
        <v>"dnsName": "Value Missing.Value Missing",</v>
      </c>
    </row>
    <row r="1041" spans="5:6">
      <c r="E1041" t="str">
        <f>""</f>
        <v/>
      </c>
      <c r="F1041" s="255" t="str">
        <f>CONCATENATE(CHAR(34),"gateway",CHAR(34),": ",CHAR(34), mgmt_az1_mgmt_vm_gateway_ip,CHAR(34),",")</f>
        <v>"gateway": "Value Missing",</v>
      </c>
    </row>
    <row r="1042" spans="5:6">
      <c r="E1042" t="str">
        <f>""</f>
        <v/>
      </c>
      <c r="F1042" s="255" t="str">
        <f>CONCATENATE(CHAR(34),"subnetMask",CHAR(34),": ",CHAR(34), mgmt_az1_mgmt_vm_mask,CHAR(34))</f>
        <v>"subnetMask": "Value Missing"</v>
      </c>
    </row>
    <row r="1043" spans="5:6">
      <c r="E1043" t="str">
        <f>""</f>
        <v/>
      </c>
      <c r="F1043" s="255" t="s">
        <v>4317</v>
      </c>
    </row>
    <row r="1044" spans="5:6">
      <c r="E1044" t="str">
        <f>""</f>
        <v/>
      </c>
      <c r="F1044" s="255" t="s">
        <v>4316</v>
      </c>
    </row>
    <row r="1045" spans="5:6">
      <c r="E1045" t="str">
        <f>""</f>
        <v/>
      </c>
      <c r="F1045" s="255" t="s">
        <v>4315</v>
      </c>
    </row>
    <row r="1046" spans="5:6">
      <c r="E1046" t="str">
        <f>""</f>
        <v/>
      </c>
      <c r="F1046" s="255" t="str">
        <f>CONCATENATE(CHAR(34),"name",CHAR(34),": ",CHAR(34), wld_nsxt_mgrb_hostname,CHAR(34),",")</f>
        <v>"name": "Value Missing",</v>
      </c>
    </row>
    <row r="1047" spans="5:6">
      <c r="E1047" t="str">
        <f>""</f>
        <v/>
      </c>
      <c r="F1047" s="255" t="s">
        <v>4415</v>
      </c>
    </row>
    <row r="1048" spans="5:6">
      <c r="E1048" t="str">
        <f>""</f>
        <v/>
      </c>
      <c r="F1048" s="255" t="str">
        <f>CONCATENATE(CHAR(34),"ipAddress",CHAR(34),": ",CHAR(34), wld_nsxt_mgrb_ip,CHAR(34),",")</f>
        <v>"ipAddress": "Value Missing",</v>
      </c>
    </row>
    <row r="1049" spans="5:6">
      <c r="E1049" t="str">
        <f>""</f>
        <v/>
      </c>
      <c r="F1049" s="255" t="str">
        <f>CONCATENATE(CHAR(34),"dnsName",CHAR(34),": ",CHAR(34), wld_nsxt_mgrb_fqdn,CHAR(34),",")</f>
        <v>"dnsName": "Value Missing.Value Missing",</v>
      </c>
    </row>
    <row r="1050" spans="5:6">
      <c r="E1050" t="str">
        <f>""</f>
        <v/>
      </c>
      <c r="F1050" s="255" t="str">
        <f>CONCATENATE(CHAR(34),"gateway",CHAR(34),": ",CHAR(34), mgmt_az1_mgmt_vm_gateway_ip,CHAR(34),",")</f>
        <v>"gateway": "Value Missing",</v>
      </c>
    </row>
    <row r="1051" spans="5:6">
      <c r="E1051" t="str">
        <f>""</f>
        <v/>
      </c>
      <c r="F1051" s="255" t="str">
        <f>CONCATENATE(CHAR(34),"subnetMask",CHAR(34),": ",CHAR(34),mgmt_az1_mgmt_vm_mask,CHAR(34))</f>
        <v>"subnetMask": "Value Missing"</v>
      </c>
    </row>
    <row r="1052" spans="5:6">
      <c r="E1052" t="str">
        <f>""</f>
        <v/>
      </c>
      <c r="F1052" s="255" t="s">
        <v>4317</v>
      </c>
    </row>
    <row r="1053" spans="5:6">
      <c r="E1053" t="str">
        <f>""</f>
        <v/>
      </c>
      <c r="F1053" s="255" t="s">
        <v>4316</v>
      </c>
    </row>
    <row r="1054" spans="5:6">
      <c r="E1054" t="str">
        <f>""</f>
        <v/>
      </c>
      <c r="F1054" s="255" t="s">
        <v>4315</v>
      </c>
    </row>
    <row r="1055" spans="5:6">
      <c r="E1055" t="str">
        <f>""</f>
        <v/>
      </c>
      <c r="F1055" s="255" t="str">
        <f>CONCATENATE(CHAR(34),"name",CHAR(34),": ",CHAR(34), wld_nsxt_mgrc_hostname,CHAR(34),",")</f>
        <v>"name": "Value Missing",</v>
      </c>
    </row>
    <row r="1056" spans="5:6">
      <c r="E1056" t="str">
        <f>""</f>
        <v/>
      </c>
      <c r="F1056" s="255" t="s">
        <v>4415</v>
      </c>
    </row>
    <row r="1057" spans="5:6">
      <c r="E1057" t="str">
        <f>""</f>
        <v/>
      </c>
      <c r="F1057" s="255" t="str">
        <f>CONCATENATE(CHAR(34),"ipAddress",CHAR(34),": ",CHAR(34), wld_nsxt_mgrc_ip,CHAR(34),",")</f>
        <v>"ipAddress": "Value Missing",</v>
      </c>
    </row>
    <row r="1058" spans="5:6">
      <c r="E1058" t="str">
        <f>""</f>
        <v/>
      </c>
      <c r="F1058" s="255" t="str">
        <f>CONCATENATE(CHAR(34),"dnsName",CHAR(34),": ",CHAR(34), wld_nsxt_mgrc_fqdn,CHAR(34),",")</f>
        <v>"dnsName": "Value Missing.Value Missing",</v>
      </c>
    </row>
    <row r="1059" spans="5:6">
      <c r="E1059" t="str">
        <f>""</f>
        <v/>
      </c>
      <c r="F1059" s="255" t="str">
        <f>CONCATENATE(CHAR(34),"gateway",CHAR(34),": ",CHAR(34), mgmt_az1_mgmt_vm_gateway_ip,CHAR(34),",")</f>
        <v>"gateway": "Value Missing",</v>
      </c>
    </row>
    <row r="1060" spans="5:6">
      <c r="E1060" t="str">
        <f>""</f>
        <v/>
      </c>
      <c r="F1060" s="255" t="str">
        <f>CONCATENATE(CHAR(34),"subnetMask",CHAR(34),": ",CHAR(34),mgmt_az1_mgmt_vm_mask,CHAR(34))</f>
        <v>"subnetMask": "Value Missing"</v>
      </c>
    </row>
    <row r="1061" spans="5:6">
      <c r="E1061" t="str">
        <f>""</f>
        <v/>
      </c>
      <c r="F1061" s="255" t="s">
        <v>4317</v>
      </c>
    </row>
    <row r="1062" spans="5:6">
      <c r="E1062" t="str">
        <f>""</f>
        <v/>
      </c>
      <c r="F1062" s="255" t="s">
        <v>4317</v>
      </c>
    </row>
    <row r="1063" spans="5:6">
      <c r="E1063" t="str">
        <f>""</f>
        <v/>
      </c>
      <c r="F1063" s="255" t="s">
        <v>4319</v>
      </c>
    </row>
    <row r="1064" spans="5:6">
      <c r="E1064" t="str">
        <f>""</f>
        <v/>
      </c>
      <c r="F1064" s="255" t="str">
        <f>CONCATENATE(CHAR(34),"vip",CHAR(34),": ",CHAR(34), wld_nsxt_ip,CHAR(34),",")</f>
        <v>"vip": "Value Missing",</v>
      </c>
    </row>
    <row r="1065" spans="5:6">
      <c r="E1065" t="str">
        <f>""</f>
        <v/>
      </c>
      <c r="F1065" s="255" t="str">
        <f>CONCATENATE(CHAR(34),"vipFqdn",CHAR(34),": ",CHAR(34), wld_nsxt_vip_fqdn,CHAR(34),",")</f>
        <v>"vipFqdn": "Value Missing.Value Missing",</v>
      </c>
    </row>
    <row r="1066" spans="5:6">
      <c r="E1066" t="str">
        <f>""</f>
        <v/>
      </c>
      <c r="F1066" s="255" t="str">
        <f>CONCATENATE(CHAR(34),"licenseKey",CHAR(34),": ",CHAR(34), nsxt_license,CHAR(34),",")</f>
        <v>"licenseKey": "Value Missing",</v>
      </c>
    </row>
    <row r="1067" spans="5:6">
      <c r="E1067" t="str">
        <f>""</f>
        <v/>
      </c>
      <c r="F1067" s="255" t="s">
        <v>4416</v>
      </c>
    </row>
    <row r="1068" spans="5:6">
      <c r="E1068" t="str">
        <f>""</f>
        <v/>
      </c>
      <c r="F1068" s="255" t="s">
        <v>4317</v>
      </c>
    </row>
    <row r="1069" spans="5:6">
      <c r="F1069" s="256" t="s">
        <v>4317</v>
      </c>
    </row>
  </sheetData>
  <sheetProtection selectLockedCells="1"/>
  <mergeCells count="4">
    <mergeCell ref="B6:C6"/>
    <mergeCell ref="B2:W2"/>
    <mergeCell ref="B3:W3"/>
    <mergeCell ref="B27:C27"/>
  </mergeCells>
  <phoneticPr fontId="45" type="noConversion"/>
  <pageMargins left="0.7" right="0.7" top="0.75" bottom="0.75" header="0.3" footer="0.3"/>
  <pageSetup paperSize="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80877-68F0-1C4B-B1D2-916A0B669497}">
  <sheetPr codeName="Sheet5"/>
  <dimension ref="A1:AE365"/>
  <sheetViews>
    <sheetView showGridLines="0" zoomScaleNormal="100" workbookViewId="0">
      <pane ySplit="4" topLeftCell="A20" activePane="bottomLeft" state="frozen"/>
      <selection pane="bottomLeft" activeCell="I42" sqref="I42"/>
    </sheetView>
  </sheetViews>
  <sheetFormatPr baseColWidth="10" defaultColWidth="11" defaultRowHeight="20" customHeight="1"/>
  <cols>
    <col min="1" max="1" width="2.83203125" customWidth="1"/>
    <col min="2" max="2" width="57" customWidth="1"/>
    <col min="3" max="3" width="34" bestFit="1" customWidth="1"/>
    <col min="4" max="4" width="2.83203125" customWidth="1"/>
    <col min="5" max="5" width="53" bestFit="1" customWidth="1"/>
    <col min="6" max="6" width="45.33203125" bestFit="1" customWidth="1"/>
    <col min="7" max="7" width="2.83203125" customWidth="1"/>
    <col min="8" max="8" width="57.1640625" bestFit="1" customWidth="1"/>
    <col min="9" max="9" width="30.6640625" bestFit="1" customWidth="1"/>
    <col min="10" max="10" width="2.83203125" customWidth="1"/>
    <col min="11" max="11" width="73.83203125" bestFit="1" customWidth="1"/>
    <col min="12" max="12" width="66" bestFit="1" customWidth="1"/>
    <col min="13" max="13" width="2.83203125" customWidth="1"/>
    <col min="14" max="14" width="50.83203125" customWidth="1"/>
    <col min="15" max="15" width="40.83203125" customWidth="1"/>
    <col min="16" max="16" width="2.33203125" customWidth="1"/>
    <col min="17" max="17" width="57.6640625" bestFit="1" customWidth="1"/>
    <col min="18" max="18" width="63.33203125" bestFit="1" customWidth="1"/>
    <col min="19" max="19" width="2.83203125" customWidth="1"/>
    <col min="20" max="20" width="72.83203125" bestFit="1" customWidth="1"/>
    <col min="21" max="21" width="60.83203125" customWidth="1"/>
    <col min="22" max="22" width="2.83203125" customWidth="1"/>
    <col min="23" max="23" width="59.33203125" bestFit="1" customWidth="1"/>
    <col min="24" max="24" width="66" bestFit="1" customWidth="1"/>
    <col min="25" max="25" width="2.83203125" customWidth="1"/>
    <col min="26" max="26" width="49.6640625" bestFit="1" customWidth="1"/>
    <col min="27" max="28" width="20.6640625" bestFit="1" customWidth="1"/>
    <col min="30" max="30" width="82.5" customWidth="1"/>
    <col min="31" max="31" width="100.83203125" customWidth="1"/>
    <col min="33" max="33" width="49.6640625" bestFit="1" customWidth="1"/>
    <col min="34" max="35" width="20.6640625" bestFit="1" customWidth="1"/>
  </cols>
  <sheetData>
    <row r="1" spans="1:28" s="3" customFormat="1" ht="16" customHeight="1">
      <c r="A1" s="6"/>
      <c r="B1" s="6"/>
      <c r="C1" s="6"/>
      <c r="D1" s="6"/>
      <c r="E1" s="6"/>
      <c r="F1" s="6"/>
      <c r="G1" s="6"/>
      <c r="H1" s="6"/>
      <c r="I1" s="6"/>
      <c r="J1" s="6"/>
      <c r="K1" s="6"/>
      <c r="L1" s="6"/>
      <c r="M1" s="6"/>
    </row>
    <row r="2" spans="1:28" s="3" customFormat="1" ht="54" customHeight="1">
      <c r="N2" s="490"/>
      <c r="O2" s="500"/>
      <c r="P2" s="209"/>
      <c r="Q2" s="209"/>
      <c r="R2" s="209"/>
      <c r="S2" s="497"/>
      <c r="T2" s="497"/>
      <c r="U2" s="497"/>
      <c r="V2" s="497"/>
      <c r="W2" s="498"/>
    </row>
    <row r="3" spans="1:28" s="3" customFormat="1" ht="20" customHeight="1">
      <c r="N3" s="499" t="s">
        <v>1222</v>
      </c>
      <c r="O3" s="499"/>
      <c r="P3" s="499"/>
      <c r="Q3" s="499"/>
      <c r="R3" s="499"/>
      <c r="S3" s="499"/>
      <c r="T3" s="499"/>
      <c r="U3" s="471"/>
      <c r="V3" s="471"/>
      <c r="W3" s="471"/>
    </row>
    <row r="4" spans="1:28" s="3" customFormat="1" ht="16">
      <c r="S4" s="7"/>
      <c r="T4" s="5"/>
    </row>
    <row r="5" spans="1:28" s="3" customFormat="1" ht="16">
      <c r="S5" s="7"/>
      <c r="T5" s="5"/>
    </row>
    <row r="6" spans="1:28" s="3" customFormat="1" ht="20" customHeight="1">
      <c r="B6" s="344" t="s">
        <v>1225</v>
      </c>
      <c r="C6" s="344"/>
      <c r="E6" s="208" t="s">
        <v>3933</v>
      </c>
      <c r="F6" s="208"/>
      <c r="H6" s="51" t="s">
        <v>749</v>
      </c>
      <c r="I6" s="51"/>
      <c r="K6" s="51" t="s">
        <v>1227</v>
      </c>
      <c r="L6" s="51"/>
      <c r="N6" s="427" t="s">
        <v>1378</v>
      </c>
      <c r="O6" s="426"/>
      <c r="Q6" s="427" t="s">
        <v>1229</v>
      </c>
      <c r="R6" s="426"/>
      <c r="S6" s="7"/>
      <c r="T6" s="344" t="s">
        <v>1224</v>
      </c>
      <c r="U6" s="344"/>
      <c r="W6" s="68" t="s">
        <v>1513</v>
      </c>
      <c r="X6" s="73"/>
      <c r="Z6" s="427" t="s">
        <v>1223</v>
      </c>
      <c r="AA6" s="428"/>
      <c r="AB6" s="426"/>
    </row>
    <row r="7" spans="1:28" s="3" customFormat="1" ht="20" customHeight="1">
      <c r="B7" s="21" t="s">
        <v>1232</v>
      </c>
      <c r="C7" s="18" t="str">
        <f>IF(ISBLANK(input_cloudbuilder_target_fqdn),"Value Missing",input_cloudbuilder_target_fqdn)</f>
        <v>Value Missing</v>
      </c>
      <c r="E7" s="21" t="s">
        <v>3932</v>
      </c>
      <c r="F7" s="14">
        <v>1</v>
      </c>
      <c r="H7" s="8" t="s">
        <v>735</v>
      </c>
      <c r="I7" s="20" t="s">
        <v>555</v>
      </c>
      <c r="K7" s="8" t="s">
        <v>735</v>
      </c>
      <c r="L7" s="20" t="s">
        <v>555</v>
      </c>
      <c r="N7" s="8" t="s">
        <v>735</v>
      </c>
      <c r="O7" s="20" t="s">
        <v>555</v>
      </c>
      <c r="Q7" s="8" t="s">
        <v>735</v>
      </c>
      <c r="R7" s="20" t="s">
        <v>555</v>
      </c>
      <c r="T7" s="8" t="s">
        <v>735</v>
      </c>
      <c r="U7" s="20" t="s">
        <v>555</v>
      </c>
      <c r="W7" s="8" t="s">
        <v>735</v>
      </c>
      <c r="X7" s="20" t="s">
        <v>555</v>
      </c>
      <c r="Z7" s="8" t="s">
        <v>735</v>
      </c>
      <c r="AA7" s="20" t="s">
        <v>1230</v>
      </c>
      <c r="AB7" s="20" t="s">
        <v>1231</v>
      </c>
    </row>
    <row r="8" spans="1:28" s="3" customFormat="1" ht="20" customHeight="1">
      <c r="B8" s="21" t="s">
        <v>1234</v>
      </c>
      <c r="C8" s="18" t="str">
        <f>IF(ISBLANK(input_cloudbuilder_target_datastore),"Value Missing",input_cloudbuilder_target_datastore)</f>
        <v>Value Missing</v>
      </c>
      <c r="E8" s="21" t="s">
        <v>4021</v>
      </c>
      <c r="F8" s="18" t="str">
        <f>wld_compute_hosts_per_rack_chosen</f>
        <v>Exclude</v>
      </c>
      <c r="H8" s="21" t="s">
        <v>4657</v>
      </c>
      <c r="I8" s="18" t="str">
        <f>IF(vcf_solution_license_result="Included","No","Yes")</f>
        <v>Yes</v>
      </c>
      <c r="K8" s="21" t="s">
        <v>782</v>
      </c>
      <c r="L8" s="18" t="str">
        <f>IF(ISBLANK('SDDC Inputs - Common'!D70),"Value Missing",'SDDC Inputs - Common'!D70)</f>
        <v>Value Missing</v>
      </c>
      <c r="N8" s="21" t="s">
        <v>701</v>
      </c>
      <c r="O8" s="18" t="str">
        <f>IF(ISBLANK('Name &amp; IP Address Inputs - VM'!E86),"Value Missing",'Name &amp; IP Address Inputs - VM'!E86)</f>
        <v>n/a</v>
      </c>
      <c r="Q8" s="52" t="s">
        <v>3596</v>
      </c>
      <c r="R8" s="18" t="str">
        <f>IF(ISBLANK(child_svc_vsphere_ad_user),"Value Missing",CONCATENATE(child_svc_vsphere_ad_user,"@",region_ad_child_fqdn))</f>
        <v>Value Missing@Value Missing</v>
      </c>
      <c r="T8" s="21" t="s">
        <v>550</v>
      </c>
      <c r="U8" s="18" t="str">
        <f>IF(ISBLANK('SDDC Inputs - Common'!D94),"Value Missing",'SDDC Inputs - Common'!D94)</f>
        <v>Value Missing</v>
      </c>
      <c r="W8" s="21" t="s">
        <v>1518</v>
      </c>
      <c r="X8" s="18" t="str">
        <f>IF(ISBLANK('SDDC Inputs - Common'!D370),"Value Missing",'SDDC Inputs - Common'!D370)</f>
        <v>Value Missing</v>
      </c>
      <c r="Z8" s="21" t="s">
        <v>1233</v>
      </c>
      <c r="AA8" s="18" t="str">
        <f>'Value Reference Tables - MR'!C9</f>
        <v>Value Missing</v>
      </c>
      <c r="AB8" s="18" t="str">
        <f>'Value Reference Tables - MR'!C236</f>
        <v>Value Missing</v>
      </c>
    </row>
    <row r="9" spans="1:28" s="3" customFormat="1" ht="20" customHeight="1">
      <c r="B9" s="21" t="s">
        <v>1237</v>
      </c>
      <c r="C9" s="18" t="str">
        <f>IF(ISBLANK(input_cloudbuilder_target_network),"Value Missing",input_cloudbuilder_target_network)</f>
        <v>Value Missing</v>
      </c>
      <c r="E9" s="21" t="s">
        <v>4024</v>
      </c>
      <c r="F9" s="18" t="str">
        <f>IF(wld_compute_hosts_per_rack="Exclude","Multi Rack Not enabled",IF(wld_dedicated_edge_cluster_chosen="Exclude",wld_compute_hosts_per_rack_chosen*(wld_multi_rack_count_chosen+1),(wld_compute_hosts_per_rack_chosen*(wld_multi_rack_count_chosen-1))))</f>
        <v>Multi Rack Not enabled</v>
      </c>
      <c r="H9" s="21" t="s">
        <v>750</v>
      </c>
      <c r="I9" s="18" t="str">
        <f>IF(ISBLANK('SDDC Inputs - Common'!D17),"Value Missing",'SDDC Inputs - Common'!D17)</f>
        <v>Value Missing</v>
      </c>
      <c r="K9" s="21" t="s">
        <v>783</v>
      </c>
      <c r="L9" s="18" t="str">
        <f>mgmt_signed_certs_chosen</f>
        <v>Exclude</v>
      </c>
      <c r="Q9" s="52" t="s">
        <v>3597</v>
      </c>
      <c r="R9" s="18" t="str">
        <f>IF(ISBLANK(input_child_svc_vsphere_ad_password),"Value Missing",CONCATENATE(child_svc_vsphere_ad_password))</f>
        <v>Value Missing</v>
      </c>
      <c r="T9" s="21" t="s">
        <v>551</v>
      </c>
      <c r="U9" s="18" t="str">
        <f>IF(ISBLANK('SDDC Inputs - Common'!D95),"Value Missing",'SDDC Inputs - Common'!D95)</f>
        <v>Value Missing</v>
      </c>
      <c r="W9" s="21" t="s">
        <v>1521</v>
      </c>
      <c r="X9" s="18" t="str">
        <f>IF(ISBLANK(input_vrslcm_xreg_location),"Value Missing",input_vrslcm_xreg_location)</f>
        <v>Value Missing</v>
      </c>
      <c r="Z9" s="21" t="s">
        <v>1259</v>
      </c>
      <c r="AA9" s="18" t="str">
        <f>IF(ISBLANK(input_reg_seg01_vlan),"Value Missing",input_reg_seg01_vlan)</f>
        <v>Value Missing</v>
      </c>
      <c r="AB9" s="18" t="str">
        <f t="array" ref="AB9">reg_seg01_vlan</f>
        <v>Value Missing</v>
      </c>
    </row>
    <row r="10" spans="1:28" s="3" customFormat="1" ht="20" customHeight="1">
      <c r="H10" s="21" t="s">
        <v>1405</v>
      </c>
      <c r="I10" s="18" t="str">
        <f>IF(ISBLANK('SDDC Inputs - Common'!D18),"Value Missing",'SDDC Inputs - Common'!D18)</f>
        <v>Value Missing</v>
      </c>
      <c r="K10" s="21" t="s">
        <v>784</v>
      </c>
      <c r="L10" s="18" t="str">
        <f>IF(ISBLANK('SDDC Inputs - Common'!D71),"Value Missing",'SDDC Inputs - Common'!D71)</f>
        <v>Value Missing</v>
      </c>
      <c r="N10" s="51" t="s">
        <v>1505</v>
      </c>
      <c r="O10" s="73"/>
      <c r="Q10" s="52" t="s">
        <v>3612</v>
      </c>
      <c r="R10" s="18" t="str">
        <f>IF(ISBLANK(child_svc_nsx_ad_user),"Value Missing",CONCATENATE(child_svc_nsx_ad_user,"@",region_ad_child_fqdn))</f>
        <v>Value Missing@Value Missing</v>
      </c>
      <c r="U10" s="5"/>
      <c r="W10" s="21" t="s">
        <v>1524</v>
      </c>
      <c r="X10" s="18" t="str">
        <f>IF(ISBLANK(input_vrslcm_xreg_env_password_alias),"Value Missing",input_vrslcm_xreg_env_password_alias)</f>
        <v>Value Missing</v>
      </c>
      <c r="Z10" s="21" t="s">
        <v>1262</v>
      </c>
      <c r="AA10" s="18" t="str">
        <f>IF(ISBLANK(input_xreg_seg01_vlan),"Value Missing",input_xreg_seg01_vlan)</f>
        <v>Value Missing</v>
      </c>
      <c r="AB10" s="18" t="str">
        <f t="array" ref="AB10">xreg_seg01_vlan</f>
        <v>Value Missing</v>
      </c>
    </row>
    <row r="11" spans="1:28" s="3" customFormat="1" ht="20" customHeight="1">
      <c r="B11" s="51" t="s">
        <v>1311</v>
      </c>
      <c r="C11" s="51"/>
      <c r="E11" s="51" t="s">
        <v>1448</v>
      </c>
      <c r="F11" s="51"/>
      <c r="H11" s="21" t="s">
        <v>1408</v>
      </c>
      <c r="I11" s="18" t="str">
        <f>IF(ISBLANK('SDDC Inputs - Common'!D19),"Value Missing",'SDDC Inputs - Common'!D19)</f>
        <v>Value Missing</v>
      </c>
      <c r="K11" s="21" t="s">
        <v>1244</v>
      </c>
      <c r="L11" s="18" t="str">
        <f>IF(ISBLANK('SDDC Inputs - Common'!D46),"Value Missing",'SDDC Inputs - Common'!D46)</f>
        <v>Value Missing</v>
      </c>
      <c r="N11" s="8" t="s">
        <v>735</v>
      </c>
      <c r="O11" s="20" t="s">
        <v>555</v>
      </c>
      <c r="Q11" s="52" t="s">
        <v>3613</v>
      </c>
      <c r="R11" s="18" t="str">
        <f>IF(ISBLANK(input_child_svc_nsx_ad_password),"Value Missing",CONCATENATE(child_svc_nsx_ad_password))</f>
        <v>Value Missing</v>
      </c>
      <c r="T11" s="427" t="s">
        <v>1240</v>
      </c>
      <c r="U11" s="428"/>
      <c r="W11" s="21" t="s">
        <v>1527</v>
      </c>
      <c r="X11" s="18" t="str">
        <f>IF(ISBLANK(input_vrslcm_xreg_env_password),"Value Missing",input_vrslcm_xreg_env_password)</f>
        <v>Value Missing</v>
      </c>
    </row>
    <row r="12" spans="1:28" s="3" customFormat="1" ht="20" customHeight="1">
      <c r="B12" s="8" t="s">
        <v>735</v>
      </c>
      <c r="C12" s="20" t="s">
        <v>555</v>
      </c>
      <c r="E12" s="8" t="s">
        <v>735</v>
      </c>
      <c r="F12" s="20" t="s">
        <v>555</v>
      </c>
      <c r="H12" s="21" t="s">
        <v>4598</v>
      </c>
      <c r="I12" s="18" t="str">
        <f>IF(ISBLANK('SDDC Inputs - Common'!D20),"Value Missing",'SDDC Inputs - Common'!D20)</f>
        <v>Value Missing</v>
      </c>
      <c r="K12" s="21" t="s">
        <v>985</v>
      </c>
      <c r="L12" s="18" t="str">
        <f>'Management Domain Sizing Inputs'!E25</f>
        <v>Small</v>
      </c>
      <c r="N12" s="21" t="s">
        <v>701</v>
      </c>
      <c r="O12" s="18" t="str">
        <f>IF(ISBLANK('Name &amp; IP Address Inputs - VM'!G86),"Value Missing",'Name &amp; IP Address Inputs - VM'!G86)</f>
        <v>Value Missing</v>
      </c>
      <c r="Q12" s="52" t="s">
        <v>3458</v>
      </c>
      <c r="R12" s="18" t="str">
        <f>IF(input_iam_ad_connection_type="LDAP",CONCATENATE("ldap://",domain_controller_hostname,".",region_ad_child_fqdn),CONCATENATE("ldaps://",domain_controller_hostname,".",region_ad_child_fqdn,":636"))</f>
        <v>ldaps://Value Missing.Value Missing:636</v>
      </c>
      <c r="T12" s="8" t="s">
        <v>735</v>
      </c>
      <c r="U12" s="20" t="s">
        <v>555</v>
      </c>
      <c r="W12" s="21" t="s">
        <v>1530</v>
      </c>
      <c r="X12" s="18" t="str">
        <f>IF(ISBLANK('SDDC Inputs - Common'!D369),"Value Missing",'SDDC Inputs - Common'!D369)</f>
        <v>Value Missing</v>
      </c>
      <c r="Z12" s="68" t="s">
        <v>1267</v>
      </c>
      <c r="AA12" s="73"/>
      <c r="AB12" s="73"/>
    </row>
    <row r="13" spans="1:28" s="3" customFormat="1" ht="20" customHeight="1">
      <c r="B13" s="21" t="s">
        <v>1235</v>
      </c>
      <c r="C13" s="18" t="str">
        <f>IF(ISBLANK(input_cloudbuilder_ip),"Value Missing",input_cloudbuilder_ip)</f>
        <v>Value Missing</v>
      </c>
      <c r="E13" s="21" t="s">
        <v>637</v>
      </c>
      <c r="F13" s="18" t="str">
        <f>IF(ISBLANK('Name &amp; IP Address Inputs - VM'!G63),"Value Missing",'Name &amp; IP Address Inputs - VM'!G63)</f>
        <v>Value Missing</v>
      </c>
      <c r="H13" s="21" t="s">
        <v>3322</v>
      </c>
      <c r="I13" s="18" t="str">
        <f>IF(AND(ISBLANK(input_vrs_license),ISBLANK(input_vra_license),ISBLANK(input_vrli_license),ISBLANK(input_vrops_license)),"Value Missing",IF(ISBLANK(input_vrs_license),"",input_vrs_license))</f>
        <v>Value Missing</v>
      </c>
      <c r="K13" s="21" t="s">
        <v>1249</v>
      </c>
      <c r="L13" s="18" t="str">
        <f>'Management Domain Sizing Inputs'!F25</f>
        <v>Default</v>
      </c>
      <c r="Q13" s="52" t="s">
        <v>3611</v>
      </c>
      <c r="R13" s="18" t="str">
        <f>IF(ISBLANK(input_child_ad_users_ou),"Value Missing",RIGHT(input_child_ad_users_ou,LEN(input_child_ad_users_ou)-SEARCH(",",input_child_ad_users_ou)))</f>
        <v>Value Missing</v>
      </c>
      <c r="T13" s="21" t="s">
        <v>1245</v>
      </c>
      <c r="U13" s="18" t="str">
        <f>IF(ISBLANK('Network Inputs - Rack'!F21),"Value Missing",'Network Inputs - Rack'!F21)</f>
        <v>Value Missing</v>
      </c>
      <c r="W13" s="21" t="s">
        <v>3333</v>
      </c>
      <c r="X13" s="18" t="str">
        <f>IF(ISBLANK('SDDC Inputs - Common'!D367),"Value Missing",'SDDC Inputs - Common'!D367)</f>
        <v>Value Missing</v>
      </c>
      <c r="Z13" s="8" t="s">
        <v>735</v>
      </c>
      <c r="AA13" s="20" t="s">
        <v>1230</v>
      </c>
      <c r="AB13" s="20" t="s">
        <v>1231</v>
      </c>
    </row>
    <row r="14" spans="1:28" s="3" customFormat="1" ht="20" customHeight="1">
      <c r="B14" s="21" t="s">
        <v>5151</v>
      </c>
      <c r="C14" s="18" t="e">
        <f>IF(ISBLANK(input_quickstart_ip),"Value Missing",input_quickstart_ip)</f>
        <v>#REF!</v>
      </c>
      <c r="E14" s="21" t="s">
        <v>1255</v>
      </c>
      <c r="F14" s="18" t="str">
        <f>IF(ISBLANK('Name &amp; IP Address Inputs - VM'!G64),"Value Missing",'Name &amp; IP Address Inputs - VM'!G64)</f>
        <v>Value Missing</v>
      </c>
      <c r="H14" s="21" t="s">
        <v>4225</v>
      </c>
      <c r="I14" s="18" t="str">
        <f>IF(ISBLANK(input_srm_license),"Value Missing",input_srm_license)</f>
        <v>Value Missing</v>
      </c>
      <c r="K14" s="21" t="s">
        <v>4222</v>
      </c>
      <c r="L14" s="18" t="str">
        <f>IF(ISBLANK('SDDC Inputs - Common'!D74),"Value Missing",'SDDC Inputs - Common'!D74)</f>
        <v>Value Missing</v>
      </c>
      <c r="N14" s="8" t="s">
        <v>735</v>
      </c>
      <c r="O14" s="20" t="s">
        <v>555</v>
      </c>
      <c r="Q14" s="55" t="s">
        <v>4223</v>
      </c>
      <c r="R14" s="18" t="str">
        <f>CONCATENATE(domain_controller_hostname,".",child_dns_zone)</f>
        <v>Value Missing.Value Missing</v>
      </c>
      <c r="T14" s="21" t="s">
        <v>4221</v>
      </c>
      <c r="U14" s="18" t="str">
        <f>IF(ISBLANK('Network Inputs - Rack'!F22),"Value Missing",'Network Inputs - Rack'!F22)</f>
        <v>Value Missing</v>
      </c>
      <c r="W14" s="21" t="s">
        <v>4224</v>
      </c>
      <c r="X14" s="18" t="str">
        <f>IF(ISBLANK('SDDC Inputs - Common'!D368),"Value Missing",'SDDC Inputs - Common'!D368)</f>
        <v>Value Missing</v>
      </c>
    </row>
    <row r="15" spans="1:28" s="3" customFormat="1" ht="20" customHeight="1">
      <c r="B15" s="21" t="s">
        <v>353</v>
      </c>
      <c r="C15" s="18" t="str">
        <f>IF(ISBLANK('Name &amp; IP Address Inputs - VM'!G39),"Value Missing",'Name &amp; IP Address Inputs - VM'!G39)</f>
        <v>Value Missing</v>
      </c>
      <c r="E15" s="21" t="s">
        <v>1258</v>
      </c>
      <c r="F15" s="18" t="str">
        <f>IF(ISBLANK('Name &amp; IP Address Inputs - VM'!G65),"Value Missing",'Name &amp; IP Address Inputs - VM'!G65)</f>
        <v>Value Missing</v>
      </c>
      <c r="K15" s="21" t="s">
        <v>1256</v>
      </c>
      <c r="L15" s="18" t="str">
        <f>IF(ISBLANK(input_mgmt_fips_status),"Value Missing",input_mgmt_fips_status)</f>
        <v>Value Missing</v>
      </c>
      <c r="N15" s="52" t="s">
        <v>1389</v>
      </c>
      <c r="O15" s="18" t="str">
        <f>IF(ISBLANK('Name &amp; IP Address Inputs - VM'!G93),"Value Missing",'Name &amp; IP Address Inputs - VM'!G93)</f>
        <v>Value Missing</v>
      </c>
      <c r="Q15" s="55" t="s">
        <v>3382</v>
      </c>
      <c r="R15" s="18" t="str">
        <f>IF(ISBLANK(input_nsxt_vsphere_role_name),"Value Missing",input_nsxt_vsphere_role_name)</f>
        <v>Value Missing</v>
      </c>
      <c r="S15" s="5"/>
      <c r="W15" s="21" t="s">
        <v>1536</v>
      </c>
      <c r="X15" s="18" t="str">
        <f>IF(ISBLANK(input_xreg_wsa_cert_name),"Value Missing",input_xreg_wsa_cert_name)</f>
        <v>Value Missing</v>
      </c>
      <c r="Z15" s="68" t="s">
        <v>1293</v>
      </c>
      <c r="AA15" s="73"/>
      <c r="AB15" s="73"/>
    </row>
    <row r="16" spans="1:28" s="3" customFormat="1" ht="20" customHeight="1">
      <c r="B16" s="21" t="s">
        <v>637</v>
      </c>
      <c r="C16" s="18" t="str">
        <f>IF(ISBLANK('Name &amp; IP Address Inputs - VM'!G40),"Value Missing",'Name &amp; IP Address Inputs - VM'!G40)</f>
        <v>Value Missing</v>
      </c>
      <c r="E16" s="21" t="s">
        <v>1260</v>
      </c>
      <c r="F16" s="18" t="str">
        <f>IF(ISBLANK('Name &amp; IP Address Inputs - VM'!G66),"Value Missing",'Name &amp; IP Address Inputs - VM'!G66)</f>
        <v>Value Missing</v>
      </c>
      <c r="H16" s="344" t="s">
        <v>1228</v>
      </c>
      <c r="I16" s="344"/>
      <c r="K16" s="21" t="s">
        <v>4451</v>
      </c>
      <c r="L16" s="18" t="str">
        <f>IF(ISBLANK(input_mgmt_cl01_vss_switch),"Value Missing",input_mgmt_cl01_vss_switch)</f>
        <v>Value Missing</v>
      </c>
      <c r="N16" s="52" t="s">
        <v>1391</v>
      </c>
      <c r="O16" s="18" t="str">
        <f>IF(ISBLANK('Name &amp; IP Address Inputs - VM'!G94),"Value Missing",'Name &amp; IP Address Inputs - VM'!G94)</f>
        <v>Value Missing</v>
      </c>
      <c r="Q16" s="52" t="s">
        <v>4889</v>
      </c>
      <c r="R16" s="18" t="s">
        <v>4599</v>
      </c>
      <c r="S16" s="5"/>
      <c r="T16" s="68" t="s">
        <v>1253</v>
      </c>
      <c r="U16" s="73"/>
      <c r="W16" s="21" t="s">
        <v>1538</v>
      </c>
      <c r="X16" s="18" t="str">
        <f>IF(ISBLANK('SDDC Inputs - Common'!D384),"Value Missing",'SDDC Inputs - Common'!D384)</f>
        <v>Value Missing</v>
      </c>
      <c r="Z16" s="8" t="s">
        <v>735</v>
      </c>
      <c r="AA16" s="20" t="s">
        <v>1230</v>
      </c>
      <c r="AB16" s="20" t="s">
        <v>1231</v>
      </c>
    </row>
    <row r="17" spans="2:28" s="3" customFormat="1" ht="20" customHeight="1">
      <c r="B17" s="21" t="s">
        <v>1255</v>
      </c>
      <c r="C17" s="18" t="str">
        <f>IF(ISBLANK('Name &amp; IP Address Inputs - VM'!G41),"Value Missing",'Name &amp; IP Address Inputs - VM'!G41)</f>
        <v>Value Missing</v>
      </c>
      <c r="E17" s="21" t="s">
        <v>1263</v>
      </c>
      <c r="F17" s="18" t="str">
        <f>IF(ISBLANK('Name &amp; IP Address Inputs - VM'!G67),"Value Missing",'Name &amp; IP Address Inputs - VM'!G67)</f>
        <v>Value Missing</v>
      </c>
      <c r="H17" s="8" t="s">
        <v>735</v>
      </c>
      <c r="I17" s="20" t="s">
        <v>555</v>
      </c>
      <c r="K17" s="21" t="s">
        <v>1282</v>
      </c>
      <c r="L17" s="18" t="str">
        <f>'Management Domain Sizing Inputs'!H25</f>
        <v>Medium</v>
      </c>
      <c r="N17" s="52" t="s">
        <v>1394</v>
      </c>
      <c r="O17" s="18" t="str">
        <f>IF(ISBLANK('Name &amp; IP Address Inputs - VM'!G95),"Value Missing",'Name &amp; IP Address Inputs - VM'!G95)</f>
        <v>Value Missing</v>
      </c>
      <c r="S17" s="5"/>
      <c r="T17" s="8" t="s">
        <v>735</v>
      </c>
      <c r="U17" s="20" t="s">
        <v>555</v>
      </c>
      <c r="W17" s="52" t="s">
        <v>1540</v>
      </c>
      <c r="X17" s="18" t="str">
        <f>IF(ISBLANK(input_global_env_admin_password_alias),"Value Missing",input_global_env_admin_password_alias)</f>
        <v>Value Missing</v>
      </c>
      <c r="Z17" s="21" t="s">
        <v>1233</v>
      </c>
      <c r="AA17" s="18" t="str">
        <f>'Value Reference Tables - MR'!C23</f>
        <v>Value Missing</v>
      </c>
      <c r="AB17" s="18" t="str">
        <f>'Value Reference Tables - MR'!C250</f>
        <v>Value Missing</v>
      </c>
    </row>
    <row r="18" spans="2:28" s="3" customFormat="1" ht="20" customHeight="1">
      <c r="B18" s="21" t="s">
        <v>1258</v>
      </c>
      <c r="C18" s="18" t="str">
        <f>IF(ISBLANK('Name &amp; IP Address Inputs - VM'!G42),"Value Missing",'Name &amp; IP Address Inputs - VM'!G42)</f>
        <v>Value Missing</v>
      </c>
      <c r="E18" s="21" t="s">
        <v>1265</v>
      </c>
      <c r="F18" s="18" t="str">
        <f>IF(ISBLANK('Name &amp; IP Address Inputs - VM'!G68),"Value Missing",'Name &amp; IP Address Inputs - VM'!G68)</f>
        <v>Value Missing</v>
      </c>
      <c r="H18" s="21" t="s">
        <v>1236</v>
      </c>
      <c r="I18" s="18" t="str">
        <f t="array" ref="I18">IF(ISBLANK(input_cloudbuilder_admin_username),"Value Missing",input_cloudbuilder_admin_username)</f>
        <v>Value Missing</v>
      </c>
      <c r="K18" s="21" t="s">
        <v>810</v>
      </c>
      <c r="L18" s="18" t="str">
        <f>IF(ISBLANK('SDDC Inputs - Common'!D92),"Value Missing",'SDDC Inputs - Common'!D92)</f>
        <v>Value Missing</v>
      </c>
      <c r="N18" s="52" t="s">
        <v>1396</v>
      </c>
      <c r="O18" s="18" t="str">
        <f>IF(ISBLANK('Name &amp; IP Address Inputs - VM'!G96),"Value Missing",'Name &amp; IP Address Inputs - VM'!G96)</f>
        <v>Value Missing</v>
      </c>
      <c r="Q18" s="427" t="s">
        <v>1287</v>
      </c>
      <c r="R18" s="426"/>
      <c r="T18" s="21" t="s">
        <v>550</v>
      </c>
      <c r="U18" s="18" t="str">
        <f>IF(ISBLANK('Network Inputs - Rack'!H21),"Value Missing",'Network Inputs - Rack'!H21)</f>
        <v>Value Missing</v>
      </c>
      <c r="W18" s="55" t="s">
        <v>1541</v>
      </c>
      <c r="X18" s="18" t="str">
        <f>IF(ISBLANK(input_global_env_admin_password),"Value Missing",input_global_env_admin_password)</f>
        <v>Value Missing</v>
      </c>
    </row>
    <row r="19" spans="2:28" s="3" customFormat="1" ht="20" customHeight="1">
      <c r="B19" s="21" t="s">
        <v>1260</v>
      </c>
      <c r="C19" s="18" t="str">
        <f>IF(ISBLANK('Name &amp; IP Address Inputs - VM'!G43),"Value Missing",'Name &amp; IP Address Inputs - VM'!G43)</f>
        <v>Value Missing</v>
      </c>
      <c r="E19" s="21" t="s">
        <v>654</v>
      </c>
      <c r="F19" s="18" t="str">
        <f>IF(ISBLANK('Name &amp; IP Address Inputs - VM'!G69),"Value Missing",'Name &amp; IP Address Inputs - VM'!G69)</f>
        <v>Value Missing</v>
      </c>
      <c r="H19" s="21" t="s">
        <v>1238</v>
      </c>
      <c r="I19" s="18" t="str">
        <f>IF(ISBLANK(input_ca_administrator_username),"Value Missing",input_ca_administrator_username)</f>
        <v>Value Missing</v>
      </c>
      <c r="K19" s="21" t="s">
        <v>811</v>
      </c>
      <c r="L19" s="18" t="str">
        <f>IF(ISBLANK('SDDC Inputs - Common'!D93),"Value Missing",'SDDC Inputs - Common'!D93)</f>
        <v>Value Missing</v>
      </c>
      <c r="N19" s="52" t="s">
        <v>1523</v>
      </c>
      <c r="O19" s="18" t="str">
        <f>IF(ISBLANK('Name &amp; IP Address Inputs - VM'!G97),"Value Missing",'Name &amp; IP Address Inputs - VM'!G97)</f>
        <v>Value Missing</v>
      </c>
      <c r="Q19" s="8" t="s">
        <v>735</v>
      </c>
      <c r="R19" s="20" t="s">
        <v>555</v>
      </c>
      <c r="T19" s="21" t="s">
        <v>551</v>
      </c>
      <c r="U19" s="18" t="str">
        <f>IF(ISBLANK('Network Inputs - Rack'!H22),"Value Missing",'Network Inputs - Rack'!H22)</f>
        <v>Value Missing</v>
      </c>
      <c r="W19" s="55" t="s">
        <v>1542</v>
      </c>
      <c r="X19" s="18" t="str">
        <f>IF(ISBLANK(input_global_env_admin_username),"Value Missing",input_global_env_admin_username)</f>
        <v>Value Missing</v>
      </c>
      <c r="Z19" s="68" t="s">
        <v>1325</v>
      </c>
      <c r="AA19" s="73"/>
      <c r="AB19" s="73"/>
    </row>
    <row r="20" spans="2:28" s="3" customFormat="1" ht="20" customHeight="1">
      <c r="B20" s="21" t="s">
        <v>1263</v>
      </c>
      <c r="C20" s="18" t="str">
        <f>IF(ISBLANK('Name &amp; IP Address Inputs - VM'!G44),"Value Missing",'Name &amp; IP Address Inputs - VM'!G44)</f>
        <v>Value Missing</v>
      </c>
      <c r="E20" s="21" t="s">
        <v>655</v>
      </c>
      <c r="F20" s="18" t="str">
        <f>IF(ISBLANK('Name &amp; IP Address Inputs - VM'!G70),"Value Missing",'Name &amp; IP Address Inputs - VM'!G70)</f>
        <v>Value Missing</v>
      </c>
      <c r="H20" s="21" t="s">
        <v>1239</v>
      </c>
      <c r="I20" s="18" t="str">
        <f>IF(ISBLANK(input_vrslcm_xreg_admin_username),"Value Missing",input_vrslcm_xreg_admin_username)</f>
        <v>Value Missing</v>
      </c>
      <c r="K20" s="21" t="s">
        <v>1289</v>
      </c>
      <c r="L20" s="18" t="str">
        <f>'Management Domain Sizing Inputs'!I25</f>
        <v>Medium</v>
      </c>
      <c r="N20" s="52" t="s">
        <v>3329</v>
      </c>
      <c r="O20" s="18" t="str">
        <f>IF(ISBLANK('Name &amp; IP Address Inputs - VM'!G89),"Value Missing",'Name &amp; IP Address Inputs - VM'!G89)</f>
        <v>Value Missing</v>
      </c>
      <c r="Q20" s="26" t="s">
        <v>39</v>
      </c>
      <c r="R20" s="18" t="str">
        <f>IF(mgmt_consolidated_result="Included",mgmt_sddc_domain,wld_sddc_domain)</f>
        <v>Value Missing</v>
      </c>
      <c r="S20" s="5"/>
      <c r="W20" s="55" t="s">
        <v>1544</v>
      </c>
      <c r="X20" s="18" t="str">
        <f>IF(ISBLANK(input_local_admin_password_alias),"Value Missing",input_local_admin_password_alias)</f>
        <v>Value Missing</v>
      </c>
      <c r="Z20" s="8" t="s">
        <v>735</v>
      </c>
      <c r="AA20" s="20" t="s">
        <v>1230</v>
      </c>
      <c r="AB20" s="20" t="s">
        <v>1231</v>
      </c>
    </row>
    <row r="21" spans="2:28" s="3" customFormat="1" ht="20" customHeight="1">
      <c r="B21" s="21" t="s">
        <v>1265</v>
      </c>
      <c r="C21" s="18" t="str">
        <f>IF(ISBLANK('Name &amp; IP Address Inputs - VM'!G45),"Value Missing",'Name &amp; IP Address Inputs - VM'!G45)</f>
        <v>Value Missing</v>
      </c>
      <c r="E21" s="21" t="s">
        <v>656</v>
      </c>
      <c r="F21" s="18" t="str">
        <f>IF(ISBLANK('Name &amp; IP Address Inputs - VM'!G71),"Value Missing",'Name &amp; IP Address Inputs - VM'!G71)</f>
        <v>Value Missing</v>
      </c>
      <c r="H21" s="21" t="s">
        <v>1241</v>
      </c>
      <c r="I21" s="18" t="str">
        <f>IF(ISBLANK(input_smtp_sender_username),"Value Missing",input_smtp_sender_username)</f>
        <v>Value Missing</v>
      </c>
      <c r="K21" s="21" t="s">
        <v>814</v>
      </c>
      <c r="L21" s="18" t="str">
        <f>IF(ISBLANK('SDDC Inputs - Common'!D96),"Value Missing",'SDDC Inputs - Common'!D96)</f>
        <v>Value Missing</v>
      </c>
      <c r="Q21" s="26" t="s">
        <v>3566</v>
      </c>
      <c r="R21" s="18" t="str">
        <f>IF(mgmt_consolidated_result="Included",mgmt_vc_fqdn,wld_vc_fqdn)</f>
        <v>Value Missing.Value Missing</v>
      </c>
      <c r="S21" s="5"/>
      <c r="T21" s="68" t="s">
        <v>1268</v>
      </c>
      <c r="U21" s="73"/>
      <c r="W21" s="55" t="s">
        <v>1547</v>
      </c>
      <c r="X21" s="18" t="str">
        <f>IF(ISBLANK(input_local_admin_password),"Value Missing",input_local_admin_password)</f>
        <v>Value Missing</v>
      </c>
      <c r="Z21" s="21" t="s">
        <v>1233</v>
      </c>
      <c r="AA21" s="18" t="str">
        <f>'Value Reference Tables - MR'!C37</f>
        <v>Value Missing</v>
      </c>
      <c r="AB21" s="18" t="str">
        <f>'Value Reference Tables - MR'!C264</f>
        <v>Value Missing</v>
      </c>
    </row>
    <row r="22" spans="2:28" s="3" customFormat="1" ht="20" customHeight="1">
      <c r="B22" s="21" t="s">
        <v>654</v>
      </c>
      <c r="C22" s="18" t="str">
        <f>IF(ISBLANK('Name &amp; IP Address Inputs - VM'!G46),"Value Missing",'Name &amp; IP Address Inputs - VM'!G46)</f>
        <v>Value Missing</v>
      </c>
      <c r="E22" s="21" t="s">
        <v>4254</v>
      </c>
      <c r="F22" s="18" t="str">
        <f>IF(ISBLANK('Name &amp; IP Address Inputs - VM'!G72),"Value Missing",'Name &amp; IP Address Inputs - VM'!G72)</f>
        <v>Value Missing</v>
      </c>
      <c r="K22" s="21" t="s">
        <v>815</v>
      </c>
      <c r="L22" s="18" t="str">
        <f>IF(ISBLANK('SDDC Inputs - Common'!D97),"Value Missing",'SDDC Inputs - Common'!D97)</f>
        <v>Value Missing</v>
      </c>
      <c r="N22" s="51" t="s">
        <v>1385</v>
      </c>
      <c r="O22" s="51"/>
      <c r="Q22" s="26" t="s">
        <v>3576</v>
      </c>
      <c r="R22" s="18" t="str">
        <f>IF(mgmt_consolidated_result="Included",mgmt_datacenter,wld_datacenter)</f>
        <v>Value Missing</v>
      </c>
      <c r="S22" s="5"/>
      <c r="T22" s="8" t="s">
        <v>735</v>
      </c>
      <c r="U22" s="20" t="s">
        <v>555</v>
      </c>
      <c r="W22" s="55" t="s">
        <v>1549</v>
      </c>
      <c r="X22" s="18" t="str">
        <f>IF(ISBLANK(input_local_admin_username),"Value Missing",input_local_admin_username)</f>
        <v>Value Missing</v>
      </c>
    </row>
    <row r="23" spans="2:28" s="3" customFormat="1" ht="20" customHeight="1">
      <c r="B23" s="21" t="s">
        <v>655</v>
      </c>
      <c r="C23" s="18" t="str">
        <f>IF(ISBLANK('Name &amp; IP Address Inputs - VM'!G47),"Value Missing",'Name &amp; IP Address Inputs - VM'!G47)</f>
        <v>Value Missing</v>
      </c>
      <c r="E23" s="21" t="s">
        <v>4255</v>
      </c>
      <c r="F23" s="18" t="str">
        <f>IF(ISBLANK('Name &amp; IP Address Inputs - VM'!G73),"Value Missing",'Name &amp; IP Address Inputs - VM'!G73)</f>
        <v>Value Missing</v>
      </c>
      <c r="H23" s="68" t="s">
        <v>1247</v>
      </c>
      <c r="I23" s="73"/>
      <c r="K23" s="21" t="s">
        <v>1299</v>
      </c>
      <c r="L23" s="18" t="str">
        <f>IF(ISBLANK(input_mgmt_nsxt_global_mgr_vmca_signed_thumbprint),"Value Missing",input_mgmt_nsxt_global_mgr_vmca_signed_thumbprint)</f>
        <v>Value Missing</v>
      </c>
      <c r="N23" s="8" t="s">
        <v>735</v>
      </c>
      <c r="O23" s="20" t="s">
        <v>555</v>
      </c>
      <c r="Q23" s="26" t="s">
        <v>3571</v>
      </c>
      <c r="R23" s="18" t="str">
        <f>IF(mgmt_consolidated_result="Included",mgmt_cl01_cluster,wld_cl01_cluster)</f>
        <v>Value Missing</v>
      </c>
      <c r="S23" s="5"/>
      <c r="T23" s="21" t="s">
        <v>550</v>
      </c>
      <c r="U23" s="18" t="str">
        <f>IF(ISBLANK('Network Inputs - Rack'!J21),"Value Missing",'Network Inputs - Rack'!J21)</f>
        <v>Value Missing</v>
      </c>
      <c r="W23" s="55" t="s">
        <v>1550</v>
      </c>
      <c r="X23" s="18" t="str">
        <f>IF(ISBLANK(input_local_configadmin_password_alias),"Value Missing",input_local_configadmin_password_alias)</f>
        <v>Value Missing</v>
      </c>
      <c r="Z23" s="68" t="s">
        <v>1357</v>
      </c>
      <c r="AA23" s="73"/>
      <c r="AB23" s="73"/>
    </row>
    <row r="24" spans="2:28" s="3" customFormat="1" ht="20" customHeight="1">
      <c r="B24" s="21" t="s">
        <v>656</v>
      </c>
      <c r="C24" s="18" t="str">
        <f>IF(ISBLANK('Name &amp; IP Address Inputs - VM'!G48),"Value Missing",'Name &amp; IP Address Inputs - VM'!G48)</f>
        <v>Value Missing</v>
      </c>
      <c r="E24" s="21" t="s">
        <v>4256</v>
      </c>
      <c r="F24" s="18" t="str">
        <f>IF(ISBLANK('Name &amp; IP Address Inputs - VM'!G74),"Value Missing",'Name &amp; IP Address Inputs - VM'!G74)</f>
        <v>Value Missing</v>
      </c>
      <c r="H24" s="8" t="s">
        <v>735</v>
      </c>
      <c r="I24" s="20" t="s">
        <v>555</v>
      </c>
      <c r="K24" s="21" t="s">
        <v>1303</v>
      </c>
      <c r="L24" s="18" t="str">
        <f>IF(ISBLANK(input_mgmt_nsxt_global_mgr_cluster_id),"Value Missing",input_mgmt_nsxt_global_mgr_cluster_id)</f>
        <v>Value Missing</v>
      </c>
      <c r="N24" s="52" t="s">
        <v>1389</v>
      </c>
      <c r="O24" s="18" t="str">
        <f>IF(ISBLANK('Name &amp; IP Address Inputs - VM'!E93),"Value Missing",'Name &amp; IP Address Inputs - VM'!E93)</f>
        <v>Value Missing</v>
      </c>
      <c r="Q24" s="26" t="s">
        <v>3572</v>
      </c>
      <c r="R24" s="18" t="str">
        <f>IF(mgmt_consolidated_result="Included",mgmt_cl01_vds01_name,wld_cl01_vds01_name)</f>
        <v>Value Missing</v>
      </c>
      <c r="S24" s="5"/>
      <c r="T24" s="21" t="s">
        <v>551</v>
      </c>
      <c r="U24" s="18" t="str">
        <f>IF(ISBLANK('Network Inputs - Rack'!J22),"Value Missing",'Network Inputs - Rack'!J22)</f>
        <v>Value Missing</v>
      </c>
      <c r="W24" s="55" t="s">
        <v>1551</v>
      </c>
      <c r="X24" s="18" t="str">
        <f>IF(ISBLANK(input_local_configadmin_password),"Value Missing",input_local_configadmin_password)</f>
        <v>Value Missing</v>
      </c>
      <c r="Z24" s="8" t="s">
        <v>735</v>
      </c>
      <c r="AA24" s="20" t="s">
        <v>1230</v>
      </c>
      <c r="AB24" s="20" t="s">
        <v>1231</v>
      </c>
    </row>
    <row r="25" spans="2:28" s="3" customFormat="1" ht="20" customHeight="1">
      <c r="B25" s="21" t="s">
        <v>4254</v>
      </c>
      <c r="C25" s="18" t="str">
        <f>IF(ISBLANK('Name &amp; IP Address Inputs - VM'!G49),"Value Missing",'Name &amp; IP Address Inputs - VM'!G49)</f>
        <v>Value Missing</v>
      </c>
      <c r="E25" s="21" t="s">
        <v>4257</v>
      </c>
      <c r="F25" s="18" t="str">
        <f>IF(ISBLANK('Name &amp; IP Address Inputs - VM'!G75),"Value Missing",'Name &amp; IP Address Inputs - VM'!G75)</f>
        <v>Value Missing</v>
      </c>
      <c r="H25" s="21" t="s">
        <v>1252</v>
      </c>
      <c r="I25" s="18" t="str">
        <f>IF(ISBLANK(input_cloudbuilder_admin_password),"Value Missing",input_cloudbuilder_admin_password)</f>
        <v>Value Missing</v>
      </c>
      <c r="K25" s="21" t="s">
        <v>825</v>
      </c>
      <c r="L25" s="18" t="str">
        <f>IF(ISBLANK('SDDC Inputs - Common'!D102),"Value Missing",'SDDC Inputs - Common'!D102)</f>
        <v>Value Missing</v>
      </c>
      <c r="N25" s="52" t="s">
        <v>1391</v>
      </c>
      <c r="O25" s="18" t="str">
        <f>IF(ISBLANK('Name &amp; IP Address Inputs - VM'!E94),"Value Missing",'Name &amp; IP Address Inputs - VM'!E94)</f>
        <v>Value Missing</v>
      </c>
      <c r="Q25" s="21" t="s">
        <v>3570</v>
      </c>
      <c r="R25" s="18" t="str">
        <f>IF(mgmt_consolidated_result="Included",mgmt_cl01_vsan_datastore,wld_cl01_vsan_datastore)</f>
        <v>Value Missing</v>
      </c>
      <c r="S25" s="5"/>
      <c r="W25" s="55" t="s">
        <v>1552</v>
      </c>
      <c r="X25" s="18" t="str">
        <f>IF(ISBLANK(input_local_configadmin_username),"Value Missing",input_local_configadmin_username)</f>
        <v>Value Missing</v>
      </c>
      <c r="Z25" s="21" t="s">
        <v>1233</v>
      </c>
      <c r="AA25" s="18" t="str">
        <f>'Value Reference Tables - MR'!C51</f>
        <v>Value Missing</v>
      </c>
      <c r="AB25" s="18" t="str">
        <f>'Value Reference Tables - MR'!C278</f>
        <v>Value Missing</v>
      </c>
    </row>
    <row r="26" spans="2:28" s="3" customFormat="1" ht="20" customHeight="1">
      <c r="B26" s="21" t="s">
        <v>4255</v>
      </c>
      <c r="C26" s="18" t="str">
        <f>IF(ISBLANK('Name &amp; IP Address Inputs - VM'!G50),"Value Missing",'Name &amp; IP Address Inputs - VM'!G50)</f>
        <v>Value Missing</v>
      </c>
      <c r="H26" s="21" t="s">
        <v>1257</v>
      </c>
      <c r="I26" s="18" t="str">
        <f>IF(ISBLANK(input_cloudbuilder_root_password),"Value Missing",input_cloudbuilder_root_password)</f>
        <v>Value Missing</v>
      </c>
      <c r="K26" s="21" t="s">
        <v>927</v>
      </c>
      <c r="L26" s="18" t="str">
        <f>IF(ISBLANK('SDDC Inputs - Common'!D103),"Value Missing",'SDDC Inputs - Common'!D103)</f>
        <v>Value Missing</v>
      </c>
      <c r="N26" s="52" t="s">
        <v>1394</v>
      </c>
      <c r="O26" s="18" t="str">
        <f>IF(ISBLANK('Name &amp; IP Address Inputs - VM'!E95),"Value Missing",'Name &amp; IP Address Inputs - VM'!E95)</f>
        <v>Value Missing</v>
      </c>
      <c r="Q26" s="26" t="s">
        <v>3560</v>
      </c>
      <c r="R26" s="18" t="str">
        <f>IF(mgmt_consolidated_result="Included",mgmt_nsxt_vip_fqdn,wld_nsxt_vip_fqdn)</f>
        <v>Value Missing.Value Missing</v>
      </c>
      <c r="S26" s="5"/>
      <c r="T26" s="68" t="s">
        <v>1284</v>
      </c>
      <c r="U26" s="73"/>
      <c r="W26" s="55" t="s">
        <v>1553</v>
      </c>
      <c r="X26" s="18" t="str">
        <f>IF(ISBLANK(input_local_vcf_aware_wsa_root_password_alias),"Value Missing",input_local_vcf_aware_wsa_root_password_alias)</f>
        <v>Value Missing</v>
      </c>
    </row>
    <row r="27" spans="2:28" s="3" customFormat="1" ht="20" customHeight="1">
      <c r="B27" s="21" t="s">
        <v>4256</v>
      </c>
      <c r="C27" s="18" t="str">
        <f>IF(ISBLANK('Name &amp; IP Address Inputs - VM'!G51),"Value Missing",'Name &amp; IP Address Inputs - VM'!G51)</f>
        <v>Value Missing</v>
      </c>
      <c r="E27" s="427" t="s">
        <v>1314</v>
      </c>
      <c r="F27" s="428"/>
      <c r="H27" s="21" t="s">
        <v>1261</v>
      </c>
      <c r="I27" s="18" t="str">
        <f>IF(ISBLANK(input_esxi_root_password),"Value Missing",input_esxi_root_password)</f>
        <v>Value Missing</v>
      </c>
      <c r="K27" s="21" t="s">
        <v>829</v>
      </c>
      <c r="L27" s="18" t="str">
        <f>IF(ISBLANK('SDDC Inputs - Common'!D104),"Value Missing",'SDDC Inputs - Common'!D104)</f>
        <v>Value Missing</v>
      </c>
      <c r="N27" s="52" t="s">
        <v>1396</v>
      </c>
      <c r="O27" s="18" t="str">
        <f>IF(ISBLANK('Name &amp; IP Address Inputs - VM'!E96),"Value Missing",'Name &amp; IP Address Inputs - VM'!E96)</f>
        <v>Value Missing</v>
      </c>
      <c r="Q27" s="21" t="s">
        <v>3562</v>
      </c>
      <c r="R27" s="18" t="str">
        <f>IF(mgmt_consolidated_result="Included",mgmt_tier1_name,wld_tier1_name)</f>
        <v>Value Missing</v>
      </c>
      <c r="T27" s="8" t="s">
        <v>735</v>
      </c>
      <c r="U27" s="20" t="s">
        <v>555</v>
      </c>
      <c r="W27" s="55" t="s">
        <v>1554</v>
      </c>
      <c r="X27" s="18" t="str">
        <f>IF(ISBLANK(input_local_vcf_aware_wsa_root_password),"Value Missing",input_local_vcf_aware_wsa_root_password)</f>
        <v>Value Missing</v>
      </c>
      <c r="Z27" s="68" t="s">
        <v>1399</v>
      </c>
      <c r="AA27" s="73"/>
      <c r="AB27" s="73"/>
    </row>
    <row r="28" spans="2:28" s="3" customFormat="1" ht="20" customHeight="1">
      <c r="B28" s="21" t="s">
        <v>4257</v>
      </c>
      <c r="C28" s="18" t="str">
        <f>IF(ISBLANK('Name &amp; IP Address Inputs - VM'!G52),"Value Missing",'Name &amp; IP Address Inputs - VM'!G52)</f>
        <v>Value Missing</v>
      </c>
      <c r="E28" s="8" t="s">
        <v>735</v>
      </c>
      <c r="F28" s="20" t="s">
        <v>555</v>
      </c>
      <c r="H28" s="52" t="s">
        <v>1264</v>
      </c>
      <c r="I28" s="18" t="str">
        <f>IF(ISBLANK(input_administrator_vsphere_local_password),"Value Missing",input_administrator_vsphere_local_password)</f>
        <v>Value Missing</v>
      </c>
      <c r="K28" s="21" t="s">
        <v>830</v>
      </c>
      <c r="L28" s="18" t="str">
        <f>IF(ISBLANK('SDDC Inputs - Common'!D105),"Value Missing",'SDDC Inputs - Common'!D105)</f>
        <v>Value Missing</v>
      </c>
      <c r="N28" s="52" t="s">
        <v>3329</v>
      </c>
      <c r="O28" s="18" t="str">
        <f>IF(ISBLANK('Name &amp; IP Address Inputs - VM'!E89),"Value Missing",'Name &amp; IP Address Inputs - VM'!E89)</f>
        <v>Value Missing</v>
      </c>
      <c r="Q28" s="21" t="s">
        <v>3563</v>
      </c>
      <c r="R28" s="18" t="str">
        <f>IF(mgmt_consolidated_result="Included",mgmt_tier0_name,wld_tier0_name)</f>
        <v>Value Missing</v>
      </c>
      <c r="T28" s="21" t="s">
        <v>1288</v>
      </c>
      <c r="U28" s="18" t="str">
        <f>IF(ISBLANK('SDDC Inputs - Common'!D405),"Value Missing",'SDDC Inputs - Common'!D405)</f>
        <v>Value Missing</v>
      </c>
      <c r="W28" s="55" t="s">
        <v>1556</v>
      </c>
      <c r="X28" s="18" t="s">
        <v>1352</v>
      </c>
      <c r="Z28" s="8" t="s">
        <v>735</v>
      </c>
      <c r="AA28" s="20" t="s">
        <v>1230</v>
      </c>
      <c r="AB28" s="20" t="s">
        <v>1231</v>
      </c>
    </row>
    <row r="29" spans="2:28" s="3" customFormat="1" ht="20" customHeight="1">
      <c r="E29" s="21" t="s">
        <v>637</v>
      </c>
      <c r="F29" s="18" t="str">
        <f>IF(ISBLANK('Name &amp; IP Address Inputs - VM'!E63),"Value Missing",'Name &amp; IP Address Inputs - VM'!E63)</f>
        <v>Value Missing</v>
      </c>
      <c r="H29" s="52" t="s">
        <v>1266</v>
      </c>
      <c r="I29" s="18" t="str">
        <f>IF(ISBLANK(input_vcenter_root_password),"Value Missing",input_vcenter_root_password)</f>
        <v>Value Missing</v>
      </c>
      <c r="K29" s="21" t="s">
        <v>1317</v>
      </c>
      <c r="L29" s="18" t="str">
        <f>IF(ISBLANK('SDDC Inputs - Common'!D99),"Value Missing",'SDDC Inputs - Common'!D99)</f>
        <v>Value Missing</v>
      </c>
      <c r="Q29" s="21" t="s">
        <v>3561</v>
      </c>
      <c r="R29" s="18" t="str">
        <f>IF(mgmt_consolidated_result="Included",CONCATENATE("overlay-tz-",mgmt_nsxt_hostname),CONCATENATE("overlay-tz-",wld_nsxt_hostname))</f>
        <v>overlay-tz-Value Missing</v>
      </c>
      <c r="S29" s="5"/>
      <c r="W29" s="21" t="s">
        <v>1382</v>
      </c>
      <c r="X29" s="18" t="str">
        <f>IF(ISBLANK(input_xreg_configadmin_email),"Value Missing",input_xreg_configadmin_email)</f>
        <v>Value Missing</v>
      </c>
      <c r="Z29" s="21" t="s">
        <v>1233</v>
      </c>
      <c r="AA29" s="18" t="str">
        <f>'Value Reference Tables - MR'!F9</f>
        <v>Value Missing</v>
      </c>
      <c r="AB29" s="18" t="str">
        <f>'Value Reference Tables - MR'!F236</f>
        <v>Value Missing</v>
      </c>
    </row>
    <row r="30" spans="2:28" s="3" customFormat="1" ht="20" customHeight="1">
      <c r="B30" s="344" t="s">
        <v>1226</v>
      </c>
      <c r="C30" s="344"/>
      <c r="E30" s="21" t="s">
        <v>1255</v>
      </c>
      <c r="F30" s="18" t="str">
        <f>IF(ISBLANK('Name &amp; IP Address Inputs - VM'!E64),"Value Missing",'Name &amp; IP Address Inputs - VM'!E64)</f>
        <v>Value Missing</v>
      </c>
      <c r="H30" s="52" t="s">
        <v>1271</v>
      </c>
      <c r="I30" s="18" t="str">
        <f>IF(ISBLANK(input_nsxt_lm_root_password),"Value Missing",input_nsxt_lm_root_password)</f>
        <v>Value Missing</v>
      </c>
      <c r="K30" s="21" t="s">
        <v>1320</v>
      </c>
      <c r="L30" s="18" t="str">
        <f>IF(ISBLANK('SDDC Inputs - Common'!D107),"Value Missing",'SDDC Inputs - Common'!D107)</f>
        <v>Value Missing</v>
      </c>
      <c r="N30" s="51" t="s">
        <v>1509</v>
      </c>
      <c r="O30" s="73"/>
      <c r="Q30" s="21" t="s">
        <v>1292</v>
      </c>
      <c r="R30" s="18" t="str">
        <f>IF(ISBLANK('SDDC Inputs - Common'!D405),"Value Missing",'SDDC Inputs - Common'!D405)</f>
        <v>Value Missing</v>
      </c>
      <c r="S30" s="5"/>
      <c r="T30" s="68" t="s">
        <v>1294</v>
      </c>
      <c r="U30" s="73"/>
      <c r="W30" s="55" t="s">
        <v>1557</v>
      </c>
      <c r="X30" s="18" t="str">
        <f>IF(ISBLANK(input_xreg_wsa_node_size),"Value Missing",input_xreg_wsa_node_size)</f>
        <v>Medium</v>
      </c>
    </row>
    <row r="31" spans="2:28" s="3" customFormat="1" ht="20" customHeight="1">
      <c r="B31" s="8" t="s">
        <v>735</v>
      </c>
      <c r="C31" s="20" t="s">
        <v>555</v>
      </c>
      <c r="E31" s="21" t="s">
        <v>1258</v>
      </c>
      <c r="F31" s="18" t="str">
        <f>IF(ISBLANK('Name &amp; IP Address Inputs - VM'!E65),"Value Missing",'Name &amp; IP Address Inputs - VM'!E65)</f>
        <v>Value Missing</v>
      </c>
      <c r="H31" s="52" t="s">
        <v>1274</v>
      </c>
      <c r="I31" s="18" t="str">
        <f>IF(ISBLANK(input_nsxt_lm_admin_password),"Value Missing",input_nsxt_lm_admin_password)</f>
        <v>Value Missing</v>
      </c>
      <c r="K31" s="21" t="s">
        <v>1323</v>
      </c>
      <c r="L31" s="18" t="str">
        <f>IF(ISBLANK('SDDC Inputs - Common'!D106),"Value Missing",'SDDC Inputs - Common'!D106)</f>
        <v>Value Missing</v>
      </c>
      <c r="N31" s="8" t="s">
        <v>735</v>
      </c>
      <c r="O31" s="20" t="s">
        <v>555</v>
      </c>
      <c r="Q31" s="21" t="s">
        <v>991</v>
      </c>
      <c r="R31" s="18" t="str">
        <f>IF(ISBLANK(input_k8s_ip_prefixlist),"Value Missing",input_k8s_ip_prefixlist)</f>
        <v>Value Missing</v>
      </c>
      <c r="S31" s="5"/>
      <c r="T31" s="8" t="s">
        <v>735</v>
      </c>
      <c r="U31" s="20" t="s">
        <v>555</v>
      </c>
      <c r="W31" s="55" t="s">
        <v>1558</v>
      </c>
      <c r="X31" s="18" t="str">
        <f>CONCATENATE(prefix_portable_component,"-vm-group-idm")</f>
        <v>xint-vm-group-idm</v>
      </c>
      <c r="Z31" s="68" t="s">
        <v>1425</v>
      </c>
      <c r="AA31" s="73"/>
      <c r="AB31" s="73"/>
    </row>
    <row r="32" spans="2:28" s="3" customFormat="1" ht="20" customHeight="1">
      <c r="B32" s="21" t="s">
        <v>1235</v>
      </c>
      <c r="C32" s="18" t="str">
        <f>IF(ISBLANK(input_cloudbuilder_hostname),"Value Missing",input_cloudbuilder_hostname)</f>
        <v>Value Missing</v>
      </c>
      <c r="E32" s="21" t="s">
        <v>1260</v>
      </c>
      <c r="F32" s="18" t="str">
        <f>IF(ISBLANK('Name &amp; IP Address Inputs - VM'!E66),"Value Missing",'Name &amp; IP Address Inputs - VM'!E66)</f>
        <v>Value Missing</v>
      </c>
      <c r="H32" s="52" t="s">
        <v>1277</v>
      </c>
      <c r="I32" s="18" t="str">
        <f>IF(ISBLANK(input_nsxt_lm_audit_password),"Value Missing",input_nsxt_lm_audit_password)</f>
        <v>Value Missing</v>
      </c>
      <c r="K32" s="21" t="s">
        <v>1326</v>
      </c>
      <c r="L32" s="18" t="str">
        <f>IF(ISBLANK('SDDC Inputs - Common'!D108),"Value Missing",'SDDC Inputs - Common'!D108)</f>
        <v>Value Missing</v>
      </c>
      <c r="N32" s="52" t="s">
        <v>1512</v>
      </c>
      <c r="O32" s="18" t="str">
        <f>(CONCATENATE('Value Reference Tables'!O24,".",(IF(ISBLANK('Name &amp; IP Address Inputs - VM'!D$17),"Value Missing",'Name &amp; IP Address Inputs - VM'!D$17))))</f>
        <v>Value Missing.Value Missing</v>
      </c>
      <c r="Q32" s="52" t="s">
        <v>992</v>
      </c>
      <c r="R32" s="18" t="str">
        <f>IF(ISBLANK(input_k8s_ip_routemap),"Value Missing",input_k8s_ip_routemap)</f>
        <v>Value Missing</v>
      </c>
      <c r="S32" s="5"/>
      <c r="T32" s="21" t="s">
        <v>1288</v>
      </c>
      <c r="U32" s="18" t="str">
        <f>IF(ISBLANK('Network Inputs - VVS'!F9),"Value Missing",'Network Inputs - VVS'!F9)</f>
        <v>Value Missing</v>
      </c>
      <c r="W32" s="21" t="s">
        <v>1559</v>
      </c>
      <c r="X32" s="18" t="str">
        <f>IF(ISBLANK(input_vrslcm_bespoke_svc_vrslcm_vsphere_password),"Value Missing",input_vrslcm_bespoke_svc_vrslcm_vsphere_password)</f>
        <v>Value Missing</v>
      </c>
      <c r="Z32" s="8" t="s">
        <v>735</v>
      </c>
      <c r="AA32" s="20" t="s">
        <v>1230</v>
      </c>
      <c r="AB32" s="20" t="s">
        <v>1231</v>
      </c>
    </row>
    <row r="33" spans="2:28" s="3" customFormat="1" ht="20" customHeight="1">
      <c r="B33" s="21" t="s">
        <v>5152</v>
      </c>
      <c r="C33" s="18" t="e">
        <f>IF(ISBLANK(input_quickstart_hostname),"Value Missing",input_quickstart_hostname)</f>
        <v>#REF!</v>
      </c>
      <c r="E33" s="21" t="s">
        <v>1263</v>
      </c>
      <c r="F33" s="18" t="str">
        <f>IF(ISBLANK('Name &amp; IP Address Inputs - VM'!E67),"Value Missing",'Name &amp; IP Address Inputs - VM'!E67)</f>
        <v>Value Missing</v>
      </c>
      <c r="H33" s="52" t="s">
        <v>1279</v>
      </c>
      <c r="I33" s="18" t="str">
        <f>IF(ISBLANK(input_nsxt_en_root_password),"Value Missing",input_nsxt_en_root_password)</f>
        <v>Value Missing</v>
      </c>
      <c r="K33" s="21" t="s">
        <v>1329</v>
      </c>
      <c r="L33" s="18" t="str">
        <f>IF(ISBLANK('SDDC Inputs - Common'!D109),"Value Missing",'SDDC Inputs - Common'!D109)</f>
        <v>Value Missing</v>
      </c>
      <c r="N33" s="52" t="s">
        <v>1515</v>
      </c>
      <c r="O33" s="18" t="str">
        <f>(CONCATENATE('Value Reference Tables'!O25,".",(IF(ISBLANK('Name &amp; IP Address Inputs - VM'!D$17),"Value Missing",'Name &amp; IP Address Inputs - VM'!D$17))))</f>
        <v>Value Missing.Value Missing</v>
      </c>
      <c r="Q33" s="21" t="s">
        <v>1884</v>
      </c>
      <c r="R33" s="18" t="str">
        <f>IF(mgmt_consolidated_result="Included",mgmt_ec_name,wld_ec_name)</f>
        <v>Value Missing</v>
      </c>
      <c r="S33" s="5"/>
      <c r="W33" s="21" t="s">
        <v>1560</v>
      </c>
      <c r="X33" s="18" t="str">
        <f>IF(ISBLANK(input_xreg_existing_vrslcm_fqdn),"Value Missing",input_xreg_existing_vrslcm_fqdn)</f>
        <v>Value Missing</v>
      </c>
      <c r="Z33" s="21" t="s">
        <v>1233</v>
      </c>
      <c r="AA33" s="18" t="s">
        <v>1275</v>
      </c>
      <c r="AB33" s="18" t="str">
        <f>wld_cl01_az1_vm_pg</f>
        <v>VM Network</v>
      </c>
    </row>
    <row r="34" spans="2:28" s="3" customFormat="1" ht="20" customHeight="1">
      <c r="B34" s="21" t="s">
        <v>353</v>
      </c>
      <c r="C34" s="18" t="str">
        <f>IF(ISBLANK('Name &amp; IP Address Inputs - VM'!E39),"Value Missing",'Name &amp; IP Address Inputs - VM'!E39)</f>
        <v>Value Missing</v>
      </c>
      <c r="E34" s="21" t="s">
        <v>1265</v>
      </c>
      <c r="F34" s="18" t="str">
        <f>IF(ISBLANK('Name &amp; IP Address Inputs - VM'!E68),"Value Missing",'Name &amp; IP Address Inputs - VM'!E68)</f>
        <v>Value Missing</v>
      </c>
      <c r="H34" s="52" t="s">
        <v>1283</v>
      </c>
      <c r="I34" s="18" t="str">
        <f>IF(ISBLANK(input_nsxt_en_admin_password),"Value Missing",input_nsxt_en_admin_password)</f>
        <v>Value Missing</v>
      </c>
      <c r="K34" s="21" t="s">
        <v>853</v>
      </c>
      <c r="L34" s="18" t="str">
        <f>IF(ISBLANK('SDDC Inputs - Common'!D137),"Value Missing",'SDDC Inputs - Common'!D137)</f>
        <v>Value Missing</v>
      </c>
      <c r="N34" s="52" t="s">
        <v>1517</v>
      </c>
      <c r="O34" s="18" t="str">
        <f>(CONCATENATE('Value Reference Tables'!O26,".",(IF(ISBLANK('Name &amp; IP Address Inputs - VM'!D$17),"Value Missing",'Name &amp; IP Address Inputs - VM'!D$17))))</f>
        <v>Value Missing.Value Missing</v>
      </c>
      <c r="Q34" s="52" t="s">
        <v>3564</v>
      </c>
      <c r="R34" s="18">
        <v>28</v>
      </c>
      <c r="S34" s="5"/>
      <c r="T34" s="68" t="s">
        <v>1301</v>
      </c>
      <c r="U34" s="73"/>
      <c r="W34" s="21" t="s">
        <v>3567</v>
      </c>
      <c r="X34" s="18" t="s">
        <v>3526</v>
      </c>
    </row>
    <row r="35" spans="2:28" s="3" customFormat="1" ht="20" customHeight="1">
      <c r="B35" s="21" t="s">
        <v>637</v>
      </c>
      <c r="C35" s="18" t="str">
        <f>IF(ISBLANK('Name &amp; IP Address Inputs - VM'!E40),"Value Missing",'Name &amp; IP Address Inputs - VM'!E40)</f>
        <v>Value Missing</v>
      </c>
      <c r="E35" s="21" t="s">
        <v>654</v>
      </c>
      <c r="F35" s="18" t="str">
        <f>IF(ISBLANK('Name &amp; IP Address Inputs - VM'!E69),"Value Missing",'Name &amp; IP Address Inputs - VM'!E69)</f>
        <v>Value Missing</v>
      </c>
      <c r="H35" s="52" t="s">
        <v>1285</v>
      </c>
      <c r="I35" s="18" t="str">
        <f>IF(ISBLANK(input_nsxt_en_audit_password),"Value Missing",input_nsxt_en_audit_password)</f>
        <v>Value Missing</v>
      </c>
      <c r="K35" s="21" t="s">
        <v>4266</v>
      </c>
      <c r="L35" s="18" t="str">
        <f>IF(ISBLANK(input_mgmt_avilb_cluster_name),"Value Missing",input_mgmt_avilb_cluster_name)</f>
        <v>Value Missing</v>
      </c>
      <c r="N35" s="52" t="s">
        <v>1520</v>
      </c>
      <c r="O35" s="18" t="str">
        <f>(CONCATENATE('Value Reference Tables'!O27,".",(IF(ISBLANK('Name &amp; IP Address Inputs - VM'!D$17),"Value Missing",'Name &amp; IP Address Inputs - VM'!D$17))))</f>
        <v>Value Missing.Value Missing</v>
      </c>
      <c r="Q35" s="52" t="s">
        <v>3565</v>
      </c>
      <c r="R35" s="18">
        <v>32</v>
      </c>
      <c r="S35" s="5"/>
      <c r="T35" s="8" t="s">
        <v>735</v>
      </c>
      <c r="U35" s="20" t="s">
        <v>555</v>
      </c>
      <c r="W35" s="21" t="s">
        <v>3568</v>
      </c>
      <c r="X35" s="18" t="str">
        <f>IF(ISBLANK(input_xreg_customer_connect_email),"Value Missing",input_xreg_customer_connect_email)</f>
        <v>Value Missing</v>
      </c>
      <c r="Z35" s="68" t="s">
        <v>1438</v>
      </c>
      <c r="AA35" s="73"/>
      <c r="AB35" s="73"/>
    </row>
    <row r="36" spans="2:28" s="3" customFormat="1" ht="20" customHeight="1">
      <c r="B36" s="21" t="s">
        <v>1255</v>
      </c>
      <c r="C36" s="18" t="str">
        <f>IF(ISBLANK('Name &amp; IP Address Inputs - VM'!E41),"Value Missing",'Name &amp; IP Address Inputs - VM'!E41)</f>
        <v>Value Missing</v>
      </c>
      <c r="E36" s="21" t="s">
        <v>655</v>
      </c>
      <c r="F36" s="18" t="str">
        <f>IF(ISBLANK('Name &amp; IP Address Inputs - VM'!E70),"Value Missing",'Name &amp; IP Address Inputs - VM'!E70)</f>
        <v>Value Missing</v>
      </c>
      <c r="H36" s="52" t="s">
        <v>1286</v>
      </c>
      <c r="I36" s="18" t="str">
        <f>IF(ISBLANK(input_nsxt_gm_root_password),"Value Missing",input_nsxt_gm_root_password)</f>
        <v>Value Missing</v>
      </c>
      <c r="K36" s="21" t="s">
        <v>4273</v>
      </c>
      <c r="L36" s="18" t="str">
        <f>IF(ISBLANK(input_mgmt_avilb_cluster_version),"Value Missing",input_mgmt_avilb_cluster_version)</f>
        <v>Value Missing</v>
      </c>
      <c r="N36" s="52" t="s">
        <v>3329</v>
      </c>
      <c r="O36" s="18" t="str">
        <f>(CONCATENATE('Value Reference Tables'!O28,".",(IF(ISBLANK('Name &amp; IP Address Inputs - VM'!D$17),"Value Missing",'Name &amp; IP Address Inputs - VM'!D$17))))</f>
        <v>Value Missing.Value Missing</v>
      </c>
      <c r="Q36" s="21" t="s">
        <v>993</v>
      </c>
      <c r="R36" s="18" t="str">
        <f>IF(ISBLANK(input_k8s_vcenter_category),"Value Missing",input_k8s_vcenter_category)</f>
        <v>Value Missing</v>
      </c>
      <c r="S36" s="5"/>
      <c r="T36" s="21" t="s">
        <v>1288</v>
      </c>
      <c r="U36" s="18" t="str">
        <f>IF(ISBLANK('Network Inputs - VVS'!H9),"Value Missing",'Network Inputs - VVS'!H9)</f>
        <v>Value Missing</v>
      </c>
      <c r="W36" s="21" t="s">
        <v>3569</v>
      </c>
      <c r="X36" s="18" t="str">
        <f>IF(ISBLANK(input_xreg_customer_connect_password),"Value Missing",input_xreg_customer_connect_password)</f>
        <v>Value Missing</v>
      </c>
      <c r="Z36" s="8" t="s">
        <v>735</v>
      </c>
      <c r="AA36" s="20" t="s">
        <v>1230</v>
      </c>
      <c r="AB36" s="20" t="s">
        <v>1231</v>
      </c>
    </row>
    <row r="37" spans="2:28" s="3" customFormat="1" ht="20" customHeight="1">
      <c r="B37" s="21" t="s">
        <v>1258</v>
      </c>
      <c r="C37" s="18" t="str">
        <f>IF(ISBLANK('Name &amp; IP Address Inputs - VM'!E42),"Value Missing",'Name &amp; IP Address Inputs - VM'!E42)</f>
        <v>Value Missing</v>
      </c>
      <c r="E37" s="21" t="s">
        <v>656</v>
      </c>
      <c r="F37" s="18" t="str">
        <f>IF(ISBLANK('Name &amp; IP Address Inputs - VM'!E71),"Value Missing",'Name &amp; IP Address Inputs - VM'!E71)</f>
        <v>Value Missing</v>
      </c>
      <c r="H37" s="52" t="s">
        <v>1290</v>
      </c>
      <c r="I37" s="18" t="str">
        <f>IF(ISBLANK(input_nsxt_gm_admin_password),"Value Missing",input_nsxt_gm_admin_password)</f>
        <v>Value Missing</v>
      </c>
      <c r="K37" s="21" t="s">
        <v>854</v>
      </c>
      <c r="L37" s="18" t="str">
        <f>IF((AND((ISBLANK('SDDC Inputs - Common'!D138)),OR(($C$84 = "Yes"),($C$84="Value Missing")))),"Value Missing",IF(ISBLANK('SDDC Inputs - Common'!D138),"",'SDDC Inputs - Common'!D138))</f>
        <v>Value Missing</v>
      </c>
      <c r="Q37" s="21" t="s">
        <v>995</v>
      </c>
      <c r="R37" s="18" t="str">
        <f>IF(ISBLANK(input_k8s_vcenter_tag),"Value Missing",input_k8s_vcenter_tag)</f>
        <v>Value Missing</v>
      </c>
      <c r="S37" s="5"/>
      <c r="Z37" s="21" t="s">
        <v>1233</v>
      </c>
      <c r="AA37" s="18" t="str">
        <f>'Value Reference Tables - MR'!F23</f>
        <v>Value Missing</v>
      </c>
      <c r="AB37" s="18" t="str">
        <f>'Value Reference Tables - MR'!F250</f>
        <v>Value Missing</v>
      </c>
    </row>
    <row r="38" spans="2:28" s="3" customFormat="1" ht="20" customHeight="1">
      <c r="B38" s="21" t="s">
        <v>1260</v>
      </c>
      <c r="C38" s="18" t="str">
        <f>IF(ISBLANK('Name &amp; IP Address Inputs - VM'!E43),"Value Missing",'Name &amp; IP Address Inputs - VM'!E43)</f>
        <v>Value Missing</v>
      </c>
      <c r="E38" s="21" t="s">
        <v>4254</v>
      </c>
      <c r="F38" s="18" t="str">
        <f>IF(ISBLANK('Name &amp; IP Address Inputs - VM'!E72),"Value Missing",'Name &amp; IP Address Inputs - VM'!E72)</f>
        <v>Value Missing</v>
      </c>
      <c r="H38" s="52" t="s">
        <v>1291</v>
      </c>
      <c r="I38" s="18" t="str">
        <f>IF(ISBLANK(input_nsxt_gm_audit_password),"Value Missing",input_nsxt_gm_audit_password)</f>
        <v>Value Missing</v>
      </c>
      <c r="K38" s="21" t="s">
        <v>856</v>
      </c>
      <c r="L38" s="18" t="str">
        <f>IF((AND((ISBLANK('SDDC Inputs - Common'!D139)),OR(($C$84 = "Yes"),($C$84="Value Missing")))),"Value Missing",IF(ISBLANK('SDDC Inputs - Common'!D139),"",'SDDC Inputs - Common'!D139))</f>
        <v>Value Missing</v>
      </c>
      <c r="N38" s="51" t="s">
        <v>1562</v>
      </c>
      <c r="O38" s="73"/>
      <c r="Q38" s="21" t="s">
        <v>997</v>
      </c>
      <c r="R38" s="18" t="str">
        <f>IF(ISBLANK(input_k8s_vcenter_storage_policy),"Value Missing",input_k8s_vcenter_storage_policy)</f>
        <v>Value Missing</v>
      </c>
      <c r="S38" s="5"/>
      <c r="T38" s="68" t="s">
        <v>1310</v>
      </c>
      <c r="U38" s="73"/>
      <c r="W38" s="427" t="s">
        <v>1327</v>
      </c>
      <c r="X38" s="428"/>
      <c r="Z38" s="21" t="s">
        <v>566</v>
      </c>
      <c r="AB38" s="18" t="str">
        <f>IF(input_wld_az2_host_overlay_cidr="DHCP","",IF(ISBLANK('Network Inputs - Rack'!F97),"Value Missing",'Network Inputs - Rack'!F97))</f>
        <v>Value Missing</v>
      </c>
    </row>
    <row r="39" spans="2:28" s="3" customFormat="1" ht="20" customHeight="1">
      <c r="B39" s="21" t="s">
        <v>1263</v>
      </c>
      <c r="C39" s="18" t="str">
        <f>IF(ISBLANK('Name &amp; IP Address Inputs - VM'!E44),"Value Missing",'Name &amp; IP Address Inputs - VM'!E44)</f>
        <v>Value Missing</v>
      </c>
      <c r="E39" s="21" t="s">
        <v>4255</v>
      </c>
      <c r="F39" s="18" t="str">
        <f>IF(ISBLANK('Name &amp; IP Address Inputs - VM'!E73),"Value Missing",'Name &amp; IP Address Inputs - VM'!E73)</f>
        <v>n/a</v>
      </c>
      <c r="H39" s="52" t="s">
        <v>1295</v>
      </c>
      <c r="I39" s="18" t="str">
        <f>IF(ISBLANK(input_sddc_mgr_root_password),"Value Missing",input_sddc_mgr_root_password)</f>
        <v>Value Missing</v>
      </c>
      <c r="K39" s="21" t="s">
        <v>857</v>
      </c>
      <c r="L39" s="18" t="str">
        <f>IF((AND((ISBLANK('SDDC Inputs - Common'!D140)),OR(($C$84 = "Yes"),($C$84="Value Missing")))),"Value Missing",IF(ISBLANK('SDDC Inputs - Common'!D140),"",'SDDC Inputs - Common'!D140))</f>
        <v>Value Missing</v>
      </c>
      <c r="N39" s="8" t="s">
        <v>735</v>
      </c>
      <c r="O39" s="20" t="s">
        <v>555</v>
      </c>
      <c r="Q39" s="21" t="s">
        <v>999</v>
      </c>
      <c r="R39" s="18" t="str">
        <f>IF(ISBLANK(input_k8s_vcenter_content_library),"Value Missing",input_k8s_vcenter_content_library)</f>
        <v>Value Missing</v>
      </c>
      <c r="T39" s="8" t="s">
        <v>735</v>
      </c>
      <c r="U39" s="20" t="s">
        <v>555</v>
      </c>
      <c r="W39" s="8" t="s">
        <v>735</v>
      </c>
      <c r="X39" s="20" t="s">
        <v>555</v>
      </c>
    </row>
    <row r="40" spans="2:28" s="3" customFormat="1" ht="20" customHeight="1">
      <c r="B40" s="21" t="s">
        <v>1265</v>
      </c>
      <c r="C40" s="18" t="str">
        <f>IF(ISBLANK('Name &amp; IP Address Inputs - VM'!E45),"Value Missing",'Name &amp; IP Address Inputs - VM'!E45)</f>
        <v>Value Missing</v>
      </c>
      <c r="E40" s="21" t="s">
        <v>4256</v>
      </c>
      <c r="F40" s="18" t="str">
        <f>IF(ISBLANK('Name &amp; IP Address Inputs - VM'!E74),"Value Missing",'Name &amp; IP Address Inputs - VM'!E74)</f>
        <v>n/a</v>
      </c>
      <c r="H40" s="52" t="s">
        <v>1296</v>
      </c>
      <c r="I40" s="18" t="str">
        <f>IF(ISBLANK(input_sddc_mgr_vcf_password),"Value Missing",input_sddc_mgr_vcf_password)</f>
        <v>Value Missing</v>
      </c>
      <c r="K40" s="21" t="s">
        <v>859</v>
      </c>
      <c r="L40" s="18" t="str">
        <f>IF((AND((ISBLANK('SDDC Inputs - Common'!D141)),OR(($C$84 = "Yes"),($C$84="Value Missing")))),"Value Missing",IF(ISBLANK('SDDC Inputs - Common'!D141),"",'SDDC Inputs - Common'!D141))</f>
        <v>Value Missing</v>
      </c>
      <c r="N40" s="21" t="str">
        <f>IF(ISBLANK('Network Inputs - VVS'!B13),"Value Missing",'Network Inputs - VVS'!B13)</f>
        <v>Ingress Pool (Load Balancer)</v>
      </c>
      <c r="O40" s="18" t="str">
        <f>IF(ISBLANK('Network Inputs - VVS'!D13),"Value Missing",'Network Inputs - VVS'!D13)</f>
        <v>Value Missing</v>
      </c>
      <c r="Q40" s="21" t="s">
        <v>3573</v>
      </c>
      <c r="R40" s="18" t="s">
        <v>343</v>
      </c>
      <c r="T40" s="21" t="s">
        <v>539</v>
      </c>
      <c r="U40" s="18" t="str">
        <f>IF(ISBLANK(input_mgmt_witnessaz_mgmt_vlan),"Value Missing",input_mgmt_witnessaz_mgmt_vlan)</f>
        <v>Value Missing</v>
      </c>
      <c r="W40" s="21" t="s">
        <v>1332</v>
      </c>
      <c r="X40" s="18" t="str">
        <f>IF(ISBLANK(input_mgmt_az1_mgmt_cidr),"Value Missing",VLOOKUP(INT(RIGHT(input_mgmt_az1_mgmt_cidr,LEN(input_mgmt_az1_mgmt_cidr)-FIND("/",input_mgmt_az1_mgmt_cidr))),table_cidr_to_mask,2,FALSE))</f>
        <v>Value Missing</v>
      </c>
      <c r="Z40" s="68" t="s">
        <v>1459</v>
      </c>
      <c r="AA40" s="73"/>
      <c r="AB40" s="73"/>
    </row>
    <row r="41" spans="2:28" s="3" customFormat="1" ht="20" customHeight="1">
      <c r="B41" s="21" t="s">
        <v>654</v>
      </c>
      <c r="C41" s="18" t="str">
        <f>IF(ISBLANK('Name &amp; IP Address Inputs - VM'!E46),"Value Missing",'Name &amp; IP Address Inputs - VM'!E46)</f>
        <v>Value Missing</v>
      </c>
      <c r="E41" s="21" t="s">
        <v>4257</v>
      </c>
      <c r="F41" s="18" t="str">
        <f>IF(ISBLANK('Name &amp; IP Address Inputs - VM'!E75),"Value Missing",'Name &amp; IP Address Inputs - VM'!E75)</f>
        <v>n/a</v>
      </c>
      <c r="H41" s="52" t="s">
        <v>1298</v>
      </c>
      <c r="I41" s="18" t="str">
        <f>IF(ISBLANK(input_sddc_mgr_admin_local_password),"Value Missing",input_sddc_mgr_admin_local_password)</f>
        <v>Value Missing</v>
      </c>
      <c r="K41" s="21" t="s">
        <v>860</v>
      </c>
      <c r="L41" s="18" t="str">
        <f>IF((AND((ISBLANK('SDDC Inputs - Common'!D142)),OR(($C$84 = "Yes"),($C$84="Value Missing")))),"Value Missing",IF(ISBLANK('SDDC Inputs - Common'!D142),"",'SDDC Inputs - Common'!D142))</f>
        <v>Value Missing</v>
      </c>
      <c r="N41" s="21" t="str">
        <f>IF(ISBLANK('Network Inputs - VVS'!B14),"Value Missing",'Network Inputs - VVS'!B14)</f>
        <v>Egress Pool (NAT)</v>
      </c>
      <c r="O41" s="18" t="str">
        <f>IF(ISBLANK('Network Inputs - VVS'!D14),"Value Missing",'Network Inputs - VVS'!D14)</f>
        <v>Value Missing</v>
      </c>
      <c r="Q41" s="21" t="s">
        <v>3574</v>
      </c>
      <c r="R41" s="18" t="s">
        <v>2359</v>
      </c>
      <c r="S41" s="5"/>
      <c r="W41" s="21" t="s">
        <v>1335</v>
      </c>
      <c r="X41" s="18" t="str">
        <f>IF(ISBLANK(input_mgmt_witnessaz_cidr),"Value Missing",VLOOKUP(INT(RIGHT(input_mgmt_witnessaz_cidr,LEN(input_mgmt_witnessaz_cidr)-FIND("/",input_mgmt_witnessaz_cidr))),table_cidr_to_mask,2,FALSE))</f>
        <v>Value Missing</v>
      </c>
      <c r="Z41" s="8" t="s">
        <v>735</v>
      </c>
      <c r="AA41" s="20" t="s">
        <v>1230</v>
      </c>
      <c r="AB41" s="20" t="s">
        <v>1231</v>
      </c>
    </row>
    <row r="42" spans="2:28" s="3" customFormat="1" ht="20" customHeight="1">
      <c r="B42" s="21" t="s">
        <v>655</v>
      </c>
      <c r="C42" s="18" t="str">
        <f>IF(ISBLANK('Name &amp; IP Address Inputs - VM'!E47),"Value Missing",'Name &amp; IP Address Inputs - VM'!E47)</f>
        <v>Value Missing</v>
      </c>
      <c r="E42" s="21"/>
      <c r="F42" s="18"/>
      <c r="H42" s="52" t="s">
        <v>5157</v>
      </c>
      <c r="I42" s="18" t="s">
        <v>4099</v>
      </c>
      <c r="K42" s="21" t="s">
        <v>862</v>
      </c>
      <c r="L42" s="18" t="str">
        <f>IF((AND((ISBLANK('SDDC Inputs - Common'!D143)),OR(($C$84 = "Yes"),($C$84="Value Missing")))),"Value Missing",IF(ISBLANK('SDDC Inputs - Common'!D143),"",'SDDC Inputs - Common'!D143))</f>
        <v>Value Missing</v>
      </c>
      <c r="N42" s="21" t="str">
        <f>IF(ISBLANK('Network Inputs - VVS'!B15),"Value Missing",'Network Inputs - VVS'!B15)</f>
        <v>Pod Pool (Supervisor Cluster)</v>
      </c>
      <c r="O42" s="18" t="str">
        <f>IF(ISBLANK('Network Inputs - VVS'!D15),"Value Missing",'Network Inputs - VVS'!D15)</f>
        <v>Value Missing</v>
      </c>
      <c r="Q42" s="21" t="s">
        <v>3575</v>
      </c>
      <c r="R42" s="18">
        <v>5</v>
      </c>
      <c r="S42" s="5"/>
      <c r="T42" s="68" t="s">
        <v>1322</v>
      </c>
      <c r="U42" s="73"/>
      <c r="W42" s="21" t="s">
        <v>1338</v>
      </c>
      <c r="X42" s="18" t="str">
        <f>IF(ISBLANK(input_mgmt_az1_uplink01_cidr),"Value Missing",VLOOKUP(INT(RIGHT(input_mgmt_az1_uplink01_cidr,LEN(input_mgmt_az1_uplink01_cidr)-FIND("/",input_mgmt_az1_uplink01_cidr))),table_cidr_to_mask,2,FALSE))</f>
        <v>Value Missing</v>
      </c>
      <c r="Z42" s="21" t="s">
        <v>1233</v>
      </c>
      <c r="AA42" s="18" t="str">
        <f>'Value Reference Tables - MR'!F37</f>
        <v>Value Missing</v>
      </c>
      <c r="AB42" s="18" t="str">
        <f>'Value Reference Tables - MR'!F264</f>
        <v>Value Missing</v>
      </c>
    </row>
    <row r="43" spans="2:28" s="3" customFormat="1" ht="20" customHeight="1">
      <c r="B43" s="21" t="s">
        <v>656</v>
      </c>
      <c r="C43" s="18" t="str">
        <f>IF(ISBLANK('Name &amp; IP Address Inputs - VM'!E48),"Value Missing",'Name &amp; IP Address Inputs - VM'!E48)</f>
        <v>Value Missing</v>
      </c>
      <c r="E43" s="21"/>
      <c r="F43" s="18"/>
      <c r="H43" s="52" t="s">
        <v>5158</v>
      </c>
      <c r="I43" s="18" t="str">
        <f>IF(quickstart_mode="Remain","VMw@re1!VMw@re1!",sddc_mgr_root_password)</f>
        <v>VMw@re1!VMw@re1!</v>
      </c>
      <c r="K43" s="21" t="s">
        <v>863</v>
      </c>
      <c r="L43" s="18" t="str">
        <f>IF((AND((ISBLANK('SDDC Inputs - Common'!D144)),OR(($C$84 = "Yes"),($C$84="Value Missing")))),"Value Missing",IF(ISBLANK('SDDC Inputs - Common'!D144),"",'SDDC Inputs - Common'!D144))</f>
        <v>Value Missing</v>
      </c>
      <c r="N43" s="21" t="str">
        <f>IF(ISBLANK('Network Inputs - VVS'!B16),"Value Missing",'Network Inputs - VVS'!B16)</f>
        <v>Service Pool (Supervisor Cluster)</v>
      </c>
      <c r="O43" s="18" t="str">
        <f>IF(ISBLANK('Network Inputs - VVS'!D16),"Value Missing",'Network Inputs - VVS'!D16)</f>
        <v>Value Missing</v>
      </c>
      <c r="Q43" s="26" t="s">
        <v>710</v>
      </c>
      <c r="R43" s="18" t="str">
        <f>IF(ISBLANK(input_k8s_mgmt_pool_start_ip),"Value Missing",input_k8s_mgmt_pool_start_ip)</f>
        <v>Value Missing</v>
      </c>
      <c r="S43" s="5"/>
      <c r="T43" s="8" t="s">
        <v>735</v>
      </c>
      <c r="U43" s="20" t="s">
        <v>555</v>
      </c>
      <c r="W43" s="21" t="s">
        <v>1341</v>
      </c>
      <c r="X43" s="18" t="str">
        <f>IF(ISBLANK(input_mgmt_az1_uplink02_cidr),"Value Missing",VLOOKUP(INT(RIGHT(input_mgmt_az1_uplink02_cidr,LEN(input_mgmt_az1_uplink02_cidr)-FIND("/",input_mgmt_az1_uplink02_cidr))),table_cidr_to_mask,2,FALSE))</f>
        <v>Value Missing</v>
      </c>
      <c r="Z43" s="21" t="s">
        <v>566</v>
      </c>
      <c r="AB43" s="18" t="str">
        <f>IF(input_wld_az2_host_overlay_gateway_ip="DHCP","",IF(ISBLANK('Network Inputs - Rack'!H97),"Value Missing",'Network Inputs - Rack'!H97))</f>
        <v>Value Missing</v>
      </c>
    </row>
    <row r="44" spans="2:28" s="3" customFormat="1" ht="20" customHeight="1">
      <c r="B44" s="21" t="s">
        <v>4254</v>
      </c>
      <c r="C44" s="18" t="str">
        <f>IF(ISBLANK('Name &amp; IP Address Inputs - VM'!E49),"Value Missing",'Name &amp; IP Address Inputs - VM'!E49)</f>
        <v>Value Missing</v>
      </c>
      <c r="E44" s="21"/>
      <c r="F44" s="18"/>
      <c r="H44" s="52" t="s">
        <v>5159</v>
      </c>
      <c r="I44" s="18" t="str">
        <f>IF(quickstart_mode="Remain","VMw@re1!VMw@re1!",sddc_mgr_vcf_password)</f>
        <v>VMw@re1!VMw@re1!</v>
      </c>
      <c r="K44" s="21" t="s">
        <v>865</v>
      </c>
      <c r="L44" s="18" t="str">
        <f>IF((AND((ISBLANK('SDDC Inputs - Common'!D145)),OR(($C$84 = "Yes"),($C$84="Value Missing")))),"Value Missing",IF(ISBLANK('SDDC Inputs - Common'!D145),"",'SDDC Inputs - Common'!D145))</f>
        <v>Value Missing</v>
      </c>
      <c r="N44" s="21" t="str">
        <f>IF(ISBLANK('Network Inputs - VVS'!B17),"Value Missing",'Network Inputs - VVS'!B17)</f>
        <v>Pod Pool (Tanzu Kubernetes Cluster)</v>
      </c>
      <c r="O44" s="18" t="str">
        <f>IF(ISBLANK('Network Inputs - VVS'!D17),"Value Missing",'Network Inputs - VVS'!D17)</f>
        <v>Value Missing</v>
      </c>
      <c r="Q44" s="26" t="s">
        <v>1309</v>
      </c>
      <c r="R44" s="18" t="str">
        <f>IF(ISBLANK(input_k8s_segment_gateway_ip),"Value Missing",input_k8s_segment_gateway_ip)</f>
        <v>Value Missing</v>
      </c>
      <c r="S44" s="5"/>
      <c r="T44" s="21" t="s">
        <v>539</v>
      </c>
      <c r="U44" s="18" t="str">
        <f>IF(ISBLANK(input_mgmt_witness_mgmt_pg),"Value Missing",input_mgmt_witness_mgmt_pg)</f>
        <v>Value Missing</v>
      </c>
      <c r="W44" s="21" t="s">
        <v>1343</v>
      </c>
      <c r="X44" s="18" t="str">
        <f>IF(ISBLANK(input_reg_seg01_cidr),"Value Missing",VLOOKUP(INT(RIGHT(input_reg_seg01_cidr,LEN(input_reg_seg01_cidr)-FIND("/",input_reg_seg01_cidr))),table_cidr_to_mask,2,FALSE))</f>
        <v>Value Missing</v>
      </c>
    </row>
    <row r="45" spans="2:28" s="3" customFormat="1" ht="20" customHeight="1">
      <c r="B45" s="21" t="s">
        <v>4255</v>
      </c>
      <c r="C45" s="18" t="str">
        <f>IF(ISBLANK('Name &amp; IP Address Inputs - VM'!E50),"Value Missing",'Name &amp; IP Address Inputs - VM'!E50)</f>
        <v>n/a</v>
      </c>
      <c r="H45" s="52" t="s">
        <v>5160</v>
      </c>
      <c r="I45" s="18" t="str">
        <f>IF(quickstart_mode="Remain","VMw@re1!VMw@re1!",sddc_mgr_admin_local_password)</f>
        <v>VMw@re1!VMw@re1!</v>
      </c>
      <c r="K45" s="21" t="s">
        <v>1366</v>
      </c>
      <c r="L45" s="18" t="str">
        <f>IF(ISBLANK(input_mgmt_sddc_domain),"Value Missing",CONCATENATE(input_mgmt_sddc_domain,"-fd-mgmt"))</f>
        <v>Value Missing</v>
      </c>
      <c r="N45" s="21" t="str">
        <f>IF(ISBLANK('Network Inputs - VVS'!B18),"Value Missing",'Network Inputs - VVS'!B18)</f>
        <v>Service Pool (Tanzu Kubernetes Cluster)</v>
      </c>
      <c r="O45" s="18" t="str">
        <f>IF(ISBLANK('Network Inputs - VVS'!D18),"Value Missing",'Network Inputs - VVS'!D18)</f>
        <v>Value Missing</v>
      </c>
      <c r="Q45" s="26" t="s">
        <v>1313</v>
      </c>
      <c r="R45" s="18" t="str">
        <f>IF(mgmt_consolidated_result="Included",CONCATENATE(mgmt_cl01_cluster,".",child_dns_zone),CONCATENATE(wld_cl01_cluster,".",child_dns_zone))</f>
        <v>Value Missing.Value Missing</v>
      </c>
      <c r="S45" s="5"/>
      <c r="W45" s="21" t="s">
        <v>1346</v>
      </c>
      <c r="X45" s="18" t="str">
        <f>IF(ISBLANK(input_xreg_seg01_cidr),"Value Missing",VLOOKUP(INT(RIGHT(input_xreg_seg01_cidr,LEN(input_xreg_seg01_cidr)-FIND("/",input_xreg_seg01_cidr))),table_cidr_to_mask,2,FALSE))</f>
        <v>Value Missing</v>
      </c>
      <c r="Z45" s="68" t="s">
        <v>1468</v>
      </c>
      <c r="AA45" s="73"/>
      <c r="AB45" s="73"/>
    </row>
    <row r="46" spans="2:28" s="3" customFormat="1" ht="20" customHeight="1">
      <c r="B46" s="21" t="s">
        <v>4256</v>
      </c>
      <c r="C46" s="18" t="str">
        <f>IF(ISBLANK('Name &amp; IP Address Inputs - VM'!E51),"Value Missing",'Name &amp; IP Address Inputs - VM'!E51)</f>
        <v>n/a</v>
      </c>
      <c r="E46" s="68" t="s">
        <v>1483</v>
      </c>
      <c r="F46" s="69"/>
      <c r="H46" s="52" t="s">
        <v>5161</v>
      </c>
      <c r="I46" s="18" t="str">
        <f>IF(quickstart_mode="Remain","VMw@re1!VMw@re1!",sddc_mgr_admin_local_password)</f>
        <v>VMw@re1!VMw@re1!</v>
      </c>
      <c r="K46" s="21" t="s">
        <v>1369</v>
      </c>
      <c r="L46" s="18" t="str">
        <f>IF(ISBLANK(input_mgmt_sddc_domain),"Value Missing",CONCATENATE(input_mgmt_sddc_domain,"-fd-nsx"))</f>
        <v>Value Missing</v>
      </c>
      <c r="N46" s="27"/>
      <c r="O46" s="27"/>
      <c r="Q46" s="26" t="s">
        <v>1316</v>
      </c>
      <c r="R46" s="18" t="str">
        <f>IF(ISBLANK(input_k8s_kubectl_path),"Value Missing",input_k8s_kubectl_path)</f>
        <v>Value Missing</v>
      </c>
      <c r="S46" s="5"/>
      <c r="T46" s="68" t="s">
        <v>1333</v>
      </c>
      <c r="U46" s="73"/>
      <c r="W46" s="21" t="s">
        <v>1349</v>
      </c>
      <c r="X46" s="18" t="str">
        <f>IF(ISBLANK(input_wld_az1_mgmt_cidr),"Value Missing",VLOOKUP(INT(RIGHT(input_wld_az1_mgmt_cidr,LEN(input_wld_az1_mgmt_cidr)-FIND("/",input_wld_az1_mgmt_cidr))),table_cidr_to_mask,2,FALSE))</f>
        <v>Value Missing</v>
      </c>
      <c r="Z46" s="8" t="s">
        <v>735</v>
      </c>
      <c r="AA46" s="20" t="s">
        <v>1230</v>
      </c>
      <c r="AB46" s="20" t="s">
        <v>1231</v>
      </c>
    </row>
    <row r="47" spans="2:28" s="3" customFormat="1" ht="20" customHeight="1">
      <c r="B47" s="21" t="s">
        <v>4257</v>
      </c>
      <c r="C47" s="18" t="str">
        <f>IF(ISBLANK('Name &amp; IP Address Inputs - VM'!E52),"Value Missing",'Name &amp; IP Address Inputs - VM'!E52)</f>
        <v>n/a</v>
      </c>
      <c r="E47" s="8" t="s">
        <v>735</v>
      </c>
      <c r="F47" s="20" t="s">
        <v>555</v>
      </c>
      <c r="H47" s="52" t="s">
        <v>1300</v>
      </c>
      <c r="I47" s="18" t="str">
        <f>IF(ISBLANK(input_svc_my_vmware_password),"Value Missing",input_svc_my_vmware_password)</f>
        <v>Value Missing</v>
      </c>
      <c r="K47" s="21" t="s">
        <v>1373</v>
      </c>
      <c r="L47" s="18" t="str">
        <f>IF(ISBLANK(input_mgmt_sddc_domain),"Value Missing",CONCATENATE(input_mgmt_sddc_domain,"-fd-edge"))</f>
        <v>Value Missing</v>
      </c>
      <c r="N47" s="427" t="s">
        <v>4880</v>
      </c>
      <c r="O47" s="428"/>
      <c r="Q47" s="26" t="s">
        <v>1319</v>
      </c>
      <c r="R47" s="18" t="str">
        <f>IF(OR((ISBLANK(input_k8s_segment_gateway_ip)),(ISBLANK(input_k8s_segment_cidr))),"Value Missing",CONCATENATE(k8s_segment_gateway_ip,"/",INT(RIGHT(k8s_segment_cidr,LEN(k8s_segment_cidr)-FIND("/",k8s_segment_cidr)))))</f>
        <v>Value Missing</v>
      </c>
      <c r="S47" s="5"/>
      <c r="T47" s="8" t="s">
        <v>735</v>
      </c>
      <c r="U47" s="20" t="s">
        <v>555</v>
      </c>
      <c r="W47" s="21" t="s">
        <v>1350</v>
      </c>
      <c r="X47" s="18" t="str">
        <f>IF(ISBLANK(input_wld_witnessaz_mgmt_cidr),"Value Missing",VLOOKUP(INT(RIGHT(input_wld_witnessaz_mgmt_cidr,LEN(input_wld_witnessaz_mgmt_cidr)-FIND("/",input_wld_witnessaz_mgmt_cidr))),table_cidr_to_mask,2,FALSE))</f>
        <v>Value Missing</v>
      </c>
      <c r="Z47" s="21" t="s">
        <v>1233</v>
      </c>
      <c r="AA47" s="18" t="str">
        <f>'Value Reference Tables - MR'!F51</f>
        <v>Value Missing</v>
      </c>
      <c r="AB47" s="18" t="str">
        <f>'Value Reference Tables - MR'!F278</f>
        <v>Value Missing</v>
      </c>
    </row>
    <row r="48" spans="2:28" s="3" customFormat="1" ht="20" customHeight="1">
      <c r="E48" s="21" t="s">
        <v>637</v>
      </c>
      <c r="F48" s="18" t="str">
        <f>(CONCATENATE('Value Reference Tables'!F29,".",(IF(ISBLANK('Name &amp; IP Address Inputs - VM'!D$18),"Value Missing",'Name &amp; IP Address Inputs - VM'!D$18))))</f>
        <v>Value Missing.Value Missing</v>
      </c>
      <c r="H48" s="52" t="s">
        <v>1238</v>
      </c>
      <c r="I48" s="18" t="str">
        <f>IF(ISBLANK(input_ca_administrator_password),"Value Missing",input_ca_administrator_password)</f>
        <v>Value Missing</v>
      </c>
      <c r="K48" s="21" t="s">
        <v>866</v>
      </c>
      <c r="L48" s="18" t="str">
        <f>IF(ISBLANK('SDDC Inputs - Common'!D148),"Value Missing",'SDDC Inputs - Common'!D148)</f>
        <v>Value Missing</v>
      </c>
      <c r="N48" s="26" t="s">
        <v>4485</v>
      </c>
      <c r="O48" s="18" t="str">
        <f>IF(ISBLANK(input_k8s_harbor_ip),"Value Missing",input_k8s_harbor_ip)</f>
        <v>Value Missing</v>
      </c>
      <c r="Q48" s="26" t="s">
        <v>1321</v>
      </c>
      <c r="R48" s="18" t="str">
        <f>(IF(ISBLANK(input_k8s_api_endpoint_hostname),"Value Missing",CONCATENATE(input_k8s_api_endpoint_hostname,".",child_dns_zone)))</f>
        <v>Value Missing</v>
      </c>
      <c r="S48" s="5"/>
      <c r="T48" s="21" t="s">
        <v>539</v>
      </c>
      <c r="U48" s="18" t="str">
        <f>IF(ISBLANK(input_mgmt_witnessaz_cidr),"Value Missing",input_mgmt_witnessaz_cidr)</f>
        <v>Value Missing</v>
      </c>
      <c r="W48" s="21" t="s">
        <v>1353</v>
      </c>
      <c r="X48" s="18" t="str">
        <f>IF(ISBLANK(input_wld_az1_vmotion_cidr),"Value Missing",VLOOKUP(INT(RIGHT(input_wld_az1_vmotion_cidr,LEN(input_wld_az1_vmotion_cidr)-FIND("/",input_wld_az1_vmotion_cidr))),table_cidr_to_mask,2,FALSE))</f>
        <v>Value Missing</v>
      </c>
    </row>
    <row r="49" spans="2:24" s="3" customFormat="1" ht="20" customHeight="1">
      <c r="B49" s="68" t="s">
        <v>1464</v>
      </c>
      <c r="C49" s="69"/>
      <c r="E49" s="21" t="s">
        <v>1255</v>
      </c>
      <c r="F49" s="18" t="str">
        <f>(CONCATENATE('Value Reference Tables'!F30,".",(IF(ISBLANK('Name &amp; IP Address Inputs - VM'!D$18),"Value Missing",'Name &amp; IP Address Inputs - VM'!D$18))))</f>
        <v>Value Missing.Value Missing</v>
      </c>
      <c r="H49" s="52" t="s">
        <v>4265</v>
      </c>
      <c r="I49" s="18" t="str">
        <f>IF(ISBLANK(input_avilb_root_password),"Value Missing",input_avilb_root_password)</f>
        <v>Value Missing</v>
      </c>
      <c r="K49" s="21" t="s">
        <v>868</v>
      </c>
      <c r="L49" s="18" t="str">
        <f>IF(ISBLANK('SDDC Inputs - Common'!D149),"Value Missing",'SDDC Inputs - Common'!D149)</f>
        <v>Value Missing</v>
      </c>
      <c r="N49" s="27"/>
      <c r="O49" s="27"/>
      <c r="Q49" s="26" t="s">
        <v>3577</v>
      </c>
      <c r="R49" s="18" t="str">
        <f>IF(k8s_ingress_pool_cidr="Value Missing","Value Missing",CONCATENATE(LEFT(k8s_ingress_pool_cidr,FIND("~",SUBSTITUTE(k8s_ingress_pool_cidr,".","~",3))),"1"))</f>
        <v>Value Missing</v>
      </c>
      <c r="S49" s="5"/>
      <c r="W49" s="21" t="s">
        <v>1355</v>
      </c>
      <c r="X49" s="18" t="str">
        <f>IF(ISBLANK(input_wld_az1_principal_storage_cidr),"Value Missing",VLOOKUP(INT(RIGHT(input_wld_az1_principal_storage_cidr,LEN(input_wld_az1_principal_storage_cidr)-FIND("/",input_wld_az1_principal_storage_cidr))),table_cidr_to_mask,2,FALSE))</f>
        <v>Value Missing</v>
      </c>
    </row>
    <row r="50" spans="2:24" s="3" customFormat="1" ht="20" customHeight="1">
      <c r="B50" s="8" t="s">
        <v>735</v>
      </c>
      <c r="C50" s="20" t="s">
        <v>555</v>
      </c>
      <c r="E50" s="21" t="s">
        <v>1258</v>
      </c>
      <c r="F50" s="18" t="str">
        <f>(CONCATENATE('Value Reference Tables'!F31,".",(IF(ISBLANK('Name &amp; IP Address Inputs - VM'!D$18),"Value Missing",'Name &amp; IP Address Inputs - VM'!D$18))))</f>
        <v>Value Missing.Value Missing</v>
      </c>
      <c r="H50" s="52" t="s">
        <v>1304</v>
      </c>
      <c r="I50" s="18" t="str">
        <f>IF(ISBLANK(input_svc_vcf_bck_password),"Value Missing",input_svc_vcf_bck_password)</f>
        <v>Value Missing</v>
      </c>
      <c r="K50" s="21" t="s">
        <v>870</v>
      </c>
      <c r="L50" s="18" t="str">
        <f>IF(ISBLANK('SDDC Inputs - Common'!D150),"Value Missing",'SDDC Inputs - Common'!D150)</f>
        <v>Value Missing</v>
      </c>
      <c r="N50" s="427" t="s">
        <v>4881</v>
      </c>
      <c r="O50" s="428"/>
      <c r="Q50" s="26" t="s">
        <v>1324</v>
      </c>
      <c r="R50" s="18" t="str">
        <f>IF(ISBLANK(input_k8s_vm_class),"Value Missing",input_k8s_vm_class)</f>
        <v>guaranteed-small</v>
      </c>
      <c r="S50" s="5"/>
      <c r="T50" s="68" t="s">
        <v>1344</v>
      </c>
      <c r="U50" s="73"/>
      <c r="W50" s="21" t="s">
        <v>1356</v>
      </c>
      <c r="X50" s="18" t="str">
        <f>IF(ISBLANK(input_wld_az1_uplink01_cidr),"Value Missing",VLOOKUP(INT(RIGHT(input_wld_az1_uplink01_cidr,LEN(input_wld_az1_uplink01_cidr)-FIND("/",input_wld_az1_uplink01_cidr))),table_cidr_to_mask,2,FALSE))</f>
        <v>Value Missing</v>
      </c>
    </row>
    <row r="51" spans="2:24" s="3" customFormat="1" ht="20" customHeight="1">
      <c r="B51" s="21" t="s">
        <v>1235</v>
      </c>
      <c r="C51" s="18" t="str">
        <f>(CONCATENATE('Value Reference Tables'!C32,".",(IF(ISBLANK('Name &amp; IP Address Inputs - VM'!D$18),"Value Missing",'Name &amp; IP Address Inputs - VM'!D$18))))</f>
        <v>Value Missing.Value Missing</v>
      </c>
      <c r="E51" s="21" t="s">
        <v>1260</v>
      </c>
      <c r="F51" s="18" t="str">
        <f>(CONCATENATE('Value Reference Tables'!F32,".",(IF(ISBLANK('Name &amp; IP Address Inputs - VM'!D$18),"Value Missing",'Name &amp; IP Address Inputs - VM'!D$18))))</f>
        <v>Value Missing.Value Missing</v>
      </c>
      <c r="H51" s="52" t="s">
        <v>1306</v>
      </c>
      <c r="I51" s="18" t="str">
        <f>IF(ISBLANK(input_vcfadmin_local_password),"Value Missing",input_vcfadmin_local_password)</f>
        <v>Value Missing</v>
      </c>
      <c r="K51" s="21" t="s">
        <v>872</v>
      </c>
      <c r="L51" s="18" t="str">
        <f>IF(ISBLANK('SDDC Inputs - Common'!D151),"Value Missing",'SDDC Inputs - Common'!D151)</f>
        <v>Value Missing</v>
      </c>
      <c r="N51" s="26" t="s">
        <v>4484</v>
      </c>
      <c r="O51" s="18" t="str">
        <f>IF(ISBLANK(input_k8s_harbor_hostname),"Value Missing",input_k8s_harbor_hostname)</f>
        <v>Value Missing</v>
      </c>
      <c r="Q51" s="26" t="s">
        <v>1690</v>
      </c>
      <c r="R51" s="18" t="str">
        <f>CONCATENATE(IF(ISBLANK(input_region_dns1_ip),"Value Missing",region_dns1_ip),",",IF(ISBLANK(input_region_dns2_ip),"Value Missing",region_dns2_ip))</f>
        <v>Value Missing,Value Missing</v>
      </c>
      <c r="T51" s="8" t="s">
        <v>735</v>
      </c>
      <c r="U51" s="20" t="s">
        <v>555</v>
      </c>
      <c r="W51" s="21" t="s">
        <v>1358</v>
      </c>
      <c r="X51" s="18" t="str">
        <f>IF(ISBLANK(input_wld_az1_uplink02_cidr),"Value Missing",VLOOKUP(INT(RIGHT(input_wld_az1_uplink02_cidr,LEN(input_wld_az1_uplink02_cidr)-FIND("/",input_wld_az1_uplink02_cidr))),table_cidr_to_mask,2,FALSE))</f>
        <v>Value Missing</v>
      </c>
    </row>
    <row r="52" spans="2:24" s="3" customFormat="1" ht="20" customHeight="1">
      <c r="B52" s="21" t="s">
        <v>5152</v>
      </c>
      <c r="C52" s="18" t="e">
        <f>(CONCATENATE('Value Reference Tables'!C33,".",(IF(ISBLANK('Name &amp; IP Address Inputs - VM'!D$18),"Value Missing",'Name &amp; IP Address Inputs - VM'!D$18))))</f>
        <v>#REF!</v>
      </c>
      <c r="E52" s="21" t="s">
        <v>1263</v>
      </c>
      <c r="F52" s="18" t="str">
        <f>(CONCATENATE('Value Reference Tables'!F33,".",(IF(ISBLANK('Name &amp; IP Address Inputs - VM'!D$18),"Value Missing",'Name &amp; IP Address Inputs - VM'!D$18))))</f>
        <v>Value Missing.Value Missing</v>
      </c>
      <c r="H52" s="52" t="s">
        <v>1308</v>
      </c>
      <c r="I52" s="18" t="str">
        <f>IF(ISBLANK(input_vrslcm_root_password),"Value Missing",input_vrslcm_root_password)</f>
        <v>Value Missing</v>
      </c>
      <c r="K52" s="21" t="s">
        <v>1382</v>
      </c>
      <c r="L52" s="18" t="str">
        <f>IF(ISBLANK(input_ca_email_address),"Value Missing",input_ca_email_address)</f>
        <v>Value Missing</v>
      </c>
      <c r="N52" s="27"/>
      <c r="O52" s="27"/>
      <c r="Q52" s="26" t="s">
        <v>1693</v>
      </c>
      <c r="R52" s="18" t="str">
        <f>IF(AND((NOT(ISBLANK(region_ntp2_server))),(region_ntp2_server &lt;&gt; "n/a"),(region_ntp2_server &lt;&gt; "")),CONCATENATE(region_ntp1_server,",",region_ntp2_server),region_ntp1_server)</f>
        <v>Value Missing,Value Missing</v>
      </c>
      <c r="T52" s="21" t="s">
        <v>539</v>
      </c>
      <c r="U52" s="18" t="str">
        <f>IF(ISBLANK(input_mgmt_witnessaz_gateway_ip),"Value Missing",input_mgmt_witnessaz_gateway_ip)</f>
        <v>Value Missing</v>
      </c>
      <c r="W52" s="21" t="s">
        <v>1288</v>
      </c>
      <c r="X52" s="18" t="str">
        <f>IF(ISBLANK(input_k8s_segment_cidr),"Value Missing",VLOOKUP(INT(RIGHT(input_k8s_segment_cidr,LEN(input_k8s_segment_cidr)-FIND("/",input_k8s_segment_cidr))),table_cidr_to_mask,2,FALSE))</f>
        <v>Value Missing</v>
      </c>
    </row>
    <row r="53" spans="2:24" s="3" customFormat="1" ht="20" customHeight="1">
      <c r="B53" s="21" t="s">
        <v>353</v>
      </c>
      <c r="C53" s="18" t="str">
        <f>(CONCATENATE('Value Reference Tables'!C34,".",(IF(ISBLANK('Name &amp; IP Address Inputs - VM'!D$18),"Value Missing",'Name &amp; IP Address Inputs - VM'!D$18))))</f>
        <v>Value Missing.Value Missing</v>
      </c>
      <c r="E53" s="21" t="s">
        <v>1265</v>
      </c>
      <c r="F53" s="18" t="str">
        <f>(CONCATENATE('Value Reference Tables'!F34,".",(IF(ISBLANK('Name &amp; IP Address Inputs - VM'!D$18),"Value Missing",'Name &amp; IP Address Inputs - VM'!D$18))))</f>
        <v>Value Missing.Value Missing</v>
      </c>
      <c r="H53" s="52" t="s">
        <v>1312</v>
      </c>
      <c r="I53" s="18" t="str">
        <f>IF(ISBLANK(input_vrslcm_xreg_env_password),"Value Missing",input_vrslcm_xreg_env_password)</f>
        <v>Value Missing</v>
      </c>
      <c r="K53" s="21" t="s">
        <v>875</v>
      </c>
      <c r="L53" s="18" t="str">
        <f>IF(ISBLANK('SDDC Inputs - Common'!D153),"Value Missing",'SDDC Inputs - Common'!D153)</f>
        <v>Value Missing</v>
      </c>
      <c r="N53" s="427" t="s">
        <v>4882</v>
      </c>
      <c r="O53" s="428"/>
      <c r="S53" s="5"/>
      <c r="W53" s="21" t="s">
        <v>1360</v>
      </c>
      <c r="X53" s="18" t="str">
        <f>IF(ISBLANK(input_mgmt_az1_vrms_cidr),"Value Missing",VLOOKUP(INT(RIGHT(input_mgmt_az1_vrms_cidr,LEN(input_mgmt_az1_vrms_cidr)-FIND("/",input_mgmt_az1_vrms_cidr))),table_cidr_to_mask,2,FALSE))</f>
        <v>Value Missing</v>
      </c>
    </row>
    <row r="54" spans="2:24" s="3" customFormat="1" ht="20" customHeight="1">
      <c r="B54" s="21" t="s">
        <v>637</v>
      </c>
      <c r="C54" s="18" t="str">
        <f>(CONCATENATE('Value Reference Tables'!C35,".",(IF(ISBLANK('Name &amp; IP Address Inputs - VM'!D$18),"Value Missing",'Name &amp; IP Address Inputs - VM'!D$18))))</f>
        <v>Value Missing.Value Missing</v>
      </c>
      <c r="E54" s="21" t="s">
        <v>654</v>
      </c>
      <c r="F54" s="18" t="str">
        <f>(CONCATENATE('Value Reference Tables'!F35,".",(IF(ISBLANK('Name &amp; IP Address Inputs - VM'!D$18),"Value Missing",'Name &amp; IP Address Inputs - VM'!D$18))))</f>
        <v>Value Missing.Value Missing</v>
      </c>
      <c r="H54" s="52" t="s">
        <v>1315</v>
      </c>
      <c r="I54" s="18" t="str">
        <f t="array" ref="I54">IF(ISBLANK(input_mgmt_witness_root_password),"Value Missing",input_mgmt_witness_root_password)</f>
        <v>Value Missing</v>
      </c>
      <c r="K54" s="21" t="s">
        <v>877</v>
      </c>
      <c r="L54" s="18" t="str">
        <f>IF(ISBLANK('SDDC Inputs - Common'!D154),"Value Missing",'SDDC Inputs - Common'!D154)</f>
        <v>Value Missing</v>
      </c>
      <c r="N54" s="26" t="s">
        <v>4883</v>
      </c>
      <c r="O54" s="18" t="str">
        <f>(CONCATENATE(k8s_harbor_hostname,".",(IF(ISBLANK('Name &amp; IP Address Inputs - VM'!D$17),"Value Missing",'Name &amp; IP Address Inputs - VM'!D$17))))</f>
        <v>Value Missing.Value Missing</v>
      </c>
      <c r="Q54" s="427" t="s">
        <v>4482</v>
      </c>
      <c r="R54" s="426"/>
      <c r="S54" s="5"/>
      <c r="T54" s="68" t="s">
        <v>1354</v>
      </c>
      <c r="U54" s="73"/>
      <c r="W54" s="21" t="s">
        <v>1361</v>
      </c>
      <c r="X54" s="18" t="str">
        <f>IF(ISBLANK(input_wld_az1_vrms_cidr),"Value Missing",VLOOKUP(INT(RIGHT(input_wld_az1_vrms_cidr,LEN(input_wld_az1_vrms_cidr)-FIND("/",input_wld_az1_vrms_cidr))),table_cidr_to_mask,2,FALSE))</f>
        <v>Value Missing</v>
      </c>
    </row>
    <row r="55" spans="2:24" s="3" customFormat="1" ht="20" customHeight="1">
      <c r="B55" s="21" t="s">
        <v>1255</v>
      </c>
      <c r="C55" s="18" t="str">
        <f>(CONCATENATE('Value Reference Tables'!C36,".",(IF(ISBLANK('Name &amp; IP Address Inputs - VM'!D$18),"Value Missing",'Name &amp; IP Address Inputs - VM'!D$18))))</f>
        <v>Value Missing.Value Missing</v>
      </c>
      <c r="E55" s="21" t="s">
        <v>655</v>
      </c>
      <c r="F55" s="18" t="str">
        <f>(CONCATENATE('Value Reference Tables'!F36,".",(IF(ISBLANK('Name &amp; IP Address Inputs - VM'!D$18),"Value Missing",'Name &amp; IP Address Inputs - VM'!D$18))))</f>
        <v>Value Missing.Value Missing</v>
      </c>
      <c r="H55" s="52" t="s">
        <v>1318</v>
      </c>
      <c r="I55" s="18" t="str">
        <f>IF(ISBLANK(input_wld_witness_root_password),"Value Missing",input_wld_witness_root_password)</f>
        <v>Value Missing</v>
      </c>
      <c r="K55" s="21" t="s">
        <v>878</v>
      </c>
      <c r="L55" s="18" t="str">
        <f>IF(ISBLANK('SDDC Inputs - Common'!D155),"Value Missing",'SDDC Inputs - Common'!D155)</f>
        <v>Value Missing</v>
      </c>
      <c r="N55" s="27"/>
      <c r="O55" s="27"/>
      <c r="Q55" s="8" t="s">
        <v>735</v>
      </c>
      <c r="R55" s="20" t="s">
        <v>555</v>
      </c>
      <c r="S55" s="5"/>
      <c r="T55" s="8" t="s">
        <v>735</v>
      </c>
      <c r="U55" s="20" t="s">
        <v>555</v>
      </c>
    </row>
    <row r="56" spans="2:24" s="3" customFormat="1" ht="20" customHeight="1">
      <c r="B56" s="21" t="s">
        <v>1258</v>
      </c>
      <c r="C56" s="18" t="str">
        <f>(CONCATENATE('Value Reference Tables'!C37,".",(IF(ISBLANK('Name &amp; IP Address Inputs - VM'!D$18),"Value Missing",'Name &amp; IP Address Inputs - VM'!D$18))))</f>
        <v>Value Missing.Value Missing</v>
      </c>
      <c r="E56" s="21" t="s">
        <v>656</v>
      </c>
      <c r="F56" s="18" t="str">
        <f>(CONCATENATE('Value Reference Tables'!F37,".",(IF(ISBLANK('Name &amp; IP Address Inputs - VM'!D$18),"Value Missing",'Name &amp; IP Address Inputs - VM'!D$18))))</f>
        <v>Value Missing.Value Missing</v>
      </c>
      <c r="H56" s="21" t="s">
        <v>1241</v>
      </c>
      <c r="I56" s="18" t="str">
        <f>IF(ISBLANK(input_smtp_sender_password),"Value Missing",input_smtp_sender_password)</f>
        <v>Value Missing</v>
      </c>
      <c r="K56" s="21" t="s">
        <v>880</v>
      </c>
      <c r="L56" s="18" t="str">
        <f>IF(ISBLANK('SDDC Inputs - Common'!D156),"Value Missing",'SDDC Inputs - Common'!D156)</f>
        <v>Value Missing</v>
      </c>
      <c r="N56" s="51" t="s">
        <v>4200</v>
      </c>
      <c r="O56" s="73"/>
      <c r="Q56" s="26" t="s">
        <v>4483</v>
      </c>
      <c r="R56" s="18" t="str">
        <f>IF(ISBLANK(input_air_license),"Value Missing",input_air_license)</f>
        <v>Value Missing</v>
      </c>
      <c r="S56" s="5"/>
      <c r="T56" s="21" t="s">
        <v>539</v>
      </c>
      <c r="U56" s="18" t="str">
        <f>IF(ISBLANK(input_mgmt_witnessaz_mgmt_mtu),"Value Missing",input_mgmt_witnessaz_mgmt_mtu)</f>
        <v>Value Missing</v>
      </c>
      <c r="W56" s="427" t="s">
        <v>1362</v>
      </c>
      <c r="X56" s="426"/>
    </row>
    <row r="57" spans="2:24" s="3" customFormat="1" ht="20" customHeight="1">
      <c r="B57" s="21" t="s">
        <v>1260</v>
      </c>
      <c r="C57" s="18" t="str">
        <f>(CONCATENATE('Value Reference Tables'!C38,".",(IF(ISBLANK('Name &amp; IP Address Inputs - VM'!D$18),"Value Missing",'Name &amp; IP Address Inputs - VM'!D$18))))</f>
        <v>Value Missing.Value Missing</v>
      </c>
      <c r="E57" s="21" t="s">
        <v>1278</v>
      </c>
      <c r="F57" s="18" t="str">
        <f>(CONCATENATE('Value Reference Tables - MR'!F196,".",(IF(ISBLANK('Name &amp; IP Address Inputs - VM'!D$18),"Value Missing",'Name &amp; IP Address Inputs - VM'!D$18))))</f>
        <v>Value Missing.Value Missing</v>
      </c>
      <c r="H57" s="21" t="s">
        <v>4549</v>
      </c>
      <c r="I57" s="18" t="str">
        <f>IF(ISBLANK(input_mgmt_offline_depot_user),"Value Missing",input_mgmt_offline_depot_user)</f>
        <v>Value Missing</v>
      </c>
      <c r="K57" s="21" t="s">
        <v>883</v>
      </c>
      <c r="L57" s="18" t="str">
        <f>IF(ISBLANK('SDDC Inputs - Common'!D159),"Value Missing",'SDDC Inputs - Common'!D159)</f>
        <v>Value Missing</v>
      </c>
      <c r="N57" s="8" t="s">
        <v>735</v>
      </c>
      <c r="O57" s="20" t="s">
        <v>555</v>
      </c>
      <c r="Q57" s="21" t="s">
        <v>4468</v>
      </c>
      <c r="R57" s="18" t="str">
        <f>IF(ISBLANK(input_air_GPU_VM_class),"Value Missing",input_air_GPU_VM_class)</f>
        <v>Value Missing</v>
      </c>
      <c r="S57" s="5"/>
      <c r="W57" s="8" t="s">
        <v>735</v>
      </c>
      <c r="X57" s="20" t="s">
        <v>555</v>
      </c>
    </row>
    <row r="58" spans="2:24" s="3" customFormat="1" ht="20" customHeight="1">
      <c r="B58" s="21" t="s">
        <v>1263</v>
      </c>
      <c r="C58" s="18" t="str">
        <f>(CONCATENATE('Value Reference Tables'!C39,".",(IF(ISBLANK('Name &amp; IP Address Inputs - VM'!D$18),"Value Missing",'Name &amp; IP Address Inputs - VM'!D$18))))</f>
        <v>Value Missing.Value Missing</v>
      </c>
      <c r="E58" s="21" t="s">
        <v>1281</v>
      </c>
      <c r="F58" s="18" t="str">
        <f>(CONCATENATE('Value Reference Tables - MR'!F205,".",(IF(ISBLANK('Name &amp; IP Address Inputs - VM'!D$18),"Value Missing",'Name &amp; IP Address Inputs - VM'!D$18))))</f>
        <v>Value Missing.Value Missing</v>
      </c>
      <c r="H58" s="21" t="s">
        <v>4548</v>
      </c>
      <c r="I58" s="18" t="str">
        <f>IF(ISBLANK(input_mgmt_offline_depot_password),"Value Missing",input_mgmt_offline_depot_password)</f>
        <v>Value Missing</v>
      </c>
      <c r="K58" s="21" t="s">
        <v>884</v>
      </c>
      <c r="L58" s="18" t="str">
        <f>IF(ISBLANK('SDDC Inputs - Common'!D160),"Value Missing",'SDDC Inputs - Common'!D160)</f>
        <v>Value Missing</v>
      </c>
      <c r="N58" s="52" t="s">
        <v>4674</v>
      </c>
      <c r="O58" s="18" t="str">
        <f>IF(ISBLANK('Name &amp; IP Address Inputs - VM'!G122),"Value Missing",'Name &amp; IP Address Inputs - VM'!G122)</f>
        <v>Value Missing</v>
      </c>
      <c r="Q58" s="52" t="s">
        <v>4463</v>
      </c>
      <c r="R58" s="18" t="str">
        <f>IF(ISBLANK(input_air_GPU_operator_namespace),"Value Missing",input_air_GPU_operator_namespace)</f>
        <v>Value Missing</v>
      </c>
      <c r="S58" s="5"/>
      <c r="T58" s="68" t="s">
        <v>1359</v>
      </c>
      <c r="U58" s="73"/>
      <c r="W58" s="21" t="s">
        <v>1364</v>
      </c>
      <c r="X58" s="18" t="str">
        <f>IF(mgmt_domain_chosen="First Domain","sfo","lax")</f>
        <v>sfo</v>
      </c>
    </row>
    <row r="59" spans="2:24" s="3" customFormat="1" ht="20" customHeight="1">
      <c r="B59" s="21" t="s">
        <v>1265</v>
      </c>
      <c r="C59" s="18" t="str">
        <f>(CONCATENATE('Value Reference Tables'!C40,".",(IF(ISBLANK('Name &amp; IP Address Inputs - VM'!D$18),"Value Missing",'Name &amp; IP Address Inputs - VM'!D$18))))</f>
        <v>Value Missing.Value Missing</v>
      </c>
      <c r="E59" s="21" t="s">
        <v>4254</v>
      </c>
      <c r="F59" s="18" t="str">
        <f>(CONCATENATE('Value Reference Tables'!F38,".",(IF(ISBLANK('Name &amp; IP Address Inputs - VM'!D$18),"Value Missing",'Name &amp; IP Address Inputs - VM'!D$18))))</f>
        <v>Value Missing.Value Missing</v>
      </c>
      <c r="H59" s="21" t="s">
        <v>4547</v>
      </c>
      <c r="I59" s="18" t="str">
        <f>IF(ISBLANK(input_mgmt_internet_proxy_user),"Value Missing",input_mgmt_internet_proxy_user)</f>
        <v>Value Missing</v>
      </c>
      <c r="K59" s="21" t="s">
        <v>1397</v>
      </c>
      <c r="L59" s="18" t="str">
        <f>IF(ISBLANK('SDDC Inputs - Common'!D55),"Value Missing",'SDDC Inputs - Common'!D55)</f>
        <v>Value Missing</v>
      </c>
      <c r="N59" s="52" t="s">
        <v>4675</v>
      </c>
      <c r="O59" s="18" t="str">
        <f>IF(ISBLANK('Name &amp; IP Address Inputs - VM'!G123),"Value Missing",'Name &amp; IP Address Inputs - VM'!G123)</f>
        <v>Value Missing</v>
      </c>
      <c r="Q59" s="21" t="s">
        <v>4486</v>
      </c>
      <c r="R59" s="18" t="str">
        <f>IF(ISBLANK(input_air_GPU_network_operator_namespace),"Value Missing",input_air_GPU_network_operator_namespace)</f>
        <v>Value Missing</v>
      </c>
      <c r="S59" s="5"/>
      <c r="T59" s="8" t="s">
        <v>735</v>
      </c>
      <c r="U59" s="20" t="s">
        <v>555</v>
      </c>
      <c r="W59" s="21" t="s">
        <v>1367</v>
      </c>
      <c r="X59" s="18" t="str">
        <f>IF(this_instance="sfo","lax","sfo")</f>
        <v>lax</v>
      </c>
    </row>
    <row r="60" spans="2:24" s="3" customFormat="1" ht="20" customHeight="1">
      <c r="B60" s="21" t="s">
        <v>654</v>
      </c>
      <c r="C60" s="18" t="str">
        <f>(CONCATENATE('Value Reference Tables'!C41,".",(IF(ISBLANK('Name &amp; IP Address Inputs - VM'!D$18),"Value Missing",'Name &amp; IP Address Inputs - VM'!D$18))))</f>
        <v>Value Missing.Value Missing</v>
      </c>
      <c r="E60" s="21" t="s">
        <v>4255</v>
      </c>
      <c r="F60" s="18" t="str">
        <f>(CONCATENATE('Value Reference Tables'!F39,".",(IF(ISBLANK('Name &amp; IP Address Inputs - VM'!D$18),"Value Missing",'Name &amp; IP Address Inputs - VM'!D$18))))</f>
        <v>n/a.Value Missing</v>
      </c>
      <c r="H60" s="21" t="s">
        <v>4546</v>
      </c>
      <c r="I60" s="18" t="str">
        <f>IF(ISBLANK(input_mgmt_internet_proxy_password),"Value Missing",input_mgmt_internet_proxy_password)</f>
        <v>Value Missing</v>
      </c>
      <c r="K60" s="21" t="s">
        <v>886</v>
      </c>
      <c r="L60" s="18" t="str">
        <f>IF(ISBLANK('SDDC Inputs - Common'!D161),"Value Missing",'SDDC Inputs - Common'!D161)</f>
        <v>Value Missing</v>
      </c>
      <c r="N60" s="52" t="s">
        <v>4676</v>
      </c>
      <c r="O60" s="18" t="str">
        <f>IF(ISBLANK('Name &amp; IP Address Inputs - VM'!G124),"Value Missing",'Name &amp; IP Address Inputs - VM'!G124)</f>
        <v>Value Missing</v>
      </c>
      <c r="S60" s="5"/>
      <c r="T60" s="21" t="s">
        <v>539</v>
      </c>
      <c r="U60" s="18" t="str">
        <f>IF(ISBLANK(input_wld_witnessaz_mgmt_vlan),"Value Missing",input_wld_witnessaz_mgmt_vlan)</f>
        <v>Value Missing</v>
      </c>
      <c r="W60" s="21" t="s">
        <v>1370</v>
      </c>
      <c r="X60" s="18" t="str">
        <f>IF(mgmt_consolidated_result="Included","m01",CONCATENATE("w0",wld_domain_number_chosen))</f>
        <v>w01</v>
      </c>
    </row>
    <row r="61" spans="2:24" s="3" customFormat="1" ht="20" customHeight="1">
      <c r="B61" s="21" t="s">
        <v>655</v>
      </c>
      <c r="C61" s="18" t="str">
        <f>(CONCATENATE('Value Reference Tables'!C42,".",(IF(ISBLANK('Name &amp; IP Address Inputs - VM'!D$18),"Value Missing",'Name &amp; IP Address Inputs - VM'!D$18))))</f>
        <v>Value Missing.Value Missing</v>
      </c>
      <c r="E61" s="21" t="s">
        <v>4256</v>
      </c>
      <c r="F61" s="18" t="str">
        <f>(CONCATENATE('Value Reference Tables'!F40,".",(IF(ISBLANK('Name &amp; IP Address Inputs - VM'!D$18),"Value Missing",'Name &amp; IP Address Inputs - VM'!D$18))))</f>
        <v>n/a.Value Missing</v>
      </c>
      <c r="K61" s="21" t="s">
        <v>888</v>
      </c>
      <c r="L61" s="18" t="str">
        <f>IF(ISBLANK('SDDC Inputs - Common'!D162),"Value Missing",'SDDC Inputs - Common'!D162)</f>
        <v>Value Missing</v>
      </c>
      <c r="N61" s="52" t="s">
        <v>4677</v>
      </c>
      <c r="O61" s="18" t="str">
        <f>IF(ISBLANK('Name &amp; IP Address Inputs - VM'!G125),"Value Missing",'Name &amp; IP Address Inputs - VM'!G125)</f>
        <v>Value Missing</v>
      </c>
      <c r="Q61" s="427" t="s">
        <v>1330</v>
      </c>
      <c r="R61" s="426"/>
      <c r="S61" s="5"/>
      <c r="W61" s="21" t="s">
        <v>1374</v>
      </c>
      <c r="X61" s="18" t="str">
        <f>IF(this_instance="sfo","11","21")</f>
        <v>11</v>
      </c>
    </row>
    <row r="62" spans="2:24" s="3" customFormat="1" ht="20" customHeight="1">
      <c r="B62" s="21" t="s">
        <v>656</v>
      </c>
      <c r="C62" s="18" t="str">
        <f>(CONCATENATE('Value Reference Tables'!C43,".",(IF(ISBLANK('Name &amp; IP Address Inputs - VM'!D$18),"Value Missing",'Name &amp; IP Address Inputs - VM'!D$18))))</f>
        <v>Value Missing.Value Missing</v>
      </c>
      <c r="E62" s="21" t="s">
        <v>4257</v>
      </c>
      <c r="F62" s="18" t="str">
        <f>(CONCATENATE('Value Reference Tables'!F41,".",(IF(ISBLANK('Name &amp; IP Address Inputs - VM'!D$18),"Value Missing",'Name &amp; IP Address Inputs - VM'!D$18))))</f>
        <v>n/a.Value Missing</v>
      </c>
      <c r="K62" s="21" t="s">
        <v>890</v>
      </c>
      <c r="L62" s="18" t="str">
        <f>IF(ISBLANK('SDDC Inputs - Common'!D163),"Value Missing",'SDDC Inputs - Common'!D163)</f>
        <v>Value Missing</v>
      </c>
      <c r="Q62" s="8" t="s">
        <v>735</v>
      </c>
      <c r="R62" s="20" t="s">
        <v>555</v>
      </c>
      <c r="S62" s="5"/>
      <c r="T62" s="51" t="s">
        <v>1363</v>
      </c>
      <c r="U62" s="51"/>
      <c r="W62" s="21" t="s">
        <v>1375</v>
      </c>
      <c r="X62" s="18" t="str">
        <f>IF(this_instance="sfo","10.11.","10.21.")</f>
        <v>10.11.</v>
      </c>
    </row>
    <row r="63" spans="2:24" s="3" customFormat="1" ht="20" customHeight="1">
      <c r="B63" s="21" t="s">
        <v>1278</v>
      </c>
      <c r="C63" s="18" t="str">
        <f>(CONCATENATE('Value Reference Tables - MR'!C196,".",(IF(ISBLANK('Name &amp; IP Address Inputs - VM'!D$18),"Value Missing",'Name &amp; IP Address Inputs - VM'!D$18))))</f>
        <v>Value Missing.Value Missing</v>
      </c>
      <c r="E63" s="21"/>
      <c r="F63" s="18"/>
      <c r="H63" s="51" t="s">
        <v>582</v>
      </c>
      <c r="I63" s="51"/>
      <c r="K63" s="52" t="s">
        <v>1406</v>
      </c>
      <c r="L63" s="18" t="s">
        <v>1045</v>
      </c>
      <c r="N63" s="51" t="s">
        <v>1432</v>
      </c>
      <c r="O63" s="51"/>
      <c r="Q63" s="21" t="s">
        <v>1336</v>
      </c>
      <c r="R63" s="18" t="s">
        <v>3309</v>
      </c>
      <c r="T63" s="8" t="s">
        <v>735</v>
      </c>
      <c r="U63" s="20" t="s">
        <v>555</v>
      </c>
      <c r="W63" s="21" t="s">
        <v>1377</v>
      </c>
      <c r="X63" s="18" t="str">
        <f>IF(this_instance="sfo","12","22")</f>
        <v>12</v>
      </c>
    </row>
    <row r="64" spans="2:24" s="3" customFormat="1" ht="20" customHeight="1">
      <c r="B64" s="21" t="s">
        <v>1281</v>
      </c>
      <c r="C64" s="18" t="str">
        <f>(CONCATENATE('Value Reference Tables - MR'!C205,".",(IF(ISBLANK('Name &amp; IP Address Inputs - VM'!D$18),"Value Missing",'Name &amp; IP Address Inputs - VM'!D$18))))</f>
        <v>Value Missing.Value Missing</v>
      </c>
      <c r="E64" s="21"/>
      <c r="F64" s="18"/>
      <c r="H64" s="8" t="s">
        <v>735</v>
      </c>
      <c r="I64" s="20" t="s">
        <v>555</v>
      </c>
      <c r="K64" s="52" t="s">
        <v>3557</v>
      </c>
      <c r="L64" s="18" t="str">
        <f>CONCATENATE(mgmt_cl01_cluster,"_primary-az-vmgroup")</f>
        <v>Value Missing_primary-az-vmgroup</v>
      </c>
      <c r="N64" s="8" t="s">
        <v>735</v>
      </c>
      <c r="O64" s="20" t="s">
        <v>555</v>
      </c>
      <c r="Q64" s="21" t="s">
        <v>1339</v>
      </c>
      <c r="R64" s="18" t="s">
        <v>3251</v>
      </c>
      <c r="T64" s="21" t="s">
        <v>539</v>
      </c>
      <c r="U64" s="18" t="str">
        <f>IF(ISBLANK('SDDC Inputs - Common'!D296),"Value Missing",'SDDC Inputs - Common'!D296)</f>
        <v>Value Missing</v>
      </c>
      <c r="W64" s="21" t="s">
        <v>1379</v>
      </c>
      <c r="X64" s="18" t="str">
        <f>IF(this_instance="sfo","10.12.","10.22.")</f>
        <v>10.12.</v>
      </c>
    </row>
    <row r="65" spans="2:24" s="3" customFormat="1" ht="20" customHeight="1">
      <c r="B65" s="21" t="s">
        <v>4254</v>
      </c>
      <c r="C65" s="18" t="str">
        <f>(CONCATENATE('Value Reference Tables'!C44,".",(IF(ISBLANK('Name &amp; IP Address Inputs - VM'!D$18),"Value Missing",'Name &amp; IP Address Inputs - VM'!D$18))))</f>
        <v>Value Missing.Value Missing</v>
      </c>
      <c r="E65" s="21"/>
      <c r="F65" s="18"/>
      <c r="H65" s="21" t="s">
        <v>584</v>
      </c>
      <c r="I65" s="18" t="str">
        <f>IF(ISBLANK('Name &amp; IP Address Inputs - VM'!D9),"Value Missing",'Name &amp; IP Address Inputs - VM'!D9)</f>
        <v>Value Missing</v>
      </c>
      <c r="K65" s="21" t="s">
        <v>4532</v>
      </c>
      <c r="L65" s="18" t="str">
        <f>IF(ISBLANK(input_mgmt_internet_proxy_type),"Value Missing",input_mgmt_internet_proxy_type)</f>
        <v>HTTPS</v>
      </c>
      <c r="N65" s="52" t="s">
        <v>4674</v>
      </c>
      <c r="O65" s="18" t="str">
        <f>IF(ISBLANK('Name &amp; IP Address Inputs - VM'!E122),"Value Missing",'Name &amp; IP Address Inputs - VM'!E122)</f>
        <v>Value Missing</v>
      </c>
      <c r="Q65" s="21" t="str">
        <f>automation_product_name&amp;" License Alias"</f>
        <v>VMware Aria Automation License Alias</v>
      </c>
      <c r="R65" s="18" t="str">
        <f>IF((ISBLANK(input_vrs_license)),IF(ISBLANK(input_vra_license_alias),"Value Missing",input_vra_license_alias),"VMware Aria Suite")</f>
        <v>Value Missing</v>
      </c>
      <c r="S65" s="5"/>
      <c r="W65" s="21" t="s">
        <v>1381</v>
      </c>
      <c r="X65" s="18"/>
    </row>
    <row r="66" spans="2:24" s="3" customFormat="1" ht="20" customHeight="1">
      <c r="B66" s="21" t="s">
        <v>4255</v>
      </c>
      <c r="C66" s="18" t="str">
        <f>(CONCATENATE('Value Reference Tables'!C45,".",(IF(ISBLANK('Name &amp; IP Address Inputs - VM'!D$18),"Value Missing",'Name &amp; IP Address Inputs - VM'!D$18))))</f>
        <v>n/a.Value Missing</v>
      </c>
      <c r="H66" s="21" t="s">
        <v>586</v>
      </c>
      <c r="I66" s="18" t="str">
        <f>IF(ISBLANK('Name &amp; IP Address Inputs - VM'!D10),"Value Missing",'Name &amp; IP Address Inputs - VM'!D10)</f>
        <v>Value Missing</v>
      </c>
      <c r="K66" s="21" t="s">
        <v>4542</v>
      </c>
      <c r="L66" s="18" t="str">
        <f>IF(ISBLANK(input_mgmt_internet_proxy_address),"Value Missing",input_mgmt_internet_proxy_address)</f>
        <v>Value Missing</v>
      </c>
      <c r="N66" s="52" t="s">
        <v>4675</v>
      </c>
      <c r="O66" s="18" t="str">
        <f>IF(ISBLANK('Name &amp; IP Address Inputs - VM'!E123),"Value Missing",'Name &amp; IP Address Inputs - VM'!E123)</f>
        <v>Value Missing</v>
      </c>
      <c r="Q66" s="21" t="str">
        <f>automation_product_name&amp;" License"</f>
        <v>VMware Aria Automation License</v>
      </c>
      <c r="R66" s="18" t="str">
        <f>IF((ISBLANK(input_vrs_license)),IF(ISBLANK(input_vra_license),"Value Missing",input_vra_license),input_vrs_license)</f>
        <v>Value Missing</v>
      </c>
      <c r="S66" s="5"/>
      <c r="T66" s="51" t="s">
        <v>1372</v>
      </c>
      <c r="U66" s="51"/>
      <c r="W66" s="21" t="s">
        <v>1383</v>
      </c>
      <c r="X66" s="18"/>
    </row>
    <row r="67" spans="2:24" s="3" customFormat="1" ht="20" customHeight="1">
      <c r="B67" s="21" t="s">
        <v>4256</v>
      </c>
      <c r="C67" s="18" t="str">
        <f>(CONCATENATE('Value Reference Tables'!C46,".",(IF(ISBLANK('Name &amp; IP Address Inputs - VM'!D$18),"Value Missing",'Name &amp; IP Address Inputs - VM'!D$18))))</f>
        <v>n/a.Value Missing</v>
      </c>
      <c r="E67" s="68" t="s">
        <v>1503</v>
      </c>
      <c r="F67" s="73"/>
      <c r="H67" s="21" t="s">
        <v>1250</v>
      </c>
      <c r="I67" s="18" t="str">
        <f>IF(NOT(ISBLANK('Name &amp; IP Address Inputs - VM'!D11)),'Name &amp; IP Address Inputs - VM'!D11,IF(vrslcm_result="Included","Value Missing",""))</f>
        <v/>
      </c>
      <c r="K67" s="21" t="s">
        <v>4543</v>
      </c>
      <c r="L67" s="18" t="str">
        <f>IF(ISBLANK(input_mgmt_internet_proxy_port),"Value Missing",input_mgmt_internet_proxy_port)</f>
        <v>Value Missing</v>
      </c>
      <c r="N67" s="52" t="s">
        <v>4676</v>
      </c>
      <c r="O67" s="18" t="str">
        <f>IF(ISBLANK('Name &amp; IP Address Inputs - VM'!E124),"Value Missing",'Name &amp; IP Address Inputs - VM'!E124)</f>
        <v>Value Missing</v>
      </c>
      <c r="Q67" s="21" t="s">
        <v>1347</v>
      </c>
      <c r="R67" s="18" t="str">
        <f>IF(ISBLANK(input_xreg_vra_root_password_alias),"Value Missing",input_xreg_vra_root_password_alias)</f>
        <v>Value Missing</v>
      </c>
      <c r="S67" s="5"/>
      <c r="T67" s="8" t="s">
        <v>735</v>
      </c>
      <c r="U67" s="20" t="s">
        <v>555</v>
      </c>
      <c r="W67" s="21" t="s">
        <v>1384</v>
      </c>
      <c r="X67" s="18" t="str">
        <f>IF(this_instance="sfo","192.168.31","192.168.32")</f>
        <v>192.168.31</v>
      </c>
    </row>
    <row r="68" spans="2:24" s="3" customFormat="1" ht="20" customHeight="1">
      <c r="B68" s="21" t="s">
        <v>4257</v>
      </c>
      <c r="C68" s="18" t="str">
        <f>(CONCATENATE('Value Reference Tables'!C47,".",(IF(ISBLANK('Name &amp; IP Address Inputs - VM'!D$18),"Value Missing",'Name &amp; IP Address Inputs - VM'!D$18))))</f>
        <v>n/a.Value Missing</v>
      </c>
      <c r="E68" s="8" t="s">
        <v>735</v>
      </c>
      <c r="F68" s="20" t="s">
        <v>555</v>
      </c>
      <c r="H68" s="21" t="s">
        <v>1254</v>
      </c>
      <c r="I68" s="18" t="str">
        <f>IF(AND((OR((spr_chosen="Management Only"),(spr_chosen="Management &amp; VI Workload"))),(ISBLANK(input_xregion_ntp2_server))),"Value Missing",IF(ISBLANK(input_xregion_ntp2_server),"",input_xregion_ntp2_server))</f>
        <v/>
      </c>
      <c r="K68" s="21" t="s">
        <v>4550</v>
      </c>
      <c r="L68" s="18" t="str">
        <f>input_mgmt_internet_proxy_auth</f>
        <v>Configured</v>
      </c>
      <c r="N68" s="52" t="s">
        <v>4677</v>
      </c>
      <c r="O68" s="18" t="str">
        <f>IF(ISBLANK('Name &amp; IP Address Inputs - VM'!E125),"Value Missing",'Name &amp; IP Address Inputs - VM'!E125)</f>
        <v>Value Missing</v>
      </c>
      <c r="Q68" s="21" t="s">
        <v>748</v>
      </c>
      <c r="R68" s="18" t="str">
        <f>IF(ISBLANK(input_xreg_vra_root_password),"Value Missing",input_xreg_vra_root_password)</f>
        <v>Value Missing</v>
      </c>
      <c r="T68" s="21" t="s">
        <v>539</v>
      </c>
      <c r="U68" s="18" t="str">
        <f>IF(ISBLANK(input_wld_witnessaz_mgmt_cidr),"Value Missing",input_wld_witnessaz_mgmt_cidr)</f>
        <v>Value Missing</v>
      </c>
      <c r="W68" s="21" t="s">
        <v>1386</v>
      </c>
      <c r="X68" s="18" t="str">
        <f>IF(this_instance="sfo","192.168.11","192.168.12")</f>
        <v>192.168.11</v>
      </c>
    </row>
    <row r="69" spans="2:24" s="3" customFormat="1" ht="20" customHeight="1">
      <c r="E69" s="26" t="s">
        <v>637</v>
      </c>
      <c r="F69" s="18" t="str">
        <f>(CONCATENATE('Value Reference Tables'!F205,".",(IF(ISBLANK('Name &amp; IP Address Inputs - VM'!D$18),"Value Missing",'Name &amp; IP Address Inputs - VM'!D$18))))</f>
        <v>Value Missing.Value Missing</v>
      </c>
      <c r="H69" s="21" t="s">
        <v>592</v>
      </c>
      <c r="I69" s="18" t="str">
        <f>IF(ISBLANK('Name &amp; IP Address Inputs - VM'!D13),"Value Missing",'Name &amp; IP Address Inputs - VM'!D13)</f>
        <v>Value Missing</v>
      </c>
      <c r="K69" s="21" t="s">
        <v>4544</v>
      </c>
      <c r="L69" s="18" t="str">
        <f>IF(ISBLANK(input_mgmt_offline_depot_hostname),"Value Missing",input_mgmt_offline_depot_hostname)</f>
        <v>Value Missing</v>
      </c>
      <c r="Q69" s="21" t="s">
        <v>1351</v>
      </c>
      <c r="R69" s="18" t="s">
        <v>1352</v>
      </c>
      <c r="W69" s="21" t="s">
        <v>1388</v>
      </c>
      <c r="X69" s="18" t="str">
        <f>IF(this_instance="sfo","21","11")</f>
        <v>21</v>
      </c>
    </row>
    <row r="70" spans="2:24" s="3" customFormat="1" ht="20" customHeight="1">
      <c r="B70" s="68" t="s">
        <v>1481</v>
      </c>
      <c r="C70" s="69"/>
      <c r="E70" s="26" t="s">
        <v>687</v>
      </c>
      <c r="F70" s="18" t="str">
        <f>(CONCATENATE('Value Reference Tables'!F206,".",(IF(ISBLANK('Name &amp; IP Address Inputs - VM'!D$18),"Value Missing",'Name &amp; IP Address Inputs - VM'!D$18))))</f>
        <v>Value Missing.Value Missing</v>
      </c>
      <c r="H70" s="21" t="s">
        <v>592</v>
      </c>
      <c r="I70" s="18" t="str">
        <f>IF(ISBLANK('Name &amp; IP Address Inputs - VM'!D14),"",'Name &amp; IP Address Inputs - VM'!D14)</f>
        <v/>
      </c>
      <c r="K70" s="21" t="s">
        <v>4545</v>
      </c>
      <c r="L70" s="18" t="str" cm="1">
        <f t="array" ref="L70">IF(ISBLANK(input_mgmt_offline_depot_port),"Value Missing",input_mgmt_offline_depot_port)</f>
        <v>Value Missing</v>
      </c>
      <c r="N70" s="51" t="s">
        <v>1555</v>
      </c>
      <c r="O70" s="51"/>
      <c r="Q70" s="21" t="str">
        <f>automation_product_name&amp;" Appliance Size"</f>
        <v>VMware Aria Automation Appliance Size</v>
      </c>
      <c r="R70" s="18" t="str">
        <f>IF(ISBLANK(input_xreg_vra_appliance_size),"Value Missing",input_xreg_vra_appliance_size)</f>
        <v>Medium</v>
      </c>
      <c r="S70" s="5"/>
      <c r="T70" s="51" t="s">
        <v>1380</v>
      </c>
      <c r="U70" s="51"/>
      <c r="W70" s="21" t="s">
        <v>1390</v>
      </c>
      <c r="X70" s="18" t="str">
        <f>IF(this_instance="sfo","10.21.","10.11.")</f>
        <v>10.21.</v>
      </c>
    </row>
    <row r="71" spans="2:24" s="3" customFormat="1" ht="20" customHeight="1">
      <c r="B71" s="8" t="s">
        <v>735</v>
      </c>
      <c r="C71" s="20" t="s">
        <v>555</v>
      </c>
      <c r="H71" s="21" t="s">
        <v>601</v>
      </c>
      <c r="I71" s="18" t="str">
        <f>IF(ISBLANK('Name &amp; IP Address Inputs - VM'!D20),"Value Missing",'Name &amp; IP Address Inputs - VM'!D20)</f>
        <v>Value Missing</v>
      </c>
      <c r="N71" s="8" t="s">
        <v>735</v>
      </c>
      <c r="O71" s="20" t="s">
        <v>555</v>
      </c>
      <c r="Q71" s="21" t="str">
        <f>automation_product_name&amp;" Kubernetes Cluster Network"</f>
        <v>VMware Aria Automation Kubernetes Cluster Network</v>
      </c>
      <c r="R71" s="18" t="str">
        <f>IF(ISBLANK(input_xreg_vra_k8s_cluster_cidr),"Value Missing",input_xreg_vra_k8s_cluster_cidr)</f>
        <v>Value Missing</v>
      </c>
      <c r="S71" s="5"/>
      <c r="T71" s="8" t="s">
        <v>735</v>
      </c>
      <c r="U71" s="20" t="s">
        <v>555</v>
      </c>
      <c r="W71" s="21" t="s">
        <v>1392</v>
      </c>
      <c r="X71" s="18" t="str">
        <f>IF(mgmt_domain_chosen="First Domain","6500","6502")</f>
        <v>6500</v>
      </c>
    </row>
    <row r="72" spans="2:24" s="3" customFormat="1" ht="20" customHeight="1">
      <c r="B72" s="26" t="s">
        <v>637</v>
      </c>
      <c r="C72" s="18" t="str">
        <f>(CONCATENATE('Value Reference Tables'!C206,".",(IF(ISBLANK('Name &amp; IP Address Inputs - VM'!D$18),"Value Missing",'Name &amp; IP Address Inputs - VM'!D$18))))</f>
        <v>Value Missing.Value Missing</v>
      </c>
      <c r="E72" s="68" t="s">
        <v>4196</v>
      </c>
      <c r="F72" s="69"/>
      <c r="H72" s="21" t="s">
        <v>603</v>
      </c>
      <c r="I72" s="18" t="str">
        <f>IF(ISBLANK('Name &amp; IP Address Inputs - VM'!D21),"Value Missing",'Name &amp; IP Address Inputs - VM'!D21)</f>
        <v>Value Missing</v>
      </c>
      <c r="K72" s="51" t="s">
        <v>1451</v>
      </c>
      <c r="L72" s="51"/>
      <c r="N72" s="52" t="s">
        <v>4674</v>
      </c>
      <c r="O72" s="18" t="str">
        <f>(CONCATENATE('Value Reference Tables'!O65,".",(IF(ISBLANK('Name &amp; IP Address Inputs - VM'!D$17),"Value Missing",'Name &amp; IP Address Inputs - VM'!D$17))))</f>
        <v>Value Missing.Value Missing</v>
      </c>
      <c r="Q72" s="21" t="str">
        <f>automation_product_name&amp;" Kubernetes Service Network"</f>
        <v>VMware Aria Automation Kubernetes Service Network</v>
      </c>
      <c r="R72" s="18" t="str">
        <f>IF(ISBLANK(input_xreg_vra_k8s_service_cidr),"Value Missing",input_xreg_vra_k8s_service_cidr)</f>
        <v>Value Missing</v>
      </c>
      <c r="S72" s="5"/>
      <c r="T72" s="21" t="s">
        <v>539</v>
      </c>
      <c r="U72" s="18" t="str">
        <f>IF(ISBLANK(input_wld_witnessaz_mgmt_gateway_ip),"Value Missing",input_wld_witnessaz_mgmt_gateway_ip)</f>
        <v>Value Missing</v>
      </c>
      <c r="W72" s="21" t="s">
        <v>1395</v>
      </c>
      <c r="X72" s="18">
        <f>IF(AND(this_instance="sfo",wld_domain_number_chosen=1),13,IF(AND(this_instance="sfo",wld_domain_number_chosen=2),15,IF(AND(this_instance="sfo",wld_domain_number_chosen=3),17,IF(AND(this_instance="lax",wld_domain_number_chosen=1),23,IF(AND(this_instance="lax",wld_domain_number_chosen=2),25,IF(AND(this_instance="lax",wld_domain_number_chosen=3),27))))))</f>
        <v>13</v>
      </c>
    </row>
    <row r="73" spans="2:24" s="3" customFormat="1" ht="20" customHeight="1">
      <c r="B73" s="26" t="s">
        <v>687</v>
      </c>
      <c r="C73" s="18" t="str">
        <f>(CONCATENATE('Value Reference Tables'!C207,".",(IF(ISBLANK('Name &amp; IP Address Inputs - VM'!D$18),"Value Missing",'Name &amp; IP Address Inputs - VM'!D$18))))</f>
        <v>Value Missing.Value Missing</v>
      </c>
      <c r="E73" s="8" t="s">
        <v>735</v>
      </c>
      <c r="F73" s="20" t="s">
        <v>555</v>
      </c>
      <c r="H73" s="21" t="s">
        <v>1269</v>
      </c>
      <c r="I73" s="18" t="str">
        <f>IF(ISBLANK('Name &amp; IP Address Inputs - VM'!D22),"Value Missing",'Name &amp; IP Address Inputs - VM'!D22)</f>
        <v>Value Missing</v>
      </c>
      <c r="K73" s="8" t="s">
        <v>735</v>
      </c>
      <c r="L73" s="20" t="s">
        <v>555</v>
      </c>
      <c r="N73" s="52" t="s">
        <v>4675</v>
      </c>
      <c r="O73" s="18" t="str">
        <f>(CONCATENATE('Value Reference Tables'!O66,".",(IF(ISBLANK('Name &amp; IP Address Inputs - VM'!D$17),"Value Missing",'Name &amp; IP Address Inputs - VM'!D$17))))</f>
        <v>Value Missing.Value Missing</v>
      </c>
      <c r="Q73" s="21" t="str">
        <f>"Target Folder for "&amp;automation_product_name&amp;" Deployed Workload VMs"</f>
        <v>Target Folder for VMware Aria Automation Deployed Workload VMs</v>
      </c>
      <c r="R73" s="18" t="str">
        <f>IF(ISBLANK('SDDC Inputs - Common'!D498),"Value Missing",'SDDC Inputs - Common'!D498)</f>
        <v>Value Missing</v>
      </c>
      <c r="S73" s="5"/>
      <c r="W73" s="21" t="s">
        <v>1398</v>
      </c>
      <c r="X73" s="18" t="str">
        <f>IF(AND(this_instance="sfo",wld_domain_number_chosen=1),"10.13.",IF(AND(this_instance="sfo",wld_domain_number_chosen=2),"10.15.",IF(AND(this_instance="sfo",wld_domain_number_chosen=3),"10.17.",IF(AND(this_instance="lax",wld_domain_number_chosen=1),"10.23.",IF(AND(this_instance="lax",wld_domain_number_chosen=2),"10.25.",IF(AND(this_instance="lax",wld_domain_number_chosen=3),"10.27."))))))</f>
        <v>10.13.</v>
      </c>
    </row>
    <row r="74" spans="2:24" s="3" customFormat="1" ht="20" customHeight="1">
      <c r="E74" s="21" t="s">
        <v>920</v>
      </c>
      <c r="F74" s="18" t="str">
        <f>IF(ISBLANK('SDDC Inputs - Common'!D214),"Value Missing",'SDDC Inputs - Common'!D214)</f>
        <v>Value Missing</v>
      </c>
      <c r="H74" s="21" t="s">
        <v>1272</v>
      </c>
      <c r="I74" s="18" t="str">
        <f>IF(ISBLANK('Name &amp; IP Address Inputs - VM'!D23),"Value Missing",'Name &amp; IP Address Inputs - VM'!D23)</f>
        <v>Value Missing</v>
      </c>
      <c r="K74" s="21" t="s">
        <v>1452</v>
      </c>
      <c r="L74" s="18" t="str">
        <f>IF(ISBLANK('SDDC Inputs - Common'!D194),"Value Missing",'SDDC Inputs - Common'!D194)</f>
        <v>Value Missing</v>
      </c>
      <c r="N74" s="52" t="s">
        <v>4676</v>
      </c>
      <c r="O74" s="18" t="str">
        <f>(CONCATENATE('Value Reference Tables'!O67,".",(IF(ISBLANK('Name &amp; IP Address Inputs - VM'!D$17),"Value Missing",'Name &amp; IP Address Inputs - VM'!D$17))))</f>
        <v>Value Missing.Value Missing</v>
      </c>
      <c r="Q74" s="21" t="str">
        <f>"Target Resource Pool for "&amp;automation_product_name&amp;" Deployed Workload VMs"</f>
        <v>Target Resource Pool for VMware Aria Automation Deployed Workload VMs</v>
      </c>
      <c r="R74" s="18" t="str">
        <f>IF(ISBLANK(input_wld_vra_vm_rp),"Value Missing",input_wld_vra_vm_rp)</f>
        <v>Value Missing</v>
      </c>
      <c r="T74" s="51" t="s">
        <v>1387</v>
      </c>
      <c r="U74" s="51"/>
      <c r="W74" s="21" t="s">
        <v>1400</v>
      </c>
      <c r="X74" s="18">
        <f>IF(AND(this_instance="sfo",wld_domain_number_chosen=1),14,IF(AND(this_instance="sfo",wld_domain_number_chosen=2),16,IF(AND(this_instance="sfo",wld_domain_number_chosen=3),18,IF(AND(this_instance="lax",wld_domain_number_chosen=1),24,IF(AND(this_instance="lax",wld_domain_number_chosen=2),26,IF(AND(this_instance="lax",wld_domain_number_chosen=3),28))))))</f>
        <v>14</v>
      </c>
    </row>
    <row r="75" spans="2:24" s="3" customFormat="1" ht="20" customHeight="1">
      <c r="B75" s="68" t="s">
        <v>4195</v>
      </c>
      <c r="C75" s="69"/>
      <c r="E75" s="21" t="s">
        <v>4187</v>
      </c>
      <c r="F75" s="18" t="str">
        <f>IF(ISBLANK(input_wld_cl01_evc_mode),"Value Missing",input_wld_cl01_evc_mode)</f>
        <v>Value Missing</v>
      </c>
      <c r="H75" s="21" t="s">
        <v>609</v>
      </c>
      <c r="I75" s="18" t="str">
        <f>IF(ISBLANK('Name &amp; IP Address Inputs - VM'!D24),"Value Missing",'Name &amp; IP Address Inputs - VM'!D24)</f>
        <v>Value Missing</v>
      </c>
      <c r="K75" s="21" t="s">
        <v>1453</v>
      </c>
      <c r="L75" s="18" t="str">
        <f>IF(ISBLANK('SDDC Inputs - Common'!D195),"Value Missing",'SDDC Inputs - Common'!D195)</f>
        <v>Value Missing</v>
      </c>
      <c r="N75" s="52" t="s">
        <v>4677</v>
      </c>
      <c r="O75" s="18" t="str">
        <f>(CONCATENATE('Value Reference Tables'!O68,".",(IF(ISBLANK('Name &amp; IP Address Inputs - VM'!D$17),"Value Missing",'Name &amp; IP Address Inputs - VM'!D$17))))</f>
        <v>Value Missing.Value Missing</v>
      </c>
      <c r="Q75" s="21" t="s">
        <v>1009</v>
      </c>
      <c r="R75" s="18" t="str">
        <f>IF(ISBLANK(input_wld_vra_storage_folder),"Value Missing",input_wld_vra_storage_folder)</f>
        <v>Value Missing</v>
      </c>
      <c r="T75" s="8" t="s">
        <v>735</v>
      </c>
      <c r="U75" s="20" t="s">
        <v>555</v>
      </c>
      <c r="W75" s="21" t="s">
        <v>1402</v>
      </c>
      <c r="X75" s="18" t="str">
        <f>IF(AND(this_instance="sfo",wld_domain_number_chosen=1),"10.14.",IF(AND(this_instance="sfo",wld_domain_number_chosen=2),"10.16.",IF(AND(this_instance="sfo",wld_domain_number_chosen=3),"10.18.",IF(AND(this_instance="lax",wld_domain_number_chosen=1),"10.24.",IF(AND(this_instance="lax",wld_domain_number_chosen=2),"10.26.",IF(AND(this_instance="lax",wld_domain_number_chosen=3),"10.28."))))))</f>
        <v>10.14.</v>
      </c>
    </row>
    <row r="76" spans="2:24" s="3" customFormat="1" ht="20" customHeight="1">
      <c r="B76" s="8" t="s">
        <v>735</v>
      </c>
      <c r="C76" s="20" t="s">
        <v>555</v>
      </c>
      <c r="E76" s="68" t="s">
        <v>4198</v>
      </c>
      <c r="F76" s="69"/>
      <c r="H76" s="21" t="s">
        <v>611</v>
      </c>
      <c r="I76" s="18" t="str">
        <f>IF(ISBLANK('Name &amp; IP Address Inputs - VM'!D25),"Value Missing",'Name &amp; IP Address Inputs - VM'!D25)</f>
        <v>Value Missing</v>
      </c>
      <c r="K76" s="21" t="s">
        <v>1454</v>
      </c>
      <c r="L76" s="18" t="str">
        <f>IF(ISBLANK('SDDC Inputs - Common'!D196),"Value Missing",'SDDC Inputs - Common'!D196)</f>
        <v>Value Missing</v>
      </c>
      <c r="Q76" s="21" t="s">
        <v>1010</v>
      </c>
      <c r="R76" s="18" t="str">
        <f>IF(ISBLANK(input_wld_vra_storage_readonly_folder),"Value Missing",input_wld_vra_storage_readonly_folder)</f>
        <v>Value Missing</v>
      </c>
      <c r="S76" s="5"/>
      <c r="T76" s="21" t="s">
        <v>539</v>
      </c>
      <c r="U76" s="18" t="str">
        <f>IF(ISBLANK(input_wld_witnessaz_mgmt_mtu),"Value Missing",input_wld_witnessaz_mgmt_mtu)</f>
        <v>Value Missing</v>
      </c>
      <c r="W76" s="21" t="s">
        <v>1404</v>
      </c>
      <c r="X76" s="18"/>
    </row>
    <row r="77" spans="2:24" s="3" customFormat="1" ht="20" customHeight="1">
      <c r="B77" s="21" t="s">
        <v>842</v>
      </c>
      <c r="C77" s="18" t="str">
        <f>IF(ISBLANK('SDDC Inputs - Common'!D121),"Value Missing",'SDDC Inputs - Common'!D121)</f>
        <v>Value Missing</v>
      </c>
      <c r="E77" s="8" t="s">
        <v>735</v>
      </c>
      <c r="F77" s="20" t="s">
        <v>555</v>
      </c>
      <c r="H77" s="21" t="s">
        <v>1280</v>
      </c>
      <c r="I77" s="18" t="str">
        <f>IF(ISBLANK('Name &amp; IP Address Inputs - VM'!D28),"Value Missing",'Name &amp; IP Address Inputs - VM'!D28)</f>
        <v>Value Missing</v>
      </c>
      <c r="K77" s="21" t="s">
        <v>1457</v>
      </c>
      <c r="L77" s="18" t="str">
        <f>IF(ISBLANK('SDDC Inputs - Common'!D197),"Value Missing",'SDDC Inputs - Common'!D197)</f>
        <v>Value Missing</v>
      </c>
      <c r="N77" s="51" t="s">
        <v>1548</v>
      </c>
      <c r="O77" s="73"/>
      <c r="Q77" s="21" t="s">
        <v>914</v>
      </c>
      <c r="R77" s="18" t="str">
        <f>IF(ISBLANK(input_xreg_vra_org_name),"Value Missing",input_xreg_vra_org_name)</f>
        <v>Value Missing</v>
      </c>
      <c r="S77" s="5"/>
      <c r="W77" s="21" t="s">
        <v>1407</v>
      </c>
      <c r="X77" s="18"/>
    </row>
    <row r="78" spans="2:24" s="3" customFormat="1" ht="20" customHeight="1">
      <c r="B78" s="21" t="s">
        <v>844</v>
      </c>
      <c r="C78" s="18" t="str">
        <f>IF(ISBLANK('SDDC Inputs - Common'!D124),"Value Missing",'SDDC Inputs - Common'!D124)</f>
        <v>Value Missing</v>
      </c>
      <c r="E78" s="21" t="s">
        <v>4169</v>
      </c>
      <c r="F78" s="18" t="str">
        <f>IF(ISBLANK(input_wld_cl02_cluster),"Value Missing",input_wld_cl02_cluster)</f>
        <v>Value Missing</v>
      </c>
      <c r="H78" s="21" t="s">
        <v>616</v>
      </c>
      <c r="I78" s="18" t="str">
        <f>IF(ISBLANK('Name &amp; IP Address Inputs - VM'!D29),"Value Missing",'Name &amp; IP Address Inputs - VM'!D29)</f>
        <v>Value Missing</v>
      </c>
      <c r="K78" s="21" t="s">
        <v>913</v>
      </c>
      <c r="L78" s="18" t="str">
        <f>IF(ISBLANK('SDDC Inputs - Common'!D200),"Value Missing",'SDDC Inputs - Common'!D200)</f>
        <v>Value Missing</v>
      </c>
      <c r="N78" s="8" t="s">
        <v>735</v>
      </c>
      <c r="O78" s="20" t="s">
        <v>555</v>
      </c>
      <c r="Q78" s="21" t="str">
        <f>"Role Name "&amp;CHAR(40)&amp;automation_product_name&amp;" to vSphere"&amp;CHAR(41)</f>
        <v>Role Name (VMware Aria Automation to vSphere)</v>
      </c>
      <c r="R78" s="18" t="str">
        <f>CONCATENATE(automation_product_name," to vSphere Integration")</f>
        <v>VMware Aria Automation to vSphere Integration</v>
      </c>
      <c r="S78" s="5"/>
      <c r="W78" s="21" t="s">
        <v>1409</v>
      </c>
      <c r="X78" s="18" t="str">
        <f>IF(this_instance="sfo","21","11")</f>
        <v>21</v>
      </c>
    </row>
    <row r="79" spans="2:24" s="3" customFormat="1" ht="20" customHeight="1">
      <c r="B79" s="21" t="s">
        <v>845</v>
      </c>
      <c r="C79" s="18" t="str">
        <f>IF(ISBLANK('SDDC Inputs - Common'!D125),"Value Missing",'SDDC Inputs - Common'!D125)</f>
        <v>Value Missing</v>
      </c>
      <c r="E79" s="21" t="s">
        <v>4187</v>
      </c>
      <c r="F79" s="18" t="str">
        <f>IF(ISBLANK(input_wld_cl02_evc_mode),"Value Missing",input_wld_cl02_evc_mode)</f>
        <v>Value Missing</v>
      </c>
      <c r="H79" s="21" t="s">
        <v>618</v>
      </c>
      <c r="I79" s="18" t="str">
        <f>IF(ISBLANK('Name &amp; IP Address Inputs - VM'!D30),"Value Missing",'Name &amp; IP Address Inputs - VM'!D30)</f>
        <v>Value Missing</v>
      </c>
      <c r="K79" s="21" t="s">
        <v>914</v>
      </c>
      <c r="L79" s="18" t="str">
        <f>IF(ISBLANK('SDDC Inputs - Common'!D201),"Value Missing",'SDDC Inputs - Common'!D201)</f>
        <v>Value Missing</v>
      </c>
      <c r="N79" s="52" t="s">
        <v>4678</v>
      </c>
      <c r="O79" s="18" t="str">
        <f>IF(ISBLANK('Name &amp; IP Address Inputs - VM'!G101),"Value Missing",'Name &amp; IP Address Inputs - VM'!G101)</f>
        <v>Value Missing</v>
      </c>
      <c r="Q79" s="21" t="str">
        <f>"Role Name "&amp;CHAR(40)&amp;orchestrator_product_name&amp;" to vSphere"&amp;CHAR(41)</f>
        <v>Role Name (VMware Aria Automation Orchestrator to vSphere)</v>
      </c>
      <c r="R79" s="18" t="str">
        <f>CONCATENATE(orchestrator_product_name," to vSphere Integration")</f>
        <v>VMware Aria Automation Orchestrator to vSphere Integration</v>
      </c>
      <c r="S79" s="5"/>
      <c r="W79" s="21" t="s">
        <v>1411</v>
      </c>
      <c r="X79" s="18" t="str">
        <f>IF(this_instance="sfo","10.21.","10.11.")</f>
        <v>10.21.</v>
      </c>
    </row>
    <row r="80" spans="2:24" s="3" customFormat="1" ht="20" customHeight="1">
      <c r="B80" s="21" t="s">
        <v>847</v>
      </c>
      <c r="C80" s="18" t="str">
        <f>IF(ISBLANK('SDDC Inputs - Common'!D128),"Value Missing",'SDDC Inputs - Common'!D128)</f>
        <v>Value Missing</v>
      </c>
      <c r="E80" s="68" t="s">
        <v>4197</v>
      </c>
      <c r="F80" s="69"/>
      <c r="H80" s="21" t="s">
        <v>331</v>
      </c>
      <c r="I80" s="18" t="str">
        <f>IF(ISBLANK('Name &amp; IP Address Inputs - VM'!D31),"Value Missing",'Name &amp; IP Address Inputs - VM'!D31)</f>
        <v>Value Missing</v>
      </c>
      <c r="K80" s="21" t="s">
        <v>892</v>
      </c>
      <c r="L80" s="18" t="str">
        <f>IF(ISBLANK('SDDC Inputs - Common'!D204),"Value Missing",'SDDC Inputs - Common'!D204)</f>
        <v>Value Missing</v>
      </c>
      <c r="N80" s="52" t="s">
        <v>4679</v>
      </c>
      <c r="O80" s="18" t="str">
        <f>IF(ISBLANK('Name &amp; IP Address Inputs - VM'!G102),"Value Missing",'Name &amp; IP Address Inputs - VM'!G102)</f>
        <v>Value Missing</v>
      </c>
      <c r="Q80" s="21" t="s">
        <v>1011</v>
      </c>
      <c r="R80" s="18" t="str">
        <f>IF(ISBLANK(input_wld_datacenter_moref),"Value Missing",input_wld_datacenter_moref)</f>
        <v>Value Missing</v>
      </c>
      <c r="S80" s="5"/>
      <c r="W80" s="21" t="s">
        <v>1412</v>
      </c>
      <c r="X80" s="18" t="str">
        <f>IF(mgmt_domain_chosen="First Domain","6501","6503")</f>
        <v>6501</v>
      </c>
    </row>
    <row r="81" spans="2:24" s="3" customFormat="1" ht="20" customHeight="1">
      <c r="B81" s="21" t="s">
        <v>848</v>
      </c>
      <c r="C81" s="18" t="str">
        <f>IF(ISBLANK('SDDC Inputs - Common'!D129),"Value Missing",'SDDC Inputs - Common'!D129)</f>
        <v>Value Missing</v>
      </c>
      <c r="E81" s="8" t="s">
        <v>735</v>
      </c>
      <c r="F81" s="20" t="s">
        <v>555</v>
      </c>
      <c r="H81" s="21" t="s">
        <v>622</v>
      </c>
      <c r="I81" s="18" t="str">
        <f>IF(ISBLANK('Name &amp; IP Address Inputs - VM'!D32),"Value Missing",'Name &amp; IP Address Inputs - VM'!D32)</f>
        <v>Value Missing</v>
      </c>
      <c r="K81" s="21" t="s">
        <v>895</v>
      </c>
      <c r="L81" s="18" t="str">
        <f>IF(ISBLANK('SDDC Inputs - Common'!D205),"Value Missing",'SDDC Inputs - Common'!D205)</f>
        <v>Value Missing</v>
      </c>
      <c r="N81" s="52" t="s">
        <v>4680</v>
      </c>
      <c r="O81" s="18" t="str">
        <f>IF(ISBLANK('Name &amp; IP Address Inputs - VM'!G103),"Value Missing",'Name &amp; IP Address Inputs - VM'!G103)</f>
        <v>Value Missing</v>
      </c>
      <c r="Q81" s="21" t="s">
        <v>1368</v>
      </c>
      <c r="R81" s="18" t="str">
        <f>IF(ISBLANK(input_xreg_vra_cloud_account_cloud_capability_tag),"Value Missing",input_xreg_vra_cloud_account_cloud_capability_tag)</f>
        <v>Value Missing</v>
      </c>
      <c r="S81" s="5"/>
      <c r="W81" s="21" t="s">
        <v>1413</v>
      </c>
      <c r="X81" s="18" t="str">
        <f>IF(this_instance="sfo","192.168.2","192.168.4")</f>
        <v>192.168.2</v>
      </c>
    </row>
    <row r="82" spans="2:24" s="3" customFormat="1" ht="20" customHeight="1">
      <c r="B82" s="21" t="s">
        <v>849</v>
      </c>
      <c r="C82" s="18" t="str">
        <f>IF(ISBLANK('SDDC Inputs - Common'!D130),"Value Missing",'SDDC Inputs - Common'!D130)</f>
        <v>Value Missing</v>
      </c>
      <c r="E82" s="21" t="s">
        <v>4169</v>
      </c>
      <c r="F82" s="18" t="str" cm="1">
        <f t="array" ref="F82">IF(ISBLANK(input_wld_cl03_cluster),"Value Missing",input_wld_cl03_cluster)</f>
        <v>Value Missing</v>
      </c>
      <c r="H82" s="21" t="s">
        <v>625</v>
      </c>
      <c r="I82" s="18" t="str">
        <f>IF(ISBLANK('Name &amp; IP Address Inputs - VM'!D33),"Value Missing",'Name &amp; IP Address Inputs - VM'!D33)</f>
        <v>Value Missing</v>
      </c>
      <c r="K82" s="21" t="s">
        <v>897</v>
      </c>
      <c r="L82" s="18" t="str">
        <f>IF(ISBLANK('SDDC Inputs - Common'!D206),"Value Missing",'SDDC Inputs - Common'!D206)</f>
        <v>Value Missing</v>
      </c>
      <c r="N82" s="52" t="s">
        <v>4681</v>
      </c>
      <c r="O82" s="18" t="str">
        <f>IF(ISBLANK('Name &amp; IP Address Inputs - VM'!G104),"Value Missing",'Name &amp; IP Address Inputs - VM'!G104)</f>
        <v>Value Missing</v>
      </c>
      <c r="Q82" s="21" t="s">
        <v>1371</v>
      </c>
      <c r="R82" s="18" t="str">
        <f>IF(ISBLANK(input_xreg_vra_cloud_account_region_capability_tag),"Value Missing",input_xreg_vra_cloud_account_region_capability_tag)</f>
        <v>Value Missing</v>
      </c>
      <c r="S82" s="5"/>
      <c r="W82" s="21" t="s">
        <v>1414</v>
      </c>
      <c r="X82" s="18" t="str">
        <f>IF(this_instance="sfo","10.21.","10.11.")</f>
        <v>10.21.</v>
      </c>
    </row>
    <row r="83" spans="2:24" s="3" customFormat="1" ht="20" customHeight="1">
      <c r="B83" s="21" t="s">
        <v>850</v>
      </c>
      <c r="C83" s="18" t="str">
        <f>IF(ISBLANK('SDDC Inputs - Common'!D131),"Value Missing",'SDDC Inputs - Common'!D131)</f>
        <v>Value Missing</v>
      </c>
      <c r="E83" s="21" t="s">
        <v>4187</v>
      </c>
      <c r="F83" s="18" t="str" cm="1">
        <f t="array" ref="F83">IF(ISBLANK(input_wld_cl03_evc_mode),"Value Missing",input_wld_cl03_evc_mode)</f>
        <v>Value Missing</v>
      </c>
      <c r="K83" s="21" t="s">
        <v>899</v>
      </c>
      <c r="L83" s="18" t="str">
        <f>IF(ISBLANK('SDDC Inputs - Common'!D207),"Value Missing",'SDDC Inputs - Common'!D207)</f>
        <v>Value Missing</v>
      </c>
      <c r="O83" s="5"/>
      <c r="Q83" s="21" t="s">
        <v>1241</v>
      </c>
      <c r="R83" s="18" t="str">
        <f>IF(ISBLANK(input_xreg_vra_smtp_sender_name),"Value Missing",input_xreg_vra_smtp_sender_name)</f>
        <v>Value Missing</v>
      </c>
      <c r="S83" s="5"/>
      <c r="W83" s="21" t="s">
        <v>1416</v>
      </c>
      <c r="X83" s="18" t="s">
        <v>1417</v>
      </c>
    </row>
    <row r="84" spans="2:24" s="3" customFormat="1" ht="20" customHeight="1">
      <c r="B84" s="21" t="s">
        <v>852</v>
      </c>
      <c r="C84" s="18" t="str">
        <f>IF(ISBLANK(input_mgmt_az1_vm_group_name),"Value Missing",input_mgmt_az1_vm_group_name)</f>
        <v>Value Missing</v>
      </c>
      <c r="H84" s="427" t="s">
        <v>1297</v>
      </c>
      <c r="I84" s="428"/>
      <c r="K84" s="21" t="s">
        <v>917</v>
      </c>
      <c r="L84" s="18" t="str">
        <f>IF(ISBLANK('SDDC Inputs - Common'!D208),"Value Missing",'SDDC Inputs - Common'!D208)</f>
        <v>Value Missing</v>
      </c>
      <c r="N84" s="51" t="s">
        <v>1421</v>
      </c>
      <c r="O84" s="51"/>
      <c r="Q84" s="21" t="s">
        <v>1376</v>
      </c>
      <c r="R84" s="18" t="str">
        <f>IF(ISBLANK(input_xreg_vra_smtp_sender_email_address),"Value Missing",input_xreg_vra_smtp_sender_email_address)</f>
        <v>Value Missing</v>
      </c>
      <c r="S84" s="5"/>
      <c r="W84" s="21" t="s">
        <v>1418</v>
      </c>
      <c r="X84" s="18"/>
    </row>
    <row r="85" spans="2:24" s="3" customFormat="1" ht="20" customHeight="1">
      <c r="B85" s="18"/>
      <c r="C85" s="18"/>
      <c r="E85" s="68" t="s">
        <v>4166</v>
      </c>
      <c r="F85" s="73"/>
      <c r="H85" s="8" t="s">
        <v>735</v>
      </c>
      <c r="I85" s="20" t="s">
        <v>555</v>
      </c>
      <c r="K85" s="21" t="s">
        <v>753</v>
      </c>
      <c r="L85" s="18" t="str">
        <f>IF(ISBLANK('SDDC Inputs - Common'!D21),"Value Missing",'SDDC Inputs - Common'!D21)</f>
        <v>Value Missing</v>
      </c>
      <c r="N85" s="8" t="s">
        <v>735</v>
      </c>
      <c r="O85" s="20" t="s">
        <v>555</v>
      </c>
      <c r="Q85" s="21" t="s">
        <v>1079</v>
      </c>
      <c r="R85" s="18" t="str">
        <f>CONCATENATE(prefix_portable_component,"-vm-group-automation")</f>
        <v>xint-vm-group-automation</v>
      </c>
      <c r="S85" s="5"/>
      <c r="W85" s="21" t="s">
        <v>1422</v>
      </c>
      <c r="X85" s="18"/>
    </row>
    <row r="86" spans="2:24" s="3" customFormat="1" ht="20" customHeight="1">
      <c r="B86" s="18"/>
      <c r="C86" s="18"/>
      <c r="E86" s="8" t="s">
        <v>735</v>
      </c>
      <c r="F86" s="20" t="s">
        <v>491</v>
      </c>
      <c r="H86" s="21" t="s">
        <v>702</v>
      </c>
      <c r="I86" s="18" t="str">
        <f>IF(ISBLANK(input_parent_dns_zone),"Value Missing",input_parent_dns_zone)</f>
        <v>Value Missing</v>
      </c>
      <c r="K86" s="21" t="s">
        <v>921</v>
      </c>
      <c r="L86" s="18" t="str">
        <f>IF(ISBLANK('SDDC Inputs - Common'!D219),"Value Missing",'SDDC Inputs - Common'!D219)</f>
        <v>Value Missing</v>
      </c>
      <c r="N86" s="52" t="s">
        <v>4678</v>
      </c>
      <c r="O86" s="18" t="str">
        <f>IF(ISBLANK('Name &amp; IP Address Inputs - VM'!E101),"Value Missing",'Name &amp; IP Address Inputs - VM'!E101)</f>
        <v>Value Missing</v>
      </c>
      <c r="Q86" s="21" t="str">
        <f>automation_product_name&amp;" VM Folder"</f>
        <v>VMware Aria Automation VM Folder</v>
      </c>
      <c r="R86" s="18" t="str">
        <f>IF(ISBLANK(input_xreg_vra_vm_folder),"Value Missing",input_xreg_vra_vm_folder)</f>
        <v>Value Missing</v>
      </c>
      <c r="S86" s="5"/>
    </row>
    <row r="87" spans="2:24" s="3" customFormat="1" ht="20" customHeight="1">
      <c r="E87" s="21" t="s">
        <v>3494</v>
      </c>
      <c r="F87" s="18" t="str">
        <f>IF(ISBLANK(input_wld_cl01_vds_profile),"Value Missing",input_wld_cl01_vds_profile)</f>
        <v>Default</v>
      </c>
      <c r="H87" s="21" t="s">
        <v>634</v>
      </c>
      <c r="I87" s="18" t="str">
        <f>IF(ISBLANK(input_child_dns_zone),"Value Missing",input_child_dns_zone)</f>
        <v>Value Missing</v>
      </c>
      <c r="K87" s="21" t="s">
        <v>922</v>
      </c>
      <c r="L87" s="18" t="str">
        <f>IF(ISBLANK('SDDC Inputs - Common'!D236),"Value Missing",'SDDC Inputs - Common'!D236)</f>
        <v>Value Missing</v>
      </c>
      <c r="N87" s="52" t="s">
        <v>4679</v>
      </c>
      <c r="O87" s="18" t="str">
        <f>IF(ISBLANK('Name &amp; IP Address Inputs - VM'!E102),"Value Missing",'Name &amp; IP Address Inputs - VM'!E102)</f>
        <v>Value Missing</v>
      </c>
      <c r="Q87" s="21" t="str">
        <f>automation_product_name&amp;" Anti-Affinity Rule"</f>
        <v>VMware Aria Automation Anti-Affinity Rule</v>
      </c>
      <c r="R87" s="18" t="str">
        <f>IF(ISBLANK(input_xreg_vra_anti_affinity_rule),"Value Missing",input_xreg_vra_anti_affinity_rule)</f>
        <v>Value Missing</v>
      </c>
      <c r="S87" s="5"/>
      <c r="W87" s="68" t="s">
        <v>1506</v>
      </c>
      <c r="X87" s="73"/>
    </row>
    <row r="88" spans="2:24" s="3" customFormat="1" ht="20" customHeight="1">
      <c r="B88" s="68" t="s">
        <v>4189</v>
      </c>
      <c r="C88" s="73"/>
      <c r="E88" s="8" t="s">
        <v>3496</v>
      </c>
      <c r="F88" s="20" t="s">
        <v>555</v>
      </c>
      <c r="H88" s="21" t="s">
        <v>1305</v>
      </c>
      <c r="I88" s="18" t="str">
        <f>IF(ISBLANK(input_witness_dns_zone),"Value Missing",input_witness_dns_zone)</f>
        <v>Value Missing</v>
      </c>
      <c r="K88" s="21" t="s">
        <v>810</v>
      </c>
      <c r="L88" s="18" t="str">
        <f>IF(ISBLANK('SDDC Inputs - Common'!D237),"Value Missing",'SDDC Inputs - Common'!D237)</f>
        <v>Value Missing</v>
      </c>
      <c r="N88" s="52" t="s">
        <v>4680</v>
      </c>
      <c r="O88" s="18" t="str">
        <f>IF(ISBLANK('Name &amp; IP Address Inputs - VM'!E103),"Value Missing",'Name &amp; IP Address Inputs - VM'!E103)</f>
        <v>Value Missing</v>
      </c>
      <c r="Q88" s="21" t="str">
        <f>"Workspace ONE Access to "&amp;automation_product_name&amp;" VM to VM Rule"</f>
        <v>Workspace ONE Access to VMware Aria Automation VM to VM Rule</v>
      </c>
      <c r="R88" s="18" t="str">
        <f>IF(ISBLANK(input_xreg_vra_vm_vm_rule),"Value Missing",input_xreg_vra_vm_vm_rule)</f>
        <v>Value Missing</v>
      </c>
      <c r="S88" s="5"/>
      <c r="W88" s="8" t="s">
        <v>735</v>
      </c>
      <c r="X88" s="20" t="s">
        <v>491</v>
      </c>
    </row>
    <row r="89" spans="2:24" s="3" customFormat="1" ht="20" customHeight="1">
      <c r="B89" s="8" t="s">
        <v>735</v>
      </c>
      <c r="C89" s="20" t="s">
        <v>491</v>
      </c>
      <c r="E89" s="21" t="s">
        <v>792</v>
      </c>
      <c r="F89" s="18" t="str">
        <f>IF(ISBLANK(input_wld_cl01_vds01_name),"Value Missing",input_wld_cl01_vds01_name)</f>
        <v>Value Missing</v>
      </c>
      <c r="K89" s="52" t="s">
        <v>811</v>
      </c>
      <c r="L89" s="18" t="str">
        <f>IF(ISBLANK('SDDC Inputs - Common'!D238),"Value Missing",'SDDC Inputs - Common'!D238)</f>
        <v>Default</v>
      </c>
      <c r="N89" s="52" t="s">
        <v>4681</v>
      </c>
      <c r="O89" s="18" t="str">
        <f>IF(ISBLANK('Name &amp; IP Address Inputs - VM'!E104),"Value Missing",'Name &amp; IP Address Inputs - VM'!E104)</f>
        <v>Value Missing</v>
      </c>
      <c r="Q89" s="21" t="s">
        <v>1007</v>
      </c>
      <c r="R89" s="18" t="str">
        <f>IF(ISBLANK('SDDC Inputs - Common'!D496),"Value Missing",'SDDC Inputs - Common'!D496)</f>
        <v>Value Missing</v>
      </c>
      <c r="S89" s="5"/>
      <c r="W89" s="21" t="s">
        <v>1507</v>
      </c>
      <c r="X89" s="18" t="str">
        <f>IF(AND((intelligent_operations_chosen="Initial Deployment"),(intelligent_operations_result="Included")),"True","False")</f>
        <v>False</v>
      </c>
    </row>
    <row r="90" spans="2:24" s="3" customFormat="1" ht="20" customHeight="1">
      <c r="B90" s="21" t="s">
        <v>801</v>
      </c>
      <c r="C90" s="18" t="str">
        <f>IF(ISBLANK(input_mgmt_cl01_vds_profile),"Value Missing",input_mgmt_cl01_vds_profile)</f>
        <v>Profile-1</v>
      </c>
      <c r="E90" s="110" t="s">
        <v>3501</v>
      </c>
      <c r="F90" s="18" t="str">
        <f>IF(ISBLANK(input_wld_cl01_vds01_pnics),"Value Missing",input_wld_cl01_vds01_pnics)</f>
        <v>vmnic0,vmnic1</v>
      </c>
      <c r="H90" s="51" t="s">
        <v>1415</v>
      </c>
      <c r="I90" s="51"/>
      <c r="K90" s="21" t="s">
        <v>1469</v>
      </c>
      <c r="L90" s="18" t="str">
        <f>IF(ISBLANK('SDDC Inputs - Common'!D239),"Value Missing",'SDDC Inputs - Common'!D239)</f>
        <v>Value Missing</v>
      </c>
      <c r="O90" s="5"/>
      <c r="Q90" s="21" t="s">
        <v>1008</v>
      </c>
      <c r="R90" s="18" t="str">
        <f>IF(ISBLANK('SDDC Inputs - Common'!D497),"Value Missing",'SDDC Inputs - Common'!D497)</f>
        <v>Value Missing</v>
      </c>
      <c r="S90" s="5"/>
      <c r="W90" s="21" t="s">
        <v>1508</v>
      </c>
      <c r="X90" s="18" t="str">
        <f>IF(AND((intelligent_operations_chosen="Connect Instance"),(intelligent_operations_result="Included")),"True","False")</f>
        <v>False</v>
      </c>
    </row>
    <row r="91" spans="2:24" s="3" customFormat="1" ht="20" customHeight="1">
      <c r="B91" s="8" t="s">
        <v>3496</v>
      </c>
      <c r="C91" s="20" t="s">
        <v>555</v>
      </c>
      <c r="E91" s="21" t="s">
        <v>3481</v>
      </c>
      <c r="F91" s="18" t="str" cm="1">
        <f t="array" ref="F91">IF(ISBLANK(input_wld_cl01_vds01_mtu),"Value Missing",input_wld_cl01_vds01_mtu)</f>
        <v>Value Missing</v>
      </c>
      <c r="H91" s="8" t="s">
        <v>735</v>
      </c>
      <c r="I91" s="20" t="s">
        <v>555</v>
      </c>
      <c r="K91" s="21" t="s">
        <v>1470</v>
      </c>
      <c r="L91" s="18" t="str">
        <f>IF(ISBLANK('SDDC Inputs - Common'!D240),"Value Missing",'SDDC Inputs - Common'!D240)</f>
        <v>Value Missing</v>
      </c>
      <c r="N91" s="51" t="s">
        <v>1546</v>
      </c>
      <c r="O91" s="51"/>
      <c r="S91" s="5"/>
      <c r="W91" s="21" t="s">
        <v>1510</v>
      </c>
      <c r="X91" s="18" t="str">
        <f>IF(AND((private_cloud_chosen="Initial Deployment"),(private_cloud_result="Included")),"True","False")</f>
        <v>False</v>
      </c>
    </row>
    <row r="92" spans="2:24" s="3" customFormat="1" ht="20" customHeight="1">
      <c r="B92" s="21" t="s">
        <v>792</v>
      </c>
      <c r="C92" s="18" t="str">
        <f>IF(ISBLANK('SDDC Inputs - Common'!D79),"Value Missing",'SDDC Inputs - Common'!D79)</f>
        <v>Value Missing</v>
      </c>
      <c r="E92" s="21" t="s">
        <v>3495</v>
      </c>
      <c r="F92" s="18" t="str">
        <f>IF(wld_cl01_vds_profile&lt;&gt;"Custom","Route Based on Physicial Nic Load","Value Missing")</f>
        <v>Route Based on Physicial Nic Load</v>
      </c>
      <c r="H92" s="21" t="s">
        <v>1420</v>
      </c>
      <c r="I92" s="18" t="str">
        <f>IF(ISBLANK('Active Directory Inputs'!E8),"Value Missing",'Active Directory Inputs'!E8)</f>
        <v>Value Missing</v>
      </c>
      <c r="K92" s="21" t="s">
        <v>1471</v>
      </c>
      <c r="L92" s="18" t="str">
        <f>IF(ISBLANK('SDDC Inputs - Common'!D241),"Value Missing",'SDDC Inputs - Common'!D241)</f>
        <v>Value Missing</v>
      </c>
      <c r="N92" s="8" t="s">
        <v>735</v>
      </c>
      <c r="O92" s="20" t="s">
        <v>555</v>
      </c>
      <c r="Q92" s="427" t="s">
        <v>1393</v>
      </c>
      <c r="R92" s="426"/>
      <c r="S92" s="5"/>
      <c r="W92" s="21" t="s">
        <v>1511</v>
      </c>
      <c r="X92" s="18" t="str">
        <f>IF(AND((private_cloud_chosen="Connect Instance"),(private_cloud_result="Included")),"True","False")</f>
        <v>False</v>
      </c>
    </row>
    <row r="93" spans="2:24" s="3" customFormat="1" ht="20" customHeight="1">
      <c r="B93" s="110" t="s">
        <v>3501</v>
      </c>
      <c r="C93" s="18" t="str">
        <f>IF(ISBLANK('SDDC Inputs - Common'!D80),"Value Missing",'SDDC Inputs - Common'!D80)</f>
        <v>Value Missing</v>
      </c>
      <c r="E93" s="21" t="s">
        <v>3486</v>
      </c>
      <c r="F93" s="18" t="str">
        <f>IF(wld_cl01_vds_profile="Default","Management, vMotion, vSan, Overlay",IF(wld_cl01_vds_profile="Storage Traffic Separation","Management, vMotion, Overlay",IF(wld_cl01_vds_profile="NSX Traffic Separation","Management, vMotion, vSan",IF(wld_cl01_vds_profile="Storage Traffic and NSX Traffic Separation","Management, vMotion","Value Missing"))))</f>
        <v>Management, vMotion, vSan, Overlay</v>
      </c>
      <c r="H93" s="21" t="s">
        <v>1423</v>
      </c>
      <c r="I93" s="18" t="str">
        <f>IF(ISBLANK('Active Directory Inputs'!E9),"Value Missing",'Active Directory Inputs'!E9)</f>
        <v>Value Missing</v>
      </c>
      <c r="K93" s="21" t="s">
        <v>4266</v>
      </c>
      <c r="L93" s="18" t="str">
        <f>IF(ISBLANK(input_wld_avilb_cluster_name),"Value Missing",input_wld_avilb_cluster_name)</f>
        <v>Value Missing</v>
      </c>
      <c r="N93" s="52" t="s">
        <v>4678</v>
      </c>
      <c r="O93" s="18" t="str">
        <f>(CONCATENATE('Value Reference Tables'!O86,".",(IF(ISBLANK('Name &amp; IP Address Inputs - VM'!D$18),"Value Missing",'Name &amp; IP Address Inputs - VM'!D$18))))</f>
        <v>Value Missing.Value Missing</v>
      </c>
      <c r="Q93" s="8" t="s">
        <v>735</v>
      </c>
      <c r="R93" s="20" t="s">
        <v>555</v>
      </c>
      <c r="S93" s="5"/>
      <c r="W93" s="21" t="s">
        <v>1514</v>
      </c>
      <c r="X93" s="18" t="str">
        <f>IF(AND((spr_chosen="Management Only"),(spr_result="Included")),"True","False")</f>
        <v>False</v>
      </c>
    </row>
    <row r="94" spans="2:24" s="3" customFormat="1" ht="20" customHeight="1">
      <c r="B94" s="21" t="s">
        <v>3481</v>
      </c>
      <c r="C94" s="18" t="str">
        <f>IF(ISBLANK('SDDC Inputs - Common'!D81),"Value Missing",'SDDC Inputs - Common'!D81)</f>
        <v>Value Missing</v>
      </c>
      <c r="E94" s="8" t="s">
        <v>3497</v>
      </c>
      <c r="F94" s="20" t="s">
        <v>555</v>
      </c>
      <c r="K94" s="21" t="s">
        <v>4274</v>
      </c>
      <c r="L94" s="18" t="str">
        <f>IF(ISBLANK(input_wld_avilb_cluster_version),"Value Missing",input_wld_avilb_cluster_version)</f>
        <v>Value Missing</v>
      </c>
      <c r="N94" s="52" t="s">
        <v>4679</v>
      </c>
      <c r="O94" s="18" t="str">
        <f>(CONCATENATE('Value Reference Tables'!O87,".",(IF(ISBLANK('Name &amp; IP Address Inputs - VM'!D$18),"Value Missing",'Name &amp; IP Address Inputs - VM'!D$18))))</f>
        <v>Value Missing.Value Missing</v>
      </c>
      <c r="Q94" s="21" t="s">
        <v>3556</v>
      </c>
      <c r="R94" s="18" t="str">
        <f>IF((ISBLANK(input_vrs_license)),IF(ISBLANK(input_vrli_license_alias),"Value Missing",input_vrli_license_alias),"VMware Aria Suite")</f>
        <v>Value Missing</v>
      </c>
      <c r="S94" s="5"/>
      <c r="W94" s="21" t="s">
        <v>1516</v>
      </c>
      <c r="X94" s="18" t="str">
        <f>IF(AND((spr_chosen="VI Workload Only"),(spr_result="Included")),IF(wld_domain_chosen="Create New SSO Domain","False","True"),"False")</f>
        <v>False</v>
      </c>
    </row>
    <row r="95" spans="2:24" s="3" customFormat="1" ht="20" customHeight="1">
      <c r="B95" s="21" t="s">
        <v>3495</v>
      </c>
      <c r="C95" s="18"/>
      <c r="E95" s="21" t="s">
        <v>1270</v>
      </c>
      <c r="F95" s="18" t="str">
        <f>IF(ISBLANK(input_wld_cl01_vds02_name),"Value Missing",input_wld_cl01_vds02_name)</f>
        <v>Value Missing</v>
      </c>
      <c r="H95" s="51" t="s">
        <v>1426</v>
      </c>
      <c r="I95" s="51"/>
      <c r="K95" s="21" t="s">
        <v>1299</v>
      </c>
      <c r="L95" s="18" t="str">
        <f>IF(ISBLANK(input_wld_nsxt_global_mgr_vmca_signed_thumbprint),"Value Missing",input_wld_nsxt_global_mgr_vmca_signed_thumbprint)</f>
        <v>Value Missing</v>
      </c>
      <c r="N95" s="52" t="s">
        <v>4680</v>
      </c>
      <c r="O95" s="18" t="str">
        <f>(CONCATENATE('Value Reference Tables'!O88,".",(IF(ISBLANK('Name &amp; IP Address Inputs - VM'!D$18),"Value Missing",'Name &amp; IP Address Inputs - VM'!D$18))))</f>
        <v>Value Missing.Value Missing</v>
      </c>
      <c r="Q95" s="21" t="s">
        <v>3378</v>
      </c>
      <c r="R95" s="18" t="str">
        <f>IF((ISBLANK(input_vrs_license)),IF(ISBLANK(input_vrli_license),"Value Missing",input_vrli_license),input_vrs_license)</f>
        <v>Value Missing</v>
      </c>
      <c r="S95" s="5"/>
      <c r="W95" s="21" t="s">
        <v>1519</v>
      </c>
      <c r="X95" s="18" t="str">
        <f>IF(AND((spr_chosen="Management &amp; Initial VI Workload"),(spr_result="Included")),IF(wld_domain_chosen="Create New SSO Domain","False","True"),"False")</f>
        <v>False</v>
      </c>
    </row>
    <row r="96" spans="2:24" s="3" customFormat="1" ht="20" customHeight="1">
      <c r="B96" s="21" t="s">
        <v>3486</v>
      </c>
      <c r="C96" s="18"/>
      <c r="E96" s="110" t="s">
        <v>3502</v>
      </c>
      <c r="F96" s="18" t="str">
        <f>IF(input_wld_cl01_vds02_pnics="","Value Missing",input_wld_cl01_vds02_pnics)</f>
        <v>Value Missing</v>
      </c>
      <c r="H96" s="8" t="s">
        <v>735</v>
      </c>
      <c r="I96" s="20" t="s">
        <v>555</v>
      </c>
      <c r="K96" s="21" t="s">
        <v>1303</v>
      </c>
      <c r="L96" s="18" t="str">
        <f>IF(ISBLANK(input_wld_nsxt_global_mgr_cluster_id),"Value Missing",input_wld_nsxt_global_mgr_cluster_id)</f>
        <v>Value Missing</v>
      </c>
      <c r="N96" s="52" t="s">
        <v>4681</v>
      </c>
      <c r="O96" s="18" t="str">
        <f>(CONCATENATE('Value Reference Tables'!O89,".",(IF(ISBLANK('Name &amp; IP Address Inputs - VM'!D$18),"Value Missing",'Name &amp; IP Address Inputs - VM'!D$18))))</f>
        <v>Value Missing.Value Missing</v>
      </c>
      <c r="Q96" s="21" t="s">
        <v>3379</v>
      </c>
      <c r="R96" s="18" t="str">
        <f>IF(ISBLANK(input_region_vrli_appliance_size),"Value Missing",input_region_vrli_appliance_size)</f>
        <v>Medium</v>
      </c>
      <c r="S96" s="5"/>
      <c r="W96" s="21" t="s">
        <v>1522</v>
      </c>
      <c r="X96" s="18" t="str">
        <f>IF(AND((mgmt_domain_chosen="First Domain"),(OR((spr_mo_result="True"),(spr_mw_result="True")))),"True","False")</f>
        <v>False</v>
      </c>
    </row>
    <row r="97" spans="2:24" s="3" customFormat="1" ht="20" customHeight="1">
      <c r="B97" s="8" t="s">
        <v>3497</v>
      </c>
      <c r="C97" s="20" t="s">
        <v>555</v>
      </c>
      <c r="E97" s="21" t="s">
        <v>3481</v>
      </c>
      <c r="F97" s="18" t="str">
        <f>IF(input_wld_cl01_vds02_mtu="","Value Missing",input_wld_cl01_vds02_mtu)</f>
        <v>Value Missing</v>
      </c>
      <c r="H97" s="21" t="s">
        <v>1420</v>
      </c>
      <c r="I97" s="18" t="str">
        <f>IF(ISBLANK('Active Directory Inputs'!G8),"Value Missing",'Active Directory Inputs'!G8)</f>
        <v>Value Missing</v>
      </c>
      <c r="K97" s="21" t="s">
        <v>825</v>
      </c>
      <c r="L97" s="18" t="str">
        <f>IF(ISBLANK('SDDC Inputs - Common'!D248),"Value Missing",'SDDC Inputs - Common'!D248)</f>
        <v>Value Missing</v>
      </c>
      <c r="N97"/>
      <c r="O97"/>
      <c r="Q97" s="21" t="s">
        <v>1401</v>
      </c>
      <c r="R97" s="18" t="str">
        <f>IF(ISBLANK(input_region_vrli_admin_password_alias),"Value Missing",input_region_vrli_admin_password_alias)</f>
        <v>Value Missing</v>
      </c>
      <c r="S97" s="5"/>
      <c r="W97" s="21" t="s">
        <v>1526</v>
      </c>
      <c r="X97" s="18" t="str">
        <f>IF(AND((mgmt_domain_chosen&lt;&gt;"First Domain"),(OR((spr_mo_result="True"),(spr_mw_result="True")))),"True","False")</f>
        <v>False</v>
      </c>
    </row>
    <row r="98" spans="2:24" s="3" customFormat="1" ht="20" customHeight="1">
      <c r="B98" s="21" t="s">
        <v>1270</v>
      </c>
      <c r="C98" s="18" t="str">
        <f>IF(ISBLANK('SDDC Inputs - Common'!D83),"Optional Value not Specified",'SDDC Inputs - Common'!D83)</f>
        <v>Optional Value not Specified</v>
      </c>
      <c r="E98" s="21" t="s">
        <v>3483</v>
      </c>
      <c r="F98" s="18" t="str">
        <f>IF(input_wld_cl01_vds_profile="Default","Value Missing",IF(wld_cl01_vds_profile&lt;&gt;"Custom","Route Based on Physical Nic Load","Value Missing"))</f>
        <v>Value Missing</v>
      </c>
      <c r="H98" s="21" t="s">
        <v>1423</v>
      </c>
      <c r="I98" s="18" t="str">
        <f>IF(ISBLANK('Active Directory Inputs'!G9),"Value Missing",'Active Directory Inputs'!G9)</f>
        <v>Value Missing</v>
      </c>
      <c r="K98" s="21" t="s">
        <v>927</v>
      </c>
      <c r="L98" s="18" t="str">
        <f>IF(ISBLANK('SDDC Inputs - Common'!D249),"Value Missing",'SDDC Inputs - Common'!D249)</f>
        <v>Value Missing</v>
      </c>
      <c r="N98" s="51" t="s">
        <v>1533</v>
      </c>
      <c r="O98" s="73"/>
      <c r="Q98" s="21" t="s">
        <v>747</v>
      </c>
      <c r="R98" s="18" t="str">
        <f>IF(ISBLANK(input_region_vrli_admin_password),"Value Missing",input_region_vrli_admin_password)</f>
        <v>Value Missing</v>
      </c>
      <c r="S98" s="5"/>
      <c r="W98" s="21" t="s">
        <v>1528</v>
      </c>
      <c r="X98" s="18" t="str">
        <f>IF(AND((mgmt_domain_chosen="First Domain"),(OR((spr_wo_result="True"),(spr_mw_result="True")))),"True","False")</f>
        <v>False</v>
      </c>
    </row>
    <row r="99" spans="2:24" s="3" customFormat="1" ht="20" customHeight="1">
      <c r="B99" s="110" t="s">
        <v>3502</v>
      </c>
      <c r="C99" s="18" t="str">
        <f>IF(ISBLANK('SDDC Inputs - Common'!D84),"Optional Value not Specified",'SDDC Inputs - Common'!D84)</f>
        <v>Optional Value not Specified</v>
      </c>
      <c r="E99" s="21" t="s">
        <v>3485</v>
      </c>
      <c r="F99" s="18" t="str">
        <f>IF(wld_cl01_vds_profile="Default","Value Missing",IF(wld_cl01_vds_profile="Storage Traffic Separation","vSAN",IF(wld_cl01_vds_profile="NSX Traffic Separation","Overlay",IF(wld_cl01_vds_profile="Storage Traffic and NSX Traffic Separation","vSAN","Value Missing"))))</f>
        <v>Value Missing</v>
      </c>
      <c r="K99" s="21" t="s">
        <v>1307</v>
      </c>
      <c r="L99" s="18" t="str">
        <f>IF(ISBLANK('SDDC Inputs - Common'!D244),"Value Missing",'SDDC Inputs - Common'!D244)</f>
        <v>Value Missing</v>
      </c>
      <c r="N99" s="8" t="s">
        <v>735</v>
      </c>
      <c r="O99" s="20" t="s">
        <v>555</v>
      </c>
      <c r="Q99" s="21" t="s">
        <v>745</v>
      </c>
      <c r="R99" s="18" t="s">
        <v>746</v>
      </c>
      <c r="S99" s="5"/>
      <c r="W99" s="21" t="s">
        <v>1532</v>
      </c>
      <c r="X99" s="18" t="str">
        <f>IF(AND((mgmt_nsxt_federation_result="Included"),OR((iom_id_result="True"),(pca_id_result="True"))),"True","False")</f>
        <v>False</v>
      </c>
    </row>
    <row r="100" spans="2:24" s="3" customFormat="1" ht="20" customHeight="1">
      <c r="B100" s="21" t="s">
        <v>3481</v>
      </c>
      <c r="C100" s="18" t="str">
        <f>IF(ISBLANK('SDDC Inputs - Common'!D85),"Optional Value not Specified",'SDDC Inputs - Common'!D85)</f>
        <v>Optional Value not Specified</v>
      </c>
      <c r="E100" s="8" t="s">
        <v>3503</v>
      </c>
      <c r="F100" s="20" t="s">
        <v>555</v>
      </c>
      <c r="H100" s="51" t="s">
        <v>1434</v>
      </c>
      <c r="I100" s="51"/>
      <c r="K100" s="21" t="s">
        <v>829</v>
      </c>
      <c r="L100" s="18" t="str">
        <f>IF(ISBLANK('SDDC Inputs - Common'!D250),"Value Missing",'SDDC Inputs - Common'!D250)</f>
        <v>Value Missing</v>
      </c>
      <c r="N100" s="52" t="s">
        <v>4682</v>
      </c>
      <c r="O100" s="18" t="str">
        <f>IF(ISBLANK('Name &amp; IP Address Inputs - VM'!G108),"Value Missing",'Name &amp; IP Address Inputs - VM'!G108)</f>
        <v>Value Missing</v>
      </c>
      <c r="Q100" s="21" t="s">
        <v>1021</v>
      </c>
      <c r="R100" s="18" t="str">
        <f>IF(ISBLANK(input_vrslcm_reg_env),"Value Missing",input_vrslcm_reg_env)</f>
        <v>Value Missing</v>
      </c>
      <c r="S100" s="5"/>
      <c r="W100" s="21" t="s">
        <v>1534</v>
      </c>
      <c r="X100" s="18" t="str">
        <f>IF(AND((mgmt_nsxt_federation_result="Included"),(wld_domain_result="Included"),OR((iom_id_result="True"),(pca_id_result="True"))),"True","False")</f>
        <v>False</v>
      </c>
    </row>
    <row r="101" spans="2:24" s="3" customFormat="1" ht="20" customHeight="1">
      <c r="B101" s="21" t="s">
        <v>3483</v>
      </c>
      <c r="C101" s="18"/>
      <c r="E101" s="21" t="s">
        <v>3478</v>
      </c>
      <c r="F101" s="18" t="str">
        <f>IF(ISBLANK(input_wld_cl01_vds03_name),"Value Missing",input_wld_cl01_vds03_name)</f>
        <v>Value Missing</v>
      </c>
      <c r="H101" s="8" t="s">
        <v>735</v>
      </c>
      <c r="I101" s="20" t="s">
        <v>555</v>
      </c>
      <c r="K101" s="21" t="s">
        <v>830</v>
      </c>
      <c r="L101" s="18" t="str">
        <f>IF(ISBLANK('SDDC Inputs - Common'!D251),"Value Missing",'SDDC Inputs - Common'!D251)</f>
        <v>Value Missing</v>
      </c>
      <c r="N101" s="52" t="s">
        <v>4683</v>
      </c>
      <c r="O101" s="18" t="str">
        <f>IF(ISBLANK('Name &amp; IP Address Inputs - VM'!G109),"Value Missing",'Name &amp; IP Address Inputs - VM'!G109)</f>
        <v>Value Missing</v>
      </c>
      <c r="Q101" s="21" t="s">
        <v>1025</v>
      </c>
      <c r="R101" s="18" t="str">
        <f>IF(ISBLANK(input_region_vrli_nfs_server),"Value Missing",input_region_vrli_nfs_server)</f>
        <v>Value Missing</v>
      </c>
      <c r="S101" s="5"/>
      <c r="W101" s="21" t="s">
        <v>1535</v>
      </c>
      <c r="X101" s="18" t="str">
        <f>IF(AND((mgmt_nsxt_federation_result="Included"),AND((iom_id_result="False"),(pca_id_result="False"))),"True","False")</f>
        <v>False</v>
      </c>
    </row>
    <row r="102" spans="2:24" s="3" customFormat="1" ht="20" customHeight="1">
      <c r="B102" s="21" t="s">
        <v>3485</v>
      </c>
      <c r="C102" s="18"/>
      <c r="E102" s="21" t="s">
        <v>3481</v>
      </c>
      <c r="F102" s="18" t="str">
        <f>IF(input_wld_cl01_vds03_mtu="","Value Missing",input_wld_cl01_vds03_mtu)</f>
        <v>Value Missing</v>
      </c>
      <c r="H102" s="21" t="s">
        <v>1420</v>
      </c>
      <c r="I102" s="18" t="str">
        <f>IF(ISBLANK('Active Directory Inputs'!E10),"Value Missing",'Active Directory Inputs'!E10)</f>
        <v>Value Missing</v>
      </c>
      <c r="K102" s="21" t="s">
        <v>1473</v>
      </c>
      <c r="L102" s="18" t="str">
        <f>IF(ISBLANK('SDDC Inputs - Common'!D245),"Value Missing",'SDDC Inputs - Common'!D245)</f>
        <v>Value Missing</v>
      </c>
      <c r="N102" s="52" t="s">
        <v>4684</v>
      </c>
      <c r="O102" s="18" t="str">
        <f>IF(ISBLANK('Name &amp; IP Address Inputs - VM'!G110),"Value Missing",'Name &amp; IP Address Inputs - VM'!G110)</f>
        <v>Value Missing</v>
      </c>
      <c r="Q102" s="21" t="s">
        <v>1026</v>
      </c>
      <c r="R102" s="18" t="str">
        <f>IF(ISBLANK('SDDC Inputs - Common'!D433),"Value Missing",'SDDC Inputs - Common'!D433)</f>
        <v>Value Missing</v>
      </c>
      <c r="S102" s="5"/>
      <c r="W102" s="21" t="s">
        <v>1537</v>
      </c>
      <c r="X102" s="18" t="str">
        <f>IF(AND((mgmt_domain_chosen&lt;&gt;"First Domain"),(mgmt_nsxt_federation_result="Included"),(wld_domain_result="Included"),AND((iom_id_result="False"),(pca_id_result="False"))),"True","False")</f>
        <v>False</v>
      </c>
    </row>
    <row r="103" spans="2:24" s="3" customFormat="1" ht="20" customHeight="1">
      <c r="B103" s="8" t="s">
        <v>3503</v>
      </c>
      <c r="C103" s="20" t="s">
        <v>555</v>
      </c>
      <c r="E103" s="21" t="s">
        <v>3504</v>
      </c>
      <c r="F103" s="18" t="str">
        <f>IF(input_wld_cl01_vds03_pnics="","Value Missing",input_wld_cl01_vds03_pnics)</f>
        <v>Value Missing</v>
      </c>
      <c r="H103" s="21" t="s">
        <v>1423</v>
      </c>
      <c r="I103" s="18" t="str">
        <f>IF(ISBLANK('Active Directory Inputs'!E11),"Value Missing",'Active Directory Inputs'!E11)</f>
        <v>Value Missing</v>
      </c>
      <c r="K103" s="21" t="s">
        <v>1474</v>
      </c>
      <c r="L103" s="18" t="str">
        <f>IF(ISBLANK('SDDC Inputs - Common'!D253),"Value Missing",'SDDC Inputs - Common'!D253)</f>
        <v>Value Missing</v>
      </c>
      <c r="N103" s="52" t="s">
        <v>4685</v>
      </c>
      <c r="O103" s="18" t="str">
        <f>IF(ISBLANK('Name &amp; IP Address Inputs - VM'!G111),"Value Missing",'Name &amp; IP Address Inputs - VM'!G111)</f>
        <v>Value Missing</v>
      </c>
      <c r="Q103" s="21" t="s">
        <v>1027</v>
      </c>
      <c r="R103" s="18" t="str">
        <f>IF(ISBLANK('SDDC Inputs - Common'!D434),"Value Missing",'SDDC Inputs - Common'!D434)</f>
        <v>Value Missing</v>
      </c>
      <c r="S103" s="5"/>
      <c r="W103" s="21" t="s">
        <v>1539</v>
      </c>
      <c r="X103" s="18" t="str">
        <f>IF(wld_domain_result="Included",IF(wld_domain_chosen="Create New SSO Domain","False","True"),"False")</f>
        <v>False</v>
      </c>
    </row>
    <row r="104" spans="2:24" s="3" customFormat="1" ht="20" customHeight="1">
      <c r="B104" s="18"/>
      <c r="C104" s="18"/>
      <c r="E104" s="21" t="s">
        <v>3505</v>
      </c>
      <c r="F104" s="18" t="str">
        <f>IF(input_wld_cl01_vds_profile&lt;&gt;"Storage Traffic and NSX Traffic Separation","Value Missing","Route Based on Physical Nic Load")</f>
        <v>Value Missing</v>
      </c>
      <c r="K104" s="21" t="s">
        <v>1323</v>
      </c>
      <c r="L104" s="18" t="str">
        <f>IF(ISBLANK('SDDC Inputs - Common'!D252),"Value Missing",'SDDC Inputs - Common'!D252)</f>
        <v>Value Missing</v>
      </c>
      <c r="N104" s="52" t="s">
        <v>4686</v>
      </c>
      <c r="O104" s="18" t="str">
        <f>IF(ISBLANK('Name &amp; IP Address Inputs - VM'!G112),"Value Missing",'Name &amp; IP Address Inputs - VM'!G112)</f>
        <v>Value Missing</v>
      </c>
      <c r="Q104" s="21" t="s">
        <v>1029</v>
      </c>
      <c r="R104" s="18" t="str">
        <f>IF(ISBLANK(input_region_vrli_log_retention_period),"Value Missing",input_region_vrli_log_retention_period)</f>
        <v>Value Missing</v>
      </c>
      <c r="S104" s="5"/>
      <c r="W104" s="21" t="s">
        <v>1543</v>
      </c>
      <c r="X104" s="18" cm="1">
        <f t="array" ref="X104">SUM(IF('Management Domain Sizing Inputs'!C29:C52="VI Workload Domain",1,0))</f>
        <v>0</v>
      </c>
    </row>
    <row r="105" spans="2:24" s="3" customFormat="1" ht="20" customHeight="1">
      <c r="B105" s="18"/>
      <c r="C105" s="18"/>
      <c r="E105" s="21" t="s">
        <v>3506</v>
      </c>
      <c r="F105" s="18" t="str">
        <f>IF(input_wld_cl01_vds_profile="Default","Value Missing",IF(input_wld_cl01_vds_profile="Storage Traffic Separation","Value Missing",IF(input_wld_cl01_vds_profile="NSX Traffic Separation","Value Missing",IF(wld_cl01_vds_profile="Storage Traffic and NSX Traffic Separation","Overlay","Value Missing"))))</f>
        <v>Value Missing</v>
      </c>
      <c r="H105" s="51" t="s">
        <v>1444</v>
      </c>
      <c r="I105" s="51"/>
      <c r="K105" s="21" t="s">
        <v>1326</v>
      </c>
      <c r="L105" s="18" t="str">
        <f>IF(ISBLANK('SDDC Inputs - Common'!D254),"Value Missing",'SDDC Inputs - Common'!D254)</f>
        <v>Value Missing</v>
      </c>
      <c r="N105" s="52" t="s">
        <v>4687</v>
      </c>
      <c r="O105" s="18" t="str">
        <f>IF(ISBLANK('Name &amp; IP Address Inputs - VM'!G113),"Value Missing",'Name &amp; IP Address Inputs - VM'!G113)</f>
        <v>Value Missing</v>
      </c>
      <c r="Q105" s="21" t="s">
        <v>3380</v>
      </c>
      <c r="R105" s="18" t="str">
        <f>CONCATENATE(mgmt_sddc_domain,"-fd-logs")</f>
        <v>Value Missing-fd-logs</v>
      </c>
      <c r="S105" s="5"/>
      <c r="W105" s="21" t="s">
        <v>1545</v>
      </c>
      <c r="X105" s="18" cm="1">
        <f t="array" ref="X105">SUM(IF('Management Domain Sizing Inputs'!C29:C52="Isolated VI Workload Domain",1,0))</f>
        <v>0</v>
      </c>
    </row>
    <row r="106" spans="2:24" s="3" customFormat="1" ht="20" customHeight="1">
      <c r="B106" s="18"/>
      <c r="C106" s="18"/>
      <c r="E106"/>
      <c r="F106"/>
      <c r="H106" s="8" t="s">
        <v>735</v>
      </c>
      <c r="I106" s="20" t="s">
        <v>555</v>
      </c>
      <c r="K106" s="21" t="s">
        <v>1329</v>
      </c>
      <c r="L106" s="18" t="str">
        <f>IF(ISBLANK('SDDC Inputs - Common'!D255),"Value Missing",'SDDC Inputs - Common'!D255)</f>
        <v>Value Missing</v>
      </c>
      <c r="N106" s="27"/>
      <c r="Q106" s="21" t="s">
        <v>1419</v>
      </c>
      <c r="R106" s="18" t="str">
        <f>IF(ISBLANK(input_region_vrli_admin_email),"Value Missing",input_region_vrli_admin_email)</f>
        <v>Value Missing</v>
      </c>
      <c r="S106" s="5"/>
    </row>
    <row r="107" spans="2:24" s="3" customFormat="1" ht="20" customHeight="1">
      <c r="B107" s="18"/>
      <c r="C107" s="18"/>
      <c r="E107" s="68" t="s">
        <v>4194</v>
      </c>
      <c r="F107" s="73"/>
      <c r="H107" s="21" t="s">
        <v>1420</v>
      </c>
      <c r="I107" s="18" t="str">
        <f>IF(ISBLANK('Active Directory Inputs'!G10),"Value Missing",'Active Directory Inputs'!G10)</f>
        <v>Value Missing</v>
      </c>
      <c r="K107" s="21" t="s">
        <v>807</v>
      </c>
      <c r="L107" s="18" t="str">
        <f>IF(ISBLANK('SDDC Inputs - Rack'!D65),"Value Missing",'SDDC Inputs - Rack'!D65)</f>
        <v>Value Missing</v>
      </c>
      <c r="N107" s="51" t="s">
        <v>1403</v>
      </c>
      <c r="O107" s="51"/>
      <c r="Q107" s="21" t="s">
        <v>1023</v>
      </c>
      <c r="R107" s="18" t="str">
        <f>IF(ISBLANK(input_region_vrli_log_retention_notification),"Value Missing",input_region_vrli_log_retention_notification)</f>
        <v>Value Missing</v>
      </c>
      <c r="S107" s="5"/>
    </row>
    <row r="108" spans="2:24" s="3" customFormat="1" ht="20" customHeight="1">
      <c r="B108" s="18"/>
      <c r="C108" s="18"/>
      <c r="E108" s="8" t="s">
        <v>735</v>
      </c>
      <c r="F108" s="20" t="s">
        <v>491</v>
      </c>
      <c r="H108" s="21" t="s">
        <v>1423</v>
      </c>
      <c r="I108" s="18" t="str">
        <f>IF(ISBLANK('Active Directory Inputs'!G11),"Value Missing",'Active Directory Inputs'!G11)</f>
        <v>Value Missing</v>
      </c>
      <c r="K108" s="21" t="s">
        <v>842</v>
      </c>
      <c r="L108" s="18" t="str">
        <f>IF(ISBLANK('SDDC Inputs - Common'!D211),"Value Missing",'SDDC Inputs - Common'!D211)</f>
        <v>Value Missing</v>
      </c>
      <c r="N108" s="8" t="s">
        <v>735</v>
      </c>
      <c r="O108" s="20" t="s">
        <v>555</v>
      </c>
      <c r="Q108" s="21" t="s">
        <v>2476</v>
      </c>
      <c r="R108" s="18" t="str">
        <f>CONCATENATE("nfs://",region_vrli_nfs_server,"/",region_vrli_nfs_share)</f>
        <v>nfs://Value Missing/Value Missing</v>
      </c>
      <c r="S108" s="5"/>
    </row>
    <row r="109" spans="2:24" s="3" customFormat="1" ht="20" customHeight="1">
      <c r="E109" s="21" t="s">
        <v>932</v>
      </c>
      <c r="F109" s="18" t="str">
        <f>IF(ISBLANK(input_wld_sddc_domain),"Value Missing",'SDDC Inputs - Common'!D262)</f>
        <v>Value Missing</v>
      </c>
      <c r="K109" s="21" t="s">
        <v>949</v>
      </c>
      <c r="L109" s="18" t="str">
        <f>IF(ISBLANK('SDDC Inputs - Common'!D277),"Value Missing",'SDDC Inputs - Common'!D277)</f>
        <v>Value Missing</v>
      </c>
      <c r="N109" s="52" t="s">
        <v>4682</v>
      </c>
      <c r="O109" s="18" t="str">
        <f>IF(ISBLANK('Name &amp; IP Address Inputs - VM'!E108),"Value Missing",'Name &amp; IP Address Inputs - VM'!E108)</f>
        <v>Value Missing</v>
      </c>
      <c r="Q109" s="21" t="s">
        <v>1024</v>
      </c>
      <c r="R109" s="18" t="str">
        <f>IF(ISBLANK(input_region_vrli_email_notification_target),"Value Missing",input_region_vrli_email_notification_target)</f>
        <v>Value Missing</v>
      </c>
      <c r="S109" s="5"/>
    </row>
    <row r="110" spans="2:24" s="3" customFormat="1" ht="20" customHeight="1">
      <c r="B110" s="68" t="s">
        <v>4193</v>
      </c>
      <c r="C110" s="73"/>
      <c r="E110" s="21" t="s">
        <v>933</v>
      </c>
      <c r="F110" s="18">
        <f>IF(ISBLANK(input_wld_cl01_vsan_ftt),"Value Missing",IF(AND(wld_multirack_result="Included",input_wld_cl01_vsan_ftt=1,wld_principal_storage_chosen="vSAN-ESA"),"1 failure - RAID 5 (Erasure Coding)",IF(AND(wld_multirack_result="Included",input_wld_cl01_vsan_ftt=2,wld_principal_storage_chosen="vSAN-ESA"),"1 failure - RAID 6 (Erasure Coding)",input_wld_cl01_vsan_ftt)))</f>
        <v>1</v>
      </c>
      <c r="H110" s="51" t="s">
        <v>1449</v>
      </c>
      <c r="I110" s="51"/>
      <c r="K110" s="21" t="s">
        <v>950</v>
      </c>
      <c r="L110" s="18" t="str">
        <f>IF(ISBLANK('SDDC Inputs - Common'!D278),"Value Missing",'SDDC Inputs - Common'!D278)</f>
        <v>Value Missing</v>
      </c>
      <c r="N110" s="52" t="s">
        <v>4683</v>
      </c>
      <c r="O110" s="18" t="str">
        <f>IF(ISBLANK('Name &amp; IP Address Inputs - VM'!E109),"Value Missing",'Name &amp; IP Address Inputs - VM'!E109)</f>
        <v>Value Missing</v>
      </c>
      <c r="Q110" s="21" t="s">
        <v>3594</v>
      </c>
      <c r="R110" s="18" t="str">
        <f>IF(ISBLANK(input_svc_ila_ad_user),"Value Missing",input_svc_ila_ad_user)</f>
        <v>Value Missing</v>
      </c>
      <c r="S110" s="5"/>
    </row>
    <row r="111" spans="2:24" s="3" customFormat="1" ht="20" customHeight="1">
      <c r="B111" s="8" t="s">
        <v>735</v>
      </c>
      <c r="C111" s="20" t="s">
        <v>491</v>
      </c>
      <c r="E111" s="21" t="s">
        <v>934</v>
      </c>
      <c r="F111" s="18" t="str">
        <f>IF(ISBLANK('SDDC Inputs - Common'!D264),"Value Missing",'SDDC Inputs - Common'!D264)</f>
        <v>Value Missing</v>
      </c>
      <c r="H111" s="8" t="s">
        <v>735</v>
      </c>
      <c r="I111" s="20" t="s">
        <v>555</v>
      </c>
      <c r="K111" s="21" t="s">
        <v>951</v>
      </c>
      <c r="L111" s="18" t="str">
        <f>IF(ISBLANK('SDDC Inputs - Common'!D281),"Value Missing",'SDDC Inputs - Common'!D281)</f>
        <v/>
      </c>
      <c r="N111" s="52" t="s">
        <v>4684</v>
      </c>
      <c r="O111" s="18" t="str">
        <f>IF(ISBLANK('Name &amp; IP Address Inputs - VM'!E110),"Value Missing",'Name &amp; IP Address Inputs - VM'!E110)</f>
        <v>Value Missing</v>
      </c>
      <c r="Q111" s="21" t="s">
        <v>3595</v>
      </c>
      <c r="R111" s="18" t="str">
        <f>IF(ISBLANK(input_svc_ila_ad_password),"Value Missing",input_svc_ila_ad_password)</f>
        <v>Value Missing</v>
      </c>
      <c r="S111" s="5"/>
      <c r="W111"/>
      <c r="X111"/>
    </row>
    <row r="112" spans="2:24" s="3" customFormat="1" ht="20" customHeight="1">
      <c r="B112" s="21" t="s">
        <v>839</v>
      </c>
      <c r="C112" s="18" t="str">
        <f>IF(ISBLANK('SDDC Inputs - Common'!D116),"Value Missing",'SDDC Inputs - Common'!D116)</f>
        <v>Value Missing</v>
      </c>
      <c r="E112" s="21" t="s">
        <v>936</v>
      </c>
      <c r="F112" s="18" t="str">
        <f>IF(ISBLANK(input_wld_cl01_vmfs_datastore_name),"Value Missing",input_wld_cl01_vmfs_datastore_name)</f>
        <v>Value Missing</v>
      </c>
      <c r="H112" s="21" t="s">
        <v>1420</v>
      </c>
      <c r="I112" s="18" t="str">
        <f>IF(ISBLANK(input_child_svc_wsa_ad_user),"Value Missing",CONCATENATE("cn=",input_child_svc_wsa_ad_user,",",input_parent_ad_users_ou))</f>
        <v>Value Missing</v>
      </c>
      <c r="K112" s="21" t="s">
        <v>1496</v>
      </c>
      <c r="L112" s="18" t="str">
        <f>wld_sddc_domain&amp;"-"&amp;wld_vc_hostname&amp;"-"&amp;wld_cl01_cluster&amp;"-vds01-management"</f>
        <v>Value Missing-Value Missing-Value Missing-vds01-management</v>
      </c>
      <c r="N112" s="52" t="s">
        <v>4685</v>
      </c>
      <c r="O112" s="18" t="str">
        <f>IF(ISBLANK('Name &amp; IP Address Inputs - VM'!E111),"Value Missing",'Name &amp; IP Address Inputs - VM'!E111)</f>
        <v>Value Missing</v>
      </c>
      <c r="Q112" s="21" t="s">
        <v>3381</v>
      </c>
      <c r="R112" s="18" t="s">
        <v>3195</v>
      </c>
      <c r="S112" s="5"/>
    </row>
    <row r="113" spans="2:24" s="3" customFormat="1" ht="20" customHeight="1">
      <c r="B113" s="21" t="s">
        <v>4188</v>
      </c>
      <c r="C113" s="18">
        <f>IF(ISBLANK(input_mgmt_cl01_vsan_ftt),"Value Missing",input_mgmt_cl01_vsan_ftt)</f>
        <v>1</v>
      </c>
      <c r="E113" s="55" t="s">
        <v>937</v>
      </c>
      <c r="F113" s="18" t="str">
        <f>IF(ISBLANK('SDDC Inputs - Common'!D266),"Value Missing",'SDDC Inputs - Common'!D266)</f>
        <v>Value Missing</v>
      </c>
      <c r="H113" s="21" t="s">
        <v>1423</v>
      </c>
      <c r="I113" s="18" t="str">
        <f>IF(ISBLANK(input_child_svc_wsa_ad_user),"Value Missing",CONCATENATE("cn=",input_child_svc_wsa_ad_user,",",input_child_ad_users_ou))</f>
        <v>Value Missing</v>
      </c>
      <c r="N113" s="52" t="s">
        <v>4688</v>
      </c>
      <c r="O113" s="18" t="str">
        <f>IF(ISBLANK('Name &amp; IP Address Inputs - VM'!E112),"Value Missing",'Name &amp; IP Address Inputs - VM'!E112)</f>
        <v>Value Missing</v>
      </c>
      <c r="Q113" s="21" t="s">
        <v>3558</v>
      </c>
      <c r="R113" s="18" t="s">
        <v>2488</v>
      </c>
      <c r="S113" s="5"/>
    </row>
    <row r="114" spans="2:24" s="3" customFormat="1" ht="20" customHeight="1">
      <c r="B114" s="21" t="s">
        <v>934</v>
      </c>
      <c r="C114" s="18" t="str">
        <f>IF(ISBLANK('SDDC Inputs - Common'!D118),"Value Missing",'SDDC Inputs - Common'!D118)</f>
        <v>Value Missing</v>
      </c>
      <c r="E114" s="52" t="s">
        <v>938</v>
      </c>
      <c r="F114" s="18" t="str">
        <f>IF(ISBLANK('SDDC Inputs - Common'!D267),"Value Missing",'SDDC Inputs - Common'!D267)</f>
        <v>Value Missing</v>
      </c>
      <c r="K114" s="68" t="s">
        <v>1565</v>
      </c>
      <c r="L114" s="73"/>
      <c r="N114" s="52" t="s">
        <v>4689</v>
      </c>
      <c r="O114" s="18" t="str">
        <f>IF(ISBLANK('Name &amp; IP Address Inputs - VM'!E113),"Value Missing",'Name &amp; IP Address Inputs - VM'!E113)</f>
        <v>Value Missing</v>
      </c>
      <c r="Q114" s="21" t="s">
        <v>3559</v>
      </c>
      <c r="R114" s="18" t="s">
        <v>2492</v>
      </c>
      <c r="S114" s="5"/>
    </row>
    <row r="115" spans="2:24" s="3" customFormat="1" ht="20" customHeight="1">
      <c r="E115" s="55" t="s">
        <v>940</v>
      </c>
      <c r="F115" s="18" t="str">
        <f>IF(ISBLANK('SDDC Inputs - Common'!D268),"Value Missing",'SDDC Inputs - Common'!D268)</f>
        <v>Value Missing</v>
      </c>
      <c r="H115" s="51" t="s">
        <v>1455</v>
      </c>
      <c r="I115" s="51"/>
      <c r="K115" s="8" t="s">
        <v>735</v>
      </c>
      <c r="L115" s="20" t="s">
        <v>1230</v>
      </c>
      <c r="N115"/>
      <c r="O115"/>
      <c r="Q115" s="21" t="s">
        <v>1428</v>
      </c>
      <c r="R115" s="18" t="str">
        <f>IF(ISBLANK(input_region_vrli_tag),"Value Missing",input_region_vrli_tag)</f>
        <v>Value Missing</v>
      </c>
      <c r="S115" s="5"/>
    </row>
    <row r="116" spans="2:24" s="3" customFormat="1" ht="20" customHeight="1">
      <c r="B116" s="68" t="s">
        <v>5153</v>
      </c>
      <c r="C116" s="73"/>
      <c r="E116" s="55" t="s">
        <v>941</v>
      </c>
      <c r="F116" s="18" t="str">
        <f>IF(ISBLANK('SDDC Inputs - Common'!D269),"Value Missing",'SDDC Inputs - Common'!D269)</f>
        <v>Value Missing</v>
      </c>
      <c r="H116" s="8" t="s">
        <v>735</v>
      </c>
      <c r="I116" s="20" t="s">
        <v>555</v>
      </c>
      <c r="K116" s="21" t="s">
        <v>1565</v>
      </c>
      <c r="L116" s="18" t="str">
        <f>IF(ISBLANK(input_wld_az1_sso_domain_name),"Value Missing",input_wld_az1_sso_domain_name)</f>
        <v>Value Missing</v>
      </c>
      <c r="N116" s="51" t="s">
        <v>1529</v>
      </c>
      <c r="O116" s="51"/>
      <c r="Q116" s="21" t="s">
        <v>1430</v>
      </c>
      <c r="R116" s="18" t="str">
        <f>IF(ISBLANK(input_region_existing_remote_vrli_host),"Value Missing",input_region_existing_remote_vrli_host)</f>
        <v>Value Missing</v>
      </c>
      <c r="S116" s="5"/>
    </row>
    <row r="117" spans="2:24" s="3" customFormat="1" ht="20" customHeight="1">
      <c r="B117" s="8" t="s">
        <v>735</v>
      </c>
      <c r="C117" s="20" t="s">
        <v>491</v>
      </c>
      <c r="E117" s="55" t="s">
        <v>943</v>
      </c>
      <c r="F117" s="18" t="str">
        <f>IF(ISBLANK('SDDC Inputs - Common'!D270),"Value Missing",'SDDC Inputs - Common'!D270)</f>
        <v>Value Missing</v>
      </c>
      <c r="H117" s="21" t="s">
        <v>785</v>
      </c>
      <c r="I117" s="18" t="str">
        <f>IF(ISBLANK('Active Directory Inputs'!E16),"Value Missing",'Active Directory Inputs'!E16)</f>
        <v>Value Missing</v>
      </c>
      <c r="K117" s="21" t="s">
        <v>1568</v>
      </c>
      <c r="L117" s="18" t="str" cm="1">
        <f t="array" ref="L117">IF(ISBLANK(input_wld_az1_sso_domain_administrator_password),"Value Missing",input_wld_az1_sso_domain_administrator_password)</f>
        <v>Value Missing</v>
      </c>
      <c r="N117" s="8" t="s">
        <v>735</v>
      </c>
      <c r="O117" s="20" t="s">
        <v>555</v>
      </c>
      <c r="Q117" s="21" t="s">
        <v>1431</v>
      </c>
      <c r="R117" s="18" t="str">
        <f>IF(ISBLANK(input_region_existing_remote_vrli_tag),"Value Missing",input_region_existing_remote_vrli_tag)</f>
        <v>Value Missing</v>
      </c>
      <c r="S117" s="5"/>
    </row>
    <row r="118" spans="2:24" s="3" customFormat="1" ht="20" customHeight="1">
      <c r="B118" s="21" t="s">
        <v>5153</v>
      </c>
      <c r="C118" s="18" t="s">
        <v>5154</v>
      </c>
      <c r="E118" s="55" t="s">
        <v>944</v>
      </c>
      <c r="F118" s="18" t="str">
        <f>IF(ISBLANK('SDDC Inputs - Common'!D271),"Value Missing",'SDDC Inputs - Common'!D271)</f>
        <v>Value Missing</v>
      </c>
      <c r="H118" s="21" t="s">
        <v>1168</v>
      </c>
      <c r="I118" s="18" t="str">
        <f>IF(ISBLANK('Active Directory Inputs'!E19),"Value Missing",'Active Directory Inputs'!E19)</f>
        <v>Value Missing</v>
      </c>
      <c r="K118" s="21" t="s">
        <v>1570</v>
      </c>
      <c r="L118" s="18" t="str">
        <f>(CONCATENATE("administrator@",L116))</f>
        <v>administrator@Value Missing</v>
      </c>
      <c r="N118" s="52" t="s">
        <v>4682</v>
      </c>
      <c r="O118" s="18" t="str">
        <f>(CONCATENATE('Value Reference Tables'!O109,".",(IF(ISBLANK('Name &amp; IP Address Inputs - VM'!D$17),"Value Missing",'Name &amp; IP Address Inputs - VM'!D$17))))</f>
        <v>Value Missing.Value Missing</v>
      </c>
      <c r="Q118" s="21" t="s">
        <v>3632</v>
      </c>
      <c r="R118" s="18" t="str">
        <f>IF(ISBLANK(input_ila_github_token),"Value Missing",input_ila_github_token)</f>
        <v>Value Missing</v>
      </c>
      <c r="S118" s="5"/>
    </row>
    <row r="119" spans="2:24" s="3" customFormat="1" ht="20" customHeight="1">
      <c r="E119" s="55" t="s">
        <v>945</v>
      </c>
      <c r="F119" s="18" t="str">
        <f>IF(ISBLANK('SDDC Inputs - Common'!D272),"Value Missing",'SDDC Inputs - Common'!D272)</f>
        <v>Value Missing</v>
      </c>
      <c r="H119" s="21" t="s">
        <v>1435</v>
      </c>
      <c r="I119" s="18" t="s">
        <v>1045</v>
      </c>
      <c r="K119"/>
      <c r="L119"/>
      <c r="N119" s="52" t="s">
        <v>4683</v>
      </c>
      <c r="O119" s="18" t="str">
        <f>(CONCATENATE('Value Reference Tables'!O110,".",(IF(ISBLANK('Name &amp; IP Address Inputs - VM'!D$17),"Value Missing",'Name &amp; IP Address Inputs - VM'!D$17))))</f>
        <v>Value Missing.Value Missing</v>
      </c>
      <c r="S119" s="5"/>
    </row>
    <row r="120" spans="2:24" s="3" customFormat="1" ht="20" customHeight="1">
      <c r="E120" s="55" t="s">
        <v>946</v>
      </c>
      <c r="F120" s="18" t="str">
        <f>IF(ISBLANK('SDDC Inputs - Common'!D273),"Value Missing",'SDDC Inputs - Common'!D273)</f>
        <v>Value Missing</v>
      </c>
      <c r="H120" s="21" t="s">
        <v>1437</v>
      </c>
      <c r="I120" s="18" t="s">
        <v>1045</v>
      </c>
      <c r="K120" s="68" t="s">
        <v>3491</v>
      </c>
      <c r="L120" s="73"/>
      <c r="N120" s="52" t="s">
        <v>4684</v>
      </c>
      <c r="O120" s="18" t="str">
        <f>(CONCATENATE('Value Reference Tables'!O111,".",(IF(ISBLANK('Name &amp; IP Address Inputs - VM'!D$17),"Value Missing",'Name &amp; IP Address Inputs - VM'!D$17))))</f>
        <v>Value Missing.Value Missing</v>
      </c>
      <c r="Q120" s="427" t="s">
        <v>1436</v>
      </c>
      <c r="R120" s="426"/>
      <c r="S120" s="5"/>
    </row>
    <row r="121" spans="2:24" s="3" customFormat="1" ht="20" customHeight="1">
      <c r="E121" s="55" t="s">
        <v>947</v>
      </c>
      <c r="F121" s="18" t="str">
        <f>IF(ISBLANK('SDDC Inputs - Common'!D274),"Value Missing",'SDDC Inputs - Common'!D274)</f>
        <v>Value Missing</v>
      </c>
      <c r="H121" s="21" t="s">
        <v>1439</v>
      </c>
      <c r="I121" s="18" t="s">
        <v>746</v>
      </c>
      <c r="K121" s="8" t="s">
        <v>735</v>
      </c>
      <c r="L121" s="20" t="s">
        <v>1230</v>
      </c>
      <c r="N121" s="52" t="s">
        <v>4685</v>
      </c>
      <c r="O121" s="18" t="str">
        <f>(CONCATENATE('Value Reference Tables'!O112,".",(IF(ISBLANK('Name &amp; IP Address Inputs - VM'!D$17),"Value Missing",'Name &amp; IP Address Inputs - VM'!D$17))))</f>
        <v>Value Missing.Value Missing</v>
      </c>
      <c r="Q121" s="8" t="s">
        <v>735</v>
      </c>
      <c r="R121" s="20" t="s">
        <v>555</v>
      </c>
      <c r="S121" s="5"/>
    </row>
    <row r="122" spans="2:24" s="3" customFormat="1" ht="20" customHeight="1">
      <c r="H122" s="21" t="s">
        <v>1172</v>
      </c>
      <c r="I122" s="18" t="str">
        <f>IF(ISBLANK(input_svc_vrops_vra_user),"Value Missing",input_svc_vrops_vra_user)</f>
        <v>Value Missing</v>
      </c>
      <c r="K122" s="21" t="s">
        <v>3492</v>
      </c>
      <c r="L122" s="18" t="str">
        <f>IF(ISBLANK(input_vlcm_image_name),"Value Missing",input_vlcm_image_name)</f>
        <v>Value Missing</v>
      </c>
      <c r="N122" s="52" t="s">
        <v>4688</v>
      </c>
      <c r="O122" s="18" t="str">
        <f>(CONCATENATE('Value Reference Tables'!O113,".",(IF(ISBLANK('Name &amp; IP Address Inputs - VM'!D$18),"Value Missing",'Name &amp; IP Address Inputs - VM'!D$18))))</f>
        <v>Value Missing.Value Missing</v>
      </c>
      <c r="Q122" s="21" t="s">
        <v>3579</v>
      </c>
      <c r="R122" s="18" t="str">
        <f>IF((ISBLANK(input_vrs_license)),IF(ISBLANK(input_vrops_license_alias),"Value Missing",input_vrops_license_alias),"VMware Aria Suite")</f>
        <v>Value Missing</v>
      </c>
      <c r="S122" s="5"/>
    </row>
    <row r="123" spans="2:24" s="3" customFormat="1" ht="20" customHeight="1">
      <c r="E123" s="68" t="s">
        <v>4105</v>
      </c>
      <c r="F123" s="73"/>
      <c r="H123" s="21" t="s">
        <v>1442</v>
      </c>
      <c r="I123" s="18" t="s">
        <v>746</v>
      </c>
      <c r="N123" s="52" t="s">
        <v>4689</v>
      </c>
      <c r="O123" s="18" t="str">
        <f>(CONCATENATE('Value Reference Tables'!O114,".",(IF(ISBLANK('Name &amp; IP Address Inputs - VM'!D$18),"Value Missing",'Name &amp; IP Address Inputs - VM'!D$18))))</f>
        <v>Value Missing.Value Missing</v>
      </c>
      <c r="Q123" s="21" t="s">
        <v>3578</v>
      </c>
      <c r="R123" s="18" t="str">
        <f>IF((ISBLANK(input_vrs_license)),IF(ISBLANK(input_vrops_license),"Value Missing",input_vrops_license),input_vrs_license)</f>
        <v>Value Missing</v>
      </c>
      <c r="S123" s="5"/>
    </row>
    <row r="124" spans="2:24" s="3" customFormat="1" ht="20" customHeight="1">
      <c r="E124" s="8" t="s">
        <v>735</v>
      </c>
      <c r="F124" s="20" t="s">
        <v>491</v>
      </c>
      <c r="H124" s="21" t="s">
        <v>1445</v>
      </c>
      <c r="I124" s="18" t="str">
        <f>IF(ISBLANK(input_vrslcm_xreg_admin_username),"Value Missing",input_vrslcm_xreg_admin_username)</f>
        <v>Value Missing</v>
      </c>
      <c r="N124"/>
      <c r="O124"/>
      <c r="Q124" s="21" t="s">
        <v>3219</v>
      </c>
      <c r="R124" s="18" t="str" cm="1">
        <f t="array" ref="R124">IF(ISBLANK(input_iom_vsphere_role),"Value Missing",input_iom_vsphere_role)</f>
        <v>Value Missing</v>
      </c>
      <c r="S124" s="5"/>
      <c r="W124"/>
      <c r="X124"/>
    </row>
    <row r="125" spans="2:24" s="3" customFormat="1" ht="20" customHeight="1">
      <c r="E125" s="21" t="s">
        <v>3494</v>
      </c>
      <c r="F125" s="18" t="str">
        <f>IF(ISBLANK(input_wld_cl02_vds_profile),"Value Missing",input_wld_cl02_vds_profile)</f>
        <v>Default</v>
      </c>
      <c r="H125" s="21" t="s">
        <v>1174</v>
      </c>
      <c r="I125" s="18" t="str">
        <f>IF(ISBLANK('Active Directory Inputs'!E41),"Value Missing",'Active Directory Inputs'!E41)</f>
        <v>Value Missing</v>
      </c>
      <c r="N125" s="51" t="s">
        <v>1564</v>
      </c>
      <c r="O125" s="51"/>
      <c r="Q125" s="21" t="s">
        <v>1440</v>
      </c>
      <c r="R125" s="18" t="str" cm="1">
        <f t="array" ref="R125">IF(ISBLANK(input_svc_iom_vcf_user),"Value Missing",input_svc_iom_vcf_user)</f>
        <v>Value Missing</v>
      </c>
      <c r="S125" s="5"/>
    </row>
    <row r="126" spans="2:24" s="3" customFormat="1" ht="20" customHeight="1">
      <c r="E126" s="8" t="s">
        <v>3496</v>
      </c>
      <c r="F126" s="20" t="s">
        <v>555</v>
      </c>
      <c r="H126" s="21" t="s">
        <v>1175</v>
      </c>
      <c r="I126" s="18" t="str">
        <f>IF(ISBLANK('Active Directory Inputs'!E42),"Value Missing",'Active Directory Inputs'!E42)</f>
        <v>Value Missing</v>
      </c>
      <c r="N126" s="8" t="s">
        <v>735</v>
      </c>
      <c r="O126" s="20" t="s">
        <v>555</v>
      </c>
      <c r="Q126" s="21" t="s">
        <v>1443</v>
      </c>
      <c r="R126" s="18" t="str" cm="1">
        <f t="array" ref="R126">IF(ISBLANK(input_svc_iom_vcf_password),"Value Missing",input_svc_iom_vcf_password)</f>
        <v>Value Missing</v>
      </c>
      <c r="S126" s="5"/>
    </row>
    <row r="127" spans="2:24" s="3" customFormat="1" ht="20" customHeight="1">
      <c r="E127" s="21" t="s">
        <v>792</v>
      </c>
      <c r="F127" s="18" t="str">
        <f>IF(ISBLANK(input_wld_cl02_vds01_name),"Value Missing",input_wld_cl02_vds01_name)</f>
        <v>Value Missing</v>
      </c>
      <c r="H127" s="21" t="s">
        <v>1176</v>
      </c>
      <c r="I127" s="18" t="str">
        <f>IF(ISBLANK('Active Directory Inputs'!E43),"Value Missing",'Active Directory Inputs'!E43)</f>
        <v>Value Missing</v>
      </c>
      <c r="N127" s="26" t="s">
        <v>1566</v>
      </c>
      <c r="O127" s="18" t="str">
        <f>IF(ISBLANK(input_mgmt_vrms_mgmt_ip),"Value Missing",input_mgmt_vrms_mgmt_ip)</f>
        <v>Value Missing</v>
      </c>
      <c r="Q127" s="21" t="s">
        <v>1446</v>
      </c>
      <c r="R127" s="18" t="str" cm="1">
        <f t="array" ref="R127">IF(ISBLANK(input_svc_iom_vsphere_user),"Value Missing",input_svc_iom_vsphere_user)</f>
        <v>Value Missing</v>
      </c>
      <c r="S127" s="5"/>
    </row>
    <row r="128" spans="2:24" s="3" customFormat="1" ht="20" customHeight="1">
      <c r="E128" s="110" t="s">
        <v>3501</v>
      </c>
      <c r="F128" s="18" t="str">
        <f>IF(ISBLANK(input_wld_cl02_vds01_pnics),"Value Missing",input_wld_cl02_vds01_pnics)</f>
        <v>vmnic0,vmnic1</v>
      </c>
      <c r="H128" s="21" t="s">
        <v>1177</v>
      </c>
      <c r="I128" s="18" t="str">
        <f>IF(ISBLANK('Active Directory Inputs'!E44),"Value Missing",'Active Directory Inputs'!E44)</f>
        <v>Value Missing</v>
      </c>
      <c r="N128" s="26" t="s">
        <v>1567</v>
      </c>
      <c r="O128" s="18" t="str">
        <f>IF(ISBLANK(input_mgmt_vrms_vrms_ip),"Value Missing",input_mgmt_vrms_vrms_ip)</f>
        <v>Value Missing</v>
      </c>
      <c r="Q128" s="21" t="s">
        <v>1447</v>
      </c>
      <c r="R128" s="18" t="str" cm="1">
        <f t="array" ref="R128">IF(ISBLANK(input_svc_iom_vsphere_password),"Value Missing",input_svc_iom_vsphere_password)</f>
        <v>Value Missing</v>
      </c>
      <c r="S128" s="5"/>
    </row>
    <row r="129" spans="5:24" s="3" customFormat="1" ht="20" customHeight="1">
      <c r="E129" s="21" t="s">
        <v>3481</v>
      </c>
      <c r="F129" s="18" t="str">
        <f>IF(input_wld_cl02_vds01_mtu="","Value Missing",input_wld_cl02_vds01_mtu)</f>
        <v>Value Missing</v>
      </c>
      <c r="H129" s="21" t="s">
        <v>1178</v>
      </c>
      <c r="I129" s="18" t="str">
        <f>IF(ISBLANK('Active Directory Inputs'!E45),"Value Missing",'Active Directory Inputs'!E45)</f>
        <v>Value Missing</v>
      </c>
      <c r="N129" s="26" t="s">
        <v>1569</v>
      </c>
      <c r="O129" s="18" t="str">
        <f>IF(ISBLANK(input_mgmt_srm_ip),"Value Missing",input_mgmt_srm_ip)</f>
        <v>Value Missing</v>
      </c>
      <c r="Q129" s="21" t="s">
        <v>1033</v>
      </c>
      <c r="R129" s="18" t="str" cm="1">
        <f t="array" ref="R129">IF(ISBLANK(input_iom_mgmt_nsxt_piuser),"Value Missing",input_iom_mgmt_nsxt_piuser)</f>
        <v>Value Missing</v>
      </c>
      <c r="S129" s="5"/>
      <c r="W129"/>
      <c r="X129"/>
    </row>
    <row r="130" spans="5:24" s="3" customFormat="1" ht="20" customHeight="1">
      <c r="E130" s="21" t="s">
        <v>3495</v>
      </c>
      <c r="F130" s="18" t="str">
        <f>IF(wld_cl02_vds_profile&lt;&gt;"Custom","Route Based on Physicial Nic Load","Value Missing")</f>
        <v>Route Based on Physicial Nic Load</v>
      </c>
      <c r="N130" s="26" t="s">
        <v>1571</v>
      </c>
      <c r="O130" s="18" t="str">
        <f>IF(ISBLANK(input_mgmt_srm_recovery_t1_si_ip),"Value Missing",input_mgmt_srm_recovery_t1_si_ip)</f>
        <v>Value Missing</v>
      </c>
      <c r="Q130" s="21" t="s">
        <v>1034</v>
      </c>
      <c r="R130" s="18" t="str" cm="1">
        <f t="array" ref="R130">IF(ISBLANK(input_iom_wld_nsxt_piuser),"Value Missing",input_iom_wld_nsxt_piuser)</f>
        <v>Value Missing</v>
      </c>
      <c r="S130" s="5"/>
    </row>
    <row r="131" spans="5:24" s="3" customFormat="1" ht="20" customHeight="1">
      <c r="E131" s="21" t="s">
        <v>3486</v>
      </c>
      <c r="F131" s="18" t="str">
        <f>IF(wld_cl02_vds_profile="Default","Management, vMotion, vSan, Overlay",IF(wld_cl02_vds_profile="Storage Traffic Separation","Management, vMotion, Overlay",IF(wld_cl02_vds_profile="NSX Traffic Separation","Management, vMotion, vSan",IF(wld_cl02_vds_profile="Storage Traffic and NSX Traffic Separation","Management, vMotion","Value Missing"))))</f>
        <v>Management, vMotion, vSan, Overlay</v>
      </c>
      <c r="H131" s="427" t="s">
        <v>1424</v>
      </c>
      <c r="I131" s="426"/>
      <c r="N131"/>
      <c r="O131"/>
      <c r="Q131" s="21" t="s">
        <v>1347</v>
      </c>
      <c r="R131" s="18" t="str">
        <f>IF(ISBLANK(input_xreg_vrops_root_password_alias),"Value Missing",input_xreg_vrops_root_password_alias)</f>
        <v>Value Missing</v>
      </c>
      <c r="S131" s="5"/>
    </row>
    <row r="132" spans="5:24" s="3" customFormat="1" ht="20" customHeight="1">
      <c r="E132" s="8" t="s">
        <v>3497</v>
      </c>
      <c r="F132" s="20" t="s">
        <v>555</v>
      </c>
      <c r="H132" s="8" t="s">
        <v>735</v>
      </c>
      <c r="I132" s="20" t="s">
        <v>555</v>
      </c>
      <c r="N132" s="51" t="s">
        <v>1572</v>
      </c>
      <c r="O132" s="51"/>
      <c r="Q132" s="21" t="s">
        <v>748</v>
      </c>
      <c r="R132" s="18" t="str">
        <f>IF(ISBLANK(input_xreg_vrops_root_password),"Value Missing",input_xreg_vrops_root_password)</f>
        <v>Value Missing</v>
      </c>
      <c r="S132" s="5"/>
    </row>
    <row r="133" spans="5:24" s="3" customFormat="1" ht="20" customHeight="1">
      <c r="E133" s="21" t="s">
        <v>1270</v>
      </c>
      <c r="F133" s="18" t="str">
        <f>IF(ISBLANK(input_wld_cl02_vds02_name),"Value Missing",input_wld_cl02_vds02_name)</f>
        <v>Value Missing</v>
      </c>
      <c r="H133" s="21" t="s">
        <v>785</v>
      </c>
      <c r="I133" s="18" t="str">
        <f>IF(ISBLANK(input_svc_vcf_ca_vvd_password),"Value Missing",input_svc_vcf_ca_vvd_password)</f>
        <v>Value Missing</v>
      </c>
      <c r="N133" s="8" t="s">
        <v>735</v>
      </c>
      <c r="O133" s="20" t="s">
        <v>555</v>
      </c>
      <c r="Q133" s="21" t="s">
        <v>4610</v>
      </c>
      <c r="R133" s="18" t="str">
        <f>IF(ISBLANK(input_xreg_vrops_appliance_size),"Value Missing",input_xreg_vrops_appliance_size)</f>
        <v>Medium</v>
      </c>
      <c r="S133" s="5"/>
    </row>
    <row r="134" spans="5:24" s="3" customFormat="1" ht="20" customHeight="1">
      <c r="E134" s="110" t="s">
        <v>3502</v>
      </c>
      <c r="F134" s="18" t="str">
        <f>IF(input_wld_cl02_vds02_pnics="","Value Missing",input_wld_cl02_vds02_pnics)</f>
        <v>Value Missing</v>
      </c>
      <c r="H134" s="21" t="s">
        <v>1429</v>
      </c>
      <c r="I134" s="18" t="str">
        <f>IF(ISBLANK(input_child_svc_wsa_ad_password),"Value Missing",input_child_svc_wsa_ad_password)</f>
        <v>Value Missing</v>
      </c>
      <c r="N134" s="26" t="s">
        <v>1566</v>
      </c>
      <c r="O134" s="18" t="str">
        <f>IF(ISBLANK(input_wld_vrms_mgmt_ip),"Value Missing",input_wld_vrms_mgmt_ip)</f>
        <v>Value Missing</v>
      </c>
      <c r="Q134" s="21" t="s">
        <v>4611</v>
      </c>
      <c r="R134" s="18" t="str">
        <f>IF(ISBLANK(input_xreg_vrops_rc_size),"Value Missing",input_xreg_vrops_rc_size)</f>
        <v>Small</v>
      </c>
      <c r="S134" s="5"/>
    </row>
    <row r="135" spans="5:24" s="3" customFormat="1" ht="20" customHeight="1">
      <c r="E135" s="21" t="s">
        <v>3481</v>
      </c>
      <c r="F135" s="18" t="str">
        <f>IF(input_wld_cl02_vds01_mtu="","Value Missing",input_wld_cl02_vds01_mtu)</f>
        <v>Value Missing</v>
      </c>
      <c r="H135" s="21" t="s">
        <v>1170</v>
      </c>
      <c r="I135" s="18" t="str">
        <f>IF(ISBLANK(input_child_svc_vsphere_ad_password),"Value Missing",input_child_svc_vsphere_ad_password)</f>
        <v>Value Missing</v>
      </c>
      <c r="N135" s="26" t="s">
        <v>1567</v>
      </c>
      <c r="O135" s="18" t="str">
        <f>IF(ISBLANK(input_wld_vrms_vrms_ip),"Value Missing",input_wld_vrms_vrms_ip)</f>
        <v>Value Missing</v>
      </c>
      <c r="Q135" s="21" t="s">
        <v>3220</v>
      </c>
      <c r="R135" s="18" t="str">
        <f>IF(ISBLANK(input_xreg_vrops_vm_folder),"Value Missing",input_xreg_vrops_vm_folder)</f>
        <v>Value Missing</v>
      </c>
      <c r="S135" s="5"/>
    </row>
    <row r="136" spans="5:24" s="3" customFormat="1" ht="20" customHeight="1">
      <c r="E136" s="21" t="s">
        <v>3483</v>
      </c>
      <c r="F136" s="18" t="str">
        <f>IF(input_wld_cl02_vds_profile="Default","Value Missing",IF(wld_cl02_vds_profile&lt;&gt;"Custom","Route Based on Physical Nic Load","Value Missing"))</f>
        <v>Value Missing</v>
      </c>
      <c r="H136" s="21" t="s">
        <v>1433</v>
      </c>
      <c r="I136" s="18" t="str">
        <f>IF(ISBLANK(input_child_svc_nsx_ad_password),"Value Missing",input_child_svc_nsx_ad_password)</f>
        <v>Value Missing</v>
      </c>
      <c r="N136" s="26" t="s">
        <v>1569</v>
      </c>
      <c r="O136" s="18" t="str">
        <f>IF(ISBLANK(input_wld_srm_ip),"Value Missing",input_wld_srm_ip)</f>
        <v>Value Missing</v>
      </c>
      <c r="Q136" s="21" t="s">
        <v>3221</v>
      </c>
      <c r="R136" s="18" t="str">
        <f>CONCATENATE(mgmt_sddc_domain,"-fd-operations")</f>
        <v>Value Missing-fd-operations</v>
      </c>
      <c r="S136" s="5"/>
    </row>
    <row r="137" spans="5:24" s="3" customFormat="1" ht="20" customHeight="1">
      <c r="E137" s="21" t="s">
        <v>3485</v>
      </c>
      <c r="F137" s="18" t="str">
        <f>IF(wld_cl02_vds_profile="Default","Value Missing",IF(wld_cl02_vds_profile="Storage Traffic Separation","vSAN",IF(wld_cl02_vds_profile="NSX Traffic Separation","Overlay",IF(wld_cl02_vds_profile="Storage Traffic and NSX Traffic Separation","vSAN","Value Missing"))))</f>
        <v>Value Missing</v>
      </c>
      <c r="H137" s="21" t="s">
        <v>1435</v>
      </c>
      <c r="I137" s="18" t="str">
        <f>IF(ISBLANK(input_administrator_vsphere_local_password),"Value Missing",input_administrator_vsphere_local_password)</f>
        <v>Value Missing</v>
      </c>
      <c r="Q137" s="21" t="s">
        <v>3377</v>
      </c>
      <c r="R137" s="18" t="str">
        <f>IF(ISBLANK(input_mgmt_sddc_domain),"Value Missing",CONCATENATE(input_mgmt_sddc_domain,"-collector-group"))</f>
        <v>Value Missing</v>
      </c>
      <c r="S137" s="5"/>
    </row>
    <row r="138" spans="5:24" s="3" customFormat="1" ht="20" customHeight="1">
      <c r="E138" s="8" t="s">
        <v>3503</v>
      </c>
      <c r="F138" s="20" t="s">
        <v>555</v>
      </c>
      <c r="H138" s="21" t="s">
        <v>1437</v>
      </c>
      <c r="I138" s="18" t="str">
        <f>IF(ISBLANK(input_administrator_vsphere_local_password),"Value Missing",input_administrator_vsphere_local_password)</f>
        <v>Value Missing</v>
      </c>
      <c r="N138" s="51" t="s">
        <v>1450</v>
      </c>
      <c r="O138" s="51"/>
      <c r="Q138" s="21" t="s">
        <v>1462</v>
      </c>
      <c r="R138" s="18" t="s">
        <v>1463</v>
      </c>
      <c r="S138" s="5"/>
    </row>
    <row r="139" spans="5:24" s="3" customFormat="1" ht="20" customHeight="1">
      <c r="E139" s="21" t="s">
        <v>3478</v>
      </c>
      <c r="F139" s="18" t="str">
        <f>IF(ISBLANK(input_wld_cl02_vds03_name),"Value Missing",input_wld_cl02_vds03_name)</f>
        <v>Value Missing</v>
      </c>
      <c r="H139" s="21" t="s">
        <v>1439</v>
      </c>
      <c r="I139" s="18" t="str">
        <f>IF(ISBLANK(input_nsxt_lm_admin_password),"Value Missing",input_nsxt_lm_admin_password)</f>
        <v>Value Missing</v>
      </c>
      <c r="N139" s="8" t="s">
        <v>735</v>
      </c>
      <c r="O139" s="20" t="s">
        <v>555</v>
      </c>
      <c r="Q139" s="21" t="s">
        <v>3582</v>
      </c>
      <c r="R139" s="18" t="s">
        <v>3581</v>
      </c>
      <c r="S139" s="5"/>
    </row>
    <row r="140" spans="5:24" s="3" customFormat="1" ht="20" customHeight="1">
      <c r="E140" s="21" t="s">
        <v>3504</v>
      </c>
      <c r="F140" s="18" t="str">
        <f>IF(input_wld_cl02_vds03_pnics="","Value Missing",input_wld_cl02_vds03_pnics)</f>
        <v>Value Missing</v>
      </c>
      <c r="H140" s="21" t="s">
        <v>1172</v>
      </c>
      <c r="I140" s="18" t="str">
        <f>IF(ISBLANK(input_svc_vrops_vra_password),"Value Missing",input_svc_vrops_vra_password)</f>
        <v>Value Missing</v>
      </c>
      <c r="N140" s="26" t="s">
        <v>548</v>
      </c>
      <c r="O140" s="18" t="str">
        <f>IF(ISBLANK(input_mgmt_vrms_hostname),"Value Missing",input_mgmt_vrms_hostname)</f>
        <v>Value Missing</v>
      </c>
      <c r="Q140" s="21" t="s">
        <v>3585</v>
      </c>
      <c r="R140" s="18" t="s">
        <v>3584</v>
      </c>
      <c r="S140" s="5"/>
    </row>
    <row r="141" spans="5:24" s="3" customFormat="1" ht="20" customHeight="1">
      <c r="E141" s="21" t="s">
        <v>3481</v>
      </c>
      <c r="F141" s="18" t="str">
        <f>IF(input_wld_cl02_vds01_mtu="","Value Missing",input_wld_cl02_vds01_mtu)</f>
        <v>Value Missing</v>
      </c>
      <c r="H141" s="21" t="s">
        <v>1445</v>
      </c>
      <c r="I141" s="18" t="str">
        <f>IF(ISBLANK(input_vrslcm_xreg_env_password),"Value Missing",input_vrslcm_xreg_env_password)</f>
        <v>Value Missing</v>
      </c>
      <c r="N141" s="26" t="s">
        <v>717</v>
      </c>
      <c r="O141" s="18" t="str">
        <f>IF(ISBLANK(input_mgmt_srm_hostname),"Value Missing",input_mgmt_srm_hostname)</f>
        <v>Value Missing</v>
      </c>
      <c r="Q141" s="21" t="s">
        <v>3586</v>
      </c>
      <c r="R141" s="18" t="s">
        <v>4612</v>
      </c>
      <c r="S141" s="5"/>
    </row>
    <row r="142" spans="5:24" s="3" customFormat="1" ht="20" customHeight="1">
      <c r="E142" s="21" t="s">
        <v>3505</v>
      </c>
      <c r="F142" s="18" t="str">
        <f>IF(input_wld_cl02_vds_profile&lt;&gt;"Storage Traffic and NSX Traffic Separation","Value Missing","Route Based on Physical Nic Load")</f>
        <v>Value Missing</v>
      </c>
      <c r="H142" s="21" t="s">
        <v>1174</v>
      </c>
      <c r="I142" s="18" t="str">
        <f>IF(ISBLANK(input_svc_vra_vsphere_password),"Value Missing",input_svc_vra_vsphere_password)</f>
        <v>Value Missing</v>
      </c>
      <c r="Q142" s="21" t="s">
        <v>3583</v>
      </c>
      <c r="R142" s="18" t="s">
        <v>3588</v>
      </c>
      <c r="S142" s="5"/>
    </row>
    <row r="143" spans="5:24" s="3" customFormat="1" ht="20" customHeight="1">
      <c r="E143" s="21" t="s">
        <v>3506</v>
      </c>
      <c r="F143" s="18" t="str">
        <f>IF(wld_cl02_vds_profile="Default","Value Missing",IF(wld_cl02_vds_profile="Storage Traffic Separation","Value Missing",IF(wld_cl02_vds_profile="NSX Traffic Separation","Value Missing",IF(wld_cl02_vds_profile="Storage Traffic and NSX Traffic Separation","Overlay","Value Missing"))))</f>
        <v>Value Missing</v>
      </c>
      <c r="H143" s="21" t="s">
        <v>1175</v>
      </c>
      <c r="I143" s="18" t="str">
        <f>IF(ISBLANK(input_svc_vra_nsx_password),"Value Missing",input_svc_vra_nsx_password)</f>
        <v>Value Missing</v>
      </c>
      <c r="N143" s="51" t="s">
        <v>1456</v>
      </c>
      <c r="O143" s="51"/>
      <c r="Q143" s="21" t="s">
        <v>3604</v>
      </c>
      <c r="R143" s="18" t="str">
        <f>CONCATENATE(mgmt_sddc_domain,"-vm-group-operations-proxies")</f>
        <v>Value Missing-vm-group-operations-proxies</v>
      </c>
      <c r="S143" s="5"/>
    </row>
    <row r="144" spans="5:24" s="3" customFormat="1" ht="20" customHeight="1">
      <c r="E144"/>
      <c r="F144"/>
      <c r="H144" s="21" t="s">
        <v>1176</v>
      </c>
      <c r="I144" s="18" t="str">
        <f>IF(ISBLANK(input_svc_vra_vcf_password),"Value Missing",input_svc_vra_vcf_password)</f>
        <v>Value Missing</v>
      </c>
      <c r="N144" s="8" t="s">
        <v>735</v>
      </c>
      <c r="O144" s="20" t="s">
        <v>555</v>
      </c>
      <c r="Q144" s="21" t="s">
        <v>1461</v>
      </c>
      <c r="R144" s="18" t="str">
        <f>CONCATENATE(prefix_portable_component,"-vm-group-operations")</f>
        <v>xint-vm-group-operations</v>
      </c>
      <c r="S144" s="5"/>
    </row>
    <row r="145" spans="5:24" s="3" customFormat="1" ht="20" customHeight="1">
      <c r="E145" s="68" t="s">
        <v>4173</v>
      </c>
      <c r="F145" s="73"/>
      <c r="H145" s="21" t="s">
        <v>1178</v>
      </c>
      <c r="I145" s="18" t="str">
        <f>IF(ISBLANK(input_svc_vra_vrops_password),"Value Missing",input_svc_vra_vrops_password)</f>
        <v>Value Missing</v>
      </c>
      <c r="N145" s="26" t="s">
        <v>548</v>
      </c>
      <c r="O145" s="18" t="str">
        <f>IF(ISBLANK(input_wld_vrms_hostname),"Value Missing",input_wld_vrms_hostname)</f>
        <v>Value Missing</v>
      </c>
      <c r="Q145" s="21" t="s">
        <v>1465</v>
      </c>
      <c r="R145" s="18" t="s">
        <v>3222</v>
      </c>
      <c r="S145" s="5"/>
    </row>
    <row r="146" spans="5:24" s="3" customFormat="1" ht="20" customHeight="1">
      <c r="E146" s="8" t="s">
        <v>735</v>
      </c>
      <c r="F146" s="20" t="s">
        <v>491</v>
      </c>
      <c r="H146" s="21" t="s">
        <v>1177</v>
      </c>
      <c r="I146" s="18" t="str">
        <f>IF(ISBLANK(input_svc_vro_vsphere_password),"Value Missing",input_svc_vro_vsphere_password)</f>
        <v>Value Missing</v>
      </c>
      <c r="N146" s="26" t="s">
        <v>717</v>
      </c>
      <c r="O146" s="18" t="str">
        <f>IF(ISBLANK(input_wld_srm_hostname),"Value Missing",input_wld_srm_hostname)</f>
        <v>Value Missing</v>
      </c>
      <c r="Q146" s="21" t="s">
        <v>1466</v>
      </c>
      <c r="R146" s="18" t="s">
        <v>3223</v>
      </c>
      <c r="S146" s="5"/>
    </row>
    <row r="147" spans="5:24" s="3" customFormat="1" ht="20" customHeight="1">
      <c r="E147" s="21" t="s">
        <v>4167</v>
      </c>
      <c r="F147" s="18" t="str">
        <f>IF(ISBLANK(input_wld_cl02_vsan_datastore),"Value Missing",input_wld_cl02_vsan_datastore)</f>
        <v/>
      </c>
      <c r="Q147" s="21" t="s">
        <v>1035</v>
      </c>
      <c r="R147" s="18" t="str">
        <f>IF(ISBLANK(input_xreg_vrops_currency),"Value Missing",input_xreg_vrops_currency)</f>
        <v>Value Missing</v>
      </c>
      <c r="S147" s="5"/>
    </row>
    <row r="148" spans="5:24" s="3" customFormat="1" ht="20" customHeight="1">
      <c r="E148" s="21" t="s">
        <v>933</v>
      </c>
      <c r="F148" s="18" t="str">
        <f>IF(ISBLANK(input_wld_cl02_vsan_ftt),"Value Missing",input_wld_cl02_vsan_ftt)</f>
        <v>Value Missing</v>
      </c>
      <c r="H148" s="51" t="s">
        <v>1472</v>
      </c>
      <c r="I148" s="51"/>
      <c r="N148" s="51" t="s">
        <v>1561</v>
      </c>
      <c r="O148" s="51"/>
      <c r="Q148" s="21" t="s">
        <v>1015</v>
      </c>
      <c r="R148" s="18" t="str">
        <f>IF(ISBLANK(input_xreg_vrops_smtp_sender_name),"Value Missing",input_xreg_vrops_smtp_sender_name)</f>
        <v>Value Missing</v>
      </c>
      <c r="S148" s="5"/>
    </row>
    <row r="149" spans="5:24" s="3" customFormat="1" ht="20" customHeight="1">
      <c r="E149" s="21" t="s">
        <v>4168</v>
      </c>
      <c r="F149" s="18" t="str">
        <f>IF(ISBLANK(input_wld_cl02_vsan_dedupe_compression),"Value Missing",input_wld_cl02_vsan_dedupe_compression)</f>
        <v>Value Missing</v>
      </c>
      <c r="H149" s="8" t="s">
        <v>735</v>
      </c>
      <c r="I149" s="20" t="s">
        <v>555</v>
      </c>
      <c r="N149" s="8" t="s">
        <v>735</v>
      </c>
      <c r="O149" s="20" t="s">
        <v>555</v>
      </c>
      <c r="Q149" s="21" t="s">
        <v>1017</v>
      </c>
      <c r="R149" s="18" t="str">
        <f>IF(ISBLANK(input_xreg_vrops_smtp_sender_email_address),"Value Missing",input_xreg_vrops_smtp_sender_email_address)</f>
        <v>Value Missing</v>
      </c>
      <c r="S149" s="5"/>
    </row>
    <row r="150" spans="5:24" s="3" customFormat="1" ht="20" customHeight="1">
      <c r="E150" s="21" t="s">
        <v>4170</v>
      </c>
      <c r="F150" s="18" t="str">
        <f>IF(ISBLANK(input_wld_cl02_nfs_datastore_name),"Value Missing",input_wld_cl02_nfs_datastore_name)</f>
        <v>Value Missing</v>
      </c>
      <c r="H150" s="21" t="s">
        <v>1170</v>
      </c>
      <c r="I150" s="18" t="str">
        <f>IF(ISBLANK('Active Directory Inputs'!E22),"Value Missing",'Active Directory Inputs'!E22)</f>
        <v>Value Missing</v>
      </c>
      <c r="N150" s="26" t="s">
        <v>548</v>
      </c>
      <c r="O150" s="18" t="str">
        <f>(CONCATENATE(mgmt_vrms_hostname,".",child_dns_zone))</f>
        <v>Value Missing.Value Missing</v>
      </c>
      <c r="Q150" s="21" t="s">
        <v>1036</v>
      </c>
      <c r="R150" s="18" t="str">
        <f>IF(ISBLANK(input_xreg_vrops_smtp_receiver_email_address),"Value Missing",input_xreg_vrops_smtp_receiver_email_address)</f>
        <v>Value Missing</v>
      </c>
      <c r="S150" s="5"/>
    </row>
    <row r="151" spans="5:24" s="3" customFormat="1" ht="20" customHeight="1">
      <c r="E151" s="21" t="s">
        <v>4171</v>
      </c>
      <c r="F151" s="18" t="str">
        <f>IF(ISBLANK(input_wld_cl02_nfs_server_address),"Value Missing",input_wld_cl02_nfs_server_address)</f>
        <v>Value Missing</v>
      </c>
      <c r="H151" s="21" t="s">
        <v>1168</v>
      </c>
      <c r="I151" s="18" t="str">
        <f>IF(ISBLANK('Active Directory Inputs'!E23),"Value Missing",'Active Directory Inputs'!E23)</f>
        <v>Value Missing</v>
      </c>
      <c r="N151" s="26" t="s">
        <v>717</v>
      </c>
      <c r="O151" s="18" t="str">
        <f>(CONCATENATE(mgmt_srm_hostname,".",child_dns_zone))</f>
        <v>Value Missing.Value Missing</v>
      </c>
      <c r="Q151" s="21" t="s">
        <v>1037</v>
      </c>
      <c r="R151" s="18" t="str">
        <f>IF(ISBLANK(input_xreg_vrops_notification_interval),"Value Missing",input_xreg_vrops_notification_interval)</f>
        <v>Value Missing</v>
      </c>
      <c r="S151" s="5"/>
    </row>
    <row r="152" spans="5:24" s="3" customFormat="1" ht="20" customHeight="1">
      <c r="E152" s="21" t="s">
        <v>4172</v>
      </c>
      <c r="F152" s="18" t="str">
        <f>IF(ISBLANK(input_wld_cl02_nfs_share_path),"Value Missing",input_wld_cl02_nfs_share_path)</f>
        <v>Value Missing</v>
      </c>
      <c r="N152"/>
      <c r="O152"/>
      <c r="Q152" s="21" t="s">
        <v>1038</v>
      </c>
      <c r="R152" s="18" t="str">
        <f>IF(ISBLANK(input_xreg_vrops_notification_max),"Value Missing",input_xreg_vrops_notification_max)</f>
        <v>Value Missing</v>
      </c>
      <c r="S152" s="5"/>
    </row>
    <row r="153" spans="5:24" s="3" customFormat="1" ht="20" customHeight="1">
      <c r="H153" s="51" t="s">
        <v>1185</v>
      </c>
      <c r="I153" s="51"/>
      <c r="N153" s="51" t="s">
        <v>1563</v>
      </c>
      <c r="O153" s="51"/>
      <c r="Q153" s="21" t="s">
        <v>1039</v>
      </c>
      <c r="R153" s="18" t="str">
        <f>IF(ISBLANK(input_xreg_vrops_notification_delay),"Value Missing",input_xreg_vrops_notification_delay)</f>
        <v>Value Missing</v>
      </c>
      <c r="S153" s="5"/>
      <c r="W153"/>
      <c r="X153"/>
    </row>
    <row r="154" spans="5:24" s="3" customFormat="1" ht="20" customHeight="1">
      <c r="E154" s="68" t="s">
        <v>4106</v>
      </c>
      <c r="F154" s="73"/>
      <c r="H154" s="8" t="s">
        <v>735</v>
      </c>
      <c r="I154" s="20" t="s">
        <v>555</v>
      </c>
      <c r="N154" s="8" t="s">
        <v>735</v>
      </c>
      <c r="O154" s="20" t="s">
        <v>555</v>
      </c>
      <c r="Q154" s="21" t="s">
        <v>3384</v>
      </c>
      <c r="R154" s="18" t="str">
        <f>IF(ISBLANK(input_mgmt_sddc_domain),"Value Missing",CONCATENATE("vRSLCM_VCF_VC Adapter Instance for ",mgmt_sddc_domain,".",child_dns_zone))</f>
        <v>Value Missing</v>
      </c>
      <c r="S154" s="5"/>
    </row>
    <row r="155" spans="5:24" s="3" customFormat="1" ht="20" customHeight="1">
      <c r="E155" s="8" t="s">
        <v>735</v>
      </c>
      <c r="F155" s="20" t="s">
        <v>491</v>
      </c>
      <c r="H155" s="21" t="str">
        <f>IF(ISBLANK('Active Directory Inputs'!D79),"Value Missing",'Active Directory Inputs'!D79)</f>
        <v>gg-kub-admins</v>
      </c>
      <c r="I155" s="18" t="str">
        <f>IF(ISBLANK('Active Directory Inputs'!E79),"Value Missing",'Active Directory Inputs'!E79)</f>
        <v>Value Missing</v>
      </c>
      <c r="N155" s="26" t="s">
        <v>548</v>
      </c>
      <c r="O155" s="18" t="str">
        <f>(CONCATENATE(wld_srm_hostname,".",child_dns_zone))</f>
        <v>Value Missing.Value Missing</v>
      </c>
      <c r="Q155" s="21" t="s">
        <v>3385</v>
      </c>
      <c r="R155" s="18" t="str">
        <f>IF(ISBLANK(input_mgmt_sddc_domain),"Value Missing",CONCATENATE("vRSLCM_VCF_VC Credential for ",mgmt_sddc_domain,".",child_dns_zone))</f>
        <v>Value Missing</v>
      </c>
      <c r="S155" s="5"/>
    </row>
    <row r="156" spans="5:24" s="3" customFormat="1" ht="20" customHeight="1">
      <c r="E156" s="21" t="s">
        <v>3494</v>
      </c>
      <c r="F156" s="18" t="str">
        <f>IF(ISBLANK(input_wld_cl03_vds_profile),"Value Missing",input_wld_cl03_vds_profile)</f>
        <v>Default</v>
      </c>
      <c r="H156" s="21" t="str">
        <f>IF(ISBLANK('Active Directory Inputs'!D80),"Value Missing",'Active Directory Inputs'!D80)</f>
        <v>gg-kub-readonly</v>
      </c>
      <c r="I156" s="18" t="str">
        <f>IF(ISBLANK('Active Directory Inputs'!E80),"Value Missing",'Active Directory Inputs'!E80)</f>
        <v>Value Missing</v>
      </c>
      <c r="N156" s="26" t="s">
        <v>717</v>
      </c>
      <c r="O156" s="18" t="str">
        <f>(CONCATENATE(wld_srm_hostname,".",child_dns_zone))</f>
        <v>Value Missing.Value Missing</v>
      </c>
      <c r="Q156" s="21" t="s">
        <v>3383</v>
      </c>
      <c r="R156" s="18" t="str">
        <f>IF(ISBLANK(input_mgmt_sddc_domain),"Value Missing",CONCATENATE("vRSLCM_VCF_VSAN Adapter Instance for ",mgmt_sddc_domain,".",child_dns_zone))</f>
        <v>Value Missing</v>
      </c>
      <c r="S156" s="5"/>
    </row>
    <row r="157" spans="5:24" s="3" customFormat="1" ht="20" customHeight="1">
      <c r="E157" s="8" t="s">
        <v>3496</v>
      </c>
      <c r="F157" s="20" t="s">
        <v>555</v>
      </c>
      <c r="H157" s="21" t="s">
        <v>1476</v>
      </c>
      <c r="I157" s="18" t="str">
        <f>IF(ISBLANK(input_parent_gg_wsa_admins_group),"Value Missing",input_parent_gg_wsa_admins_group)</f>
        <v>Value Missing</v>
      </c>
      <c r="N157"/>
      <c r="O157"/>
      <c r="Q157" s="21" t="s">
        <v>3386</v>
      </c>
      <c r="R157" s="18" t="str">
        <f>IF(ISBLANK(input_mgmt_sddc_domain),"Value Missing",CONCATENATE("vRSLCM_VCF_VSAN Credential for ",mgmt_sddc_domain,".",child_dns_zone))</f>
        <v>Value Missing</v>
      </c>
      <c r="S157" s="5"/>
    </row>
    <row r="158" spans="5:24" s="3" customFormat="1" ht="20" customHeight="1">
      <c r="E158" s="21" t="s">
        <v>792</v>
      </c>
      <c r="F158" s="18" t="str">
        <f>IF(ISBLANK(input_wld_cl03_vds01_name),"Value Missing",input_wld_cl03_vds01_name)</f>
        <v>Value Missing</v>
      </c>
      <c r="H158" s="21" t="s">
        <v>1477</v>
      </c>
      <c r="I158" s="18" t="str">
        <f>IF(ISBLANK(input_parent_gg_wsa_directory_admins_group),"Value Missing",input_parent_gg_wsa_directory_admins_group)</f>
        <v>Value Missing</v>
      </c>
      <c r="N158" s="51" t="s">
        <v>3686</v>
      </c>
      <c r="O158" s="73"/>
      <c r="Q158" s="21" t="s">
        <v>1467</v>
      </c>
      <c r="R158" s="18" t="str">
        <f>IF(ISBLANK(input_mgmt_existing_vc_fqdn),"Value Missing",input_mgmt_existing_vc_fqdn)</f>
        <v>Value Missing</v>
      </c>
      <c r="S158" s="5"/>
    </row>
    <row r="159" spans="5:24" s="3" customFormat="1" ht="20" customHeight="1">
      <c r="E159" s="110" t="s">
        <v>3501</v>
      </c>
      <c r="F159" s="18" t="str">
        <f>IF(ISBLANK(input_wld_cl03_vds01_pnics),"Value Missing",input_wld_cl03_vds01_pnics)</f>
        <v>vmnic0,vmnic1</v>
      </c>
      <c r="H159" s="21" t="s">
        <v>1478</v>
      </c>
      <c r="I159" s="18" t="str">
        <f>IF(ISBLANK(input_parent_gg_wsa_read_only_group),"Value Missing",input_parent_gg_wsa_read_only_group)</f>
        <v>Value Missing</v>
      </c>
      <c r="N159" s="8" t="s">
        <v>735</v>
      </c>
      <c r="O159" s="20" t="s">
        <v>555</v>
      </c>
      <c r="Q159" s="21" t="s">
        <v>4869</v>
      </c>
      <c r="R159" s="18" t="str">
        <f>IF(ISBLANK(input_xreg_vrops_existing_nodea_hostname),"Value Missing",input_xreg_vrops_existing_nodea_hostname)</f>
        <v>Value Missing</v>
      </c>
      <c r="S159" s="5"/>
    </row>
    <row r="160" spans="5:24" s="3" customFormat="1" ht="20" customHeight="1">
      <c r="E160" s="21" t="s">
        <v>3481</v>
      </c>
      <c r="F160" s="18" t="str">
        <f>IF(ISBLANK(input_wld_cl03_vds01_mtu),"Value Missing",input_wld_cl03_vds01_mtu)</f>
        <v>Value Missing</v>
      </c>
      <c r="H160" s="21" t="s">
        <v>1189</v>
      </c>
      <c r="I160" s="18" t="str">
        <f>IF(ISBLANK('Active Directory Inputs'!E58),"Value Missing",'Active Directory Inputs'!E58)</f>
        <v>Value Missing</v>
      </c>
      <c r="N160" s="52" t="s">
        <v>3683</v>
      </c>
      <c r="O160" s="18" t="str">
        <f>IF(ISBLANK(input_xreg_vrni_nodea_ip),"Value Missing",input_xreg_vrni_nodea_ip)</f>
        <v>Value Missing</v>
      </c>
      <c r="Q160" s="21" t="s">
        <v>4870</v>
      </c>
      <c r="R160" s="18" t="str">
        <f>IF(ISBLANK(input_xreg_vrops_existing_nodeb_hostname),"Value Missing",input_xreg_vrops_existing_nodeb_hostname)</f>
        <v>Value Missing</v>
      </c>
      <c r="S160" s="5"/>
      <c r="W160"/>
      <c r="X160"/>
    </row>
    <row r="161" spans="5:30" s="3" customFormat="1" ht="20" customHeight="1">
      <c r="E161" s="21" t="s">
        <v>3495</v>
      </c>
      <c r="F161" s="18" t="str">
        <f>IF(wld_cl03_vds_profile&lt;&gt;"Custom","Route Based on Physicial Nic Load","Value Missing")</f>
        <v>Route Based on Physicial Nic Load</v>
      </c>
      <c r="H161" s="21" t="s">
        <v>1479</v>
      </c>
      <c r="I161" s="18" t="str">
        <f>IF(ISBLANK('Active Directory Inputs'!E59),"Value Missing",'Active Directory Inputs'!E59)</f>
        <v>Value Missing</v>
      </c>
      <c r="N161" s="52" t="s">
        <v>3684</v>
      </c>
      <c r="O161" s="18" t="str">
        <f>IF(ISBLANK(input_region_vrni_nodea_ip),"Value Missing",input_region_vrni_nodea_ip)</f>
        <v>Value Missing</v>
      </c>
      <c r="Q161" s="21" t="s">
        <v>4871</v>
      </c>
      <c r="R161" s="18" t="str">
        <f>IF(ISBLANK(input_xreg_vrops_existing_nodec_hostname),"Value Missing",input_xreg_vrops_existing_nodec_hostname)</f>
        <v>Value Missing</v>
      </c>
      <c r="S161" s="5"/>
    </row>
    <row r="162" spans="5:30" s="3" customFormat="1" ht="20" customHeight="1">
      <c r="E162" s="21" t="s">
        <v>3486</v>
      </c>
      <c r="F162" s="18" t="str">
        <f>IF(wld_cl03_vds_profile="Default","Management, vMotion, vSan, Overlay",IF(wld_cl03_vds_profile="Storage Traffic Separation","Management, vMotion, Overlay",IF(wld_cl03_vds_profile="NSX Traffic Separation","Management, vMotion, vSan",IF(wld_cl03_vds_profile="Storage Traffic and NSX Traffic Separation","Management, vMotion","Value Missing"))))</f>
        <v>Management, vMotion, vSan, Overlay</v>
      </c>
      <c r="H162" s="21" t="s">
        <v>1190</v>
      </c>
      <c r="I162" s="18" t="str">
        <f>IF(ISBLANK('Active Directory Inputs'!E60),"Value Missing",'Active Directory Inputs'!E60)</f>
        <v>Value Missing</v>
      </c>
      <c r="N162"/>
      <c r="O162"/>
      <c r="Q162" s="21" t="s">
        <v>4872</v>
      </c>
      <c r="R162" s="18" t="str">
        <f>IF(ISBLANK(input_region_vrops_existing_rca_hostname),"Value Missing",input_region_vrops_existing_rca_hostname)</f>
        <v>Value Missing</v>
      </c>
      <c r="S162" s="5"/>
    </row>
    <row r="163" spans="5:30" s="3" customFormat="1" ht="20" customHeight="1">
      <c r="E163" s="8" t="s">
        <v>3497</v>
      </c>
      <c r="F163" s="20" t="s">
        <v>555</v>
      </c>
      <c r="H163" s="21" t="s">
        <v>1201</v>
      </c>
      <c r="I163" s="18" t="str">
        <f>IF(ISBLANK('Active Directory Inputs'!E88),"Value Missing",'Active Directory Inputs'!E88)</f>
        <v>Value Missing</v>
      </c>
      <c r="N163" s="51" t="s">
        <v>3685</v>
      </c>
      <c r="O163" s="51"/>
      <c r="Q163" s="21" t="s">
        <v>4873</v>
      </c>
      <c r="R163" s="18" t="str">
        <f>IF(ISBLANK(input_region_vrops_existing_rcb_hostname),"Value Missing",input_region_vrops_existing_rcb_hostname)</f>
        <v>Value Missing</v>
      </c>
      <c r="S163" s="5"/>
    </row>
    <row r="164" spans="5:30" s="3" customFormat="1" ht="20" customHeight="1">
      <c r="E164" s="21" t="s">
        <v>1270</v>
      </c>
      <c r="F164" s="18" t="str">
        <f>IF(ISBLANK(input_wld_cl03_vds02_name),"Value Missing",input_wld_cl03_vds02_name)</f>
        <v>Value Missing</v>
      </c>
      <c r="H164" s="21" t="s">
        <v>1202</v>
      </c>
      <c r="I164" s="18" t="str">
        <f>IF(ISBLANK('Active Directory Inputs'!E89),"Value Missing",'Active Directory Inputs'!E89)</f>
        <v>Value Missing</v>
      </c>
      <c r="N164" s="8" t="s">
        <v>735</v>
      </c>
      <c r="O164" s="20" t="s">
        <v>555</v>
      </c>
      <c r="Q164" s="21" t="s">
        <v>4874</v>
      </c>
      <c r="R164" s="18" t="str">
        <f>IF(ISBLANK(input_xreg_vrops_existing_virtual_server_fqdn),"Value Missing",input_xreg_vrops_existing_virtual_server_fqdn)</f>
        <v>Value Missing</v>
      </c>
      <c r="S164" s="5"/>
    </row>
    <row r="165" spans="5:30" s="3" customFormat="1" ht="20" customHeight="1">
      <c r="E165" s="110" t="s">
        <v>3502</v>
      </c>
      <c r="F165" s="18" t="str">
        <f>IF(input_wld_cl03_vds02_pnics="","Value Missing",input_wld_cl03_vds02_pnics)</f>
        <v>Value Missing</v>
      </c>
      <c r="H165" s="21" t="s">
        <v>1203</v>
      </c>
      <c r="I165" s="18" t="str">
        <f>IF(ISBLANK('Active Directory Inputs'!E90),"Value Missing",'Active Directory Inputs'!E90)</f>
        <v>Value Missing</v>
      </c>
      <c r="N165" s="52" t="s">
        <v>3683</v>
      </c>
      <c r="O165" s="18" t="str">
        <f>IF(ISBLANK(input_xreg_vrni_nodea_hostname),"Value Missing",input_xreg_vrni_nodea_hostname)</f>
        <v>Value Missing</v>
      </c>
      <c r="Q165" s="21" t="s">
        <v>4875</v>
      </c>
      <c r="R165" s="18" t="str">
        <f>IF(ISBLANK(input_xreg_vrops_existing_nodea_fqdn),"Value Missing",input_xreg_vrops_existing_nodea_fqdn)</f>
        <v>Value Missing</v>
      </c>
      <c r="S165" s="5"/>
    </row>
    <row r="166" spans="5:30" s="3" customFormat="1" ht="20" customHeight="1">
      <c r="E166" s="21" t="s">
        <v>3481</v>
      </c>
      <c r="F166" s="18" t="str">
        <f>IF(input_wld_cl03_vds02_mtu="","Value Missing",input_wld_cl03_vds02_mtu)</f>
        <v>Value Missing</v>
      </c>
      <c r="H166" s="21" t="s">
        <v>1204</v>
      </c>
      <c r="I166" s="18" t="str">
        <f>IF(ISBLANK('Active Directory Inputs'!E83),"Value Missing",'Active Directory Inputs'!E83)</f>
        <v>Value Missing</v>
      </c>
      <c r="N166" s="52" t="s">
        <v>3684</v>
      </c>
      <c r="O166" s="18" t="str">
        <f>IF(ISBLANK(input_region_vrni_nodea_hostname),"Value Missing",input_region_vrni_nodea_hostname)</f>
        <v>Value Missing</v>
      </c>
      <c r="Q166" s="21" t="s">
        <v>4876</v>
      </c>
      <c r="R166" s="18" t="str">
        <f>IF(ISBLANK(input_xreg_vrops_existing_nodeb_fqdn),"Value Missing",input_xreg_vrops_existing_nodeb_fqdn)</f>
        <v>Value Missing</v>
      </c>
      <c r="S166" s="5"/>
    </row>
    <row r="167" spans="5:30" s="3" customFormat="1" ht="20" customHeight="1">
      <c r="E167" s="21" t="s">
        <v>3483</v>
      </c>
      <c r="F167" s="18" t="str">
        <f>IF(input_wld_cl03_vds_profile="Default","Value Missing",IF(wld_cl01_vds_profile&lt;&gt;"Custom","Route Based on Physical Nic Load","Value Missing"))</f>
        <v>Value Missing</v>
      </c>
      <c r="H167" s="21" t="s">
        <v>1205</v>
      </c>
      <c r="I167" s="18" t="str">
        <f>IF(ISBLANK('Active Directory Inputs'!E84),"Value Missing",'Active Directory Inputs'!E84)</f>
        <v>Value Missing</v>
      </c>
      <c r="N167" s="181"/>
      <c r="Q167" s="21" t="s">
        <v>4877</v>
      </c>
      <c r="R167" s="18" t="str">
        <f>IF(ISBLANK(input_xreg_vrops_existing_nodec_fqdn),"Value Missing",input_xreg_vrops_existing_nodec_fqdn)</f>
        <v>Value Missing</v>
      </c>
      <c r="S167" s="5"/>
    </row>
    <row r="168" spans="5:30" s="3" customFormat="1" ht="20" customHeight="1">
      <c r="E168" s="21" t="s">
        <v>3485</v>
      </c>
      <c r="F168" s="18" t="str">
        <f>IF(wld_cl03_vds_profile="Default","Value Missing",IF(wld_cl03_vds_profile="Storage Traffic Separation","vSAN",IF(wld_cl03_vds_profile="NSX Traffic Separation","Overlay",IF(wld_cl03_vds_profile="Storage Traffic and NSX Traffic Separation","vSAN","Value Missing"))))</f>
        <v>Value Missing</v>
      </c>
      <c r="H168" s="21" t="s">
        <v>1206</v>
      </c>
      <c r="I168" s="18" t="str">
        <f>IF(ISBLANK('Active Directory Inputs'!E85),"Value Missing",'Active Directory Inputs'!E85)</f>
        <v>Value Missing</v>
      </c>
      <c r="N168" s="180" t="s">
        <v>3682</v>
      </c>
      <c r="O168" s="180"/>
      <c r="Q168" s="21" t="s">
        <v>4879</v>
      </c>
      <c r="R168" s="18" t="str">
        <f>IF(ISBLANK(input_region_vrops_existing_rca_fqdn),"Value Missing",input_region_vrops_existing_rca_fqdn)</f>
        <v>Value Missing</v>
      </c>
      <c r="S168" s="5"/>
      <c r="AD168" s="27"/>
    </row>
    <row r="169" spans="5:30" s="3" customFormat="1" ht="20" customHeight="1">
      <c r="E169" s="8" t="s">
        <v>3503</v>
      </c>
      <c r="F169" s="20" t="s">
        <v>555</v>
      </c>
      <c r="H169" s="21" t="s">
        <v>1207</v>
      </c>
      <c r="I169" s="18" t="str">
        <f>IF(ISBLANK('Active Directory Inputs'!E98),"Value Missing",'Active Directory Inputs'!E98)</f>
        <v>Value Missing</v>
      </c>
      <c r="N169" s="8" t="s">
        <v>735</v>
      </c>
      <c r="O169" s="20" t="s">
        <v>555</v>
      </c>
      <c r="Q169" s="21" t="s">
        <v>4878</v>
      </c>
      <c r="R169" s="18" t="str">
        <f>IF(ISBLANK(input_region_vrops_existing_rcb_fqdn),"Value Missing",input_region_vrops_existing_rcb_fqdn)</f>
        <v>Value Missing</v>
      </c>
      <c r="S169" s="5"/>
    </row>
    <row r="170" spans="5:30" s="3" customFormat="1" ht="20" customHeight="1">
      <c r="E170" s="21" t="s">
        <v>3478</v>
      </c>
      <c r="F170" s="18" t="str">
        <f>IF(ISBLANK(input_wld_cl03_vds03_name),"Value Missing",input_wld_cl03_vds03_name)</f>
        <v>Value Missing</v>
      </c>
      <c r="H170" s="21" t="s">
        <v>1208</v>
      </c>
      <c r="I170" s="18" t="str">
        <f>IF(ISBLANK('Active Directory Inputs'!E99),"Value Missing",'Active Directory Inputs'!E99)</f>
        <v>Value Missing</v>
      </c>
      <c r="N170" s="52" t="s">
        <v>3683</v>
      </c>
      <c r="O170" s="18" t="str">
        <f>(CONCATENATE(xreg_vrni_nodea_hostname,".",(IF(ISBLANK('Name &amp; IP Address Inputs - VM'!D$17),"Value Missing",'Name &amp; IP Address Inputs - VM'!D$17))))</f>
        <v>Value Missing.Value Missing</v>
      </c>
      <c r="S170" s="5"/>
      <c r="W170"/>
      <c r="X170"/>
    </row>
    <row r="171" spans="5:30" s="3" customFormat="1" ht="20" customHeight="1">
      <c r="E171" s="21" t="s">
        <v>3504</v>
      </c>
      <c r="F171" s="18" t="str">
        <f>IF(input_wld_cl03_vds03_pnics="","Value Missing",input_wld_cl03_vds03_pnics)</f>
        <v>Value Missing</v>
      </c>
      <c r="H171" s="21" t="s">
        <v>1209</v>
      </c>
      <c r="I171" s="18" t="str">
        <f>IF(ISBLANK('Active Directory Inputs'!E100),"Value Missing",'Active Directory Inputs'!E100)</f>
        <v>Value Missing</v>
      </c>
      <c r="N171" s="52" t="s">
        <v>3684</v>
      </c>
      <c r="O171" s="18" t="str">
        <f>(CONCATENATE(region_vrni_nodea_hostname,".",(IF(ISBLANK('Name &amp; IP Address Inputs - VM'!D$18),"Value Missing",'Name &amp; IP Address Inputs - VM'!D$18))))</f>
        <v>Value Missing.Value Missing</v>
      </c>
      <c r="Q171" s="427" t="s">
        <v>1475</v>
      </c>
      <c r="R171" s="426"/>
      <c r="S171" s="5"/>
    </row>
    <row r="172" spans="5:30" s="3" customFormat="1" ht="20" customHeight="1">
      <c r="E172" s="21" t="s">
        <v>3481</v>
      </c>
      <c r="F172" s="18" t="str">
        <f>IF(input_wld_cl03_vds03_mtu="","Value Missing",input_wld_cl03_vds03_mtu)</f>
        <v>Value Missing</v>
      </c>
      <c r="H172" s="21" t="s">
        <v>1210</v>
      </c>
      <c r="I172" s="18" t="str">
        <f>IF(ISBLANK('Active Directory Inputs'!E101),"Value Missing",'Active Directory Inputs'!E101)</f>
        <v>Value Missing</v>
      </c>
      <c r="N172"/>
      <c r="O172"/>
      <c r="Q172" s="8" t="s">
        <v>735</v>
      </c>
      <c r="R172" s="20" t="s">
        <v>555</v>
      </c>
      <c r="S172" s="5"/>
    </row>
    <row r="173" spans="5:30" s="3" customFormat="1" ht="20" customHeight="1">
      <c r="E173" s="21" t="s">
        <v>3505</v>
      </c>
      <c r="F173" s="18" t="str">
        <f>IF(input_wld_cl03_vds_profile&lt;&gt;"Storage Traffic and NSX Traffic Separation","Value Missing","Route Based on Physical Nic Load")</f>
        <v>Value Missing</v>
      </c>
      <c r="H173" s="21" t="s">
        <v>1211</v>
      </c>
      <c r="I173" s="18" t="str">
        <f>IF(ISBLANK('Active Directory Inputs'!E102),"Value Missing",'Active Directory Inputs'!E102)</f>
        <v>Value Missing</v>
      </c>
      <c r="N173"/>
      <c r="O173"/>
      <c r="P173"/>
      <c r="Q173" s="21" t="s">
        <v>1043</v>
      </c>
      <c r="R173" s="18" t="str">
        <f>IF(ISBLANK(input_mgmt_srm_recovery_sddc_manager_fqdn),"Value Missing",input_mgmt_srm_recovery_sddc_manager_fqdn)</f>
        <v>Value Missing</v>
      </c>
      <c r="S173" s="5"/>
    </row>
    <row r="174" spans="5:30" s="3" customFormat="1" ht="20" customHeight="1">
      <c r="E174" s="21" t="s">
        <v>3506</v>
      </c>
      <c r="F174" s="18" t="str">
        <f>IF(input_wld_cl03_vds_profile="Default","Value Missing",IF(input_wld_cl03_vds_profile="Storage Traffic Separation","Value Missing",IF(input_wld_cl03_vds_profile="NSX Traffic Separation","Value Missing",IF(wld_cl03_vds_profile="Storage Traffic and NSX Traffic Separation","Overlay","Value Missing"))))</f>
        <v>Value Missing</v>
      </c>
      <c r="H174" s="21" t="s">
        <v>1212</v>
      </c>
      <c r="I174" s="18" t="str">
        <f>IF(ISBLANK('Active Directory Inputs'!E103),"Value Missing",'Active Directory Inputs'!E103)</f>
        <v>Value Missing</v>
      </c>
      <c r="N174"/>
      <c r="O174"/>
      <c r="P174"/>
      <c r="Q174" s="21" t="s">
        <v>1044</v>
      </c>
      <c r="R174" s="18" t="str">
        <f>IF(ISBLANK(input_mgmt_srm_recovery_sddc_manager_username),"Value Missing",input_mgmt_srm_recovery_sddc_manager_username)</f>
        <v>Value Missing</v>
      </c>
      <c r="S174" s="5"/>
    </row>
    <row r="175" spans="5:30" s="3" customFormat="1" ht="20" customHeight="1">
      <c r="E175"/>
      <c r="F175"/>
      <c r="H175" s="21" t="s">
        <v>1213</v>
      </c>
      <c r="I175" s="18" t="str">
        <f>IF(ISBLANK('Active Directory Inputs'!E104),"Value Missing",'Active Directory Inputs'!E104)</f>
        <v>Value Missing</v>
      </c>
      <c r="N175"/>
      <c r="O175"/>
      <c r="P175"/>
      <c r="Q175" s="21" t="s">
        <v>1046</v>
      </c>
      <c r="R175" s="18" t="str">
        <f>IF(ISBLANK(input_mgmt_srm_recovery_sddc_manager_password),"Value Missing",input_mgmt_srm_recovery_sddc_manager_password)</f>
        <v>Value Missing</v>
      </c>
      <c r="S175" s="5"/>
    </row>
    <row r="176" spans="5:30" s="3" customFormat="1" ht="20" customHeight="1">
      <c r="E176" s="68" t="s">
        <v>4199</v>
      </c>
      <c r="F176" s="73"/>
      <c r="H176" s="21" t="s">
        <v>1214</v>
      </c>
      <c r="I176" s="18" t="str">
        <f>IF(ISBLANK('Active Directory Inputs'!E105),"Value Missing",'Active Directory Inputs'!E105)</f>
        <v>Value Missing</v>
      </c>
      <c r="N176"/>
      <c r="O176"/>
      <c r="P176"/>
      <c r="Q176" s="21" t="s">
        <v>1480</v>
      </c>
      <c r="R176" s="18" t="s">
        <v>400</v>
      </c>
      <c r="S176" s="5"/>
    </row>
    <row r="177" spans="2:29" s="3" customFormat="1" ht="20" customHeight="1">
      <c r="E177" s="8" t="s">
        <v>735</v>
      </c>
      <c r="F177" s="20" t="s">
        <v>491</v>
      </c>
      <c r="H177" s="21" t="s">
        <v>1215</v>
      </c>
      <c r="I177" s="18" t="str">
        <f>IF(ISBLANK('Active Directory Inputs'!E106),"Value Missing",'Active Directory Inputs'!E106)</f>
        <v>Value Missing</v>
      </c>
      <c r="N177"/>
      <c r="O177"/>
      <c r="P177"/>
      <c r="Q177" s="21" t="s">
        <v>1482</v>
      </c>
      <c r="R177" s="18" t="s">
        <v>400</v>
      </c>
      <c r="S177" s="5"/>
    </row>
    <row r="178" spans="2:29" s="3" customFormat="1" ht="20" customHeight="1">
      <c r="D178"/>
      <c r="E178" s="21" t="s">
        <v>4167</v>
      </c>
      <c r="F178" s="18" t="str">
        <f>IF(ISBLANK(input_wld_cl03_vsan_datastore),"Value Missing",input_wld_cl03_vsan_datastore)</f>
        <v/>
      </c>
      <c r="H178" s="21" t="s">
        <v>1216</v>
      </c>
      <c r="I178" s="18" t="str">
        <f>IF(ISBLANK('Active Directory Inputs'!E107),"Value Missing",'Active Directory Inputs'!E107)</f>
        <v>Value Missing</v>
      </c>
      <c r="N178"/>
      <c r="O178"/>
      <c r="P178"/>
      <c r="Q178" s="21" t="s">
        <v>3208</v>
      </c>
      <c r="R178" s="18" t="str">
        <f>IF(ISBLANK(input_xreg_vrops_vrms_sso_username),"Value Missing",input_xreg_vrops_vrms_sso_username)</f>
        <v>Value Missing</v>
      </c>
      <c r="S178" s="5"/>
      <c r="W178"/>
      <c r="X178"/>
    </row>
    <row r="179" spans="2:29" s="3" customFormat="1" ht="20" customHeight="1">
      <c r="D179"/>
      <c r="E179" s="21" t="s">
        <v>933</v>
      </c>
      <c r="F179" s="18" t="str">
        <f>IF(ISBLANK(input_wld_cl03_vsan_ftt),"Value Missing",input_wld_cl03_vsan_ftt)</f>
        <v>Value Missing</v>
      </c>
      <c r="H179" s="21" t="s">
        <v>1217</v>
      </c>
      <c r="I179" s="18" t="str">
        <f>IF(ISBLANK('Active Directory Inputs'!E108),"Value Missing",'Active Directory Inputs'!E108)</f>
        <v>Value Missing</v>
      </c>
      <c r="N179"/>
      <c r="O179"/>
      <c r="P179"/>
      <c r="Q179" s="21" t="s">
        <v>3209</v>
      </c>
      <c r="R179" s="18" t="str">
        <f>IF(ISBLANK(input_xreg_vrops_vrms_sso_password),"Value Missing",input_xreg_vrops_vrms_sso_password)</f>
        <v>Value Missing</v>
      </c>
      <c r="S179" s="5"/>
      <c r="W179"/>
      <c r="X179"/>
    </row>
    <row r="180" spans="2:29" s="3" customFormat="1" ht="20" customHeight="1">
      <c r="D180"/>
      <c r="E180" s="21" t="s">
        <v>4168</v>
      </c>
      <c r="F180" s="18" t="str">
        <f>IF(ISBLANK(input_wld_cl03_vsan_dedupe_compression),"Value Missing",input_wld_cl03_vsan_dedupe_compression)</f>
        <v>Value Missing</v>
      </c>
      <c r="H180" s="21" t="s">
        <v>1218</v>
      </c>
      <c r="I180" s="18" t="str">
        <f>IF(ISBLANK('Active Directory Inputs'!E109),"Value Missing",'Active Directory Inputs'!E109)</f>
        <v>Value Missing</v>
      </c>
      <c r="N180"/>
      <c r="O180"/>
      <c r="P180"/>
      <c r="Q180" s="21" t="s">
        <v>3210</v>
      </c>
      <c r="R180" s="18" t="str">
        <f>IF(ISBLANK(input_xreg_vrops_srm_sso_username),"Value Missing",input_xreg_vrops_srm_sso_username)</f>
        <v>Value Missing</v>
      </c>
      <c r="S180" s="5"/>
      <c r="W180"/>
      <c r="X180"/>
    </row>
    <row r="181" spans="2:29" s="3" customFormat="1" ht="20" customHeight="1">
      <c r="D181"/>
      <c r="E181" s="21" t="s">
        <v>4170</v>
      </c>
      <c r="F181" s="18" t="str">
        <f>IF(ISBLANK(input_wld_cl03_nfs_datastore_name),"Value Missing",input_wld_cl03_nfs_datastore_name)</f>
        <v>Value Missing</v>
      </c>
      <c r="H181" s="21" t="s">
        <v>1192</v>
      </c>
      <c r="I181" s="18" t="str">
        <f>IF(ISBLANK(input_gg_vcf_admins_group),"Value Missing",input_gg_vcf_admins_group)</f>
        <v>Value Missing</v>
      </c>
      <c r="N181"/>
      <c r="O181"/>
      <c r="P181"/>
      <c r="Q181" s="21" t="s">
        <v>3211</v>
      </c>
      <c r="R181" s="18" t="str">
        <f>IF(ISBLANK(input_xreg_vrops_srm_sso_password),"Value Missing",input_xreg_vrops_srm_sso_password)</f>
        <v>Value Missing</v>
      </c>
      <c r="S181" s="5"/>
      <c r="W181"/>
      <c r="X181"/>
    </row>
    <row r="182" spans="2:29" s="3" customFormat="1" ht="20" customHeight="1">
      <c r="D182"/>
      <c r="E182" s="21" t="s">
        <v>4171</v>
      </c>
      <c r="F182" s="18" t="str">
        <f>IF(ISBLANK(input_wld_cl03_nfs_server_address),"Value Missing",input_wld_cl03_nfs_server_address)</f>
        <v>Value Missing</v>
      </c>
      <c r="H182" s="21" t="s">
        <v>1193</v>
      </c>
      <c r="I182" s="18" t="str">
        <f>IF(ISBLANK(input_gg_vcf_operators_group),"Value Missing",input_gg_vcf_operators_group)</f>
        <v>Value Missing</v>
      </c>
      <c r="N182"/>
      <c r="O182"/>
      <c r="P182"/>
      <c r="S182" s="5"/>
      <c r="W182"/>
      <c r="X182"/>
    </row>
    <row r="183" spans="2:29" s="3" customFormat="1" ht="20" customHeight="1">
      <c r="D183"/>
      <c r="E183" s="21" t="s">
        <v>4172</v>
      </c>
      <c r="F183" s="18" t="str">
        <f>IF(ISBLANK(input_wld_cl03_nfs_share_path),"Value Missing",input_wld_cl03_nfs_share_path)</f>
        <v>Value Missing</v>
      </c>
      <c r="H183" s="21" t="s">
        <v>1194</v>
      </c>
      <c r="I183" s="18" t="str">
        <f>IF(ISBLANK(input_gg_vcf_viewers_group),"Value Missing",input_gg_vcf_viewers_group)</f>
        <v>Value Missing</v>
      </c>
      <c r="N183"/>
      <c r="O183"/>
      <c r="P183"/>
      <c r="Q183" s="51" t="s">
        <v>1484</v>
      </c>
      <c r="R183" s="51"/>
      <c r="S183" s="5"/>
      <c r="W183"/>
      <c r="X183"/>
    </row>
    <row r="184" spans="2:29" s="3" customFormat="1" ht="20" customHeight="1">
      <c r="D184"/>
      <c r="H184" s="21" t="s">
        <v>1195</v>
      </c>
      <c r="I184" s="18" t="str">
        <f>IF(ISBLANK(input_gg_vc_admins_group),"Value Missing",input_gg_vc_admins_group)</f>
        <v>Value Missing</v>
      </c>
      <c r="N184"/>
      <c r="O184"/>
      <c r="P184"/>
      <c r="Q184" s="8" t="s">
        <v>735</v>
      </c>
      <c r="R184" s="20" t="s">
        <v>555</v>
      </c>
      <c r="S184" s="5"/>
      <c r="W184"/>
      <c r="X184"/>
    </row>
    <row r="185" spans="2:29" s="3" customFormat="1" ht="20" customHeight="1">
      <c r="D185"/>
      <c r="E185" s="184" t="s">
        <v>4191</v>
      </c>
      <c r="F185" s="188"/>
      <c r="H185" s="21" t="s">
        <v>1196</v>
      </c>
      <c r="I185" s="18" t="str">
        <f>IF(ISBLANK(input_gg_vc_read_only_group),"Value Missing",input_gg_vc_read_only_group)</f>
        <v>Value Missing</v>
      </c>
      <c r="N185"/>
      <c r="O185"/>
      <c r="P185"/>
      <c r="Q185" s="21" t="s">
        <v>1485</v>
      </c>
      <c r="R185" s="18" t="str">
        <f>IF(ISBLANK(input_mgmt_recovery_lb_creation_method),"Value Missing",input_mgmt_recovery_lb_creation_method)</f>
        <v>PowerShell</v>
      </c>
      <c r="S185" s="5"/>
      <c r="W185"/>
      <c r="X185"/>
      <c r="AC185"/>
    </row>
    <row r="186" spans="2:29" s="3" customFormat="1" ht="20" customHeight="1">
      <c r="D186"/>
      <c r="E186" s="112" t="s">
        <v>735</v>
      </c>
      <c r="F186" s="113" t="s">
        <v>1230</v>
      </c>
      <c r="H186" s="21" t="s">
        <v>1197</v>
      </c>
      <c r="I186" s="18" t="str">
        <f>IF(ISBLANK(input_gg_sso_admins_group),"Value Missing",input_gg_sso_admins_group)</f>
        <v>Value Missing</v>
      </c>
      <c r="N186"/>
      <c r="O186"/>
      <c r="P186"/>
      <c r="Q186" s="21" t="s">
        <v>1486</v>
      </c>
      <c r="R186" s="18" t="str">
        <f>IF(ISBLANK(input_mgmt_vrms_vm_folder),"Value Missing",input_mgmt_vrms_vm_folder)</f>
        <v>Value Missing</v>
      </c>
      <c r="S186"/>
      <c r="W186"/>
      <c r="X186"/>
      <c r="AC186"/>
    </row>
    <row r="187" spans="2:29" s="3" customFormat="1" ht="20" customHeight="1">
      <c r="D187"/>
      <c r="E187" s="21" t="s">
        <v>3184</v>
      </c>
      <c r="F187" s="18" t="str">
        <f>IF(ISBLANK(input_wld_cl02_az1_mgmt_vm_pg),"Value Missing",input_wld_cl02_az1_mgmt_vm_pg)</f>
        <v>Value Missing</v>
      </c>
      <c r="H187" s="21" t="s">
        <v>1198</v>
      </c>
      <c r="I187" s="18" t="str">
        <f>IF(ISBLANK(input_gg_nsx_enterprise_admins_group),"Value Missing",input_gg_nsx_enterprise_admins_group)</f>
        <v>Value Missing</v>
      </c>
      <c r="N187"/>
      <c r="O187"/>
      <c r="P187"/>
      <c r="Q187" s="21" t="s">
        <v>1487</v>
      </c>
      <c r="R187" s="18" t="str">
        <f>IF(ISBLANK(input_mgmt_vrms_root_password),"Value Missing",input_mgmt_vrms_root_password)</f>
        <v>Value Missing</v>
      </c>
      <c r="S187"/>
      <c r="W187"/>
      <c r="X187"/>
      <c r="AC187"/>
    </row>
    <row r="188" spans="2:29" ht="20" customHeight="1">
      <c r="B188" s="3"/>
      <c r="C188" s="3"/>
      <c r="E188" s="21" t="s">
        <v>3185</v>
      </c>
      <c r="F188" s="18" t="str">
        <f>IF(ISBLANK(input_wld_cl02_az1_mgmt_pg),"Value Missing",input_wld_cl02_az1_mgmt_pg)</f>
        <v>Value Missing</v>
      </c>
      <c r="H188" s="21" t="s">
        <v>1199</v>
      </c>
      <c r="I188" s="18" t="str">
        <f>IF(ISBLANK(input_gg_nsx_network_admins_group),"Value Missing",input_gg_nsx_network_admins_group)</f>
        <v>Value Missing</v>
      </c>
      <c r="K188" s="3"/>
      <c r="L188" s="3"/>
      <c r="Q188" s="21" t="s">
        <v>1488</v>
      </c>
      <c r="R188" s="18" t="str">
        <f>IF(ISBLANK(input_mgmt_vrms_admin_password),"Value Missing",input_mgmt_vrms_admin_password)</f>
        <v>Value Missing</v>
      </c>
      <c r="T188" s="3"/>
      <c r="U188" s="3"/>
      <c r="AA188" s="3"/>
      <c r="AB188" s="3"/>
    </row>
    <row r="189" spans="2:29" ht="20" customHeight="1">
      <c r="B189" s="3"/>
      <c r="C189" s="3"/>
      <c r="E189" s="21" t="s">
        <v>540</v>
      </c>
      <c r="F189" s="18" t="str">
        <f>IF(ISBLANK(input_wld_cl02_az1_vmotion_pg),"Value Missing",input_wld_cl02_az1_vmotion_pg)</f>
        <v>Value Missing</v>
      </c>
      <c r="H189" s="21" t="s">
        <v>1200</v>
      </c>
      <c r="I189" s="18" t="str">
        <f>IF(ISBLANK(input_gg_nsx_auditors_group),"Value Missing",input_gg_nsx_auditors_group)</f>
        <v>Value Missing</v>
      </c>
      <c r="K189" s="3"/>
      <c r="L189" s="3"/>
      <c r="Q189" s="21" t="s">
        <v>1489</v>
      </c>
      <c r="R189" s="18" t="str">
        <f>IF(ISBLANK(input_mgmt_vrms_site_name),"Value Missing",input_mgmt_vrms_site_name)</f>
        <v>Value Missing</v>
      </c>
      <c r="AA189" s="3"/>
      <c r="AB189" s="3"/>
    </row>
    <row r="190" spans="2:29" ht="20" customHeight="1">
      <c r="B190" s="3"/>
      <c r="C190" s="3"/>
      <c r="E190" s="21" t="s">
        <v>541</v>
      </c>
      <c r="F190" s="18" t="str">
        <f>IF(ISBLANK(input_wld_cl02_az1_principal_storage_pg),"Value Missing",input_wld_cl02_az1_principal_storage_pg)</f>
        <v>Value Missing</v>
      </c>
      <c r="H190" s="3"/>
      <c r="I190" s="3"/>
      <c r="K190" s="3"/>
      <c r="L190" s="3"/>
      <c r="Q190" s="21" t="s">
        <v>1490</v>
      </c>
      <c r="R190" s="18" t="str">
        <f>IF(ISBLANK(input_mgmt_vrms_admin_email),"Value Missing",input_mgmt_vrms_admin_email)</f>
        <v>Value Missing</v>
      </c>
      <c r="AA190" s="3"/>
      <c r="AB190" s="3"/>
    </row>
    <row r="191" spans="2:29" ht="20" customHeight="1">
      <c r="B191" s="3"/>
      <c r="C191" s="3"/>
      <c r="E191" s="21" t="s">
        <v>544</v>
      </c>
      <c r="F191" s="18" t="str">
        <f>IF(ISBLANK(input_wld_cl02_az1_uplink01_pg),"Value Missing",input_wld_cl02_az1_uplink01_pg)</f>
        <v>Value Missing</v>
      </c>
      <c r="H191" s="427" t="s">
        <v>1458</v>
      </c>
      <c r="I191" s="426"/>
      <c r="K191" s="3"/>
      <c r="L191" s="3"/>
      <c r="Q191" s="21" t="s">
        <v>1491</v>
      </c>
      <c r="R191" s="18" t="str">
        <f>IF(ISBLANK(input_mgmt_vrms_pg),"Value Missing",input_mgmt_vrms_pg)</f>
        <v>Value Missing</v>
      </c>
      <c r="AA191" s="3"/>
      <c r="AB191" s="3"/>
    </row>
    <row r="192" spans="2:29" ht="20" customHeight="1">
      <c r="B192" s="3"/>
      <c r="C192" s="3"/>
      <c r="E192" s="21" t="s">
        <v>545</v>
      </c>
      <c r="F192" s="18" t="str">
        <f>IF(ISBLANK(input_wld_cl02_az1_uplink02_pg),"Value Missing",input_wld_cl02_az1_uplink02_pg)</f>
        <v>Value Missing</v>
      </c>
      <c r="H192" s="8" t="s">
        <v>735</v>
      </c>
      <c r="I192" s="20" t="s">
        <v>555</v>
      </c>
      <c r="K192" s="3"/>
      <c r="L192" s="3"/>
      <c r="Q192" s="21" t="s">
        <v>1492</v>
      </c>
      <c r="R192" s="18" t="str">
        <f>IF(ISBLANK(input_mgmt_vrms_p12_password),"Value Missing",input_mgmt_vrms_p12_password)</f>
        <v>Value Missing</v>
      </c>
      <c r="AA192" s="3"/>
      <c r="AB192" s="3"/>
    </row>
    <row r="193" spans="2:31" ht="20" customHeight="1">
      <c r="B193" s="3"/>
      <c r="C193" s="3"/>
      <c r="D193" s="3"/>
      <c r="E193" s="3"/>
      <c r="F193" s="3"/>
      <c r="H193" s="21" t="s">
        <v>1460</v>
      </c>
      <c r="I193" s="18" t="str">
        <f>IF(ISBLANK(input_svc_vcf_ca_vvd_password),"Value Missing",input_svc_vcf_ca_vvd_password)</f>
        <v>Value Missing</v>
      </c>
      <c r="K193" s="3"/>
      <c r="L193" s="3"/>
      <c r="Q193" s="21" t="s">
        <v>1493</v>
      </c>
      <c r="R193" s="18" t="str">
        <f>IF(ISBLANK(input_mgmt_srm_vm_folder),"Value Missing",input_mgmt_srm_vm_folder)</f>
        <v>Value Missing</v>
      </c>
      <c r="AA193" s="3"/>
      <c r="AB193" s="3"/>
    </row>
    <row r="194" spans="2:31" ht="20" customHeight="1">
      <c r="B194" s="3"/>
      <c r="C194" s="3"/>
      <c r="D194" s="3"/>
      <c r="E194" s="184" t="s">
        <v>4192</v>
      </c>
      <c r="F194" s="188"/>
      <c r="H194" s="3"/>
      <c r="I194" s="3"/>
      <c r="K194" s="3"/>
      <c r="L194" s="3"/>
      <c r="Q194" s="21" t="s">
        <v>1494</v>
      </c>
      <c r="R194" s="18" t="str">
        <f>IF(ISBLANK(input_mgmt_srm_root_password),"Value Missing",input_mgmt_srm_root_password)</f>
        <v>Value Missing</v>
      </c>
    </row>
    <row r="195" spans="2:31" ht="20" customHeight="1">
      <c r="D195" s="3"/>
      <c r="E195" s="112" t="s">
        <v>735</v>
      </c>
      <c r="F195" s="113" t="s">
        <v>1230</v>
      </c>
      <c r="H195" s="3"/>
      <c r="I195" s="3"/>
      <c r="K195" s="3"/>
      <c r="L195" s="3"/>
      <c r="Q195" s="21" t="s">
        <v>1495</v>
      </c>
      <c r="R195" s="18" t="str">
        <f>IF(ISBLANK(input_mgmt_srm_admin_password),"Value Missing",input_mgmt_srm_admin_password)</f>
        <v>Value Missing</v>
      </c>
    </row>
    <row r="196" spans="2:31" ht="20" customHeight="1">
      <c r="D196" s="3"/>
      <c r="E196" s="21" t="s">
        <v>3184</v>
      </c>
      <c r="F196" s="18" t="str">
        <f>IF(ISBLANK(input_wld_cl03_az1_mgmt_vm_pg),"Value Missing",input_wld_cl03_az1_mgmt_vm_pg)</f>
        <v>Value Missing</v>
      </c>
      <c r="H196" s="3"/>
      <c r="I196" s="3"/>
      <c r="K196" s="3"/>
      <c r="L196" s="3"/>
      <c r="Q196" s="21" t="s">
        <v>1497</v>
      </c>
      <c r="R196" s="18" t="str">
        <f>IF(ISBLANK(input_mgmt_srm_database_password),"Value Missing",input_mgmt_srm_database_password)</f>
        <v>Value Missing</v>
      </c>
    </row>
    <row r="197" spans="2:31" ht="20" customHeight="1">
      <c r="D197" s="3"/>
      <c r="E197" s="21" t="s">
        <v>3185</v>
      </c>
      <c r="F197" s="18" t="str">
        <f>IF(ISBLANK(input_wld_cl03_az1_mgmt_pg),"Value Missing",input_wld_cl03_az1_mgmt_pg)</f>
        <v>Value Missing</v>
      </c>
      <c r="H197" s="3"/>
      <c r="I197" s="3"/>
      <c r="K197" s="3"/>
      <c r="L197" s="3"/>
      <c r="Q197" s="21" t="s">
        <v>1498</v>
      </c>
      <c r="R197" s="18" t="str">
        <f>IF(ISBLANK(input_mgmt_srm_site_name),"Value Missing",input_mgmt_srm_site_name)</f>
        <v>Value Missing</v>
      </c>
    </row>
    <row r="198" spans="2:31" ht="20" customHeight="1">
      <c r="E198" s="21" t="s">
        <v>540</v>
      </c>
      <c r="F198" s="18" t="str">
        <f>IF(ISBLANK(input_wld_cl03_az1_vmotion_pg),"Value Missing",input_wld_cl03_az1_vmotion_pg)</f>
        <v>Value Missing</v>
      </c>
      <c r="H198" s="3"/>
      <c r="I198" s="3"/>
      <c r="Q198" s="21" t="s">
        <v>1500</v>
      </c>
      <c r="R198" s="18" t="str">
        <f>IF(ISBLANK(input_mgmt_srm_admin_email),"Value Missing",input_mgmt_srm_admin_email)</f>
        <v>Value Missing</v>
      </c>
    </row>
    <row r="199" spans="2:31" ht="20" customHeight="1">
      <c r="E199" s="21" t="s">
        <v>541</v>
      </c>
      <c r="F199" s="18" t="str">
        <f>IF(ISBLANK(input_wld_cl03_az1_principal_storage_pg),"Value Missing",input_wld_cl03_az1_principal_storage_pg)</f>
        <v>Value Missing</v>
      </c>
      <c r="H199" s="3"/>
      <c r="I199" s="3"/>
      <c r="Q199" s="21" t="s">
        <v>1501</v>
      </c>
      <c r="R199" s="18" t="str">
        <f>IF(ISBLANK(input_mgmt_srm_p12_password),"Value Missing",input_mgmt_srm_p12_password)</f>
        <v>Value Missing</v>
      </c>
    </row>
    <row r="200" spans="2:31" ht="20" customHeight="1">
      <c r="E200" s="21" t="s">
        <v>544</v>
      </c>
      <c r="F200" s="18" t="str">
        <f>IF(ISBLANK(input_wld_cl03_az1_uplink01_pg),"Value Missing",input_wld_cl03_az1_uplink01_pg)</f>
        <v>Value Missing</v>
      </c>
      <c r="H200" s="3"/>
      <c r="I200" s="3"/>
      <c r="Q200" s="21" t="s">
        <v>1056</v>
      </c>
      <c r="R200" s="18" t="str">
        <f>IF(ISBLANK(input_mgmt_srm_rpo),"Value Missing",input_mgmt_srm_rpo)</f>
        <v>Value Missing</v>
      </c>
    </row>
    <row r="201" spans="2:31" ht="20" customHeight="1">
      <c r="E201" s="21" t="s">
        <v>545</v>
      </c>
      <c r="F201" s="18" t="str">
        <f>IF(ISBLANK(input_wld_cl03_az1_uplink02_pg),"Value Missing",input_wld_cl03_az1_uplink02_pg)</f>
        <v>Value Missing</v>
      </c>
      <c r="H201" s="3"/>
      <c r="I201" s="3"/>
      <c r="Q201" s="21" t="s">
        <v>1057</v>
      </c>
      <c r="R201" s="18" t="str">
        <f>IF(ISBLANK(input_mgmt_srm_instances_per_day),"Value Missing",input_mgmt_srm_instances_per_day)</f>
        <v>Value Missing</v>
      </c>
      <c r="AD201" s="3"/>
      <c r="AE201" s="3"/>
    </row>
    <row r="202" spans="2:31" ht="20" customHeight="1">
      <c r="H202" s="3"/>
      <c r="I202" s="3"/>
      <c r="Q202" s="21" t="s">
        <v>1058</v>
      </c>
      <c r="R202" s="18" t="str">
        <f>IF(ISBLANK(input_mgmt_srm_days),"Value Missing",input_mgmt_srm_days)</f>
        <v>Value Missing</v>
      </c>
    </row>
    <row r="203" spans="2:31" ht="20" customHeight="1">
      <c r="E203" s="51" t="s">
        <v>1365</v>
      </c>
      <c r="F203" s="51"/>
      <c r="H203" s="3"/>
      <c r="I203" s="3"/>
      <c r="Q203" s="21" t="s">
        <v>1059</v>
      </c>
      <c r="R203" s="18" t="str">
        <f>IF(ISBLANK(input_mgmt_srm_vrslcm_wsa_pg),"Value Missing",input_mgmt_srm_vrslcm_wsa_pg)</f>
        <v>Value Missing</v>
      </c>
    </row>
    <row r="204" spans="2:31" ht="20" customHeight="1">
      <c r="B204" s="68" t="s">
        <v>1302</v>
      </c>
      <c r="C204" s="73"/>
      <c r="E204" s="21" t="s">
        <v>735</v>
      </c>
      <c r="F204" s="21" t="s">
        <v>555</v>
      </c>
      <c r="H204" s="3"/>
      <c r="I204" s="3"/>
      <c r="Q204" s="21" t="s">
        <v>1060</v>
      </c>
      <c r="R204" s="18" t="str">
        <f>IF(ISBLANK(input_mgmt_srm_vrslcm_wsa_rp),"Value Missing",input_mgmt_srm_vrslcm_wsa_rp)</f>
        <v>Value Missing</v>
      </c>
    </row>
    <row r="205" spans="2:31" ht="20" customHeight="1">
      <c r="B205" s="8" t="s">
        <v>735</v>
      </c>
      <c r="C205" s="20" t="s">
        <v>555</v>
      </c>
      <c r="E205" s="26" t="s">
        <v>637</v>
      </c>
      <c r="F205" s="18" t="str">
        <f>IF(ISBLANK('Name &amp; IP Address Inputs - VM'!E80),"Value Missing",'Name &amp; IP Address Inputs - VM'!E80)</f>
        <v>Value Missing</v>
      </c>
      <c r="H205" s="3"/>
      <c r="I205" s="3"/>
      <c r="Q205" s="21" t="s">
        <v>3398</v>
      </c>
      <c r="R205" s="18" t="str">
        <f>IF(ISBLANK(input_mgmt_srm_vrops_pg),"Value Missing",input_mgmt_srm_vrops_pg)</f>
        <v>Value Missing</v>
      </c>
    </row>
    <row r="206" spans="2:31" ht="20" customHeight="1">
      <c r="B206" s="26" t="s">
        <v>637</v>
      </c>
      <c r="C206" s="18" t="str">
        <f>IF(ISBLANK('Name &amp; IP Address Inputs - VM'!E57),"Value Missing",'Name &amp; IP Address Inputs - VM'!E57)</f>
        <v>Value Missing</v>
      </c>
      <c r="E206" s="26" t="s">
        <v>687</v>
      </c>
      <c r="F206" s="18" t="str">
        <f>IF(ISBLANK('Name &amp; IP Address Inputs - VM'!E81),"Value Missing",'Name &amp; IP Address Inputs - VM'!E81)</f>
        <v>Value Missing</v>
      </c>
      <c r="H206" s="3"/>
      <c r="I206" s="3"/>
      <c r="Q206" s="21" t="s">
        <v>3399</v>
      </c>
      <c r="R206" s="18" t="str">
        <f>IF(ISBLANK(input_mgmt_srm_vrops_rp),"Value Missing",input_mgmt_srm_vrops_rp)</f>
        <v>Value Missing</v>
      </c>
    </row>
    <row r="207" spans="2:31" ht="20" customHeight="1">
      <c r="B207" s="26" t="s">
        <v>687</v>
      </c>
      <c r="C207" s="18" t="str">
        <f>IF(ISBLANK('Name &amp; IP Address Inputs - VM'!E58),"Value Missing",'Name &amp; IP Address Inputs - VM'!E58)</f>
        <v>Value Missing</v>
      </c>
      <c r="E207" s="3"/>
      <c r="F207" s="3"/>
      <c r="H207" s="3"/>
      <c r="I207" s="3"/>
      <c r="Q207" s="21" t="s">
        <v>3252</v>
      </c>
      <c r="R207" s="18" t="str">
        <f>IF(ISBLANK(input_mgmt_srm_vra_pg),"Value Missing",input_mgmt_srm_vra_pg)</f>
        <v>Value Missing</v>
      </c>
    </row>
    <row r="208" spans="2:31" ht="20" customHeight="1">
      <c r="B208" s="3"/>
      <c r="C208" s="3"/>
      <c r="E208" s="51" t="s">
        <v>1499</v>
      </c>
      <c r="F208" s="73"/>
      <c r="H208" s="3"/>
      <c r="I208" s="3"/>
      <c r="Q208" s="21" t="s">
        <v>3253</v>
      </c>
      <c r="R208" s="18" t="str">
        <f>IF(ISBLANK(input_mgmt_srm_vra_rp),"Value Missing",input_mgmt_srm_vra_rp)</f>
        <v>Value Missing</v>
      </c>
    </row>
    <row r="209" spans="2:18" ht="20" customHeight="1">
      <c r="B209" s="51" t="s">
        <v>1410</v>
      </c>
      <c r="C209" s="51"/>
      <c r="E209" s="8" t="s">
        <v>735</v>
      </c>
      <c r="F209" s="20" t="s">
        <v>555</v>
      </c>
      <c r="H209" s="3"/>
      <c r="I209" s="3"/>
      <c r="Q209" s="21" t="s">
        <v>1067</v>
      </c>
      <c r="R209" s="18" t="str">
        <f>IF(ISBLANK(input_mgmt_srm_recovery_vcenter_fqdn),"Value Missing",input_mgmt_srm_recovery_vcenter_fqdn)</f>
        <v>Value Missing</v>
      </c>
    </row>
    <row r="210" spans="2:18" ht="20" customHeight="1">
      <c r="B210" s="8" t="s">
        <v>735</v>
      </c>
      <c r="C210" s="20" t="s">
        <v>555</v>
      </c>
      <c r="E210" s="21" t="str">
        <f>IF(ISBLANK('SDDC Inputs - Common'!B286),"Value Missing",'SDDC Inputs - Common'!B286)</f>
        <v>ESXi Node 1 SDDC ID</v>
      </c>
      <c r="F210" s="18" t="str">
        <f>IF(ISBLANK('SDDC Inputs - Common'!D286),"Value Missing",'SDDC Inputs - Common'!D286)</f>
        <v>Value Missing</v>
      </c>
      <c r="H210" s="3"/>
      <c r="I210" s="3"/>
      <c r="Q210" s="21" t="s">
        <v>1068</v>
      </c>
      <c r="R210" s="18" t="str">
        <f>IF(ISBLANK(input_mgmt_srm_recovery_vcenter_username),"Value Missing",input_mgmt_srm_recovery_vcenter_username)</f>
        <v>Value Missing</v>
      </c>
    </row>
    <row r="211" spans="2:18" ht="20" customHeight="1">
      <c r="B211" s="21" t="s">
        <v>892</v>
      </c>
      <c r="C211" s="18" t="str">
        <f>IF(ISBLANK('SDDC Inputs - Common'!D178),"Value Missing",'SDDC Inputs - Common'!D178)</f>
        <v>Value Missing</v>
      </c>
      <c r="E211" s="21" t="str">
        <f>IF(ISBLANK('SDDC Inputs - Common'!B287),"Value Missing",'SDDC Inputs - Common'!B287)</f>
        <v>ESXi Node 2 SDDC ID</v>
      </c>
      <c r="F211" s="18" t="str">
        <f>IF(ISBLANK('SDDC Inputs - Common'!D287),"Value Missing",'SDDC Inputs - Common'!D287)</f>
        <v>Value Missing</v>
      </c>
      <c r="H211" s="3"/>
      <c r="I211" s="3"/>
      <c r="Q211" s="21" t="s">
        <v>1069</v>
      </c>
      <c r="R211" s="18" t="str">
        <f>IF(ISBLANK(input_mgmt_srm_recovery_vcenter_password),"Value Missing",input_mgmt_srm_recovery_vcenter_password)</f>
        <v>Value Missing</v>
      </c>
    </row>
    <row r="212" spans="2:18" ht="20" customHeight="1">
      <c r="B212" s="21" t="s">
        <v>895</v>
      </c>
      <c r="C212" s="18" t="str">
        <f>IF(ISBLANK('SDDC Inputs - Common'!D179),"Value Missing",'SDDC Inputs - Common'!D179)</f>
        <v>Value Missing</v>
      </c>
      <c r="E212" s="21" t="str">
        <f>IF(ISBLANK('SDDC Inputs - Common'!B288),"Value Missing",'SDDC Inputs - Common'!B288)</f>
        <v>ESXi Node 3 SDDC ID</v>
      </c>
      <c r="F212" s="18" t="str">
        <f>IF(ISBLANK('SDDC Inputs - Common'!D288),"Value Missing",'SDDC Inputs - Common'!D288)</f>
        <v>Value Missing</v>
      </c>
      <c r="H212" s="3"/>
      <c r="I212" s="3"/>
      <c r="Q212" s="21" t="s">
        <v>1070</v>
      </c>
      <c r="R212" s="18" t="str">
        <f>IF(ISBLANK(input_mgmt_srm_recovery_sddc_manager_domain),"Value Missing",input_mgmt_srm_recovery_sddc_manager_domain)</f>
        <v>Value Missing</v>
      </c>
    </row>
    <row r="213" spans="2:18" ht="20" customHeight="1">
      <c r="B213" s="21" t="s">
        <v>897</v>
      </c>
      <c r="C213" s="18" t="str">
        <f>IF(ISBLANK('SDDC Inputs - Common'!D180),"Value Missing",'SDDC Inputs - Common'!D180)</f>
        <v>Value Missing</v>
      </c>
      <c r="E213" s="21" t="str">
        <f>IF(ISBLANK('SDDC Inputs - Common'!B289),"Value Missing",'SDDC Inputs - Common'!B289)</f>
        <v>ESXi Node 4 SDDC ID</v>
      </c>
      <c r="F213" s="18" t="str">
        <f>IF(ISBLANK('SDDC Inputs - Common'!D289),"Value Missing",'SDDC Inputs - Common'!D289)</f>
        <v>Value Missing</v>
      </c>
      <c r="H213" s="3"/>
      <c r="I213" s="3"/>
      <c r="Q213" s="21" t="s">
        <v>1071</v>
      </c>
      <c r="R213" s="18" t="str">
        <f>IF(ISBLANK(input_mgmt_srm_recovery_nsx_location),"Value Missing",input_mgmt_srm_recovery_nsx_location)</f>
        <v>Value Missing</v>
      </c>
    </row>
    <row r="214" spans="2:18" ht="20" customHeight="1">
      <c r="B214" s="21" t="s">
        <v>899</v>
      </c>
      <c r="C214" s="18" t="str">
        <f>IF(ISBLANK('SDDC Inputs - Common'!D181),"Value Missing",'SDDC Inputs - Common'!D181)</f>
        <v>Value Missing</v>
      </c>
      <c r="D214" s="3"/>
      <c r="E214" s="21" t="str">
        <f>IF(ISBLANK('SDDC Inputs - Rack'!B96),"Value Missing",'SDDC Inputs - Rack'!B96)</f>
        <v>NSX Host Overlay Network Profile Name</v>
      </c>
      <c r="F214" s="18" t="str">
        <f>IF(ISBLANK('SDDC Inputs - Rack'!D96),"Value Missing",'SDDC Inputs - Rack'!D96)</f>
        <v>Value Missing</v>
      </c>
      <c r="H214" s="3"/>
      <c r="I214" s="3"/>
      <c r="Q214" s="21" t="s">
        <v>1072</v>
      </c>
      <c r="R214" s="18" t="str">
        <f>IF(ISBLANK(input_mgmt_srm_recovery_nsx_ec_name),"Value Missing",input_mgmt_srm_recovery_nsx_ec_name)</f>
        <v>Value Missing</v>
      </c>
    </row>
    <row r="215" spans="2:18" ht="20" customHeight="1">
      <c r="B215" s="21" t="s">
        <v>901</v>
      </c>
      <c r="C215" s="18" t="str">
        <f>IF(ISBLANK('SDDC Inputs - Common'!D182),"Value Missing",'SDDC Inputs - Common'!D182)</f>
        <v>Value Missing</v>
      </c>
      <c r="D215" s="3"/>
      <c r="E215" s="18"/>
      <c r="F215" s="18"/>
      <c r="H215" s="3"/>
      <c r="I215" s="3"/>
      <c r="Q215" s="21" t="s">
        <v>1073</v>
      </c>
      <c r="R215" s="18" t="str">
        <f>IF(ISBLANK(input_mgmt_srm_recovery_cluster),"Value Missing",input_mgmt_srm_recovery_cluster)</f>
        <v>Value Missing</v>
      </c>
    </row>
    <row r="216" spans="2:18" ht="20" customHeight="1">
      <c r="B216" s="21" t="s">
        <v>807</v>
      </c>
      <c r="C216" s="18" t="str">
        <f>IF(ISBLANK('SDDC Inputs - Rack'!D40),"Value Missing",'SDDC Inputs - Rack'!D40)</f>
        <v>Value Missing</v>
      </c>
      <c r="D216" s="3"/>
      <c r="H216" s="3"/>
      <c r="I216" s="3"/>
      <c r="Q216" s="21" t="s">
        <v>1074</v>
      </c>
      <c r="R216" s="18" t="str">
        <f>IF(ISBLANK(input_mgmt_srm_recovery_datastore),"Value Missing",input_mgmt_srm_recovery_datastore)</f>
        <v>Value Missing</v>
      </c>
    </row>
    <row r="217" spans="2:18" ht="20" customHeight="1">
      <c r="B217" s="3"/>
      <c r="C217" s="3"/>
      <c r="D217" s="3"/>
      <c r="E217" s="51" t="s">
        <v>1504</v>
      </c>
      <c r="F217" s="73"/>
      <c r="H217" s="3"/>
      <c r="I217" s="3"/>
      <c r="Q217" s="21" t="s">
        <v>1075</v>
      </c>
      <c r="R217" s="18" t="str">
        <f>IF(ISBLANK(input_mgmt_vrms_recovery_replication_cidr),"Value Missing",input_mgmt_vrms_recovery_replication_cidr)</f>
        <v>Value Missing</v>
      </c>
    </row>
    <row r="218" spans="2:18" ht="20" customHeight="1">
      <c r="B218" s="51" t="s">
        <v>1427</v>
      </c>
      <c r="C218" s="51"/>
      <c r="D218" s="3"/>
      <c r="E218" s="8" t="s">
        <v>735</v>
      </c>
      <c r="F218" s="20" t="s">
        <v>555</v>
      </c>
      <c r="H218" s="3"/>
      <c r="I218" s="3"/>
      <c r="Q218" s="21" t="s">
        <v>1525</v>
      </c>
      <c r="R218" s="18" t="str">
        <f>IF(ISBLANK(input_mgmt_srm_sso_domain_membership),"Value Missing",input_mgmt_srm_sso_domain_membership)</f>
        <v>Same SSO Domain</v>
      </c>
    </row>
    <row r="219" spans="2:18" ht="20" customHeight="1">
      <c r="B219" s="8" t="s">
        <v>735</v>
      </c>
      <c r="C219" s="20" t="s">
        <v>555</v>
      </c>
      <c r="E219" s="21" t="str">
        <f>IF(ISBLANK('SDDC Inputs - Common'!B292),"Value Missing",'SDDC Inputs - Common'!B292)</f>
        <v>Domain Name</v>
      </c>
      <c r="F219" s="18" t="str">
        <f>IF(ISBLANK('SDDC Inputs - Common'!D292),"Value Missing",'SDDC Inputs - Common'!D292)</f>
        <v>Value Missing</v>
      </c>
      <c r="H219" s="3"/>
      <c r="I219" s="3"/>
    </row>
    <row r="220" spans="2:18" ht="20" customHeight="1">
      <c r="B220" s="21" t="s">
        <v>905</v>
      </c>
      <c r="C220" s="18" t="str">
        <f>IF(ISBLANK('SDDC Inputs - Common'!D185),"Value Missing",'SDDC Inputs - Common'!D185)</f>
        <v>Value Missing</v>
      </c>
      <c r="E220" s="21" t="str">
        <f>IF(ISBLANK('SDDC Inputs - Common'!B293),"Value Missing",'SDDC Inputs - Common'!B293)</f>
        <v>vSAN Datastore Name</v>
      </c>
      <c r="F220" s="18" t="str">
        <f>IF(ISBLANK('SDDC Inputs - Common'!D293),"Value Missing",'SDDC Inputs - Common'!D293)</f>
        <v>Value Missing</v>
      </c>
      <c r="H220" s="3"/>
      <c r="I220" s="3"/>
      <c r="Q220" s="51" t="s">
        <v>1531</v>
      </c>
      <c r="R220" s="51"/>
    </row>
    <row r="221" spans="2:18" ht="20" customHeight="1">
      <c r="B221" s="21" t="s">
        <v>839</v>
      </c>
      <c r="C221" s="18" t="str">
        <f>IF(ISBLANK('SDDC Inputs - Common'!D186),"Value Missing",'SDDC Inputs - Common'!D186)</f>
        <v>Value Missing</v>
      </c>
      <c r="E221" s="21" t="str">
        <f>IF(ISBLANK('SDDC Inputs - Common'!B294),"Value Missing",'SDDC Inputs - Common'!B294)</f>
        <v>Cluster Name</v>
      </c>
      <c r="F221" s="18" t="str">
        <f>IF(ISBLANK('SDDC Inputs - Common'!D294),"Value Missing",'SDDC Inputs - Common'!D294)</f>
        <v>Value Missing</v>
      </c>
      <c r="H221" s="3"/>
      <c r="I221" s="3"/>
      <c r="Q221" s="8" t="s">
        <v>735</v>
      </c>
      <c r="R221" s="20" t="s">
        <v>555</v>
      </c>
    </row>
    <row r="222" spans="2:18" ht="20" customHeight="1">
      <c r="B222" s="21" t="s">
        <v>906</v>
      </c>
      <c r="C222" s="18" t="str">
        <f>IF(ISBLANK('SDDC Inputs - Common'!D187),"Value Missing",'SDDC Inputs - Common'!D187)</f>
        <v>Value Missing</v>
      </c>
      <c r="E222" s="21" t="str">
        <f>IF(ISBLANK('SDDC Inputs - Common'!B295),"Value Missing",'SDDC Inputs - Common'!B295)</f>
        <v>vSAN Witness</v>
      </c>
      <c r="F222" s="18" t="str">
        <f>IF(ISBLANK('SDDC Inputs - Common'!D292),"Value Missing",'SDDC Inputs - Common'!D295)</f>
        <v>Value Missing</v>
      </c>
      <c r="H222" s="3"/>
      <c r="I222" s="3"/>
      <c r="Q222" s="21" t="s">
        <v>1486</v>
      </c>
      <c r="R222" s="18" t="str">
        <f>IF(ISBLANK(input_wld_vrms_vm_folder),"Value Missing",input_wld_vrms_vm_folder)</f>
        <v>Value Missing</v>
      </c>
    </row>
    <row r="223" spans="2:18" ht="20" customHeight="1">
      <c r="B223" s="21" t="s">
        <v>687</v>
      </c>
      <c r="C223" s="18" t="str">
        <f>IF(ISBLANK('SDDC Inputs - Common'!D185),"Value Missing",'SDDC Inputs - Common'!D188)</f>
        <v>Value Missing</v>
      </c>
      <c r="H223" s="3"/>
      <c r="I223" s="3"/>
      <c r="Q223" s="21" t="s">
        <v>1487</v>
      </c>
      <c r="R223" s="18" t="str">
        <f>IF(ISBLANK(input_wld_vrms_root_password),"Value Missing",input_wld_vrms_root_password)</f>
        <v>Value Missing</v>
      </c>
    </row>
    <row r="224" spans="2:18" ht="20" customHeight="1">
      <c r="E224" s="51" t="s">
        <v>1502</v>
      </c>
      <c r="F224" s="73"/>
      <c r="H224" s="3"/>
      <c r="I224" s="3"/>
      <c r="Q224" s="21" t="s">
        <v>1488</v>
      </c>
      <c r="R224" s="18" t="str">
        <f>IF(ISBLANK(input_wld_vrms_admin_password),"Value Missing",input_wld_vrms_admin_password)</f>
        <v>Value Missing</v>
      </c>
    </row>
    <row r="225" spans="2:18" ht="20" customHeight="1">
      <c r="B225" s="51" t="s">
        <v>1441</v>
      </c>
      <c r="C225" s="51"/>
      <c r="E225" s="8" t="s">
        <v>735</v>
      </c>
      <c r="F225" s="20" t="s">
        <v>555</v>
      </c>
      <c r="H225" s="3"/>
      <c r="I225" s="3"/>
      <c r="Q225" s="21" t="s">
        <v>1489</v>
      </c>
      <c r="R225" s="18" t="str">
        <f>IF(ISBLANK(input_wld_vrms_site_name),"Value Missing",input_wld_vrms_site_name)</f>
        <v>Value Missing</v>
      </c>
    </row>
    <row r="226" spans="2:18" ht="20" customHeight="1">
      <c r="B226" s="8" t="s">
        <v>735</v>
      </c>
      <c r="C226" s="20" t="s">
        <v>555</v>
      </c>
      <c r="E226" s="26" t="s">
        <v>637</v>
      </c>
      <c r="F226" s="18" t="str">
        <f>IF(ISBLANK('Name &amp; IP Address Inputs - VM'!G80),"Value Missing",'Name &amp; IP Address Inputs - VM'!G80)</f>
        <v>Value Missing</v>
      </c>
      <c r="H226" s="3"/>
      <c r="I226" s="3"/>
      <c r="Q226" s="21" t="s">
        <v>1490</v>
      </c>
      <c r="R226" s="18" t="str">
        <f>IF(ISBLANK(input_wld_vrms_admin_email),"Value Missing",input_wld_vrms_admin_email)</f>
        <v>Value Missing</v>
      </c>
    </row>
    <row r="227" spans="2:18" ht="20" customHeight="1">
      <c r="B227" s="26" t="s">
        <v>637</v>
      </c>
      <c r="C227" s="18" t="str">
        <f>IF(ISBLANK('Name &amp; IP Address Inputs - VM'!G57),"Value Missing",'Name &amp; IP Address Inputs - VM'!G57)</f>
        <v>Value Missing</v>
      </c>
      <c r="E227" s="26" t="s">
        <v>687</v>
      </c>
      <c r="F227" s="18" t="str">
        <f>IF(ISBLANK('Name &amp; IP Address Inputs - VM'!G81),"Value Missing",'Name &amp; IP Address Inputs - VM'!G81)</f>
        <v>Value Missing</v>
      </c>
      <c r="H227" s="3"/>
      <c r="I227" s="3"/>
      <c r="Q227" s="21" t="s">
        <v>1491</v>
      </c>
      <c r="R227" s="18" t="str">
        <f>IF(ISBLANK(input_wld_vrms_pg),"Value Missing",input_wld_vrms_pg)</f>
        <v>Value Missing</v>
      </c>
    </row>
    <row r="228" spans="2:18" ht="20" customHeight="1">
      <c r="B228" s="26" t="s">
        <v>687</v>
      </c>
      <c r="C228" s="18" t="str">
        <f>IF(ISBLANK('Name &amp; IP Address Inputs - VM'!G58),"Value Missing",'Name &amp; IP Address Inputs - VM'!G58)</f>
        <v>Value Missing</v>
      </c>
      <c r="E228" s="3"/>
      <c r="F228" s="3"/>
      <c r="H228" s="3"/>
      <c r="I228" s="3"/>
      <c r="Q228" s="21" t="s">
        <v>1492</v>
      </c>
      <c r="R228" s="18" t="str">
        <f>IF(ISBLANK(input_wld_vrms_p12_password),"Value Missing",input_wld_vrms_p12_password)</f>
        <v>Value Missing</v>
      </c>
    </row>
    <row r="229" spans="2:18" ht="20" customHeight="1">
      <c r="B229" s="3"/>
      <c r="C229" s="3"/>
      <c r="H229" s="3"/>
      <c r="I229" s="3"/>
      <c r="Q229" s="21" t="s">
        <v>1493</v>
      </c>
      <c r="R229" s="18" t="str">
        <f>IF(ISBLANK(input_wld_srm_vm_folder),"Value Missing",input_wld_srm_vm_folder)</f>
        <v>Value Missing</v>
      </c>
    </row>
    <row r="230" spans="2:18" ht="20" customHeight="1">
      <c r="H230" s="3"/>
      <c r="I230" s="3"/>
      <c r="Q230" s="21" t="s">
        <v>1494</v>
      </c>
      <c r="R230" s="18" t="str">
        <f>IF(ISBLANK(input_wld_srm_root_password),"Value Missing",input_wld_srm_root_password)</f>
        <v>Value Missing</v>
      </c>
    </row>
    <row r="231" spans="2:18" ht="20" customHeight="1">
      <c r="H231" s="3"/>
      <c r="I231" s="3"/>
      <c r="Q231" s="21" t="s">
        <v>1495</v>
      </c>
      <c r="R231" s="18" t="str">
        <f>IF(ISBLANK(input_wld_srm_admin_password),"Value Missing",input_wld_srm_admin_password)</f>
        <v>Value Missing</v>
      </c>
    </row>
    <row r="232" spans="2:18" ht="20" customHeight="1">
      <c r="H232" s="3"/>
      <c r="I232" s="3"/>
      <c r="Q232" s="21" t="s">
        <v>1497</v>
      </c>
      <c r="R232" s="18" t="str">
        <f>IF(ISBLANK(input_wld_srm_database_password),"Value Missing",input_wld_srm_database_password)</f>
        <v>Value Missing</v>
      </c>
    </row>
    <row r="233" spans="2:18" ht="20" customHeight="1">
      <c r="H233" s="3"/>
      <c r="I233" s="3"/>
      <c r="Q233" s="21" t="s">
        <v>1498</v>
      </c>
      <c r="R233" s="18" t="str">
        <f>IF(ISBLANK(input_wld_srm_site_name),"Value Missing",input_wld_srm_site_name)</f>
        <v>Value Missing</v>
      </c>
    </row>
    <row r="234" spans="2:18" ht="20" customHeight="1">
      <c r="H234" s="3"/>
      <c r="I234" s="3"/>
      <c r="Q234" s="21" t="s">
        <v>1500</v>
      </c>
      <c r="R234" s="18" t="str">
        <f>IF(ISBLANK(input_wld_srm_admin_email),"Value Missing",input_wld_srm_admin_email)</f>
        <v>Value Missing</v>
      </c>
    </row>
    <row r="235" spans="2:18" ht="20" customHeight="1">
      <c r="H235" s="3"/>
      <c r="I235" s="3"/>
      <c r="Q235" s="21" t="s">
        <v>1501</v>
      </c>
      <c r="R235" s="18" t="str">
        <f>IF(ISBLANK(input_wld_srm_p12_password),"Value Missing",input_wld_srm_p12_password)</f>
        <v>Value Missing</v>
      </c>
    </row>
    <row r="236" spans="2:18" ht="20" customHeight="1">
      <c r="H236" s="3"/>
      <c r="I236" s="3"/>
      <c r="Q236" s="21" t="s">
        <v>1067</v>
      </c>
      <c r="R236" s="18" t="str">
        <f>IF(ISBLANK(input_wld_srm_recovery_vcenter_fqdn),"Value Missing",input_wld_srm_recovery_vcenter_fqdn)</f>
        <v>Value Missing</v>
      </c>
    </row>
    <row r="237" spans="2:18" ht="20" customHeight="1">
      <c r="H237" s="3"/>
      <c r="I237" s="3"/>
      <c r="Q237" s="21" t="s">
        <v>1068</v>
      </c>
      <c r="R237" s="18" t="str">
        <f>IF(ISBLANK(input_wld_srm_recovery_vcenter_username),"Value Missing",input_wld_srm_recovery_vcenter_username)</f>
        <v>Value Missing</v>
      </c>
    </row>
    <row r="238" spans="2:18" ht="20" customHeight="1">
      <c r="H238" s="3"/>
      <c r="I238" s="3"/>
      <c r="Q238" s="21" t="s">
        <v>1069</v>
      </c>
      <c r="R238" s="18" t="str">
        <f>IF(ISBLANK(input_wld_srm_recovery_vcenter_password),"Value Missing",input_wld_srm_recovery_vcenter_password)</f>
        <v>Value Missing</v>
      </c>
    </row>
    <row r="239" spans="2:18" ht="20" customHeight="1">
      <c r="H239" s="3"/>
      <c r="I239" s="3"/>
      <c r="Q239" s="21" t="s">
        <v>1075</v>
      </c>
      <c r="R239" s="18" t="str">
        <f>IF(ISBLANK(input_wld_vrms_recovery_replication_cidr),"Value Missing",input_wld_vrms_recovery_replication_cidr)</f>
        <v>Value Missing</v>
      </c>
    </row>
    <row r="240" spans="2:18" ht="20" customHeight="1">
      <c r="H240" s="3"/>
      <c r="I240" s="3"/>
      <c r="Q240" s="21" t="s">
        <v>1525</v>
      </c>
      <c r="R240" s="18" t="str">
        <f>IF(ISBLANK(input_wld_srm_sso_domain_membership),"Value Missing",input_wld_srm_sso_domain_membership)</f>
        <v>Value Missing</v>
      </c>
    </row>
    <row r="241" spans="8:18" ht="20" customHeight="1">
      <c r="H241" s="3"/>
      <c r="I241" s="3"/>
    </row>
    <row r="242" spans="8:18" ht="20" customHeight="1">
      <c r="H242" s="3"/>
      <c r="I242" s="3"/>
      <c r="Q242" s="427" t="s">
        <v>3635</v>
      </c>
      <c r="R242" s="426"/>
    </row>
    <row r="243" spans="8:18" ht="20" customHeight="1">
      <c r="H243" s="3"/>
      <c r="I243" s="3"/>
      <c r="Q243" s="8" t="s">
        <v>735</v>
      </c>
      <c r="R243" s="20" t="s">
        <v>555</v>
      </c>
    </row>
    <row r="244" spans="8:18" ht="20" customHeight="1">
      <c r="H244" s="3"/>
      <c r="I244" s="3"/>
      <c r="Q244" s="21" t="s">
        <v>3660</v>
      </c>
      <c r="R244" s="18" t="str">
        <f>IF(ISBLANK(input_vrni_license_alias),"Value Missing",input_vrni_license_alias)</f>
        <v>Value Missing</v>
      </c>
    </row>
    <row r="245" spans="8:18" ht="20" customHeight="1">
      <c r="H245" s="3"/>
      <c r="I245" s="3"/>
      <c r="Q245" s="21" t="s">
        <v>3661</v>
      </c>
      <c r="R245" s="18" t="str">
        <f>IF(ISBLANK(input_vrni_license),"Value Missing",input_vrni_license)</f>
        <v>Value Missing</v>
      </c>
    </row>
    <row r="246" spans="8:18" ht="20" customHeight="1">
      <c r="H246" s="3"/>
      <c r="I246" s="3"/>
      <c r="Q246" s="21" t="s">
        <v>1019</v>
      </c>
      <c r="R246" s="18" t="str">
        <f>IF(ISBLANK(input_xreg_vrni_root_password_alias),"Value Missing",input_xreg_vrni_root_password_alias)</f>
        <v>Value Missing</v>
      </c>
    </row>
    <row r="247" spans="8:18" ht="20" customHeight="1">
      <c r="H247" s="3"/>
      <c r="I247" s="3"/>
      <c r="Q247" s="21" t="s">
        <v>3669</v>
      </c>
      <c r="R247" s="18" t="str">
        <f>IF(ISBLANK(input_xreg_vrni_root_password),"Value Missing",input_xreg_vrni_root_password)</f>
        <v>Value Missing</v>
      </c>
    </row>
    <row r="248" spans="8:18" ht="20" customHeight="1">
      <c r="H248" s="3"/>
      <c r="I248" s="3"/>
      <c r="Q248" s="21" t="s">
        <v>3670</v>
      </c>
      <c r="R248" s="18" t="str">
        <f>IF(ISBLANK(input_xreg_vrni_support_password_alias),"Value Missing",input_xreg_vrni_support_password_alias)</f>
        <v>Value Missing</v>
      </c>
    </row>
    <row r="249" spans="8:18" ht="20" customHeight="1">
      <c r="H249" s="3"/>
      <c r="I249" s="3"/>
      <c r="Q249" s="21" t="s">
        <v>3665</v>
      </c>
      <c r="R249" s="18" t="str">
        <f>IF(ISBLANK(input_xreg_vrni_support_password),"Value Missing",input_xreg_vrni_support_password)</f>
        <v>Value Missing</v>
      </c>
    </row>
    <row r="250" spans="8:18" ht="20" customHeight="1">
      <c r="H250" s="3"/>
      <c r="I250" s="3"/>
      <c r="Q250" s="21" t="s">
        <v>3671</v>
      </c>
      <c r="R250" s="18" t="str">
        <f>IF(ISBLANK(input_xreg_vrni_consoleuser_password_alias),"Value Missing",input_xreg_vrni_consoleuser_password_alias)</f>
        <v>Value Missing</v>
      </c>
    </row>
    <row r="251" spans="8:18" ht="20" customHeight="1">
      <c r="H251" s="3"/>
      <c r="I251" s="3"/>
      <c r="Q251" s="21" t="s">
        <v>3672</v>
      </c>
      <c r="R251" s="18" t="str">
        <f>IF(ISBLANK(input_xreg_vrni_consoleuser_password),"Value Missing",input_xreg_vrni_consoleuser_password)</f>
        <v>Value Missing</v>
      </c>
    </row>
    <row r="252" spans="8:18" ht="20" customHeight="1">
      <c r="H252" s="3"/>
      <c r="I252" s="3"/>
      <c r="Q252" s="21" t="s">
        <v>3680</v>
      </c>
      <c r="R252" s="18" t="str">
        <f>IF(ISBLANK(input_xreg_vrni_deployment_type),"Value Missing",input_xreg_vrni_deployment_type)</f>
        <v>Value Missing</v>
      </c>
    </row>
    <row r="253" spans="8:18" ht="20" customHeight="1">
      <c r="H253" s="3"/>
      <c r="I253" s="3"/>
      <c r="Q253" s="21" t="s">
        <v>3636</v>
      </c>
      <c r="R253" s="18" t="str">
        <f>IF(ISBLANK(input_inv_vsphere_role),"Value Missing",input_inv_vsphere_role)</f>
        <v>Value Missing</v>
      </c>
    </row>
    <row r="254" spans="8:18" ht="20" customHeight="1">
      <c r="H254" s="3"/>
      <c r="I254" s="3"/>
      <c r="Q254" s="21" t="s">
        <v>1446</v>
      </c>
      <c r="R254" s="18" t="str">
        <f>IF(ISBLANK(input_svc_inv_vsphere_user),"Value Missing",input_svc_inv_vsphere_user)</f>
        <v>Value Missing</v>
      </c>
    </row>
    <row r="255" spans="8:18" ht="20" customHeight="1">
      <c r="H255" s="3"/>
      <c r="I255" s="3"/>
      <c r="Q255" s="21" t="s">
        <v>1447</v>
      </c>
      <c r="R255" s="18" t="str">
        <f>IF(ISBLANK(input_svc_inv_vsphere_password),"Value Missing",input_svc_inv_vsphere_password)</f>
        <v>Value Missing</v>
      </c>
    </row>
    <row r="256" spans="8:18" ht="20" customHeight="1">
      <c r="H256" s="3"/>
      <c r="I256" s="3"/>
      <c r="Q256" s="21" t="s">
        <v>4913</v>
      </c>
      <c r="R256" s="18" t="str">
        <f>IF(ISBLANK(input_inv_vm_folder),"Value Missing",input_inv_vm_folder)</f>
        <v>Value Missing</v>
      </c>
    </row>
    <row r="257" spans="8:18" ht="20" customHeight="1">
      <c r="H257" s="3"/>
      <c r="I257" s="3"/>
      <c r="Q257" s="21" t="s">
        <v>4914</v>
      </c>
      <c r="R257" s="18" t="str">
        <f xml:space="preserve"> CONCATENATE(mgmt_sddc_domain, "-fd-networks")</f>
        <v>Value Missing-fd-networks</v>
      </c>
    </row>
    <row r="258" spans="8:18" ht="20" customHeight="1">
      <c r="H258" s="3"/>
      <c r="I258" s="3"/>
      <c r="Q258" s="21" t="s">
        <v>1573</v>
      </c>
      <c r="R258" s="18" t="str" cm="1">
        <f t="array" ref="R258">IF(ISBLANK(input_inv_mgmt_nsxt_piuser),"Value Missing",input_inv_mgmt_nsxt_piuser)</f>
        <v>Value Missing</v>
      </c>
    </row>
    <row r="259" spans="8:18" ht="20" customHeight="1">
      <c r="H259" s="3"/>
      <c r="I259" s="3"/>
      <c r="Q259" s="21" t="s">
        <v>1574</v>
      </c>
      <c r="R259" s="18" t="str" cm="1">
        <f t="array" ref="R259">IF(ISBLANK(input_inv_wld_nsxt_piuser),"Value Missing",input_inv_wld_nsxt_piuser)</f>
        <v>Value Missing</v>
      </c>
    </row>
    <row r="260" spans="8:18" ht="20" customHeight="1">
      <c r="Q260" s="21" t="s">
        <v>1575</v>
      </c>
      <c r="R260" s="18" t="str">
        <f>IF(ISBLANK(input_region_vrni_nodea_hostname),"Value Missing",input_region_vrni_nodea_hostname)</f>
        <v>Value Missing</v>
      </c>
    </row>
    <row r="261" spans="8:18" ht="20" customHeight="1">
      <c r="Q261" s="21" t="s">
        <v>1576</v>
      </c>
      <c r="R261" s="18" t="str">
        <f>IF(ISBLANK(input_region_vrni_nodea_ip),"Value Missing",input_region_vrni_nodea_ip)</f>
        <v>Value Missing</v>
      </c>
    </row>
    <row r="262" spans="8:18" ht="20" customHeight="1">
      <c r="Q262" s="21" t="s">
        <v>3687</v>
      </c>
      <c r="R262" s="18" t="str">
        <f>IF(ISBLANK(input_xreg_vrni_platform_node_size),"Value Missing",input_xreg_vrni_platform_node_size)</f>
        <v>Extra_Large</v>
      </c>
    </row>
    <row r="263" spans="8:18" ht="20" customHeight="1">
      <c r="Q263" s="21" t="s">
        <v>4020</v>
      </c>
      <c r="R263" s="18" t="str">
        <f>IF(ISBLANK(input_region_vrni_collector_node_size),"Value Missing",input_region_vrni_collector_node_size)</f>
        <v>Large</v>
      </c>
    </row>
    <row r="264" spans="8:18" ht="20" customHeight="1">
      <c r="Q264" s="21" t="s">
        <v>3707</v>
      </c>
      <c r="R264" s="18" t="s">
        <v>3706</v>
      </c>
    </row>
    <row r="265" spans="8:18" ht="20" customHeight="1">
      <c r="Q265" s="21" t="s">
        <v>3708</v>
      </c>
      <c r="R265" s="18" t="s">
        <v>3709</v>
      </c>
    </row>
    <row r="266" spans="8:18" ht="20" customHeight="1">
      <c r="Q266" s="21" t="s">
        <v>3731</v>
      </c>
      <c r="R266" s="18" t="str">
        <f>IF(ISBLANK(input_domain_controller_hostname),"Value Missing",CONCATENATE("ldaps://",domain_controller_hostname,".",child_dns_zone,":636"))</f>
        <v>Value Missing</v>
      </c>
    </row>
    <row r="267" spans="8:18" ht="20" customHeight="1">
      <c r="Q267" s="21" t="s">
        <v>3733</v>
      </c>
      <c r="R267" s="18" t="str">
        <f>IF(ISBLANK(input_svc_inv_ad_user),"Value Missing",CONCATENATE(input_svc_inv_ad_user,"@",input_child_dns_zone))</f>
        <v>Value Missing</v>
      </c>
    </row>
    <row r="268" spans="8:18" ht="20" customHeight="1">
      <c r="Q268" s="21" t="s">
        <v>3734</v>
      </c>
      <c r="R268" s="18" t="str">
        <f>IF(ISBLANK(input_svc_inv_ad_password),"Value Missing",input_svc_inv_ad_password)</f>
        <v>Value Missing</v>
      </c>
    </row>
    <row r="269" spans="8:18" ht="20" customHeight="1">
      <c r="Q269" s="21" t="s">
        <v>2304</v>
      </c>
      <c r="R269" s="18" t="str">
        <f>IF(ISBLANK(input_child_ad_users_ou),"Value Missing",RIGHT(input_child_ad_users_ou,LEN(input_child_ad_users_ou)-SEARCH(",",input_child_ad_users_ou)))</f>
        <v>Value Missing</v>
      </c>
    </row>
    <row r="270" spans="8:18" ht="20" customHeight="1">
      <c r="Q270" s="21" t="s">
        <v>3735</v>
      </c>
      <c r="R270" s="18" t="str">
        <f>IF(ISBLANK(input_gg_vrni_admin_group),"Value Missing",input_gg_vrni_admin_group)</f>
        <v>Value Missing</v>
      </c>
    </row>
    <row r="271" spans="8:18" ht="20" customHeight="1">
      <c r="Q271" s="21" t="s">
        <v>3736</v>
      </c>
      <c r="R271" s="18" t="str">
        <f>IF(ISBLANK(input_gg_vrni_member_group),"Value Missing",input_gg_vrni_member_group)</f>
        <v>Value Missing</v>
      </c>
    </row>
    <row r="272" spans="8:18" ht="20" customHeight="1">
      <c r="Q272" s="21" t="s">
        <v>3737</v>
      </c>
      <c r="R272" s="18" t="str">
        <f>IF(ISBLANK(input_gg_vrni_auditor_group),"Value Missing",input_gg_vrni_auditor_group)</f>
        <v>Value Missing</v>
      </c>
    </row>
    <row r="273" spans="17:18" ht="20" customHeight="1">
      <c r="Q273" s="21" t="s">
        <v>3738</v>
      </c>
      <c r="R273" s="18" t="str">
        <f>IF(ISBLANK(input_gg_vrni_admin_group),"Value Missing",CONCATENATE("cn=",input_gg_vrni_admin_group,",",input_child_ad_groups_ou))</f>
        <v>Value Missing</v>
      </c>
    </row>
    <row r="274" spans="17:18" ht="20" customHeight="1">
      <c r="Q274" s="21" t="s">
        <v>3739</v>
      </c>
      <c r="R274" s="18" t="str">
        <f>IF(ISBLANK(input_gg_vrni_member_group),"Value Missing",CONCATENATE("cn=",input_gg_vrni_member_group,",",input_child_ad_groups_ou))</f>
        <v>Value Missing</v>
      </c>
    </row>
    <row r="275" spans="17:18" ht="20" customHeight="1">
      <c r="Q275" s="21" t="s">
        <v>3740</v>
      </c>
      <c r="R275" s="18" t="str">
        <f>IF(ISBLANK(input_gg_vrni_auditor_group),"Value Missing",CONCATENATE("cn=",input_gg_vrni_auditor_group,",",input_child_ad_groups_ou))</f>
        <v>Value Missing</v>
      </c>
    </row>
    <row r="276" spans="17:18" ht="20" customHeight="1">
      <c r="Q276" s="21" t="s">
        <v>4930</v>
      </c>
      <c r="R276" s="18" t="str">
        <f>IF(ISBLANK(input_svc_inv_vrops_user),"Value Missing",CONCATENATE(input_svc_inv_vrops_user,"@",input_child_dns_zone))</f>
        <v>test@</v>
      </c>
    </row>
    <row r="277" spans="17:18" ht="20" customHeight="1">
      <c r="Q277" s="21" t="s">
        <v>4931</v>
      </c>
      <c r="R277" s="18" t="str">
        <f>IF(ISBLANK(input_svc_inv_vrops_password),"Value Missing",input_svc_inv_vrops_password)</f>
        <v>etst</v>
      </c>
    </row>
    <row r="279" spans="17:18" ht="20" customHeight="1">
      <c r="Q279" s="427" t="s">
        <v>3535</v>
      </c>
      <c r="R279" s="426"/>
    </row>
    <row r="280" spans="17:18" ht="20" customHeight="1">
      <c r="Q280" s="8" t="s">
        <v>735</v>
      </c>
      <c r="R280" s="20" t="s">
        <v>555</v>
      </c>
    </row>
    <row r="281" spans="17:18" ht="20" customHeight="1">
      <c r="Q281" s="21" t="s">
        <v>1084</v>
      </c>
      <c r="R281" s="18" t="str">
        <f>IF(ISBLANK(input_cbr_vcdr_vsphere_role),"Value Missing",input_cbr_vcdr_vsphere_role)</f>
        <v>Value Missing</v>
      </c>
    </row>
    <row r="282" spans="17:18" ht="20" customHeight="1">
      <c r="Q282" s="21" t="s">
        <v>3546</v>
      </c>
      <c r="R282" s="18" t="str">
        <f>IF(ISBLANK(input_svc_cbr_vcdr_vsphere_user),"Value Missing",input_svc_cbr_vcdr_vsphere_user)</f>
        <v>Value Missing</v>
      </c>
    </row>
    <row r="283" spans="17:18" ht="20" customHeight="1">
      <c r="Q283" s="21" t="s">
        <v>3547</v>
      </c>
      <c r="R283" s="18" t="str">
        <f>IF(ISBLANK(input_svc_cbr_vcdr_vsphere_password),"Value Missing",input_svc_cbr_vcdr_vsphere_password)</f>
        <v>Value Missing</v>
      </c>
    </row>
    <row r="284" spans="17:18" ht="20" customHeight="1">
      <c r="Q284" s="21" t="s">
        <v>3536</v>
      </c>
      <c r="R284" s="18" t="str">
        <f>IF(ISBLANK(input_cbr_vm_folder),"Value Missing",input_cbr_vm_folder)</f>
        <v>Value Missing</v>
      </c>
    </row>
    <row r="285" spans="17:18" ht="20" customHeight="1">
      <c r="Q285" s="21" t="s">
        <v>1089</v>
      </c>
      <c r="R285" s="18" t="str">
        <f>IF(ISBLANK(input_cbr_recovery_sddc_name),"Value Missing",input_cbr_recovery_sddc_name)</f>
        <v>Value Missing</v>
      </c>
    </row>
    <row r="286" spans="17:18" ht="20" customHeight="1">
      <c r="Q286" s="21" t="s">
        <v>1091</v>
      </c>
      <c r="R286" s="18" t="str">
        <f>IF(ISBLANK(input_cbr_recovery_region),"Value Missing",input_cbr_recovery_region)</f>
        <v>Value Missing</v>
      </c>
    </row>
    <row r="287" spans="17:18" ht="20" customHeight="1">
      <c r="Q287" s="21" t="s">
        <v>1093</v>
      </c>
      <c r="R287" s="18" t="str">
        <f>IF(ISBLANK(input_cbr_recovery_host_type),"Value Missing",input_cbr_recovery_host_type)</f>
        <v>Value Missing</v>
      </c>
    </row>
    <row r="288" spans="17:18" ht="20" customHeight="1">
      <c r="Q288" s="21" t="s">
        <v>1095</v>
      </c>
      <c r="R288" s="18" t="str">
        <f>IF(ISBLANK(input_cbr_recovery_host_count),"Value Missing",input_cbr_recovery_host_count)</f>
        <v>Value Missing</v>
      </c>
    </row>
    <row r="289" spans="17:18" ht="20" customHeight="1">
      <c r="Q289" s="21" t="s">
        <v>1096</v>
      </c>
      <c r="R289" s="18" t="str">
        <f>IF(ISBLANK(input_cbr_recovery_vpc),"Value Missing",input_cbr_recovery_vpc)</f>
        <v>Value Missing</v>
      </c>
    </row>
    <row r="290" spans="17:18" ht="20" customHeight="1">
      <c r="Q290" s="21" t="s">
        <v>1098</v>
      </c>
      <c r="R290" s="18" t="str">
        <f>IF(ISBLANK(input_cbr_recovery_subnet),"Value Missing",input_cbr_recovery_subnet)</f>
        <v>Value Missing</v>
      </c>
    </row>
    <row r="291" spans="17:18" ht="20" customHeight="1">
      <c r="Q291" s="21" t="s">
        <v>1099</v>
      </c>
      <c r="R291" s="18" t="str">
        <f>IF(ISBLANK(input_cbr_recovery_management_subnet),"Value Missing",input_cbr_recovery_management_subnet)</f>
        <v>Value Missing</v>
      </c>
    </row>
    <row r="292" spans="17:18" ht="20" customHeight="1">
      <c r="Q292" s="21" t="s">
        <v>1581</v>
      </c>
      <c r="R292" s="18" t="str">
        <f>IF(ISBLANK(input_cbr_firewall_rule_vcenter),"Value Missing",input_cbr_firewall_rule_vcenter)</f>
        <v>Value Missing</v>
      </c>
    </row>
    <row r="293" spans="17:18" ht="20" customHeight="1">
      <c r="Q293" s="21" t="s">
        <v>1582</v>
      </c>
      <c r="R293" s="18" t="str">
        <f>IF(ISBLANK(input_cbr_firewall_group),"Value Missing",input_cbr_firewall_group)</f>
        <v>Value Missing</v>
      </c>
    </row>
    <row r="294" spans="17:18" ht="20" customHeight="1">
      <c r="Q294" s="21" t="s">
        <v>1107</v>
      </c>
      <c r="R294" s="18" t="str" cm="1">
        <f t="array" ref="R294">IF(ISBLANK(input_cbr_firewall_ip_addresses),"Value Missing",input_cbr_firewall_ip_addresses)</f>
        <v>Value Missing</v>
      </c>
    </row>
    <row r="295" spans="17:18" ht="20" customHeight="1">
      <c r="Q295" s="21" t="s">
        <v>1123</v>
      </c>
      <c r="R295" s="18" t="e">
        <f>IF(ISBLANK(input_cbr_csp_token_name),"Value Missing",input_cbr_csp_token_name)</f>
        <v>#NAME?</v>
      </c>
    </row>
    <row r="296" spans="17:18" ht="20" customHeight="1">
      <c r="Q296" s="21" t="s">
        <v>1124</v>
      </c>
      <c r="R296" s="18" t="e">
        <f>IF(ISBLANK(input_cbr_csp_token),"Value Missing",input_cbr_csp_token)</f>
        <v>#NAME?</v>
      </c>
    </row>
    <row r="297" spans="17:18" ht="20" customHeight="1">
      <c r="Q297" s="21" t="s">
        <v>1587</v>
      </c>
      <c r="R297" s="18" t="str">
        <f>IF(ISBLANK(input_cbr_vcdr_cloud_file_system),"Value Missing",input_cbr_vcdr_cloud_file_system)</f>
        <v>Value Missing</v>
      </c>
    </row>
    <row r="298" spans="17:18" ht="20" customHeight="1">
      <c r="Q298" s="21" t="s">
        <v>1588</v>
      </c>
      <c r="R298" s="18" t="str">
        <f>IF(ISBLANK(input_cbr_vcdr_site_name),"Value Missing",input_cbr_vcdr_site_name)</f>
        <v>Value Missing</v>
      </c>
    </row>
    <row r="299" spans="17:18" ht="20" customHeight="1">
      <c r="Q299" s="21" t="s">
        <v>1589</v>
      </c>
      <c r="R299" s="18" t="str">
        <f>IF(ISBLANK(input_cbr_vcdr_timezone),"Value Missing",input_cbr_vcdr_timezone)</f>
        <v>Value Missing</v>
      </c>
    </row>
    <row r="300" spans="17:18" ht="20" customHeight="1">
      <c r="Q300" s="21" t="s">
        <v>1590</v>
      </c>
      <c r="R300" s="18" t="str" cm="1">
        <f t="array" ref="R300">IF(ISBLANK(input_cbr_vcdr_cdp1_hostname),"Value Missing",input_cbr_vcdr_cdp1_hostname)</f>
        <v>Value Missing</v>
      </c>
    </row>
    <row r="301" spans="17:18" ht="20" customHeight="1">
      <c r="Q301" s="21" t="s">
        <v>1591</v>
      </c>
      <c r="R301" s="18" t="str">
        <f>IF(ISBLANK(input_cbr_vcdr_cdp1_ip),"Value Missing",input_cbr_vcdr_cdp1_ip)</f>
        <v>Value Missing</v>
      </c>
    </row>
    <row r="302" spans="17:18" ht="20" customHeight="1">
      <c r="Q302" s="21" t="s">
        <v>1592</v>
      </c>
      <c r="R302" s="18" t="str">
        <f>IF(ISBLANK(input_cbr_vcdr_cdp2_hostname),"Value Missing",input_cbr_vcdr_cdp2_hostname)</f>
        <v>Value Missing</v>
      </c>
    </row>
    <row r="303" spans="17:18" ht="20" customHeight="1">
      <c r="Q303" s="21" t="s">
        <v>1593</v>
      </c>
      <c r="R303" s="18" t="str">
        <f>IF(ISBLANK(input_cbr_vcdr_cdp2_ip),"Value Missing",input_cbr_vcdr_cdp2_ip)</f>
        <v>Value Missing</v>
      </c>
    </row>
    <row r="304" spans="17:18" ht="20" customHeight="1">
      <c r="Q304" s="21" t="s">
        <v>1129</v>
      </c>
      <c r="R304" s="18" t="str">
        <f>IF(ISBLANK(input_cbr_vcdr_ova),"Value Missing",input_cbr_vcdr_ova)</f>
        <v>Value Missing</v>
      </c>
    </row>
    <row r="305" spans="17:18" ht="20" customHeight="1">
      <c r="Q305" s="21" t="s">
        <v>1131</v>
      </c>
      <c r="R305" s="18" t="str">
        <f>IF(ISBLANK(input_cbr_vcdr_orchestrator_fqdn),"Value Missing",input_cbr_vcdr_orchestrator_fqdn)</f>
        <v>Value Missing</v>
      </c>
    </row>
    <row r="306" spans="17:18" ht="20" customHeight="1">
      <c r="Q306" s="21" t="s">
        <v>1133</v>
      </c>
      <c r="R306" s="18" t="str">
        <f>IF(ISBLANK(input_cbr_vcdr_passcode),"Value Missing",input_cbr_vcdr_passcode)</f>
        <v>Value Missing</v>
      </c>
    </row>
    <row r="307" spans="17:18" ht="20" customHeight="1">
      <c r="Q307" s="21" t="s">
        <v>1134</v>
      </c>
      <c r="R307" s="18" t="str">
        <f>IF(ISBLANK(input_cbr_vcdr_label),"Value Missing",input_cbr_vcdr_label)</f>
        <v>Value Missing</v>
      </c>
    </row>
    <row r="308" spans="17:18" ht="20" customHeight="1">
      <c r="Q308" s="21" t="s">
        <v>1135</v>
      </c>
      <c r="R308" s="18" t="str">
        <f>IF(ISBLANK(input_cbr_vcdr_anti_affinity),"Value Missing",input_cbr_vcdr_anti_affinity)</f>
        <v>Value Missing</v>
      </c>
    </row>
    <row r="309" spans="17:18" ht="20" customHeight="1">
      <c r="Q309" s="21" t="s">
        <v>1136</v>
      </c>
      <c r="R309" s="18" t="str">
        <f>IF(ISBLANK(input_cbr_vcdr_email_recipient),"Value Missing",input_cbr_vcdr_email_recipient)</f>
        <v>Value Missing</v>
      </c>
    </row>
    <row r="310" spans="17:18" ht="20" customHeight="1">
      <c r="Q310" s="21" t="s">
        <v>1138</v>
      </c>
      <c r="R310" s="18" t="str">
        <f>IF(ISBLANK(input_cbr_vcdr_email_sender),"Value Missing",input_cbr_vcdr_email_sender)</f>
        <v>Value Missing</v>
      </c>
    </row>
    <row r="311" spans="17:18" ht="20" customHeight="1">
      <c r="Q311" s="21" t="s">
        <v>1139</v>
      </c>
      <c r="R311" s="18" t="str">
        <f>IF(ISBLANK(input_cbr_aria_logs_url),"Value Missing",input_cbr_aria_logs_url)</f>
        <v>Value Missing</v>
      </c>
    </row>
    <row r="312" spans="17:18" ht="20" customHeight="1">
      <c r="Q312" s="21" t="s">
        <v>1140</v>
      </c>
      <c r="R312" s="18" t="str">
        <f>IF(ISBLANK(input_cbr_aria_logs_key),"Value Missing",input_cbr_aria_logs_key)</f>
        <v>Value Missing</v>
      </c>
    </row>
    <row r="314" spans="17:18" ht="20" customHeight="1">
      <c r="Q314" s="427" t="s">
        <v>3134</v>
      </c>
      <c r="R314" s="426"/>
    </row>
    <row r="315" spans="17:18" ht="20" customHeight="1">
      <c r="Q315" s="8" t="s">
        <v>735</v>
      </c>
      <c r="R315" s="20" t="s">
        <v>555</v>
      </c>
    </row>
    <row r="316" spans="17:18" ht="20" customHeight="1">
      <c r="Q316" s="21" t="s">
        <v>1085</v>
      </c>
      <c r="R316" s="18" t="str">
        <f>IF(ISBLANK(input_ccm_hcx_vsphere_role),"Value Missing",input_ccm_hcx_vsphere_role)</f>
        <v>Value Missing</v>
      </c>
    </row>
    <row r="317" spans="17:18" ht="20" customHeight="1">
      <c r="Q317" s="21" t="s">
        <v>1577</v>
      </c>
      <c r="R317" s="18" t="str">
        <f>IF(ISBLANK(input_svc_ccm_hcx_vsphere_user),"Value Missing",input_svc_ccm_hcx_vsphere_user)</f>
        <v>Value Missing</v>
      </c>
    </row>
    <row r="318" spans="17:18" ht="20" customHeight="1">
      <c r="Q318" s="21" t="s">
        <v>1578</v>
      </c>
      <c r="R318" s="18" t="str">
        <f>IF(ISBLANK(input_svc_ccm_hcx_vsphere_password),"Value Missing",input_svc_ccm_hcx_vsphere_password)</f>
        <v>Value Missing</v>
      </c>
    </row>
    <row r="319" spans="17:18" ht="20" customHeight="1">
      <c r="Q319" s="21" t="s">
        <v>3135</v>
      </c>
      <c r="R319" s="18" t="str">
        <f>IF(ISBLANK(input_ccm_vm_folder),"Value Missing",input_ccm_vm_folder)</f>
        <v>Value Missing</v>
      </c>
    </row>
    <row r="320" spans="17:18" ht="20" customHeight="1">
      <c r="Q320" s="21" t="s">
        <v>1087</v>
      </c>
      <c r="R320" s="18" t="str">
        <f>IF(ISBLANK(input_ccm_hcx_vm_folder),"Value Missing",input_ccm_hcx_vm_folder)</f>
        <v>Value Missing</v>
      </c>
    </row>
    <row r="321" spans="17:18" ht="20" customHeight="1">
      <c r="Q321" s="21" t="s">
        <v>1088</v>
      </c>
      <c r="R321" s="18" t="str">
        <f>IF(ISBLANK(input_ccm_hcx_resource_pool),"Value Missing",input_ccm_hcx_resource_pool)</f>
        <v>Value Missing</v>
      </c>
    </row>
    <row r="322" spans="17:18" ht="20" customHeight="1">
      <c r="Q322" s="21" t="s">
        <v>1579</v>
      </c>
      <c r="R322" s="18" t="str">
        <f>IF(ISBLANK(input_svc_ccm_hcx_nsx_user),"Value Missing",input_svc_ccm_hcx_nsx_user)</f>
        <v>Value Missing</v>
      </c>
    </row>
    <row r="323" spans="17:18" ht="20" customHeight="1">
      <c r="Q323" s="21" t="s">
        <v>1580</v>
      </c>
      <c r="R323" s="18" t="str" cm="1">
        <f t="array" ref="R323">IF(ISBLANK(input_svc_ccm_hcx_nsx_password),"Value Missing",input_svc_ccm_hcx_nsx_password)</f>
        <v>Value Missing</v>
      </c>
    </row>
    <row r="324" spans="17:18" ht="20" customHeight="1">
      <c r="Q324" s="21" t="s">
        <v>3133</v>
      </c>
      <c r="R324" s="18" t="str">
        <f>IF(ISBLANK(input_ccm_aws_sddc_name),"Value Missing",input_ccm_aws_sddc_name)</f>
        <v>Value Missing</v>
      </c>
    </row>
    <row r="325" spans="17:18" ht="20" customHeight="1">
      <c r="Q325" s="21" t="s">
        <v>1091</v>
      </c>
      <c r="R325" s="18" t="str">
        <f>IF(ISBLANK(input_ccm_aws_region),"Value Missing",input_ccm_aws_region)</f>
        <v>Value Missing</v>
      </c>
    </row>
    <row r="326" spans="17:18" ht="20" customHeight="1">
      <c r="Q326" s="21" t="s">
        <v>1093</v>
      </c>
      <c r="R326" s="18" t="str">
        <f>IF(ISBLANK(input_ccm_aws_host_type),"Value Missing",input_ccm_aws_host_type)</f>
        <v>Value Missing</v>
      </c>
    </row>
    <row r="327" spans="17:18" ht="20" customHeight="1">
      <c r="Q327" s="21" t="s">
        <v>1095</v>
      </c>
      <c r="R327" s="18" t="str">
        <f>IF(ISBLANK(input_ccm_aws_host_count),"Value Missing",input_ccm_aws_host_count)</f>
        <v>Value Missing</v>
      </c>
    </row>
    <row r="328" spans="17:18" ht="20" customHeight="1">
      <c r="Q328" s="21" t="s">
        <v>1096</v>
      </c>
      <c r="R328" s="18" t="str">
        <f>IF(ISBLANK(input_ccm_aws_vpc),"Value Missing",input_ccm_aws_vpc)</f>
        <v>Value Missing</v>
      </c>
    </row>
    <row r="329" spans="17:18" ht="20" customHeight="1">
      <c r="Q329" s="21" t="s">
        <v>1098</v>
      </c>
      <c r="R329" s="18" t="str">
        <f>IF(ISBLANK(input_ccm_aws_subnet),"Value Missing",input_ccm_aws_subnet)</f>
        <v>Value Missing</v>
      </c>
    </row>
    <row r="330" spans="17:18" ht="20" customHeight="1">
      <c r="Q330" s="21" t="s">
        <v>1099</v>
      </c>
      <c r="R330" s="18" t="str">
        <f>IF(ISBLANK(input_ccm_aws_management_subnet),"Value Missing",input_ccm_aws_management_subnet)</f>
        <v>Value Missing</v>
      </c>
    </row>
    <row r="331" spans="17:18" ht="20" customHeight="1">
      <c r="Q331" s="21" t="s">
        <v>1581</v>
      </c>
      <c r="R331" s="18" t="str">
        <f>IF(ISBLANK(input_ccm_firewall_rule_vcenter),"Value Missing",input_ccm_firewall_rule_vcenter)</f>
        <v>Value Missing</v>
      </c>
    </row>
    <row r="332" spans="17:18" ht="20" customHeight="1">
      <c r="Q332" s="21" t="s">
        <v>1103</v>
      </c>
      <c r="R332" s="18" t="str">
        <f>IF(ISBLANK(input_ccm_firewall_rule_hcx),"Value Missing",input_ccm_firewall_rule_hcx)</f>
        <v>Value Missing</v>
      </c>
    </row>
    <row r="333" spans="17:18" ht="20" customHeight="1">
      <c r="Q333" s="21" t="s">
        <v>1582</v>
      </c>
      <c r="R333" s="18" t="str">
        <f>IF(ISBLANK(input_ccm_firewall_group),"Value Missing",input_ccm_firewall_group)</f>
        <v>Value Missing</v>
      </c>
    </row>
    <row r="334" spans="17:18" ht="20" customHeight="1">
      <c r="Q334" s="21" t="s">
        <v>1107</v>
      </c>
      <c r="R334" s="18" t="str">
        <f>IF(ISBLANK(input_ccm_firewall_ip_addresses),"Value Missing",input_ccm_firewall_ip_addresses)</f>
        <v>Value Missing</v>
      </c>
    </row>
    <row r="335" spans="17:18" ht="20" customHeight="1">
      <c r="Q335" s="21" t="s">
        <v>1109</v>
      </c>
      <c r="R335" s="18" t="str">
        <f>IF(ISBLANK(input_ccm_hcx_license),"Value Missing",input_ccm_hcx_license)</f>
        <v>Value Missing</v>
      </c>
    </row>
    <row r="336" spans="17:18" ht="20" customHeight="1">
      <c r="Q336" s="21" t="s">
        <v>1111</v>
      </c>
      <c r="R336" s="18" t="str">
        <f>IF(ISBLANK(input_ccm_hcx_dc_location),"Value Missing",input_ccm_hcx_dc_location)</f>
        <v>Value Missing</v>
      </c>
    </row>
    <row r="337" spans="17:18" ht="20" customHeight="1">
      <c r="Q337" s="93" t="s">
        <v>1583</v>
      </c>
      <c r="R337" s="18" t="str">
        <f>IF(ISBLANK(input_ccm_hcx_cdp_hostname),"Value Missing",input_ccm_hcx_cdp_hostname)</f>
        <v>Value Missing</v>
      </c>
    </row>
    <row r="338" spans="17:18" ht="20" customHeight="1">
      <c r="Q338" s="21" t="s">
        <v>1113</v>
      </c>
      <c r="R338" s="18" t="str">
        <f>IF(ISBLANK(input_ccm_hcx_admin_password),"Value Missing",input_ccm_hcx_admin_password)</f>
        <v>Value Missing</v>
      </c>
    </row>
    <row r="339" spans="17:18" ht="20" customHeight="1">
      <c r="Q339" s="21" t="s">
        <v>1114</v>
      </c>
      <c r="R339" s="18" t="str">
        <f>IF(ISBLANK(input_ccm_hcx_root_password),"Value Missing",input_ccm_hcx_root_password)</f>
        <v>Value Missing</v>
      </c>
    </row>
    <row r="340" spans="17:18" ht="20" customHeight="1">
      <c r="Q340" s="21" t="s">
        <v>1584</v>
      </c>
      <c r="R340" s="18" t="str">
        <f>IF(ISBLANK(input_ccm_hcx_cdp_ip),"Value Missing",input_ccm_hcx_cdp_ip)</f>
        <v>Value Missing</v>
      </c>
    </row>
    <row r="341" spans="17:18" ht="20" customHeight="1">
      <c r="Q341" s="21" t="s">
        <v>1115</v>
      </c>
      <c r="R341" s="18" t="str">
        <f>IF(ISBLANK(input_ccm_hcx_remote_url),"Value Missing",input_ccm_hcx_remote_url)</f>
        <v>Value Missing</v>
      </c>
    </row>
    <row r="342" spans="17:18" ht="20" customHeight="1">
      <c r="Q342" s="21" t="s">
        <v>1117</v>
      </c>
      <c r="R342" s="18" t="str">
        <f>IF(ISBLANK(input_ccm_aws_admin_ssouser),"Value Missing",input_ccm_aws_admin_ssouser)</f>
        <v>Value Missing</v>
      </c>
    </row>
    <row r="343" spans="17:18" ht="20" customHeight="1">
      <c r="Q343" s="21" t="s">
        <v>1119</v>
      </c>
      <c r="R343" s="18" t="str">
        <f>IF(ISBLANK(input_ccm_aws_admin_password),"Value Missing",input_ccm_aws_admin_password)</f>
        <v>Value Missing</v>
      </c>
    </row>
    <row r="344" spans="17:18" ht="20" customHeight="1">
      <c r="Q344" s="21" t="s">
        <v>1585</v>
      </c>
      <c r="R344" s="18" t="str" cm="1">
        <f t="array" ref="R344">IF(ISBLANK(input_ccm_hcx_mgmt_network_ip_range),"Value Missing",input_ccm_hcx_mgmt_network_ip_range)</f>
        <v>Value Missing</v>
      </c>
    </row>
    <row r="345" spans="17:18" ht="20" customHeight="1">
      <c r="Q345" s="21" t="s">
        <v>1586</v>
      </c>
      <c r="R345" s="18" t="str" cm="1">
        <f t="array" ref="R345">IF(ISBLANK(input_ccm_hcx_vmotion_network_ip_range),"Value Missing",input_ccm_hcx_vmotion_network_ip_range)</f>
        <v>Value Missing</v>
      </c>
    </row>
    <row r="346" spans="17:18" ht="20" customHeight="1">
      <c r="Q346" s="21" t="s">
        <v>1121</v>
      </c>
      <c r="R346" s="18" t="str">
        <f>IF(ISBLANK(input_ccm_hcx_compute_profile),"Value Missing",input_ccm_hcx_compute_profile)</f>
        <v>Value Missing</v>
      </c>
    </row>
    <row r="347" spans="17:18" ht="20" customHeight="1">
      <c r="Q347" s="21" t="s">
        <v>1122</v>
      </c>
      <c r="R347" s="18" t="str" cm="1">
        <f t="array" ref="R347">IF(ISBLANK(input_ccm_hcx_service_mesh),"Value Missing",input_ccm_hcx_service_mesh)</f>
        <v>Value Missing</v>
      </c>
    </row>
    <row r="349" spans="17:18" ht="20" customHeight="1">
      <c r="Q349" s="427" t="s">
        <v>1594</v>
      </c>
      <c r="R349" s="426"/>
    </row>
    <row r="350" spans="17:18" ht="20" customHeight="1">
      <c r="Q350" s="8" t="s">
        <v>735</v>
      </c>
      <c r="R350" s="20" t="s">
        <v>555</v>
      </c>
    </row>
    <row r="351" spans="17:18" ht="20" customHeight="1">
      <c r="Q351" s="21" t="s">
        <v>984</v>
      </c>
      <c r="R351" s="18" t="str">
        <f>IF(ISBLANK(input_hrm_vm_folder),"Value Missing",input_hrm_vm_folder)</f>
        <v>Value Missing</v>
      </c>
    </row>
    <row r="352" spans="17:18" ht="20" customHeight="1">
      <c r="Q352" s="21" t="s">
        <v>1595</v>
      </c>
      <c r="R352" s="18" t="str">
        <f>IF(ISBLANK(input_hrm_vm_hostname),"Value Missing",input_hrm_vm_hostname)</f>
        <v>Value Missing</v>
      </c>
    </row>
    <row r="353" spans="17:18" ht="20" customHeight="1">
      <c r="Q353" s="21" t="s">
        <v>1596</v>
      </c>
      <c r="R353" s="18" t="str">
        <f>IF(ISBLANK(input_hrm_vm_ip),"Value Missing",input_hrm_vm_ip)</f>
        <v>Value Missing</v>
      </c>
    </row>
    <row r="354" spans="17:18" ht="20" customHeight="1">
      <c r="Q354" s="21" t="s">
        <v>1597</v>
      </c>
      <c r="R354" s="18" t="str">
        <f>IF(ISBLANK(input_hrm_vm_hostname),"Value Missing",CONCATENATE(input_hrm_vm_hostname,".",input_child_dns_zone))</f>
        <v>Value Missing</v>
      </c>
    </row>
    <row r="355" spans="17:18" ht="20" customHeight="1">
      <c r="Q355" s="21" t="s">
        <v>1598</v>
      </c>
      <c r="R355" s="18" t="str">
        <f>IF(ISBLANK(input_hrm_vm_administrator_password),"Value Missing",input_hrm_vm_administrator_password)</f>
        <v>Value Missing</v>
      </c>
    </row>
    <row r="356" spans="17:18" ht="20" customHeight="1">
      <c r="Q356" s="21" t="s">
        <v>1599</v>
      </c>
      <c r="R356" s="18" t="str">
        <f>IF(ISBLANK(input_hrm_vm_root_password),"Value Missing",input_hrm_vm_root_password)</f>
        <v>Value Missing</v>
      </c>
    </row>
    <row r="357" spans="17:18" ht="20" customHeight="1">
      <c r="Q357" s="21" t="s">
        <v>3212</v>
      </c>
      <c r="R357" s="18" t="str">
        <f>IF(ISBLANK(input_hrm_vrops_role_name),"Value Missing",input_hrm_vrops_role_name)</f>
        <v>Value Missing</v>
      </c>
    </row>
    <row r="358" spans="17:18" ht="20" customHeight="1">
      <c r="Q358" s="21" t="s">
        <v>3213</v>
      </c>
      <c r="R358" s="18" t="str">
        <f>IF(ISBLANK(input_hrm_vrops_role_description),"Value Missing",input_hrm_vrops_role_description)</f>
        <v>Value Missing</v>
      </c>
    </row>
    <row r="359" spans="17:18" ht="20" customHeight="1">
      <c r="Q359" s="21" t="s">
        <v>3214</v>
      </c>
      <c r="R359" s="18" t="str">
        <f>IF(ISBLANK(input_hrm_vrops_scope_name),"Value Missing",input_hrm_vrops_scope_name)</f>
        <v>Value Missing</v>
      </c>
    </row>
    <row r="360" spans="17:18" ht="20" customHeight="1">
      <c r="Q360" s="21" t="s">
        <v>3215</v>
      </c>
      <c r="R360" s="18" t="str">
        <f>IF(ISBLANK(input_hrm_vrops_scope_description),"Value Missing",input_hrm_vrops_scope_description)</f>
        <v>Value Missing</v>
      </c>
    </row>
    <row r="361" spans="17:18" ht="20" customHeight="1">
      <c r="Q361" s="21" t="s">
        <v>1440</v>
      </c>
      <c r="R361" s="18" t="str">
        <f>IF(ISBLANK(input_svc_hrm_vcf_user),"Value Missing",input_svc_hrm_vcf_user)</f>
        <v>Value Missing</v>
      </c>
    </row>
    <row r="362" spans="17:18" ht="20" customHeight="1">
      <c r="Q362" s="21" t="s">
        <v>1443</v>
      </c>
      <c r="R362" s="18" t="str">
        <f>IF(ISBLANK(input_svc_hrm_vcf_password),"Value Missing",input_svc_hrm_vcf_password)</f>
        <v>Value Missing</v>
      </c>
    </row>
    <row r="363" spans="17:18" ht="20" customHeight="1">
      <c r="Q363" s="21" t="s">
        <v>3224</v>
      </c>
      <c r="R363" s="18" t="str">
        <f>IF(ISBLANK(input_svc_hrm_vrops_user),"Value Missing",input_svc_hrm_vrops_user)</f>
        <v>Value Missing</v>
      </c>
    </row>
    <row r="364" spans="17:18" ht="20" customHeight="1">
      <c r="Q364" s="21" t="s">
        <v>1600</v>
      </c>
      <c r="R364" s="18" t="str">
        <f>IF(ISBLANK(input_svc_hrm_vrops_password),"Value Missing",input_svc_hrm_vrops_password)</f>
        <v>Value Missing</v>
      </c>
    </row>
    <row r="365" spans="17:18" ht="20" customHeight="1">
      <c r="Q365" s="21" t="s">
        <v>1147</v>
      </c>
      <c r="R365" s="18" t="str">
        <f>IF(ISBLANK(input_hrm_notification_email),"Value Missing",input_hrm_notification_email)</f>
        <v>Value Missing</v>
      </c>
    </row>
  </sheetData>
  <sheetProtection algorithmName="SHA-512" hashValue="9iasMLtq8HN5L4zj4siz/Sizm+mvu7i25grvwRJ1PkFZvmepnN+IN9ayxtJ3EBf9Nlf0w0bGGv9TyUEVR4gvxA==" saltValue="ypAhCsClUfvGQr9RtA4NfQ==" spinCount="100000" sheet="1" objects="1" scenarios="1"/>
  <mergeCells count="30">
    <mergeCell ref="Q349:R349"/>
    <mergeCell ref="S2:W2"/>
    <mergeCell ref="N3:W3"/>
    <mergeCell ref="T6:U6"/>
    <mergeCell ref="H16:I16"/>
    <mergeCell ref="Q6:R6"/>
    <mergeCell ref="N6:O6"/>
    <mergeCell ref="Q279:R279"/>
    <mergeCell ref="Q314:R314"/>
    <mergeCell ref="Q242:R242"/>
    <mergeCell ref="Q171:R171"/>
    <mergeCell ref="N2:O2"/>
    <mergeCell ref="N47:O47"/>
    <mergeCell ref="N50:O50"/>
    <mergeCell ref="N53:O53"/>
    <mergeCell ref="H191:I191"/>
    <mergeCell ref="H131:I131"/>
    <mergeCell ref="H84:I84"/>
    <mergeCell ref="Q54:R54"/>
    <mergeCell ref="B30:C30"/>
    <mergeCell ref="Z6:AB6"/>
    <mergeCell ref="E27:F27"/>
    <mergeCell ref="B6:C6"/>
    <mergeCell ref="W56:X56"/>
    <mergeCell ref="W38:X38"/>
    <mergeCell ref="T11:U11"/>
    <mergeCell ref="Q18:R18"/>
    <mergeCell ref="Q92:R92"/>
    <mergeCell ref="Q61:R61"/>
    <mergeCell ref="Q120:R120"/>
  </mergeCells>
  <phoneticPr fontId="45" type="noConversion"/>
  <conditionalFormatting sqref="F7:F9">
    <cfRule type="containsBlanks" dxfId="2552" priority="89">
      <formula>LEN(TRIM(F7))=0</formula>
    </cfRule>
    <cfRule type="notContainsBlanks" dxfId="2551" priority="88" stopIfTrue="1">
      <formula>LEN(TRIM(F7))&gt;0</formula>
    </cfRule>
  </conditionalFormatting>
  <conditionalFormatting sqref="F9">
    <cfRule type="expression" dxfId="2550" priority="87">
      <formula>wld_compute_total_number_hosts&gt;64</formula>
    </cfRule>
  </conditionalFormatting>
  <conditionalFormatting sqref="F89:F93 F95:F99 F101:F105 F127:F131 F133:F137 F139:F143 F158:F162 F164:F168 F170:F174 I181:I189 AD15 Q18 H25:H27">
    <cfRule type="expression" dxfId="2539" priority="939">
      <formula>AND((VRLI_Result="Excluded"),(VROPS_Result="Excluded"),(VRA_Result="Excluded"))</formula>
    </cfRule>
  </conditionalFormatting>
  <conditionalFormatting sqref="I117:I120 I133:I146">
    <cfRule type="expression" dxfId="2499" priority="495">
      <formula>(VVD_Result="Excluded")</formula>
    </cfRule>
  </conditionalFormatting>
  <conditionalFormatting sqref="I122">
    <cfRule type="expression" dxfId="2496" priority="992">
      <formula>OR((VROPS_Result="Excluded"),(VRA_Result="Excluded"))</formula>
    </cfRule>
  </conditionalFormatting>
  <conditionalFormatting sqref="I124">
    <cfRule type="expression" dxfId="2495" priority="990">
      <formula>OR((VRLI_Result="Excluded"),(VROPS_Result="Excluded"))</formula>
    </cfRule>
  </conditionalFormatting>
  <conditionalFormatting sqref="I125:I128">
    <cfRule type="expression" dxfId="2494" priority="985">
      <formula>(VRA_Result="Excluded")</formula>
    </cfRule>
  </conditionalFormatting>
  <conditionalFormatting sqref="I129">
    <cfRule type="expression" dxfId="2489" priority="988">
      <formula>OR((VROPS_Result="Excluded"),(VRA_Result="Excluded"))</formula>
    </cfRule>
  </conditionalFormatting>
  <conditionalFormatting sqref="I150:I151">
    <cfRule type="expression" dxfId="2487" priority="1239">
      <formula>(VVD_Result="Excluded")</formula>
    </cfRule>
  </conditionalFormatting>
  <conditionalFormatting sqref="I155:I156">
    <cfRule type="expression" dxfId="2486" priority="1047">
      <formula>OR((VVD_Result="Excluded"),(tanzu_result="Excluded"))</formula>
    </cfRule>
  </conditionalFormatting>
  <conditionalFormatting sqref="I169:I180">
    <cfRule type="expression" dxfId="2479" priority="609">
      <formula>(VRA_Result="Excluded")</formula>
    </cfRule>
  </conditionalFormatting>
  <conditionalFormatting sqref="I193">
    <cfRule type="expression" dxfId="2477" priority="492">
      <formula>(VVD_Result="Excluded")</formula>
    </cfRule>
  </conditionalFormatting>
  <conditionalFormatting sqref="L116:L117">
    <cfRule type="notContainsBlanks" dxfId="2473" priority="197">
      <formula>LEN(TRIM(L116))&gt;0</formula>
    </cfRule>
  </conditionalFormatting>
  <conditionalFormatting sqref="L118">
    <cfRule type="notContainsBlanks" dxfId="2471" priority="195">
      <formula>LEN(TRIM(L118))&gt;0</formula>
    </cfRule>
  </conditionalFormatting>
  <conditionalFormatting sqref="L122">
    <cfRule type="notContainsBlanks" dxfId="2470" priority="144">
      <formula>LEN(TRIM(L122))&gt;0</formula>
    </cfRule>
  </conditionalFormatting>
  <conditionalFormatting sqref="N125">
    <cfRule type="expression" dxfId="2468" priority="421">
      <formula>AND((VRLI_Result="Excluded"),(VROPS_Result="Excluded"),(VRA_Result="Excluded"))</formula>
    </cfRule>
  </conditionalFormatting>
  <conditionalFormatting sqref="N132">
    <cfRule type="expression" dxfId="2467" priority="414">
      <formula>AND((VRLI_Result="Excluded"),(VROPS_Result="Excluded"),(VRA_Result="Excluded"))</formula>
    </cfRule>
  </conditionalFormatting>
  <conditionalFormatting sqref="N138">
    <cfRule type="expression" dxfId="2466" priority="405">
      <formula>AND((VRLI_Result="Excluded"),(VROPS_Result="Excluded"),(VRA_Result="Excluded"))</formula>
    </cfRule>
  </conditionalFormatting>
  <conditionalFormatting sqref="N143">
    <cfRule type="expression" dxfId="2465" priority="404">
      <formula>AND((VRLI_Result="Excluded"),(VROPS_Result="Excluded"),(VRA_Result="Excluded"))</formula>
    </cfRule>
  </conditionalFormatting>
  <conditionalFormatting sqref="N148">
    <cfRule type="expression" dxfId="2464" priority="407">
      <formula>AND((VRLI_Result="Excluded"),(VROPS_Result="Excluded"),(VRA_Result="Excluded"))</formula>
    </cfRule>
  </conditionalFormatting>
  <conditionalFormatting sqref="N153">
    <cfRule type="expression" dxfId="2463" priority="406">
      <formula>AND((VRLI_Result="Excluded"),(VROPS_Result="Excluded"),(VRA_Result="Excluded"))</formula>
    </cfRule>
  </conditionalFormatting>
  <conditionalFormatting sqref="N8:O8">
    <cfRule type="expression" dxfId="2462" priority="1042">
      <formula>AND((VRLI_Result="Excluded"),(VROPS_Result="Excluded"),(VRA_Result="Excluded"))</formula>
    </cfRule>
  </conditionalFormatting>
  <conditionalFormatting sqref="O15:O20">
    <cfRule type="expression" dxfId="2453" priority="1018">
      <formula>AND((VRLI_Result="Excluded"),(VROPS_Result="Excluded"),(VRA_Result="Excluded"))</formula>
    </cfRule>
  </conditionalFormatting>
  <conditionalFormatting sqref="O24:O28">
    <cfRule type="expression" dxfId="2450" priority="1030">
      <formula>AND((VRLI_Result="Excluded"),(VROPS_Result="Excluded"),(VRA_Result="Excluded"))</formula>
    </cfRule>
  </conditionalFormatting>
  <conditionalFormatting sqref="O32:O36">
    <cfRule type="expression" dxfId="2447" priority="1004">
      <formula>AND((VRLI_Result="Excluded"),(VROPS_Result="Excluded"),(VRA_Result="Excluded"))</formula>
    </cfRule>
  </conditionalFormatting>
  <conditionalFormatting sqref="O65:O68">
    <cfRule type="expression" dxfId="2437" priority="1025">
      <formula>(VRA_Result="Excluded")</formula>
    </cfRule>
  </conditionalFormatting>
  <conditionalFormatting sqref="O72:O75">
    <cfRule type="expression" dxfId="2435" priority="999">
      <formula>(VRA_Result="Excluded")</formula>
    </cfRule>
  </conditionalFormatting>
  <conditionalFormatting sqref="O79:O82">
    <cfRule type="expression" dxfId="2433" priority="1016">
      <formula>(VRLI_Result="Excluded")</formula>
    </cfRule>
  </conditionalFormatting>
  <conditionalFormatting sqref="O86:O89">
    <cfRule type="expression" dxfId="2432" priority="1028">
      <formula>(VRLI_Result="Excluded")</formula>
    </cfRule>
  </conditionalFormatting>
  <conditionalFormatting sqref="O93:O96">
    <cfRule type="expression" dxfId="2431" priority="1002">
      <formula>(VRLI_Result="Excluded")</formula>
    </cfRule>
  </conditionalFormatting>
  <conditionalFormatting sqref="O100:O105">
    <cfRule type="expression" dxfId="2430" priority="1017">
      <formula>(VROPS_Result="Excluded")</formula>
    </cfRule>
  </conditionalFormatting>
  <conditionalFormatting sqref="O160:O161">
    <cfRule type="expression" dxfId="2417" priority="103">
      <formula>(VROPS_Result="Excluded")</formula>
    </cfRule>
  </conditionalFormatting>
  <conditionalFormatting sqref="O165:O166">
    <cfRule type="expression" dxfId="2408" priority="108">
      <formula>(VRLI_Result="Excluded")</formula>
    </cfRule>
  </conditionalFormatting>
  <conditionalFormatting sqref="O170:O171">
    <cfRule type="expression" dxfId="2407" priority="113">
      <formula>(VRLI_Result="Excluded")</formula>
    </cfRule>
  </conditionalFormatting>
  <conditionalFormatting sqref="Q54">
    <cfRule type="expression" dxfId="2404" priority="17">
      <formula>AND((VRLI_Result="Excluded"),(VROPS_Result="Excluded"),(VRA_Result="Excluded"))</formula>
    </cfRule>
  </conditionalFormatting>
  <conditionalFormatting sqref="Q61">
    <cfRule type="expression" dxfId="2403" priority="648">
      <formula>AND((VRLI_Result="Excluded"),(VROPS_Result="Excluded"),(VRA_Result="Excluded"))</formula>
    </cfRule>
  </conditionalFormatting>
  <conditionalFormatting sqref="Q92">
    <cfRule type="expression" dxfId="2402" priority="604">
      <formula>AND((VRLI_Result="Excluded"),(VROPS_Result="Excluded"),(VRA_Result="Excluded"))</formula>
    </cfRule>
  </conditionalFormatting>
  <conditionalFormatting sqref="Q120">
    <cfRule type="expression" dxfId="2401" priority="569">
      <formula>AND((VRLI_Result="Excluded"),(VROPS_Result="Excluded"),(VRA_Result="Excluded"))</formula>
    </cfRule>
  </conditionalFormatting>
  <conditionalFormatting sqref="Q171">
    <cfRule type="expression" dxfId="2400" priority="393">
      <formula>AND((VRLI_Result="Excluded"),(VROPS_Result="Excluded"),(VRA_Result="Excluded"))</formula>
    </cfRule>
  </conditionalFormatting>
  <conditionalFormatting sqref="Q242">
    <cfRule type="expression" dxfId="2399" priority="198">
      <formula>AND((VRLI_Result="Excluded"),(VROPS_Result="Excluded"),(VRA_Result="Excluded"))</formula>
    </cfRule>
  </conditionalFormatting>
  <conditionalFormatting sqref="Q279">
    <cfRule type="expression" dxfId="2398" priority="124">
      <formula>AND((VRLI_Result="Excluded"),(VROPS_Result="Excluded"),(VRA_Result="Excluded"))</formula>
    </cfRule>
  </conditionalFormatting>
  <conditionalFormatting sqref="Q314">
    <cfRule type="expression" dxfId="2397" priority="187">
      <formula>AND((VRLI_Result="Excluded"),(VROPS_Result="Excluded"),(VRA_Result="Excluded"))</formula>
    </cfRule>
  </conditionalFormatting>
  <conditionalFormatting sqref="Q349">
    <cfRule type="expression" dxfId="2396" priority="207">
      <formula>AND((VRLI_Result="Excluded"),(VROPS_Result="Excluded"),(VRA_Result="Excluded"))</formula>
    </cfRule>
  </conditionalFormatting>
  <conditionalFormatting sqref="Q183:R183">
    <cfRule type="expression" dxfId="2395" priority="429">
      <formula>AND((VRLI_Result="Excluded"),(VROPS_Result="Excluded"),(VRA_Result="Excluded"))</formula>
    </cfRule>
  </conditionalFormatting>
  <conditionalFormatting sqref="Q220:R220">
    <cfRule type="expression" dxfId="2394" priority="425">
      <formula>AND((VRLI_Result="Excluded"),(VROPS_Result="Excluded"),(VRA_Result="Excluded"))</formula>
    </cfRule>
  </conditionalFormatting>
  <conditionalFormatting sqref="R86:R90 O58:O61">
    <cfRule type="expression" dxfId="2388" priority="1013">
      <formula>(VRA_Result="Excluded")</formula>
    </cfRule>
  </conditionalFormatting>
  <conditionalFormatting sqref="R100:R105 R96 R139:R142 I123">
    <cfRule type="expression" dxfId="2384" priority="991">
      <formula>(VRLI_Result="Excluded")</formula>
    </cfRule>
  </conditionalFormatting>
  <conditionalFormatting sqref="R135:R138 I163:I165">
    <cfRule type="expression" dxfId="2379" priority="955">
      <formula>(VROPS_Result="Excluded")</formula>
    </cfRule>
  </conditionalFormatting>
  <conditionalFormatting sqref="R143">
    <cfRule type="expression" dxfId="2378" priority="442">
      <formula>(VROPS_Result="Excluded")</formula>
    </cfRule>
  </conditionalFormatting>
  <conditionalFormatting sqref="R144:R169 O118:O123">
    <cfRule type="expression" dxfId="2374" priority="1003">
      <formula>(VROPS_Result="Excluded")</formula>
    </cfRule>
  </conditionalFormatting>
  <conditionalFormatting sqref="R151:R153">
    <cfRule type="expression" dxfId="2373" priority="449">
      <formula>(VROPS_Result="Excluded")</formula>
    </cfRule>
  </conditionalFormatting>
  <conditionalFormatting sqref="R173:R181 R164:R169">
    <cfRule type="expression" dxfId="2370" priority="390">
      <formula>(VROPS_Result="Excluded")</formula>
    </cfRule>
  </conditionalFormatting>
  <conditionalFormatting sqref="R176:R181">
    <cfRule type="expression" dxfId="2368" priority="290">
      <formula>(VROPS_Result="Excluded")</formula>
    </cfRule>
  </conditionalFormatting>
  <conditionalFormatting sqref="R185">
    <cfRule type="expression" dxfId="2365" priority="335">
      <formula>(VROPS_Result="Excluded")</formula>
    </cfRule>
  </conditionalFormatting>
  <conditionalFormatting sqref="R185:R217 O109:O114 I121">
    <cfRule type="expression" dxfId="2361" priority="1029">
      <formula>(VROPS_Result="Excluded")</formula>
    </cfRule>
  </conditionalFormatting>
  <conditionalFormatting sqref="R192">
    <cfRule type="expression" dxfId="2358" priority="379">
      <formula>(VROPS_Result="Excluded")</formula>
    </cfRule>
  </conditionalFormatting>
  <conditionalFormatting sqref="R199">
    <cfRule type="expression" dxfId="2355" priority="376">
      <formula>(VROPS_Result="Excluded")</formula>
    </cfRule>
  </conditionalFormatting>
  <conditionalFormatting sqref="R210:R218 R222:R240">
    <cfRule type="expression" dxfId="2352" priority="343">
      <formula>(VROPS_Result="Excluded")</formula>
    </cfRule>
  </conditionalFormatting>
  <conditionalFormatting sqref="R222:R236">
    <cfRule type="expression" dxfId="2351" priority="373">
      <formula>(VROPS_Result="Excluded")</formula>
    </cfRule>
  </conditionalFormatting>
  <conditionalFormatting sqref="W6">
    <cfRule type="expression" dxfId="2306" priority="942">
      <formula>AND((VRLI_Result="Excluded"),(VROPS_Result="Excluded"),(VRA_Result="Excluded"))</formula>
    </cfRule>
  </conditionalFormatting>
  <conditionalFormatting sqref="X8:X28 I13:I14 Q6:Q16">
    <cfRule type="expression" dxfId="2303" priority="703">
      <formula>AND((VRLI_Result="Excluded"),(VROPS_Result="Excluded"),(VRA_Result="Excluded"))</formula>
    </cfRule>
  </conditionalFormatting>
  <conditionalFormatting sqref="X11">
    <cfRule type="expression" dxfId="2300" priority="651">
      <formula>AND((VRLI_Result="Excluded"),(VROPS_Result="Excluded"),(VRA_Result="Excluded"))</formula>
    </cfRule>
  </conditionalFormatting>
  <conditionalFormatting sqref="X29">
    <cfRule type="expression" dxfId="2297" priority="867">
      <formula>(VRA_Result="Excluded")</formula>
    </cfRule>
  </conditionalFormatting>
  <conditionalFormatting sqref="X30:X36">
    <cfRule type="expression" dxfId="2294" priority="534">
      <formula>AND((VRLI_Result="Excluded"),(VROPS_Result="Excluded"),(VRA_Result="Excluded"))</formula>
    </cfRule>
  </conditionalFormatting>
  <conditionalFormatting sqref="X89:X105 I157:I162">
    <cfRule type="expression" dxfId="2277" priority="961">
      <formula>AND((VRLI_Result="Excluded"),(VROPS_Result="Excluded"),(VRA_Result="Excluded"))</formula>
    </cfRule>
  </conditionalFormatting>
  <dataValidations disablePrompts="1" count="1">
    <dataValidation type="list" allowBlank="1" showInputMessage="1" showErrorMessage="1" sqref="F7" xr:uid="{194CA598-9407-7142-8497-35512093F2E4}">
      <formula1>"1,2,3"</formula1>
    </dataValidation>
  </dataValidations>
  <hyperlinks>
    <hyperlink ref="L63" r:id="rId1" xr:uid="{00000000-0004-0000-0900-000000000000}"/>
    <hyperlink ref="I119" r:id="rId2" xr:uid="{00000000-0004-0000-0900-000001000000}"/>
    <hyperlink ref="I120" r:id="rId3" xr:uid="{00000000-0004-0000-0900-000002000000}"/>
    <hyperlink ref="L64" r:id="rId4" display="administrator@vsphere.local" xr:uid="{B94C739C-3F9A-BA40-9671-8BC9BBD534EC}"/>
  </hyperlinks>
  <pageMargins left="0.7" right="0.7" top="0.75" bottom="0.75" header="0.3" footer="0.3"/>
  <pageSetup paperSize="9" orientation="portrait" horizontalDpi="0" verticalDpi="0"/>
  <drawing r:id="rId5"/>
  <extLst>
    <ext xmlns:x14="http://schemas.microsoft.com/office/spreadsheetml/2009/9/main" uri="{78C0D931-6437-407d-A8EE-F0AAD7539E65}">
      <x14:conditionalFormattings>
        <x14:conditionalFormatting xmlns:xm="http://schemas.microsoft.com/office/excel/2006/main">
          <x14:cfRule type="containsText" priority="916" operator="containsText" id="{95F646E6-B74B-5A47-A718-34D3BA316CC8}">
            <xm:f>NOT(ISERROR(SEARCH("Value Missing",C7)))</xm:f>
            <xm:f>"Value Missing"</xm:f>
            <x14:dxf>
              <font>
                <color rgb="FF9C0006"/>
              </font>
              <fill>
                <patternFill>
                  <bgColor rgb="FFFFC7CE"/>
                </patternFill>
              </fill>
            </x14:dxf>
          </x14:cfRule>
          <xm:sqref>C7:C9 F13:F25 F74:F75 C77:C84 F109:F121 C112:C114 R145:R169 X13:X29 L8:L70 R8:R16 C32:C47 C51:C68 L74:L112</xm:sqref>
        </x14:conditionalFormatting>
        <x14:conditionalFormatting xmlns:xm="http://schemas.microsoft.com/office/excel/2006/main">
          <x14:cfRule type="containsText" priority="71" operator="containsText" id="{99AC883D-51B5-8847-9D7D-C77DFEA24D13}">
            <xm:f>NOT(ISERROR(SEARCH("Value Missing",C13)))</xm:f>
            <xm:f>"Value Missing"</xm:f>
            <x14:dxf>
              <font>
                <color rgb="FF9C0006"/>
              </font>
              <fill>
                <patternFill>
                  <bgColor rgb="FFFFC7CE"/>
                </patternFill>
              </fill>
            </x14:dxf>
          </x14:cfRule>
          <x14:cfRule type="notContainsText" priority="70" operator="notContains" id="{D1246EB3-AF17-654A-BB6A-427B6502144B}">
            <xm:f>ISERROR(SEARCH("Value Missing",C13))</xm:f>
            <xm:f>"Value Missing"</xm:f>
            <x14:dxf>
              <font>
                <color rgb="FF006100"/>
              </font>
              <fill>
                <patternFill>
                  <bgColor rgb="FFC6EFCE"/>
                </patternFill>
              </fill>
            </x14:dxf>
          </x14:cfRule>
          <xm:sqref>C13:C28 F125</xm:sqref>
        </x14:conditionalFormatting>
        <x14:conditionalFormatting xmlns:xm="http://schemas.microsoft.com/office/excel/2006/main">
          <x14:cfRule type="notContainsText" priority="3" operator="notContains" id="{10AC362D-8CCD-3B4E-9B8F-454C76C57979}">
            <xm:f>ISERROR(SEARCH("Value Missing",C118))</xm:f>
            <xm:f>"Value Missing"</xm:f>
            <x14:dxf>
              <font>
                <color rgb="FF006100"/>
              </font>
              <fill>
                <patternFill>
                  <bgColor rgb="FFC6EFCE"/>
                </patternFill>
              </fill>
            </x14:dxf>
          </x14:cfRule>
          <x14:cfRule type="containsText" priority="4" operator="containsText" id="{51A6D098-4BC3-0342-B540-EF816C4D7215}">
            <xm:f>NOT(ISERROR(SEARCH("Value Missing",C118)))</xm:f>
            <xm:f>"Value Missing"</xm:f>
            <x14:dxf>
              <font>
                <color rgb="FF9C0006"/>
              </font>
              <fill>
                <patternFill>
                  <bgColor rgb="FFFFC7CE"/>
                </patternFill>
              </fill>
            </x14:dxf>
          </x14:cfRule>
          <x14:cfRule type="notContainsText" priority="5" operator="notContains" id="{C202288D-8D53-7F4B-8822-4F68218CEDA6}">
            <xm:f>ISERROR(SEARCH("Value Missing",C118))</xm:f>
            <xm:f>"Value Missing"</xm:f>
            <x14:dxf>
              <font>
                <color rgb="FF006100"/>
              </font>
              <fill>
                <patternFill>
                  <bgColor rgb="FFC6EFCE"/>
                </patternFill>
              </fill>
            </x14:dxf>
          </x14:cfRule>
          <xm:sqref>C118</xm:sqref>
        </x14:conditionalFormatting>
        <x14:conditionalFormatting xmlns:xm="http://schemas.microsoft.com/office/excel/2006/main">
          <x14:cfRule type="containsText" priority="1130" operator="containsText" id="{3C982F0C-8AB8-8C4D-AA00-BD6BA6595FAE}">
            <xm:f>NOT(ISERROR(SEARCH("Value Missing",C206)))</xm:f>
            <xm:f>"Value Missing"</xm:f>
            <x14:dxf>
              <font>
                <color rgb="FF9C0006"/>
              </font>
              <fill>
                <patternFill>
                  <bgColor rgb="FFFFC7CE"/>
                </patternFill>
              </fill>
            </x14:dxf>
          </x14:cfRule>
          <xm:sqref>C206:C207</xm:sqref>
        </x14:conditionalFormatting>
        <x14:conditionalFormatting xmlns:xm="http://schemas.microsoft.com/office/excel/2006/main">
          <x14:cfRule type="containsText" priority="1570" operator="containsText" id="{FC98CCFE-8397-A846-8DB3-FDA03C9CE9CA}">
            <xm:f>NOT(ISERROR(SEARCH("Value Missing",F29)))</xm:f>
            <xm:f>"Value Missing"</xm:f>
            <x14:dxf>
              <font>
                <color rgb="FF9C0006"/>
              </font>
              <fill>
                <patternFill>
                  <bgColor rgb="FFFFC7CE"/>
                </patternFill>
              </fill>
            </x14:dxf>
          </x14:cfRule>
          <xm:sqref>F48:F62 F29:F41</xm:sqref>
        </x14:conditionalFormatting>
        <x14:conditionalFormatting xmlns:xm="http://schemas.microsoft.com/office/excel/2006/main">
          <x14:cfRule type="containsText" priority="1116" operator="containsText" id="{8B175E8B-A53B-1F43-9201-86F2AE45A1A7}">
            <xm:f>NOT(ISERROR(SEARCH("Value Missing",F69)))</xm:f>
            <xm:f>"Value Missing"</xm:f>
            <x14:dxf>
              <font>
                <color rgb="FF9C0006"/>
              </font>
              <fill>
                <patternFill>
                  <bgColor rgb="FFFFC7CE"/>
                </patternFill>
              </fill>
            </x14:dxf>
          </x14:cfRule>
          <xm:sqref>F69:F70</xm:sqref>
        </x14:conditionalFormatting>
        <x14:conditionalFormatting xmlns:xm="http://schemas.microsoft.com/office/excel/2006/main">
          <x14:cfRule type="containsText" priority="62" operator="containsText" id="{2C3DCB38-4F68-9949-B5D7-92F3B7F8EA22}">
            <xm:f>NOT(ISERROR(SEARCH("Value Missing",F78)))</xm:f>
            <xm:f>"Value Missing"</xm:f>
            <x14:dxf>
              <font>
                <color rgb="FF9C0006"/>
              </font>
              <fill>
                <patternFill>
                  <bgColor rgb="FFFFC7CE"/>
                </patternFill>
              </fill>
            </x14:dxf>
          </x14:cfRule>
          <x14:cfRule type="notContainsText" priority="61" operator="notContains" id="{20ABD78C-AF80-4149-AF9E-C30B639ABA85}">
            <xm:f>ISERROR(SEARCH("Value Missing",F78))</xm:f>
            <xm:f>"Value Missing"</xm:f>
            <x14:dxf>
              <font>
                <color rgb="FF006100"/>
              </font>
              <fill>
                <patternFill>
                  <bgColor rgb="FFC6EFCE"/>
                </patternFill>
              </fill>
            </x14:dxf>
          </x14:cfRule>
          <x14:cfRule type="containsText" priority="60" operator="containsText" id="{C4C8E83D-9596-E141-B163-EF67FCED8B27}">
            <xm:f>NOT(ISERROR(SEARCH("Value Missing",F78)))</xm:f>
            <xm:f>"Value Missing"</xm:f>
            <x14:dxf>
              <font>
                <color rgb="FF9C0006"/>
              </font>
              <fill>
                <patternFill>
                  <bgColor rgb="FFFFC7CE"/>
                </patternFill>
              </fill>
            </x14:dxf>
          </x14:cfRule>
          <xm:sqref>F78:F79</xm:sqref>
        </x14:conditionalFormatting>
        <x14:conditionalFormatting xmlns:xm="http://schemas.microsoft.com/office/excel/2006/main">
          <x14:cfRule type="notContainsText" priority="43" operator="notContains" id="{91688034-00A8-7042-9A82-57D036596889}">
            <xm:f>ISERROR(SEARCH("Value Missing",F82))</xm:f>
            <xm:f>"Value Missing"</xm:f>
            <x14:dxf>
              <font>
                <color rgb="FF006100"/>
              </font>
              <fill>
                <patternFill>
                  <bgColor rgb="FFC6EFCE"/>
                </patternFill>
              </fill>
            </x14:dxf>
          </x14:cfRule>
          <x14:cfRule type="containsText" priority="40" operator="containsText" id="{CD62CA20-E906-EC4C-BC6D-8A899147CA89}">
            <xm:f>NOT(ISERROR(SEARCH("Value Missing",F82)))</xm:f>
            <xm:f>"Value Missing"</xm:f>
            <x14:dxf>
              <font>
                <color rgb="FF9C0006"/>
              </font>
              <fill>
                <patternFill>
                  <bgColor rgb="FFFFC7CE"/>
                </patternFill>
              </fill>
            </x14:dxf>
          </x14:cfRule>
          <x14:cfRule type="notContainsText" priority="41" operator="notContains" id="{1C6E970B-4D43-4948-B962-B11ADF839052}">
            <xm:f>ISERROR(SEARCH("Value Missing",F82))</xm:f>
            <xm:f>"Value Missing"</xm:f>
            <x14:dxf>
              <font>
                <color rgb="FF006100"/>
              </font>
              <fill>
                <patternFill>
                  <bgColor rgb="FFC6EFCE"/>
                </patternFill>
              </fill>
            </x14:dxf>
          </x14:cfRule>
          <x14:cfRule type="containsText" priority="42" operator="containsText" id="{1628B545-36D7-634E-8FAD-28F972B4EC8E}">
            <xm:f>NOT(ISERROR(SEARCH("Value Missing",F82)))</xm:f>
            <xm:f>"Value Missing"</xm:f>
            <x14:dxf>
              <font>
                <color rgb="FF9C0006"/>
              </font>
              <fill>
                <patternFill>
                  <bgColor rgb="FFFFC7CE"/>
                </patternFill>
              </fill>
            </x14:dxf>
          </x14:cfRule>
          <x14:cfRule type="containsText" priority="44" operator="containsText" id="{E79DC24B-AFDF-3341-A71E-4D5DEBA07D02}">
            <xm:f>NOT(ISERROR(SEARCH("Value Missing",F82)))</xm:f>
            <xm:f>"Value Missing"</xm:f>
            <x14:dxf>
              <font>
                <color rgb="FF9C0006"/>
              </font>
              <fill>
                <patternFill>
                  <bgColor rgb="FFFFC7CE"/>
                </patternFill>
              </fill>
            </x14:dxf>
          </x14:cfRule>
          <xm:sqref>F82:F83</xm:sqref>
        </x14:conditionalFormatting>
        <x14:conditionalFormatting xmlns:xm="http://schemas.microsoft.com/office/excel/2006/main">
          <x14:cfRule type="notContainsText" priority="36" operator="notContains" id="{958DC334-9CD1-694A-890D-EC68E6032E87}">
            <xm:f>ISERROR(SEARCH("Value Missing",F147))</xm:f>
            <xm:f>"Value Missing"</xm:f>
            <x14:dxf>
              <font>
                <color rgb="FF006100"/>
              </font>
              <fill>
                <patternFill>
                  <bgColor rgb="FFC6EFCE"/>
                </patternFill>
              </fill>
            </x14:dxf>
          </x14:cfRule>
          <x14:cfRule type="containsText" priority="37" operator="containsText" id="{67BB18E0-38CA-B84F-8DB1-660AAAD7C505}">
            <xm:f>NOT(ISERROR(SEARCH("Value Missing",F147)))</xm:f>
            <xm:f>"Value Missing"</xm:f>
            <x14:dxf>
              <font>
                <color rgb="FF9C0006"/>
              </font>
              <fill>
                <patternFill>
                  <bgColor rgb="FFFFC7CE"/>
                </patternFill>
              </fill>
            </x14:dxf>
          </x14:cfRule>
          <xm:sqref>F147:F152</xm:sqref>
        </x14:conditionalFormatting>
        <x14:conditionalFormatting xmlns:xm="http://schemas.microsoft.com/office/excel/2006/main">
          <x14:cfRule type="notContainsText" priority="65" operator="notContains" id="{37EB2435-523C-504A-BAAB-E62CE9A7DD52}">
            <xm:f>ISERROR(SEARCH("Value Missing",F156))</xm:f>
            <xm:f>"Value Missing"</xm:f>
            <x14:dxf>
              <font>
                <color rgb="FF006100"/>
              </font>
              <fill>
                <patternFill>
                  <bgColor rgb="FFC6EFCE"/>
                </patternFill>
              </fill>
            </x14:dxf>
          </x14:cfRule>
          <x14:cfRule type="containsText" priority="66" operator="containsText" id="{E22536AA-527A-854B-8152-1A4EDF21B2F5}">
            <xm:f>NOT(ISERROR(SEARCH("Value Missing",F156)))</xm:f>
            <xm:f>"Value Missing"</xm:f>
            <x14:dxf>
              <font>
                <color rgb="FF9C0006"/>
              </font>
              <fill>
                <patternFill>
                  <bgColor rgb="FFFFC7CE"/>
                </patternFill>
              </fill>
            </x14:dxf>
          </x14:cfRule>
          <xm:sqref>F156</xm:sqref>
        </x14:conditionalFormatting>
        <x14:conditionalFormatting xmlns:xm="http://schemas.microsoft.com/office/excel/2006/main">
          <x14:cfRule type="containsText" priority="35" operator="containsText" id="{C28B9A0E-9155-F846-840F-EE63B39D0F61}">
            <xm:f>NOT(ISERROR(SEARCH("Value Missing",F187)))</xm:f>
            <xm:f>"Value Missing"</xm:f>
            <x14:dxf>
              <font>
                <color rgb="FF9C0006"/>
              </font>
              <fill>
                <patternFill>
                  <bgColor rgb="FFFFC7CE"/>
                </patternFill>
              </fill>
            </x14:dxf>
          </x14:cfRule>
          <x14:cfRule type="notContainsText" priority="34" operator="notContains" id="{05E4420D-FD63-A744-8D1B-C0C9E48F23A5}">
            <xm:f>ISERROR(SEARCH("Value Missing",F187))</xm:f>
            <xm:f>"Value Missing"</xm:f>
            <x14:dxf>
              <font>
                <color rgb="FF006100"/>
              </font>
              <fill>
                <patternFill>
                  <bgColor rgb="FFC6EFCE"/>
                </patternFill>
              </fill>
            </x14:dxf>
          </x14:cfRule>
          <xm:sqref>F187:F192</xm:sqref>
        </x14:conditionalFormatting>
        <x14:conditionalFormatting xmlns:xm="http://schemas.microsoft.com/office/excel/2006/main">
          <x14:cfRule type="containsText" priority="33" operator="containsText" id="{6F6E5B55-1903-344C-96AE-9CA1E980A8BB}">
            <xm:f>NOT(ISERROR(SEARCH("Value Missing",F196)))</xm:f>
            <xm:f>"Value Missing"</xm:f>
            <x14:dxf>
              <font>
                <color rgb="FF9C0006"/>
              </font>
              <fill>
                <patternFill>
                  <bgColor rgb="FFFFC7CE"/>
                </patternFill>
              </fill>
            </x14:dxf>
          </x14:cfRule>
          <x14:cfRule type="notContainsText" priority="32" operator="notContains" id="{537148D3-C0EC-D34E-8BA6-3C674E759A20}">
            <xm:f>ISERROR(SEARCH("Value Missing",F196))</xm:f>
            <xm:f>"Value Missing"</xm:f>
            <x14:dxf>
              <font>
                <color rgb="FF006100"/>
              </font>
              <fill>
                <patternFill>
                  <bgColor rgb="FFC6EFCE"/>
                </patternFill>
              </fill>
            </x14:dxf>
          </x14:cfRule>
          <xm:sqref>F196:F201</xm:sqref>
        </x14:conditionalFormatting>
        <x14:conditionalFormatting xmlns:xm="http://schemas.microsoft.com/office/excel/2006/main">
          <x14:cfRule type="containsText" priority="1153" operator="containsText" id="{FC1C4826-F84D-4043-AB84-97E82518057E}">
            <xm:f>NOT(ISERROR(SEARCH("Value Missing",C8)))</xm:f>
            <xm:f>"Value Missing"</xm:f>
            <x14:dxf>
              <font>
                <color rgb="FF9C0006"/>
              </font>
              <fill>
                <patternFill>
                  <bgColor rgb="FFFFC7CE"/>
                </patternFill>
              </fill>
            </x14:dxf>
          </x14:cfRule>
          <xm:sqref>F205:F206 O8 O24:O28 O65:O68 C72:C73 O86:O89 O109:O114 O140:O141 O145:O146</xm:sqref>
        </x14:conditionalFormatting>
        <x14:conditionalFormatting xmlns:xm="http://schemas.microsoft.com/office/excel/2006/main">
          <x14:cfRule type="containsText" priority="1135" operator="containsText" id="{72123F4B-709A-374A-9878-3CD45AC708BF}">
            <xm:f>NOT(ISERROR(SEARCH("Value Missing",F205)))</xm:f>
            <xm:f>"Value Missing"</xm:f>
            <x14:dxf>
              <font>
                <color rgb="FF9C0006"/>
              </font>
              <fill>
                <patternFill>
                  <bgColor rgb="FFFFC7CE"/>
                </patternFill>
              </fill>
            </x14:dxf>
          </x14:cfRule>
          <x14:cfRule type="notContainsText" priority="1152" operator="notContains" id="{69B866BF-45C9-3443-A6E1-7B3A146A6006}">
            <xm:f>ISERROR(SEARCH("Value Missing",F205))</xm:f>
            <xm:f>"Value Missing"</xm:f>
            <x14:dxf>
              <font>
                <color rgb="FF006100"/>
              </font>
              <fill>
                <patternFill>
                  <bgColor rgb="FFC6EFCE"/>
                </patternFill>
              </fill>
            </x14:dxf>
          </x14:cfRule>
          <xm:sqref>F205:F206</xm:sqref>
        </x14:conditionalFormatting>
        <x14:conditionalFormatting xmlns:xm="http://schemas.microsoft.com/office/excel/2006/main">
          <x14:cfRule type="notContainsText" priority="1053" operator="notContains" id="{C5780161-3794-614B-A865-2D97ECFAFAA4}">
            <xm:f>ISERROR(SEARCH("Value Missing",F211))</xm:f>
            <xm:f>"Value Missing"</xm:f>
            <x14:dxf>
              <font>
                <color rgb="FF006100"/>
              </font>
              <fill>
                <patternFill>
                  <bgColor rgb="FFC6EFCE"/>
                </patternFill>
              </fill>
            </x14:dxf>
          </x14:cfRule>
          <xm:sqref>F211:F214 F219:F222</xm:sqref>
        </x14:conditionalFormatting>
        <x14:conditionalFormatting xmlns:xm="http://schemas.microsoft.com/office/excel/2006/main">
          <x14:cfRule type="containsText" priority="1062" operator="containsText" id="{9CF69D91-AE44-4543-A3DF-9F3600AE2CFF}">
            <xm:f>NOT(ISERROR(SEARCH("Value Missing",F211)))</xm:f>
            <xm:f>"Value Missing"</xm:f>
            <x14:dxf>
              <font>
                <color rgb="FF9C0006"/>
              </font>
              <fill>
                <patternFill>
                  <bgColor rgb="FFFFC7CE"/>
                </patternFill>
              </fill>
            </x14:dxf>
          </x14:cfRule>
          <xm:sqref>F211:F214</xm:sqref>
        </x14:conditionalFormatting>
        <x14:conditionalFormatting xmlns:xm="http://schemas.microsoft.com/office/excel/2006/main">
          <x14:cfRule type="containsText" priority="1054" operator="containsText" id="{3FE95A54-80D0-284A-9935-03261404BDCA}">
            <xm:f>NOT(ISERROR(SEARCH("Value Missing",F219)))</xm:f>
            <xm:f>"Value Missing"</xm:f>
            <x14:dxf>
              <font>
                <color rgb="FF9C0006"/>
              </font>
              <fill>
                <patternFill>
                  <bgColor rgb="FFFFC7CE"/>
                </patternFill>
              </fill>
            </x14:dxf>
          </x14:cfRule>
          <xm:sqref>F219:F222</xm:sqref>
        </x14:conditionalFormatting>
        <x14:conditionalFormatting xmlns:xm="http://schemas.microsoft.com/office/excel/2006/main">
          <x14:cfRule type="notContainsText" priority="99" operator="notContains" id="{BBB33301-71CB-484E-9EC9-A0F701B16A2C}">
            <xm:f>ISERROR(SEARCH("Value Missing",I8))</xm:f>
            <xm:f>"Value Missing"</xm:f>
            <x14:dxf>
              <font>
                <color rgb="FF006100"/>
              </font>
              <fill>
                <patternFill>
                  <bgColor rgb="FFC6EFCE"/>
                </patternFill>
              </fill>
            </x14:dxf>
          </x14:cfRule>
          <x14:cfRule type="containsText" priority="100" operator="containsText" id="{BC82AFB7-9494-CF4B-AE33-8E89520E662F}">
            <xm:f>NOT(ISERROR(SEARCH("Value Missing",I8)))</xm:f>
            <xm:f>"Value Missing"</xm:f>
            <x14:dxf>
              <font>
                <color rgb="FF9C0006"/>
              </font>
              <fill>
                <patternFill>
                  <bgColor rgb="FFFFC7CE"/>
                </patternFill>
              </fill>
            </x14:dxf>
          </x14:cfRule>
          <xm:sqref>I8:I14 I56:I60 L68 I179:I189</xm:sqref>
        </x14:conditionalFormatting>
        <x14:conditionalFormatting xmlns:xm="http://schemas.microsoft.com/office/excel/2006/main">
          <x14:cfRule type="containsText" priority="853" operator="containsText" id="{6CBF3B75-CA4C-494E-82B6-86D0DA6B76B1}">
            <xm:f>NOT(ISERROR(SEARCH("Value Missing",I18)))</xm:f>
            <xm:f>"Value Missing"</xm:f>
            <x14:dxf>
              <font>
                <color rgb="FF9C0006"/>
              </font>
              <fill>
                <patternFill>
                  <bgColor rgb="FFFFC7CE"/>
                </patternFill>
              </fill>
            </x14:dxf>
          </x14:cfRule>
          <x14:cfRule type="notContainsText" priority="852" operator="notContains" id="{54304418-A241-9140-A528-7187DA8B81FC}">
            <xm:f>ISERROR(SEARCH("Value Missing",I18))</xm:f>
            <xm:f>"Value Missing"</xm:f>
            <x14:dxf>
              <font>
                <color rgb="FF006100"/>
              </font>
              <fill>
                <patternFill>
                  <bgColor rgb="FFC6EFCE"/>
                </patternFill>
              </fill>
            </x14:dxf>
          </x14:cfRule>
          <xm:sqref>I18:I21</xm:sqref>
        </x14:conditionalFormatting>
        <x14:conditionalFormatting xmlns:xm="http://schemas.microsoft.com/office/excel/2006/main">
          <x14:cfRule type="containsText" priority="815" operator="containsText" id="{6696D501-A536-F143-83FA-0D29AB85D63F}">
            <xm:f>NOT(ISERROR(SEARCH("Value Missing",I20)))</xm:f>
            <xm:f>"Value Missing"</xm:f>
            <x14:dxf>
              <font>
                <color rgb="FF9C0006"/>
              </font>
              <fill>
                <patternFill>
                  <bgColor rgb="FFFFC7CE"/>
                </patternFill>
              </fill>
            </x14:dxf>
          </x14:cfRule>
          <xm:sqref>I20:I21 X40:X54 X58:X85 I133:I134</xm:sqref>
        </x14:conditionalFormatting>
        <x14:conditionalFormatting xmlns:xm="http://schemas.microsoft.com/office/excel/2006/main">
          <x14:cfRule type="notContainsText" priority="590" operator="notContains" id="{8E2E5EB3-CEA9-2C43-8B2E-ECBA96A00BC9}">
            <xm:f>ISERROR(SEARCH("Value Missing",I21))</xm:f>
            <xm:f>"Value Missing"</xm:f>
            <x14:dxf>
              <font>
                <color rgb="FF006100"/>
              </font>
              <fill>
                <patternFill>
                  <bgColor rgb="FFC6EFCE"/>
                </patternFill>
              </fill>
            </x14:dxf>
          </x14:cfRule>
          <x14:cfRule type="containsText" priority="591" operator="containsText" id="{81F8458F-0B16-0440-BFC1-DCE849E3AD30}">
            <xm:f>NOT(ISERROR(SEARCH("Value Missing",I21)))</xm:f>
            <xm:f>"Value Missing"</xm:f>
            <x14:dxf>
              <font>
                <color rgb="FF9C0006"/>
              </font>
              <fill>
                <patternFill>
                  <bgColor rgb="FFFFC7CE"/>
                </patternFill>
              </fill>
            </x14:dxf>
          </x14:cfRule>
          <xm:sqref>I21</xm:sqref>
        </x14:conditionalFormatting>
        <x14:conditionalFormatting xmlns:xm="http://schemas.microsoft.com/office/excel/2006/main">
          <x14:cfRule type="notContainsText" priority="151" operator="notContains" id="{CCDE91C0-5115-5546-9569-388F081C3C55}">
            <xm:f>ISERROR(SEARCH("Value Missing",C8))</xm:f>
            <xm:f>"Value Missing"</xm:f>
            <x14:dxf>
              <font>
                <color rgb="FF006100"/>
              </font>
              <fill>
                <patternFill>
                  <bgColor rgb="FFC6EFCE"/>
                </patternFill>
              </fill>
            </x14:dxf>
          </x14:cfRule>
          <xm:sqref>I25:I60 F78:F79 R8:R16 AA21:AB21 C32:C47 C51:C68 F178:F183</xm:sqref>
        </x14:conditionalFormatting>
        <x14:conditionalFormatting xmlns:xm="http://schemas.microsoft.com/office/excel/2006/main">
          <x14:cfRule type="containsText" priority="742" operator="containsText" id="{7B46CFF7-E0E7-6342-9395-E162ADB1F6D8}">
            <xm:f>NOT(ISERROR(SEARCH("Value Missing",I25)))</xm:f>
            <xm:f>"Value Missing"</xm:f>
            <x14:dxf>
              <font>
                <color rgb="FF9C0006"/>
              </font>
              <fill>
                <patternFill>
                  <bgColor rgb="FFFFC7CE"/>
                </patternFill>
              </fill>
            </x14:dxf>
          </x14:cfRule>
          <xm:sqref>I25:I60</xm:sqref>
        </x14:conditionalFormatting>
        <x14:conditionalFormatting xmlns:xm="http://schemas.microsoft.com/office/excel/2006/main">
          <x14:cfRule type="containsText" priority="731" operator="containsText" id="{A8286C1F-9D94-414E-ACED-700995BD9EA7}">
            <xm:f>NOT(ISERROR(SEARCH("Value Missing",I77)))</xm:f>
            <xm:f>"Value Missing"</xm:f>
            <x14:dxf>
              <font>
                <color rgb="FF9C0006"/>
              </font>
              <fill>
                <patternFill>
                  <bgColor rgb="FFFFC7CE"/>
                </patternFill>
              </fill>
            </x14:dxf>
          </x14:cfRule>
          <x14:cfRule type="notContainsText" priority="730" operator="notContains" id="{0404F85F-A291-6944-8CC8-EAB1103020B2}">
            <xm:f>ISERROR(SEARCH("Value Missing",I77))</xm:f>
            <xm:f>"Value Missing"</xm:f>
            <x14:dxf>
              <font>
                <color rgb="FF006100"/>
              </font>
              <fill>
                <patternFill>
                  <bgColor rgb="FFC6EFCE"/>
                </patternFill>
              </fill>
            </x14:dxf>
          </x14:cfRule>
          <xm:sqref>I77</xm:sqref>
        </x14:conditionalFormatting>
        <x14:conditionalFormatting xmlns:xm="http://schemas.microsoft.com/office/excel/2006/main">
          <x14:cfRule type="expression" priority="1658" id="{40D2B423-BEC8-734C-B751-7DF94FA29313}">
            <xm:f>AND(VVD_Result="Excluded",ISBLANK('Name &amp; IP Address Inputs - VM'!N31))</xm:f>
            <x14:dxf>
              <fill>
                <patternFill>
                  <bgColor theme="9" tint="0.79998168889431442"/>
                </patternFill>
              </fill>
            </x14:dxf>
          </x14:cfRule>
          <xm:sqref>I80:I82</xm:sqref>
        </x14:conditionalFormatting>
        <x14:conditionalFormatting xmlns:xm="http://schemas.microsoft.com/office/excel/2006/main">
          <x14:cfRule type="containsText" priority="902" operator="containsText" id="{C28561CE-3D71-7E47-BA51-7A5F77A95858}">
            <xm:f>NOT(ISERROR(SEARCH("Value Missing",I86)))</xm:f>
            <xm:f>"Value Missing"</xm:f>
            <x14:dxf>
              <font>
                <color rgb="FF9C0006"/>
              </font>
              <fill>
                <patternFill>
                  <bgColor rgb="FFFFC7CE"/>
                </patternFill>
              </fill>
            </x14:dxf>
          </x14:cfRule>
          <x14:cfRule type="expression" priority="1657" id="{40D2B423-BEC8-734C-B751-7DF94FA29313}">
            <xm:f>AND(VVD_Result="Excluded",ISBLANK('Name &amp; IP Address Inputs - VM'!N36))</xm:f>
            <x14:dxf>
              <fill>
                <patternFill>
                  <bgColor theme="9" tint="0.79998168889431442"/>
                </patternFill>
              </fill>
            </x14:dxf>
          </x14:cfRule>
          <x14:cfRule type="notContainsText" priority="901" operator="notContains" id="{EB06B408-D343-1C45-A9DA-11348E40217A}">
            <xm:f>ISERROR(SEARCH("Value Missing",I86))</xm:f>
            <xm:f>"Value Missing"</xm:f>
            <x14:dxf>
              <font>
                <color rgb="FF006100"/>
              </font>
              <fill>
                <patternFill>
                  <bgColor rgb="FFC6EFCE"/>
                </patternFill>
              </fill>
            </x14:dxf>
          </x14:cfRule>
          <xm:sqref>I86:I88</xm:sqref>
        </x14:conditionalFormatting>
        <x14:conditionalFormatting xmlns:xm="http://schemas.microsoft.com/office/excel/2006/main">
          <x14:cfRule type="containsText" priority="1249" operator="containsText" id="{F667AE56-B058-E742-B5A0-59BD3DD17B9D}">
            <xm:f>NOT(ISERROR(SEARCH("Value Missing",I92)))</xm:f>
            <xm:f>"Value Missing"</xm:f>
            <x14:dxf>
              <font>
                <color rgb="FF9C0006"/>
              </font>
              <fill>
                <patternFill>
                  <bgColor rgb="FFFFC7CE"/>
                </patternFill>
              </fill>
            </x14:dxf>
          </x14:cfRule>
          <x14:cfRule type="notContainsText" priority="1248" operator="notContains" id="{A6055999-7341-FD44-A821-28C6EA375C58}">
            <xm:f>ISERROR(SEARCH("Value Missing",I92))</xm:f>
            <xm:f>"Value Missing"</xm:f>
            <x14:dxf>
              <font>
                <color rgb="FF006100"/>
              </font>
              <fill>
                <patternFill>
                  <bgColor rgb="FFC6EFCE"/>
                </patternFill>
              </fill>
            </x14:dxf>
          </x14:cfRule>
          <xm:sqref>I92:I93</xm:sqref>
        </x14:conditionalFormatting>
        <x14:conditionalFormatting xmlns:xm="http://schemas.microsoft.com/office/excel/2006/main">
          <x14:cfRule type="containsText" priority="1247" operator="containsText" id="{A190E3DF-8B8A-AE41-955D-4EEA5D5A7A9E}">
            <xm:f>NOT(ISERROR(SEARCH("Value Missing",I97)))</xm:f>
            <xm:f>"Value Missing"</xm:f>
            <x14:dxf>
              <font>
                <color rgb="FF9C0006"/>
              </font>
              <fill>
                <patternFill>
                  <bgColor rgb="FFFFC7CE"/>
                </patternFill>
              </fill>
            </x14:dxf>
          </x14:cfRule>
          <x14:cfRule type="notContainsText" priority="1246" operator="notContains" id="{CF9A5631-84E5-A242-9D11-EC5251E412F3}">
            <xm:f>ISERROR(SEARCH("Value Missing",I97))</xm:f>
            <xm:f>"Value Missing"</xm:f>
            <x14:dxf>
              <font>
                <color rgb="FF006100"/>
              </font>
              <fill>
                <patternFill>
                  <bgColor rgb="FFC6EFCE"/>
                </patternFill>
              </fill>
            </x14:dxf>
          </x14:cfRule>
          <xm:sqref>I97:I98</xm:sqref>
        </x14:conditionalFormatting>
        <x14:conditionalFormatting xmlns:xm="http://schemas.microsoft.com/office/excel/2006/main">
          <x14:cfRule type="containsText" priority="1245" operator="containsText" id="{D8BA5D82-4AAB-684F-B3E8-B855F9C5CBDF}">
            <xm:f>NOT(ISERROR(SEARCH("Value Missing",I102)))</xm:f>
            <xm:f>"Value Missing"</xm:f>
            <x14:dxf>
              <font>
                <color rgb="FF9C0006"/>
              </font>
              <fill>
                <patternFill>
                  <bgColor rgb="FFFFC7CE"/>
                </patternFill>
              </fill>
            </x14:dxf>
          </x14:cfRule>
          <x14:cfRule type="notContainsText" priority="1244" operator="notContains" id="{4C2CED3A-085D-7C4A-A30D-527DBB1A2B94}">
            <xm:f>ISERROR(SEARCH("Value Missing",I102))</xm:f>
            <xm:f>"Value Missing"</xm:f>
            <x14:dxf>
              <font>
                <color rgb="FF006100"/>
              </font>
              <fill>
                <patternFill>
                  <bgColor rgb="FFC6EFCE"/>
                </patternFill>
              </fill>
            </x14:dxf>
          </x14:cfRule>
          <xm:sqref>I102:I103</xm:sqref>
        </x14:conditionalFormatting>
        <x14:conditionalFormatting xmlns:xm="http://schemas.microsoft.com/office/excel/2006/main">
          <x14:cfRule type="containsText" priority="1243" operator="containsText" id="{1E360F40-5887-A546-85AA-CE1919341AD2}">
            <xm:f>NOT(ISERROR(SEARCH("Value Missing",I107)))</xm:f>
            <xm:f>"Value Missing"</xm:f>
            <x14:dxf>
              <font>
                <color rgb="FF9C0006"/>
              </font>
              <fill>
                <patternFill>
                  <bgColor rgb="FFFFC7CE"/>
                </patternFill>
              </fill>
            </x14:dxf>
          </x14:cfRule>
          <x14:cfRule type="notContainsText" priority="1242" operator="notContains" id="{5162A225-94BA-E648-8021-C9746B852834}">
            <xm:f>ISERROR(SEARCH("Value Missing",I107))</xm:f>
            <xm:f>"Value Missing"</xm:f>
            <x14:dxf>
              <font>
                <color rgb="FF006100"/>
              </font>
              <fill>
                <patternFill>
                  <bgColor rgb="FFC6EFCE"/>
                </patternFill>
              </fill>
            </x14:dxf>
          </x14:cfRule>
          <xm:sqref>I107:I108</xm:sqref>
        </x14:conditionalFormatting>
        <x14:conditionalFormatting xmlns:xm="http://schemas.microsoft.com/office/excel/2006/main">
          <x14:cfRule type="containsText" priority="817" operator="containsText" id="{B16C308F-57F7-454A-9EAA-C915315EA5EE}">
            <xm:f>NOT(ISERROR(SEARCH("Value Missing",I112)))</xm:f>
            <xm:f>"Value Missing"</xm:f>
            <x14:dxf>
              <font>
                <color rgb="FF9C0006"/>
              </font>
              <fill>
                <patternFill>
                  <bgColor rgb="FFFFC7CE"/>
                </patternFill>
              </fill>
            </x14:dxf>
          </x14:cfRule>
          <x14:cfRule type="notContainsText" priority="816" operator="notContains" id="{66D7A8B4-DFA1-0F44-AF45-F6DFE73B10D7}">
            <xm:f>ISERROR(SEARCH("Value Missing",I112))</xm:f>
            <xm:f>"Value Missing"</xm:f>
            <x14:dxf>
              <font>
                <color rgb="FF006100"/>
              </font>
              <fill>
                <patternFill>
                  <bgColor rgb="FFC6EFCE"/>
                </patternFill>
              </fill>
            </x14:dxf>
          </x14:cfRule>
          <xm:sqref>I112:I113</xm:sqref>
        </x14:conditionalFormatting>
        <x14:conditionalFormatting xmlns:xm="http://schemas.microsoft.com/office/excel/2006/main">
          <x14:cfRule type="notContainsText" priority="496" operator="notContains" id="{527EF464-5776-B14A-8F20-4E71DC2B6BE8}">
            <xm:f>ISERROR(SEARCH("Value Missing",I117))</xm:f>
            <xm:f>"Value Missing"</xm:f>
            <x14:dxf>
              <font>
                <color rgb="FF006100"/>
              </font>
              <fill>
                <patternFill>
                  <bgColor rgb="FFC6EFCE"/>
                </patternFill>
              </fill>
            </x14:dxf>
          </x14:cfRule>
          <x14:cfRule type="containsText" priority="497" operator="containsText" id="{BEF954B9-E159-C54D-B02B-A152B6A1554C}">
            <xm:f>NOT(ISERROR(SEARCH("Value Missing",I117)))</xm:f>
            <xm:f>"Value Missing"</xm:f>
            <x14:dxf>
              <font>
                <color rgb="FF9C0006"/>
              </font>
              <fill>
                <patternFill>
                  <bgColor rgb="FFFFC7CE"/>
                </patternFill>
              </fill>
            </x14:dxf>
          </x14:cfRule>
          <xm:sqref>I117:I120 I133:I146</xm:sqref>
        </x14:conditionalFormatting>
        <x14:conditionalFormatting xmlns:xm="http://schemas.microsoft.com/office/excel/2006/main">
          <x14:cfRule type="notContainsText" priority="986" operator="notContains" id="{0BC9AB65-82BA-7F40-931A-DB297ED9FE28}">
            <xm:f>ISERROR(SEARCH("Value Missing",I127))</xm:f>
            <xm:f>"Value Missing"</xm:f>
            <x14:dxf>
              <font>
                <color rgb="FF006100"/>
              </font>
              <fill>
                <patternFill>
                  <bgColor rgb="FFC6EFCE"/>
                </patternFill>
              </fill>
            </x14:dxf>
          </x14:cfRule>
          <x14:cfRule type="containsText" priority="987" operator="containsText" id="{EB634813-7434-9946-AC83-1C209EEC6624}">
            <xm:f>NOT(ISERROR(SEARCH("Value Missing",I127)))</xm:f>
            <xm:f>"Value Missing"</xm:f>
            <x14:dxf>
              <font>
                <color rgb="FF9C0006"/>
              </font>
              <fill>
                <patternFill>
                  <bgColor rgb="FFFFC7CE"/>
                </patternFill>
              </fill>
            </x14:dxf>
          </x14:cfRule>
          <xm:sqref>I127</xm:sqref>
        </x14:conditionalFormatting>
        <x14:conditionalFormatting xmlns:xm="http://schemas.microsoft.com/office/excel/2006/main">
          <x14:cfRule type="containsText" priority="995" operator="containsText" id="{9383DBED-1A97-434D-93BA-864E6F154708}">
            <xm:f>NOT(ISERROR(SEARCH("Value Missing",I128)))</xm:f>
            <xm:f>"Value Missing"</xm:f>
            <x14:dxf>
              <font>
                <color rgb="FF9C0006"/>
              </font>
              <fill>
                <patternFill>
                  <bgColor rgb="FFFFC7CE"/>
                </patternFill>
              </fill>
            </x14:dxf>
          </x14:cfRule>
          <x14:cfRule type="notContainsText" priority="994" operator="notContains" id="{F29D4069-301D-E541-B3E3-18BFB9A7143B}">
            <xm:f>ISERROR(SEARCH("Value Missing",I128))</xm:f>
            <xm:f>"Value Missing"</xm:f>
            <x14:dxf>
              <font>
                <color rgb="FF006100"/>
              </font>
              <fill>
                <patternFill>
                  <bgColor rgb="FFC6EFCE"/>
                </patternFill>
              </fill>
            </x14:dxf>
          </x14:cfRule>
          <xm:sqref>I128:I129</xm:sqref>
        </x14:conditionalFormatting>
        <x14:conditionalFormatting xmlns:xm="http://schemas.microsoft.com/office/excel/2006/main">
          <x14:cfRule type="notContainsText" priority="1654" operator="notContains" id="{FF52140E-5BBD-4944-AD51-FD2984E05DF2}">
            <xm:f>ISERROR(SEARCH("Value Missing",C12))</xm:f>
            <xm:f>"Value Missing"</xm:f>
            <x14:dxf>
              <font>
                <color rgb="FF006100"/>
              </font>
              <fill>
                <patternFill>
                  <bgColor rgb="FFC6EFCE"/>
                </patternFill>
              </fill>
            </x14:dxf>
          </x14:cfRule>
          <xm:sqref>I150:I151 O12 O20 I78:I82 O79:O82 O100:O105 X12 F210:F211 I121:I126 O118:O123 O93:O96 R135:R137 X61:X66 X72:X77 C211:C216 R173:R175 R222:R227 R239 C90</xm:sqref>
        </x14:conditionalFormatting>
        <x14:conditionalFormatting xmlns:xm="http://schemas.microsoft.com/office/excel/2006/main">
          <x14:cfRule type="notContainsText" priority="1048" operator="notContains" id="{3F8F241C-E223-8A48-8406-E7B18BA564FA}">
            <xm:f>ISERROR(SEARCH("Value Missing",I155))</xm:f>
            <xm:f>"Value Missing"</xm:f>
            <x14:dxf>
              <font>
                <color rgb="FF006100"/>
              </font>
              <fill>
                <patternFill>
                  <bgColor rgb="FFC6EFCE"/>
                </patternFill>
              </fill>
            </x14:dxf>
          </x14:cfRule>
          <x14:cfRule type="containsText" priority="1049" operator="containsText" id="{27C6D238-65C9-3445-A866-E072F0BBF0AF}">
            <xm:f>NOT(ISERROR(SEARCH("Value Missing",I155)))</xm:f>
            <xm:f>"Value Missing"</xm:f>
            <x14:dxf>
              <font>
                <color rgb="FF9C0006"/>
              </font>
              <fill>
                <patternFill>
                  <bgColor rgb="FFFFC7CE"/>
                </patternFill>
              </fill>
            </x14:dxf>
          </x14:cfRule>
          <xm:sqref>I155:I156</xm:sqref>
        </x14:conditionalFormatting>
        <x14:conditionalFormatting xmlns:xm="http://schemas.microsoft.com/office/excel/2006/main">
          <x14:cfRule type="notContainsText" priority="956" operator="notContains" id="{35C67C57-0F0F-2C49-AFEB-C171FD6A3F5A}">
            <xm:f>ISERROR(SEARCH("Value Missing",I163))</xm:f>
            <xm:f>"Value Missing"</xm:f>
            <x14:dxf>
              <font>
                <color rgb="FF006100"/>
              </font>
              <fill>
                <patternFill>
                  <bgColor rgb="FFC6EFCE"/>
                </patternFill>
              </fill>
            </x14:dxf>
          </x14:cfRule>
          <x14:cfRule type="containsText" priority="957" operator="containsText" id="{AA601A5E-A136-704B-BA9B-294C341E50BC}">
            <xm:f>NOT(ISERROR(SEARCH("Value Missing",I163)))</xm:f>
            <xm:f>"Value Missing"</xm:f>
            <x14:dxf>
              <font>
                <color rgb="FF9C0006"/>
              </font>
              <fill>
                <patternFill>
                  <bgColor rgb="FFFFC7CE"/>
                </patternFill>
              </fill>
            </x14:dxf>
          </x14:cfRule>
          <xm:sqref>I163:I165</xm:sqref>
        </x14:conditionalFormatting>
        <x14:conditionalFormatting xmlns:xm="http://schemas.microsoft.com/office/excel/2006/main">
          <x14:cfRule type="containsText" priority="611" operator="containsText" id="{4541C9D3-F5C7-834E-855C-1ACBCE5F8A5C}">
            <xm:f>NOT(ISERROR(SEARCH("Value Missing",I166)))</xm:f>
            <xm:f>"Value Missing"</xm:f>
            <x14:dxf>
              <font>
                <color rgb="FF9C0006"/>
              </font>
              <fill>
                <patternFill>
                  <bgColor rgb="FFFFC7CE"/>
                </patternFill>
              </fill>
            </x14:dxf>
          </x14:cfRule>
          <x14:cfRule type="notContainsText" priority="610" operator="notContains" id="{4E305337-2D63-E748-937E-FAD7CCB12D36}">
            <xm:f>ISERROR(SEARCH("Value Missing",I166))</xm:f>
            <xm:f>"Value Missing"</xm:f>
            <x14:dxf>
              <font>
                <color rgb="FF006100"/>
              </font>
              <fill>
                <patternFill>
                  <bgColor rgb="FFC6EFCE"/>
                </patternFill>
              </fill>
            </x14:dxf>
          </x14:cfRule>
          <xm:sqref>I166:I178</xm:sqref>
        </x14:conditionalFormatting>
        <x14:conditionalFormatting xmlns:xm="http://schemas.microsoft.com/office/excel/2006/main">
          <x14:cfRule type="notContainsText" priority="493" operator="notContains" id="{485F175F-22A5-F241-B988-F11B3EDEBBFC}">
            <xm:f>ISERROR(SEARCH("Value Missing",I193))</xm:f>
            <xm:f>"Value Missing"</xm:f>
            <x14:dxf>
              <font>
                <color rgb="FF006100"/>
              </font>
              <fill>
                <patternFill>
                  <bgColor rgb="FFC6EFCE"/>
                </patternFill>
              </fill>
            </x14:dxf>
          </x14:cfRule>
          <x14:cfRule type="containsText" priority="494" operator="containsText" id="{ACAD98C9-C2F0-E64E-8332-154EA7A5DF00}">
            <xm:f>NOT(ISERROR(SEARCH("Value Missing",I193)))</xm:f>
            <xm:f>"Value Missing"</xm:f>
            <x14:dxf>
              <font>
                <color rgb="FF9C0006"/>
              </font>
              <fill>
                <patternFill>
                  <bgColor rgb="FFFFC7CE"/>
                </patternFill>
              </fill>
            </x14:dxf>
          </x14:cfRule>
          <xm:sqref>I193</xm:sqref>
        </x14:conditionalFormatting>
        <x14:conditionalFormatting xmlns:xm="http://schemas.microsoft.com/office/excel/2006/main">
          <x14:cfRule type="notContainsText" priority="779" operator="notContains" id="{DBA93385-0C50-FB49-9628-3C8443955D7F}">
            <xm:f>ISERROR(SEARCH("Value Missing",F8))</xm:f>
            <xm:f>"Value Missing"</xm:f>
            <x14:dxf>
              <font>
                <color rgb="FF006100"/>
              </font>
              <fill>
                <patternFill>
                  <bgColor rgb="FFC6EFCE"/>
                </patternFill>
              </fill>
            </x14:dxf>
          </x14:cfRule>
          <xm:sqref>L8:L70 F29:F41 AA33:AB33 R63:R90 R351:R365</xm:sqref>
        </x14:conditionalFormatting>
        <x14:conditionalFormatting xmlns:xm="http://schemas.microsoft.com/office/excel/2006/main">
          <x14:cfRule type="notContainsText" priority="1526" operator="notContains" id="{244A65AF-E65F-6349-ABFB-B3E292191BAC}">
            <xm:f>ISERROR(SEARCH("Value Missing",F48))</xm:f>
            <xm:f>"Value Missing"</xm:f>
            <x14:dxf>
              <font>
                <color rgb="FF006100"/>
              </font>
              <fill>
                <patternFill>
                  <bgColor rgb="FFC6EFCE"/>
                </patternFill>
              </fill>
            </x14:dxf>
          </x14:cfRule>
          <xm:sqref>L74:L112 F48:F62</xm:sqref>
        </x14:conditionalFormatting>
        <x14:conditionalFormatting xmlns:xm="http://schemas.microsoft.com/office/excel/2006/main">
          <x14:cfRule type="containsText" priority="196" operator="containsText" id="{EC528466-B217-7440-B3AD-E23E13CD9ADB}">
            <xm:f>NOT(ISERROR(SEARCH("Value Missing",L116)))</xm:f>
            <xm:f>"Value Missing"</xm:f>
            <x14:dxf>
              <font>
                <color rgb="FF9C0006"/>
              </font>
              <fill>
                <patternFill>
                  <bgColor rgb="FFFFC7CE"/>
                </patternFill>
              </fill>
            </x14:dxf>
          </x14:cfRule>
          <xm:sqref>L116:L117</xm:sqref>
        </x14:conditionalFormatting>
        <x14:conditionalFormatting xmlns:xm="http://schemas.microsoft.com/office/excel/2006/main">
          <x14:cfRule type="containsText" priority="143" operator="containsText" id="{73FAF96B-BB5E-B14D-9A29-EBA44F965AE0}">
            <xm:f>NOT(ISERROR(SEARCH("Value Missing",L122)))</xm:f>
            <xm:f>"Value Missing"</xm:f>
            <x14:dxf>
              <font>
                <color rgb="FF9C0006"/>
              </font>
              <fill>
                <patternFill>
                  <bgColor rgb="FFFFC7CE"/>
                </patternFill>
              </fill>
            </x14:dxf>
          </x14:cfRule>
          <xm:sqref>L122</xm:sqref>
        </x14:conditionalFormatting>
        <x14:conditionalFormatting xmlns:xm="http://schemas.microsoft.com/office/excel/2006/main">
          <x14:cfRule type="notContainsText" priority="1411" operator="notContains" id="{B6A69EFC-05C0-BD4F-995E-E9D6ABB4EC9D}">
            <xm:f>ISERROR(SEARCH("Value Missing",C8))</xm:f>
            <xm:f>"Value Missing"</xm:f>
            <x14:dxf>
              <font>
                <color rgb="FF006100"/>
              </font>
              <fill>
                <patternFill>
                  <bgColor rgb="FFC6EFCE"/>
                </patternFill>
              </fill>
            </x14:dxf>
          </x14:cfRule>
          <xm:sqref>O8 O24:O28 O65:O68 O86:O89 O109:O114 O140:O141 O145:O146 F205:F206 C206:C207</xm:sqref>
        </x14:conditionalFormatting>
        <x14:conditionalFormatting xmlns:xm="http://schemas.microsoft.com/office/excel/2006/main">
          <x14:cfRule type="notContainsText" priority="1115" operator="notContains" id="{4608FEC1-ABA9-904E-AEAD-0D02A30F8056}">
            <xm:f>ISERROR(SEARCH("Value Missing",C8))</xm:f>
            <xm:f>"Value Missing"</xm:f>
            <x14:dxf>
              <font>
                <color rgb="FF006100"/>
              </font>
              <fill>
                <patternFill>
                  <bgColor rgb="FFC6EFCE"/>
                </patternFill>
              </fill>
            </x14:dxf>
          </x14:cfRule>
          <xm:sqref>O8 O24:O28 O109:O114 O86:O89 O65:O68 F69:F70 C72:C73 O140:O141 O145:O146 F205:F206 C206:C207</xm:sqref>
        </x14:conditionalFormatting>
        <x14:conditionalFormatting xmlns:xm="http://schemas.microsoft.com/office/excel/2006/main">
          <x14:cfRule type="containsText" priority="1046" operator="containsText" id="{2BF4B5F7-DD84-F54D-A15D-9FBBF18BA2D3}">
            <xm:f>NOT(ISERROR(SEARCH("Value Missing",O8)))</xm:f>
            <xm:f>"Value Missing"</xm:f>
            <x14:dxf>
              <font>
                <color rgb="FF9C0006"/>
              </font>
              <fill>
                <patternFill>
                  <bgColor rgb="FFFFC7CE"/>
                </patternFill>
              </fill>
            </x14:dxf>
          </x14:cfRule>
          <x14:cfRule type="notContainsText" priority="1045" operator="notContains" id="{C3F9CFFB-34A1-D04B-8B39-76A3C6DE53BA}">
            <xm:f>ISERROR(SEARCH("Value Missing",O8))</xm:f>
            <xm:f>"Value Missing"</xm:f>
            <x14:dxf>
              <font>
                <color rgb="FF006100"/>
              </font>
              <fill>
                <patternFill>
                  <bgColor rgb="FFC6EFCE"/>
                </patternFill>
              </fill>
            </x14:dxf>
          </x14:cfRule>
          <xm:sqref>O8</xm:sqref>
        </x14:conditionalFormatting>
        <x14:conditionalFormatting xmlns:xm="http://schemas.microsoft.com/office/excel/2006/main">
          <x14:cfRule type="containsText" priority="1023" operator="containsText" id="{CB565DD2-99FE-F641-A4E3-01051B07141F}">
            <xm:f>NOT(ISERROR(SEARCH("Value Missing",C12)))</xm:f>
            <xm:f>"Value Missing"</xm:f>
            <x14:dxf>
              <font>
                <color rgb="FF9C0006"/>
              </font>
              <fill>
                <patternFill>
                  <bgColor rgb="FFFFC7CE"/>
                </patternFill>
              </fill>
            </x14:dxf>
          </x14:cfRule>
          <xm:sqref>O12 O15:O19 F226:F227 C227:C228 C92:C94 C98:C100</xm:sqref>
        </x14:conditionalFormatting>
        <x14:conditionalFormatting xmlns:xm="http://schemas.microsoft.com/office/excel/2006/main">
          <x14:cfRule type="containsText" priority="1229" operator="containsText" id="{ED7E2262-5488-B642-9DA0-65E2362D54F3}">
            <xm:f>NOT(ISERROR(SEARCH("Value Missing",C12)))</xm:f>
            <xm:f>"Value Missing"</xm:f>
            <x14:dxf>
              <font>
                <color rgb="FF9C0006"/>
              </font>
              <fill>
                <patternFill>
                  <bgColor rgb="FFFFC7CE"/>
                </patternFill>
              </fill>
            </x14:dxf>
          </x14:cfRule>
          <xm:sqref>O12 O15:O20 O58:O61 I65:I82 O79:O82 I86:I88 O100:O105 F226:F227 C227:C228</xm:sqref>
        </x14:conditionalFormatting>
        <x14:conditionalFormatting xmlns:xm="http://schemas.microsoft.com/office/excel/2006/main">
          <x14:cfRule type="containsText" priority="1655" operator="containsText" id="{BC91E0E0-4C4D-5D44-A855-25B6E4FD2964}">
            <xm:f>NOT(ISERROR(SEARCH("Value Missing",I12)))</xm:f>
            <xm:f>"Value Missing"</xm:f>
            <x14:dxf>
              <font>
                <color rgb="FF9C0006"/>
              </font>
              <fill>
                <patternFill>
                  <bgColor rgb="FFFFC7CE"/>
                </patternFill>
              </fill>
            </x14:dxf>
          </x14:cfRule>
          <xm:sqref>O12 X12 O20 X61:X66 X72:X77 I78:I82 O79:O82 O93:O96 O100:O105 O118:O123 I121:I126 R135:R137 I150:I151 R173:R175 R222:R227 R239 R101:R103 O28 O86:O89 O109:O114 R186:R191</xm:sqref>
        </x14:conditionalFormatting>
        <x14:conditionalFormatting xmlns:xm="http://schemas.microsoft.com/office/excel/2006/main">
          <x14:cfRule type="notContainsText" priority="1022" operator="notContains" id="{5208D588-5329-B146-84B1-094A65843E8A}">
            <xm:f>ISERROR(SEARCH("Value Missing",C12))</xm:f>
            <xm:f>"Value Missing"</xm:f>
            <x14:dxf>
              <font>
                <color rgb="FF006100"/>
              </font>
              <fill>
                <patternFill>
                  <bgColor rgb="FFC6EFCE"/>
                </patternFill>
              </fill>
            </x14:dxf>
          </x14:cfRule>
          <xm:sqref>O15:O19 O12 F226:F227 C227:C228</xm:sqref>
        </x14:conditionalFormatting>
        <x14:conditionalFormatting xmlns:xm="http://schemas.microsoft.com/office/excel/2006/main">
          <x14:cfRule type="containsText" priority="1035" operator="containsText" id="{8623D7A4-5067-9147-85B1-6534A3821219}">
            <xm:f>NOT(ISERROR(SEARCH("Value Missing",O24)))</xm:f>
            <xm:f>"Value Missing"</xm:f>
            <x14:dxf>
              <font>
                <color rgb="FF9C0006"/>
              </font>
              <fill>
                <patternFill>
                  <bgColor rgb="FFFFC7CE"/>
                </patternFill>
              </fill>
            </x14:dxf>
          </x14:cfRule>
          <x14:cfRule type="notContainsText" priority="1034" operator="notContains" id="{E97DD726-8400-1844-AEF6-3B2D7A5B4832}">
            <xm:f>ISERROR(SEARCH("Value Missing",O24))</xm:f>
            <xm:f>"Value Missing"</xm:f>
            <x14:dxf>
              <font>
                <color rgb="FF006100"/>
              </font>
              <fill>
                <patternFill>
                  <bgColor rgb="FFC6EFCE"/>
                </patternFill>
              </fill>
            </x14:dxf>
          </x14:cfRule>
          <xm:sqref>O24:O27</xm:sqref>
        </x14:conditionalFormatting>
        <x14:conditionalFormatting xmlns:xm="http://schemas.microsoft.com/office/excel/2006/main">
          <x14:cfRule type="containsText" priority="1009" operator="containsText" id="{4A7D8287-99C4-AA4B-9FC4-4EEA963E6872}">
            <xm:f>NOT(ISERROR(SEARCH("Value Missing",C32)))</xm:f>
            <xm:f>"Value Missing"</xm:f>
            <x14:dxf>
              <font>
                <color rgb="FF9C0006"/>
              </font>
              <fill>
                <patternFill>
                  <bgColor rgb="FFFFC7CE"/>
                </patternFill>
              </fill>
            </x14:dxf>
          </x14:cfRule>
          <x14:cfRule type="notContainsText" priority="1008" operator="notContains" id="{437C0CD4-22E9-8F4F-9D70-DA37C7AB5BFA}">
            <xm:f>ISERROR(SEARCH("Value Missing",C32))</xm:f>
            <xm:f>"Value Missing"</xm:f>
            <x14:dxf>
              <font>
                <color rgb="FF006100"/>
              </font>
              <fill>
                <patternFill>
                  <bgColor rgb="FFC6EFCE"/>
                </patternFill>
              </fill>
            </x14:dxf>
          </x14:cfRule>
          <xm:sqref>O32:O36 F69:F70 C72:C73</xm:sqref>
        </x14:conditionalFormatting>
        <x14:conditionalFormatting xmlns:xm="http://schemas.microsoft.com/office/excel/2006/main">
          <x14:cfRule type="notContainsText" priority="508" operator="notContains" id="{7B5FA16B-5FB7-0B4F-90C8-C88D2A126984}">
            <xm:f>ISERROR(SEARCH("Value Missing",O40))</xm:f>
            <xm:f>"Value Missing"</xm:f>
            <x14:dxf>
              <font>
                <color rgb="FF006100"/>
              </font>
              <fill>
                <patternFill>
                  <bgColor rgb="FFC6EFCE"/>
                </patternFill>
              </fill>
            </x14:dxf>
          </x14:cfRule>
          <x14:cfRule type="containsText" priority="509" operator="containsText" id="{735A9D06-F24F-3747-AF6B-25959B4F6E37}">
            <xm:f>NOT(ISERROR(SEARCH("Value Missing",O40)))</xm:f>
            <xm:f>"Value Missing"</xm:f>
            <x14:dxf>
              <font>
                <color rgb="FF9C0006"/>
              </font>
              <fill>
                <patternFill>
                  <bgColor rgb="FFFFC7CE"/>
                </patternFill>
              </fill>
            </x14:dxf>
          </x14:cfRule>
          <xm:sqref>O40:O45</xm:sqref>
        </x14:conditionalFormatting>
        <x14:conditionalFormatting xmlns:xm="http://schemas.microsoft.com/office/excel/2006/main">
          <x14:cfRule type="notContainsText" priority="8" operator="notContains" id="{9155DD1D-4E54-3244-9BFE-3DAE93E16F42}">
            <xm:f>ISERROR(SEARCH("Value Missing",O54))</xm:f>
            <xm:f>"Value Missing"</xm:f>
            <x14:dxf>
              <font>
                <color rgb="FF006100"/>
              </font>
              <fill>
                <patternFill>
                  <bgColor rgb="FFC6EFCE"/>
                </patternFill>
              </fill>
            </x14:dxf>
          </x14:cfRule>
          <x14:cfRule type="containsText" priority="7" operator="containsText" id="{AD968792-2099-0740-9F7A-7FA682C87A01}">
            <xm:f>NOT(ISERROR(SEARCH("Value Missing",O54)))</xm:f>
            <xm:f>"Value Missing"</xm:f>
            <x14:dxf>
              <font>
                <color rgb="FF9C0006"/>
              </font>
              <fill>
                <patternFill>
                  <bgColor rgb="FFFFC7CE"/>
                </patternFill>
              </fill>
            </x14:dxf>
          </x14:cfRule>
          <x14:cfRule type="notContainsText" priority="6" operator="notContains" id="{CE7C93E2-A89C-F643-81B3-3A61239AB6A3}">
            <xm:f>ISERROR(SEARCH("Value Missing",O54))</xm:f>
            <xm:f>"Value Missing"</xm:f>
            <x14:dxf>
              <font>
                <color rgb="FF006100"/>
              </font>
              <fill>
                <patternFill>
                  <bgColor rgb="FFC6EFCE"/>
                </patternFill>
              </fill>
            </x14:dxf>
          </x14:cfRule>
          <xm:sqref>O54</xm:sqref>
        </x14:conditionalFormatting>
        <x14:conditionalFormatting xmlns:xm="http://schemas.microsoft.com/office/excel/2006/main">
          <x14:cfRule type="containsText" priority="1015" operator="containsText" id="{2F2A876D-1C16-6E4D-AADD-DB0C99F4CB0F}">
            <xm:f>NOT(ISERROR(SEARCH("Value Missing",O58)))</xm:f>
            <xm:f>"Value Missing"</xm:f>
            <x14:dxf>
              <font>
                <color rgb="FF9C0006"/>
              </font>
              <fill>
                <patternFill>
                  <bgColor rgb="FFFFC7CE"/>
                </patternFill>
              </fill>
            </x14:dxf>
          </x14:cfRule>
          <xm:sqref>O58:O61 R63:R90</xm:sqref>
        </x14:conditionalFormatting>
        <x14:conditionalFormatting xmlns:xm="http://schemas.microsoft.com/office/excel/2006/main">
          <x14:cfRule type="notContainsText" priority="1014" operator="notContains" id="{775D101A-C8FF-5044-A268-CD289E915C3B}">
            <xm:f>ISERROR(SEARCH("Value Missing",O58))</xm:f>
            <xm:f>"Value Missing"</xm:f>
            <x14:dxf>
              <font>
                <color rgb="FF006100"/>
              </font>
              <fill>
                <patternFill>
                  <bgColor rgb="FFC6EFCE"/>
                </patternFill>
              </fill>
            </x14:dxf>
          </x14:cfRule>
          <xm:sqref>O58:O61 R86:R90</xm:sqref>
        </x14:conditionalFormatting>
        <x14:conditionalFormatting xmlns:xm="http://schemas.microsoft.com/office/excel/2006/main">
          <x14:cfRule type="containsText" priority="1027" operator="containsText" id="{54AE483C-001B-5C43-8043-EA8F64E6AB1D}">
            <xm:f>NOT(ISERROR(SEARCH("Value Missing",O65)))</xm:f>
            <xm:f>"Value Missing"</xm:f>
            <x14:dxf>
              <font>
                <color rgb="FF9C0006"/>
              </font>
              <fill>
                <patternFill>
                  <bgColor rgb="FFFFC7CE"/>
                </patternFill>
              </fill>
            </x14:dxf>
          </x14:cfRule>
          <x14:cfRule type="notContainsText" priority="1026" operator="notContains" id="{5E4E6F69-65A2-C240-822B-B7E0691553B7}">
            <xm:f>ISERROR(SEARCH("Value Missing",O65))</xm:f>
            <xm:f>"Value Missing"</xm:f>
            <x14:dxf>
              <font>
                <color rgb="FF006100"/>
              </font>
              <fill>
                <patternFill>
                  <bgColor rgb="FFC6EFCE"/>
                </patternFill>
              </fill>
            </x14:dxf>
          </x14:cfRule>
          <xm:sqref>O65:O68</xm:sqref>
        </x14:conditionalFormatting>
        <x14:conditionalFormatting xmlns:xm="http://schemas.microsoft.com/office/excel/2006/main">
          <x14:cfRule type="notContainsText" priority="1000" operator="notContains" id="{2ECDB9E3-1724-BD47-A980-BF1EE0680252}">
            <xm:f>ISERROR(SEARCH("Value Missing",O72))</xm:f>
            <xm:f>"Value Missing"</xm:f>
            <x14:dxf>
              <font>
                <color rgb="FF006100"/>
              </font>
              <fill>
                <patternFill>
                  <bgColor rgb="FFC6EFCE"/>
                </patternFill>
              </fill>
            </x14:dxf>
          </x14:cfRule>
          <x14:cfRule type="containsText" priority="1001" operator="containsText" id="{9424C608-5657-E246-A88B-A21447A81D4A}">
            <xm:f>NOT(ISERROR(SEARCH("Value Missing",O72)))</xm:f>
            <xm:f>"Value Missing"</xm:f>
            <x14:dxf>
              <font>
                <color rgb="FF9C0006"/>
              </font>
              <fill>
                <patternFill>
                  <bgColor rgb="FFFFC7CE"/>
                </patternFill>
              </fill>
            </x14:dxf>
          </x14:cfRule>
          <xm:sqref>O72:O75</xm:sqref>
        </x14:conditionalFormatting>
        <x14:conditionalFormatting xmlns:xm="http://schemas.microsoft.com/office/excel/2006/main">
          <x14:cfRule type="containsText" priority="389" operator="containsText" id="{147AD28B-CD9B-8043-BC38-424E2793FCDA}">
            <xm:f>NOT(ISERROR(SEARCH("Value Missing",O127)))</xm:f>
            <xm:f>"Value Missing"</xm:f>
            <x14:dxf>
              <font>
                <color rgb="FF9C0006"/>
              </font>
              <fill>
                <patternFill>
                  <bgColor rgb="FFFFC7CE"/>
                </patternFill>
              </fill>
            </x14:dxf>
          </x14:cfRule>
          <x14:cfRule type="notContainsText" priority="388" operator="notContains" id="{3334E1B8-527D-164D-A3DA-AE594F1829B5}">
            <xm:f>ISERROR(SEARCH("Value Missing",O127))</xm:f>
            <xm:f>"Value Missing"</xm:f>
            <x14:dxf>
              <font>
                <color rgb="FF006100"/>
              </font>
              <fill>
                <patternFill>
                  <bgColor rgb="FFC6EFCE"/>
                </patternFill>
              </fill>
            </x14:dxf>
          </x14:cfRule>
          <xm:sqref>O127:O130</xm:sqref>
        </x14:conditionalFormatting>
        <x14:conditionalFormatting xmlns:xm="http://schemas.microsoft.com/office/excel/2006/main">
          <x14:cfRule type="notContainsText" priority="408" operator="notContains" id="{06F54E94-2D64-4144-88BD-ACC98259AA90}">
            <xm:f>ISERROR(SEARCH("Value Missing",O134))</xm:f>
            <xm:f>"Value Missing"</xm:f>
            <x14:dxf>
              <font>
                <color rgb="FF006100"/>
              </font>
              <fill>
                <patternFill>
                  <bgColor rgb="FFC6EFCE"/>
                </patternFill>
              </fill>
            </x14:dxf>
          </x14:cfRule>
          <x14:cfRule type="containsText" priority="409" operator="containsText" id="{C96BE528-836B-CC44-ACC9-A66CE6FD51F2}">
            <xm:f>NOT(ISERROR(SEARCH("Value Missing",O134)))</xm:f>
            <xm:f>"Value Missing"</xm:f>
            <x14:dxf>
              <font>
                <color rgb="FF9C0006"/>
              </font>
              <fill>
                <patternFill>
                  <bgColor rgb="FFFFC7CE"/>
                </patternFill>
              </fill>
            </x14:dxf>
          </x14:cfRule>
          <xm:sqref>O134:O136</xm:sqref>
        </x14:conditionalFormatting>
        <x14:conditionalFormatting xmlns:xm="http://schemas.microsoft.com/office/excel/2006/main">
          <x14:cfRule type="containsText" priority="403" operator="containsText" id="{C83E172E-5E47-C640-B63C-C6EC07BF94CA}">
            <xm:f>NOT(ISERROR(SEARCH("Value Missing",O140)))</xm:f>
            <xm:f>"Value Missing"</xm:f>
            <x14:dxf>
              <font>
                <color rgb="FF9C0006"/>
              </font>
              <fill>
                <patternFill>
                  <bgColor rgb="FFFFC7CE"/>
                </patternFill>
              </fill>
            </x14:dxf>
          </x14:cfRule>
          <x14:cfRule type="notContainsText" priority="402" operator="notContains" id="{269182F5-E88F-9146-8A84-A06F97937521}">
            <xm:f>ISERROR(SEARCH("Value Missing",O140))</xm:f>
            <xm:f>"Value Missing"</xm:f>
            <x14:dxf>
              <font>
                <color rgb="FF006100"/>
              </font>
              <fill>
                <patternFill>
                  <bgColor rgb="FFC6EFCE"/>
                </patternFill>
              </fill>
            </x14:dxf>
          </x14:cfRule>
          <xm:sqref>O140:O141</xm:sqref>
        </x14:conditionalFormatting>
        <x14:conditionalFormatting xmlns:xm="http://schemas.microsoft.com/office/excel/2006/main">
          <x14:cfRule type="containsText" priority="399" operator="containsText" id="{F6D18970-8014-0E46-A072-D76E96086786}">
            <xm:f>NOT(ISERROR(SEARCH("Value Missing",O145)))</xm:f>
            <xm:f>"Value Missing"</xm:f>
            <x14:dxf>
              <font>
                <color rgb="FF9C0006"/>
              </font>
              <fill>
                <patternFill>
                  <bgColor rgb="FFFFC7CE"/>
                </patternFill>
              </fill>
            </x14:dxf>
          </x14:cfRule>
          <x14:cfRule type="notContainsText" priority="398" operator="notContains" id="{5BF99BCE-21AE-644B-9DD8-C38F98C0BA40}">
            <xm:f>ISERROR(SEARCH("Value Missing",O145))</xm:f>
            <xm:f>"Value Missing"</xm:f>
            <x14:dxf>
              <font>
                <color rgb="FF006100"/>
              </font>
              <fill>
                <patternFill>
                  <bgColor rgb="FFC6EFCE"/>
                </patternFill>
              </fill>
            </x14:dxf>
          </x14:cfRule>
          <xm:sqref>O145:O146</xm:sqref>
        </x14:conditionalFormatting>
        <x14:conditionalFormatting xmlns:xm="http://schemas.microsoft.com/office/excel/2006/main">
          <x14:cfRule type="containsText" priority="397" operator="containsText" id="{09D88C1C-066E-8443-9961-6E5F6AE1BC99}">
            <xm:f>NOT(ISERROR(SEARCH("Value Missing",O150)))</xm:f>
            <xm:f>"Value Missing"</xm:f>
            <x14:dxf>
              <font>
                <color rgb="FF9C0006"/>
              </font>
              <fill>
                <patternFill>
                  <bgColor rgb="FFFFC7CE"/>
                </patternFill>
              </fill>
            </x14:dxf>
          </x14:cfRule>
          <x14:cfRule type="notContainsText" priority="396" operator="notContains" id="{D28ED0DA-9FB6-BB49-9C62-5CFA7E443B98}">
            <xm:f>ISERROR(SEARCH("Value Missing",O150))</xm:f>
            <xm:f>"Value Missing"</xm:f>
            <x14:dxf>
              <font>
                <color rgb="FF006100"/>
              </font>
              <fill>
                <patternFill>
                  <bgColor rgb="FFC6EFCE"/>
                </patternFill>
              </fill>
            </x14:dxf>
          </x14:cfRule>
          <xm:sqref>O150:O151</xm:sqref>
        </x14:conditionalFormatting>
        <x14:conditionalFormatting xmlns:xm="http://schemas.microsoft.com/office/excel/2006/main">
          <x14:cfRule type="containsText" priority="395" operator="containsText" id="{2887FFCC-7AC0-1245-A4BB-A7D33A70D8DE}">
            <xm:f>NOT(ISERROR(SEARCH("Value Missing",O155)))</xm:f>
            <xm:f>"Value Missing"</xm:f>
            <x14:dxf>
              <font>
                <color rgb="FF9C0006"/>
              </font>
              <fill>
                <patternFill>
                  <bgColor rgb="FFFFC7CE"/>
                </patternFill>
              </fill>
            </x14:dxf>
          </x14:cfRule>
          <x14:cfRule type="notContainsText" priority="394" operator="notContains" id="{5FAE5C21-9C4E-8849-860E-239D505855CF}">
            <xm:f>ISERROR(SEARCH("Value Missing",O155))</xm:f>
            <xm:f>"Value Missing"</xm:f>
            <x14:dxf>
              <font>
                <color rgb="FF006100"/>
              </font>
              <fill>
                <patternFill>
                  <bgColor rgb="FFC6EFCE"/>
                </patternFill>
              </fill>
            </x14:dxf>
          </x14:cfRule>
          <xm:sqref>O155:O156</xm:sqref>
        </x14:conditionalFormatting>
        <x14:conditionalFormatting xmlns:xm="http://schemas.microsoft.com/office/excel/2006/main">
          <x14:cfRule type="notContainsText" priority="104" operator="notContains" id="{3193313F-8651-B24D-834D-AC9B4D630FC8}">
            <xm:f>ISERROR(SEARCH("Value Missing",O160))</xm:f>
            <xm:f>"Value Missing"</xm:f>
            <x14:dxf>
              <font>
                <color rgb="FF006100"/>
              </font>
              <fill>
                <patternFill>
                  <bgColor rgb="FFC6EFCE"/>
                </patternFill>
              </fill>
            </x14:dxf>
          </x14:cfRule>
          <x14:cfRule type="containsText" priority="105" operator="containsText" id="{676353C6-A8CB-4A4B-84B4-0063B2C471FA}">
            <xm:f>NOT(ISERROR(SEARCH("Value Missing",O160)))</xm:f>
            <xm:f>"Value Missing"</xm:f>
            <x14:dxf>
              <font>
                <color rgb="FF9C0006"/>
              </font>
              <fill>
                <patternFill>
                  <bgColor rgb="FFFFC7CE"/>
                </patternFill>
              </fill>
            </x14:dxf>
          </x14:cfRule>
          <x14:cfRule type="containsText" priority="107" operator="containsText" id="{469F9144-5B62-EF41-8995-4A6CC8AE7797}">
            <xm:f>NOT(ISERROR(SEARCH("Value Missing",O160)))</xm:f>
            <xm:f>"Value Missing"</xm:f>
            <x14:dxf>
              <font>
                <color rgb="FF9C0006"/>
              </font>
              <fill>
                <patternFill>
                  <bgColor rgb="FFFFC7CE"/>
                </patternFill>
              </fill>
            </x14:dxf>
          </x14:cfRule>
          <x14:cfRule type="notContainsText" priority="106" operator="notContains" id="{CCA37073-18EA-B44E-A6A6-8498C2F7F36D}">
            <xm:f>ISERROR(SEARCH("Value Missing",O160))</xm:f>
            <xm:f>"Value Missing"</xm:f>
            <x14:dxf>
              <font>
                <color rgb="FF006100"/>
              </font>
              <fill>
                <patternFill>
                  <bgColor rgb="FFC6EFCE"/>
                </patternFill>
              </fill>
            </x14:dxf>
          </x14:cfRule>
          <xm:sqref>O160:O161</xm:sqref>
        </x14:conditionalFormatting>
        <x14:conditionalFormatting xmlns:xm="http://schemas.microsoft.com/office/excel/2006/main">
          <x14:cfRule type="containsText" priority="110" operator="containsText" id="{3B77764A-B09C-2948-AE57-C5FA0599DE53}">
            <xm:f>NOT(ISERROR(SEARCH("Value Missing",O165)))</xm:f>
            <xm:f>"Value Missing"</xm:f>
            <x14:dxf>
              <font>
                <color rgb="FF9C0006"/>
              </font>
              <fill>
                <patternFill>
                  <bgColor rgb="FFFFC7CE"/>
                </patternFill>
              </fill>
            </x14:dxf>
          </x14:cfRule>
          <x14:cfRule type="notContainsText" priority="109" operator="notContains" id="{31FF1EC6-C61B-F34D-8AFC-039532B93406}">
            <xm:f>ISERROR(SEARCH("Value Missing",O165))</xm:f>
            <xm:f>"Value Missing"</xm:f>
            <x14:dxf>
              <font>
                <color rgb="FF006100"/>
              </font>
              <fill>
                <patternFill>
                  <bgColor rgb="FFC6EFCE"/>
                </patternFill>
              </fill>
            </x14:dxf>
          </x14:cfRule>
          <x14:cfRule type="notContainsText" priority="111" operator="notContains" id="{3C5B06B0-4E82-0841-83A6-BBBE0C3BC3E9}">
            <xm:f>ISERROR(SEARCH("Value Missing",O165))</xm:f>
            <xm:f>"Value Missing"</xm:f>
            <x14:dxf>
              <font>
                <color rgb="FF006100"/>
              </font>
              <fill>
                <patternFill>
                  <bgColor rgb="FFC6EFCE"/>
                </patternFill>
              </fill>
            </x14:dxf>
          </x14:cfRule>
          <x14:cfRule type="containsText" priority="112" operator="containsText" id="{104118BD-CB82-524E-9638-973BBE17838C}">
            <xm:f>NOT(ISERROR(SEARCH("Value Missing",O165)))</xm:f>
            <xm:f>"Value Missing"</xm:f>
            <x14:dxf>
              <font>
                <color rgb="FF9C0006"/>
              </font>
              <fill>
                <patternFill>
                  <bgColor rgb="FFFFC7CE"/>
                </patternFill>
              </fill>
            </x14:dxf>
          </x14:cfRule>
          <xm:sqref>O165:O166</xm:sqref>
        </x14:conditionalFormatting>
        <x14:conditionalFormatting xmlns:xm="http://schemas.microsoft.com/office/excel/2006/main">
          <x14:cfRule type="notContainsText" priority="114" operator="notContains" id="{8D4044F6-3C86-5249-8589-FE47A9ADC690}">
            <xm:f>ISERROR(SEARCH("Value Missing",O170))</xm:f>
            <xm:f>"Value Missing"</xm:f>
            <x14:dxf>
              <font>
                <color rgb="FF006100"/>
              </font>
              <fill>
                <patternFill>
                  <bgColor rgb="FFC6EFCE"/>
                </patternFill>
              </fill>
            </x14:dxf>
          </x14:cfRule>
          <x14:cfRule type="containsText" priority="115" operator="containsText" id="{F94A38D8-7CA7-9D41-A953-C1503161EFFB}">
            <xm:f>NOT(ISERROR(SEARCH("Value Missing",O170)))</xm:f>
            <xm:f>"Value Missing"</xm:f>
            <x14:dxf>
              <font>
                <color rgb="FF9C0006"/>
              </font>
              <fill>
                <patternFill>
                  <bgColor rgb="FFFFC7CE"/>
                </patternFill>
              </fill>
            </x14:dxf>
          </x14:cfRule>
          <xm:sqref>O170:O171</xm:sqref>
        </x14:conditionalFormatting>
        <x14:conditionalFormatting xmlns:xm="http://schemas.microsoft.com/office/excel/2006/main">
          <x14:cfRule type="containsText" priority="58" operator="containsText" id="{950A25C2-CB87-7C43-A757-5255B44FEA2F}">
            <xm:f>NOT(ISERROR(SEARCH("Value Missing",O20)))</xm:f>
            <xm:f>"Value Missing"</xm:f>
            <x14:dxf>
              <font>
                <color rgb="FF9C0006"/>
              </font>
              <fill>
                <patternFill>
                  <bgColor rgb="FFFFC7CE"/>
                </patternFill>
              </fill>
            </x14:dxf>
          </x14:cfRule>
          <x14:cfRule type="notContainsText" priority="57" operator="notContains" id="{0462A11E-4843-CA4A-87BA-F11FB7A6D40C}">
            <xm:f>ISERROR(SEARCH("Value Missing",O20))</xm:f>
            <xm:f>"Value Missing"</xm:f>
            <x14:dxf>
              <font>
                <color rgb="FF006100"/>
              </font>
              <fill>
                <patternFill>
                  <bgColor rgb="FFC6EFCE"/>
                </patternFill>
              </fill>
            </x14:dxf>
          </x14:cfRule>
          <x14:cfRule type="notContainsText" priority="59" operator="notContains" id="{58795953-E013-904D-9B4F-EDD0EAB8FAA8}">
            <xm:f>ISERROR(SEARCH("Value Missing",O20))</xm:f>
            <xm:f>"Value Missing"</xm:f>
            <x14:dxf>
              <font>
                <color rgb="FF006100"/>
              </font>
              <fill>
                <patternFill>
                  <bgColor rgb="FFC6EFCE"/>
                </patternFill>
              </fill>
            </x14:dxf>
          </x14:cfRule>
          <xm:sqref>R20:R52 O48 O51</xm:sqref>
        </x14:conditionalFormatting>
        <x14:conditionalFormatting xmlns:xm="http://schemas.microsoft.com/office/excel/2006/main">
          <x14:cfRule type="containsText" priority="134" operator="containsText" id="{9582BDDB-AE4E-E249-9264-DBFF4B29545C}">
            <xm:f>NOT(ISERROR(SEARCH("Value Missing",F48)))</xm:f>
            <xm:f>"Value Missing"</xm:f>
            <x14:dxf>
              <font>
                <color rgb="FF9C0006"/>
              </font>
              <fill>
                <patternFill>
                  <bgColor rgb="FFFFC7CE"/>
                </patternFill>
              </fill>
            </x14:dxf>
          </x14:cfRule>
          <xm:sqref>R56:R59 F87 O48 O51 O54</xm:sqref>
        </x14:conditionalFormatting>
        <x14:conditionalFormatting xmlns:xm="http://schemas.microsoft.com/office/excel/2006/main">
          <x14:cfRule type="notContainsText" priority="133" operator="notContains" id="{D087A155-83CB-394F-B329-47BE90F9E34E}">
            <xm:f>ISERROR(SEARCH("Value Missing",F56))</xm:f>
            <xm:f>"Value Missing"</xm:f>
            <x14:dxf>
              <font>
                <color rgb="FF006100"/>
              </font>
              <fill>
                <patternFill>
                  <bgColor rgb="FFC6EFCE"/>
                </patternFill>
              </fill>
            </x14:dxf>
          </x14:cfRule>
          <xm:sqref>R56:R59 F87</xm:sqref>
        </x14:conditionalFormatting>
        <x14:conditionalFormatting xmlns:xm="http://schemas.microsoft.com/office/excel/2006/main">
          <x14:cfRule type="notContainsText" priority="181" operator="notContains" id="{DF4AD425-5A4B-FD4B-B991-8B8ABA0E26BA}">
            <xm:f>ISERROR(SEARCH("Value Missing",R94))</xm:f>
            <xm:f>"Value Missing"</xm:f>
            <x14:dxf>
              <font>
                <color rgb="FF006100"/>
              </font>
              <fill>
                <patternFill>
                  <bgColor rgb="FFC6EFCE"/>
                </patternFill>
              </fill>
            </x14:dxf>
          </x14:cfRule>
          <x14:cfRule type="containsText" priority="182" operator="containsText" id="{80E06F39-59B1-7642-A038-75ACDB8BB8B9}">
            <xm:f>NOT(ISERROR(SEARCH("Value Missing",R94)))</xm:f>
            <xm:f>"Value Missing"</xm:f>
            <x14:dxf>
              <font>
                <color rgb="FF9C0006"/>
              </font>
              <fill>
                <patternFill>
                  <bgColor rgb="FFFFC7CE"/>
                </patternFill>
              </fill>
            </x14:dxf>
          </x14:cfRule>
          <xm:sqref>R94:R111 R122:R142</xm:sqref>
        </x14:conditionalFormatting>
        <x14:conditionalFormatting xmlns:xm="http://schemas.microsoft.com/office/excel/2006/main">
          <x14:cfRule type="notContainsText" priority="1648" operator="notContains" id="{DE0ADC5A-9EAD-9242-A74D-FAE27E3669B5}">
            <xm:f>ISERROR(SEARCH("Value Missing",R94))</xm:f>
            <xm:f>"Value Missing"</xm:f>
            <x14:dxf>
              <font>
                <color rgb="FF006100"/>
              </font>
              <fill>
                <patternFill>
                  <bgColor rgb="FFC6EFCE"/>
                </patternFill>
              </fill>
            </x14:dxf>
          </x14:cfRule>
          <xm:sqref>R94:R118</xm:sqref>
        </x14:conditionalFormatting>
        <x14:conditionalFormatting xmlns:xm="http://schemas.microsoft.com/office/excel/2006/main">
          <x14:cfRule type="containsText" priority="437" operator="containsText" id="{7E86A32F-315C-324F-930A-AFEEE0FFE806}">
            <xm:f>NOT(ISERROR(SEARCH("Value Missing",R104)))</xm:f>
            <xm:f>"Value Missing"</xm:f>
            <x14:dxf>
              <font>
                <color rgb="FF9C0006"/>
              </font>
              <fill>
                <patternFill>
                  <bgColor rgb="FFFFC7CE"/>
                </patternFill>
              </fill>
            </x14:dxf>
          </x14:cfRule>
          <x14:cfRule type="notContainsText" priority="436" operator="notContains" id="{717126AB-65C7-D242-A0C0-E42C2ADC38E8}">
            <xm:f>ISERROR(SEARCH("Value Missing",R104))</xm:f>
            <xm:f>"Value Missing"</xm:f>
            <x14:dxf>
              <font>
                <color rgb="FF006100"/>
              </font>
              <fill>
                <patternFill>
                  <bgColor rgb="FFC6EFCE"/>
                </patternFill>
              </fill>
            </x14:dxf>
          </x14:cfRule>
          <xm:sqref>R104:R105</xm:sqref>
        </x14:conditionalFormatting>
        <x14:conditionalFormatting xmlns:xm="http://schemas.microsoft.com/office/excel/2006/main">
          <x14:cfRule type="notContainsText" priority="163" operator="notContains" id="{DB755DDE-361B-B841-BA9E-DB9D549E2763}">
            <xm:f>ISERROR(SEARCH("Value Missing",R115))</xm:f>
            <xm:f>"Value Missing"</xm:f>
            <x14:dxf>
              <font>
                <color rgb="FF006100"/>
              </font>
              <fill>
                <patternFill>
                  <bgColor rgb="FFC6EFCE"/>
                </patternFill>
              </fill>
            </x14:dxf>
          </x14:cfRule>
          <x14:cfRule type="containsText" priority="164" operator="containsText" id="{BAF6FFE7-A590-A347-ACFB-C5C3B4F6E018}">
            <xm:f>NOT(ISERROR(SEARCH("Value Missing",R115)))</xm:f>
            <xm:f>"Value Missing"</xm:f>
            <x14:dxf>
              <font>
                <color rgb="FF9C0006"/>
              </font>
              <fill>
                <patternFill>
                  <bgColor rgb="FFFFC7CE"/>
                </patternFill>
              </fill>
            </x14:dxf>
          </x14:cfRule>
          <xm:sqref>R115:R118</xm:sqref>
        </x14:conditionalFormatting>
        <x14:conditionalFormatting xmlns:xm="http://schemas.microsoft.com/office/excel/2006/main">
          <x14:cfRule type="notContainsText" priority="443" operator="notContains" id="{A7DAE7CD-1803-754B-A8AF-1C66216EFD14}">
            <xm:f>ISERROR(SEARCH("Value Missing",R143))</xm:f>
            <xm:f>"Value Missing"</xm:f>
            <x14:dxf>
              <font>
                <color rgb="FF006100"/>
              </font>
              <fill>
                <patternFill>
                  <bgColor rgb="FFC6EFCE"/>
                </patternFill>
              </fill>
            </x14:dxf>
          </x14:cfRule>
          <x14:cfRule type="containsText" priority="444" operator="containsText" id="{480A5546-8BAF-4D48-BD29-ECB7DCB3CC91}">
            <xm:f>NOT(ISERROR(SEARCH("Value Missing",R143)))</xm:f>
            <xm:f>"Value Missing"</xm:f>
            <x14:dxf>
              <font>
                <color rgb="FF9C0006"/>
              </font>
              <fill>
                <patternFill>
                  <bgColor rgb="FFFFC7CE"/>
                </patternFill>
              </fill>
            </x14:dxf>
          </x14:cfRule>
          <xm:sqref>R143</xm:sqref>
        </x14:conditionalFormatting>
        <x14:conditionalFormatting xmlns:xm="http://schemas.microsoft.com/office/excel/2006/main">
          <x14:cfRule type="notContainsText" priority="915" operator="notContains" id="{C9F8C065-134D-BB41-87E1-6E6F32D43543}">
            <xm:f>ISERROR(SEARCH("Value Missing",C7))</xm:f>
            <xm:f>"Value Missing"</xm:f>
            <x14:dxf>
              <font>
                <color rgb="FF006100"/>
              </font>
              <fill>
                <patternFill>
                  <bgColor rgb="FFC6EFCE"/>
                </patternFill>
              </fill>
            </x14:dxf>
          </x14:cfRule>
          <xm:sqref>R143:R163 C7:C9 F13:F25 F74:F75 C77:C84 F109:F121 C112:C114</xm:sqref>
        </x14:conditionalFormatting>
        <x14:conditionalFormatting xmlns:xm="http://schemas.microsoft.com/office/excel/2006/main">
          <x14:cfRule type="notContainsText" priority="391" operator="notContains" id="{57C8A54C-69CA-324C-99BE-1DE795AFE07B}">
            <xm:f>ISERROR(SEARCH("Value Missing",R164))</xm:f>
            <xm:f>"Value Missing"</xm:f>
            <x14:dxf>
              <font>
                <color rgb="FF006100"/>
              </font>
              <fill>
                <patternFill>
                  <bgColor rgb="FFC6EFCE"/>
                </patternFill>
              </fill>
            </x14:dxf>
          </x14:cfRule>
          <xm:sqref>R164:R169 R173:R181</xm:sqref>
        </x14:conditionalFormatting>
        <x14:conditionalFormatting xmlns:xm="http://schemas.microsoft.com/office/excel/2006/main">
          <x14:cfRule type="containsText" priority="477" operator="containsText" id="{B8F8F4E3-1A9C-4B48-A85F-FE1941396910}">
            <xm:f>NOT(ISERROR(SEARCH("Value Missing",R165)))</xm:f>
            <xm:f>"Value Missing"</xm:f>
            <x14:dxf>
              <font>
                <color rgb="FF9C0006"/>
              </font>
              <fill>
                <patternFill>
                  <bgColor rgb="FFFFC7CE"/>
                </patternFill>
              </fill>
            </x14:dxf>
          </x14:cfRule>
          <xm:sqref>R165:R169</xm:sqref>
        </x14:conditionalFormatting>
        <x14:conditionalFormatting xmlns:xm="http://schemas.microsoft.com/office/excel/2006/main">
          <x14:cfRule type="containsText" priority="392" operator="containsText" id="{6BD79D30-FD50-3642-88E9-B1B1B76EB5C5}">
            <xm:f>NOT(ISERROR(SEARCH("Value Missing",R173)))</xm:f>
            <xm:f>"Value Missing"</xm:f>
            <x14:dxf>
              <font>
                <color rgb="FF9C0006"/>
              </font>
              <fill>
                <patternFill>
                  <bgColor rgb="FFFFC7CE"/>
                </patternFill>
              </fill>
            </x14:dxf>
          </x14:cfRule>
          <xm:sqref>R173:R181</xm:sqref>
        </x14:conditionalFormatting>
        <x14:conditionalFormatting xmlns:xm="http://schemas.microsoft.com/office/excel/2006/main">
          <x14:cfRule type="notContainsText" priority="291" operator="notContains" id="{48BF000C-DAA1-9A49-BABE-FB79BA2E9FDA}">
            <xm:f>ISERROR(SEARCH("Value Missing",R176))</xm:f>
            <xm:f>"Value Missing"</xm:f>
            <x14:dxf>
              <font>
                <color rgb="FF006100"/>
              </font>
              <fill>
                <patternFill>
                  <bgColor rgb="FFC6EFCE"/>
                </patternFill>
              </fill>
            </x14:dxf>
          </x14:cfRule>
          <x14:cfRule type="containsText" priority="292" operator="containsText" id="{981BEB68-FB6E-3646-A16C-1224A3F8253B}">
            <xm:f>NOT(ISERROR(SEARCH("Value Missing",R176)))</xm:f>
            <xm:f>"Value Missing"</xm:f>
            <x14:dxf>
              <font>
                <color rgb="FF9C0006"/>
              </font>
              <fill>
                <patternFill>
                  <bgColor rgb="FFFFC7CE"/>
                </patternFill>
              </fill>
            </x14:dxf>
          </x14:cfRule>
          <xm:sqref>R176:R181</xm:sqref>
        </x14:conditionalFormatting>
        <x14:conditionalFormatting xmlns:xm="http://schemas.microsoft.com/office/excel/2006/main">
          <x14:cfRule type="notContainsText" priority="336" operator="notContains" id="{689D6E64-E929-B041-AAA0-CD56000FB8C9}">
            <xm:f>ISERROR(SEARCH("Value Missing",R185))</xm:f>
            <xm:f>"Value Missing"</xm:f>
            <x14:dxf>
              <font>
                <color rgb="FF006100"/>
              </font>
              <fill>
                <patternFill>
                  <bgColor rgb="FFC6EFCE"/>
                </patternFill>
              </fill>
            </x14:dxf>
          </x14:cfRule>
          <x14:cfRule type="containsText" priority="337" operator="containsText" id="{A328C2EF-F06B-214C-B15D-3A74354AE8D1}">
            <xm:f>NOT(ISERROR(SEARCH("Value Missing",R185)))</xm:f>
            <xm:f>"Value Missing"</xm:f>
            <x14:dxf>
              <font>
                <color rgb="FF9C0006"/>
              </font>
              <fill>
                <patternFill>
                  <bgColor rgb="FFFFC7CE"/>
                </patternFill>
              </fill>
            </x14:dxf>
          </x14:cfRule>
          <xm:sqref>R185</xm:sqref>
        </x14:conditionalFormatting>
        <x14:conditionalFormatting xmlns:xm="http://schemas.microsoft.com/office/excel/2006/main">
          <x14:cfRule type="notContainsText" priority="1228" operator="notContains" id="{7C40FA3B-7B98-2844-9240-562F2D8C5A34}">
            <xm:f>ISERROR(SEARCH("Value Missing",C12))</xm:f>
            <xm:f>"Value Missing"</xm:f>
            <x14:dxf>
              <font>
                <color rgb="FF006100"/>
              </font>
              <fill>
                <patternFill>
                  <bgColor rgb="FFC6EFCE"/>
                </patternFill>
              </fill>
            </x14:dxf>
          </x14:cfRule>
          <xm:sqref>R185:R217 O12 O15:O20 C92:C94 C98:C100 F226:F227 C227:C228 O100:O105 O79:O82 O58:O61 F74:F75 C77:C84 F109:F121 C112:C114 I86:I88 I65:I82</xm:sqref>
        </x14:conditionalFormatting>
        <x14:conditionalFormatting xmlns:xm="http://schemas.microsoft.com/office/excel/2006/main">
          <x14:cfRule type="containsText" priority="381" operator="containsText" id="{2840F4D8-D63D-CC42-B2A1-A8AAC29CA025}">
            <xm:f>NOT(ISERROR(SEARCH("Value Missing",R185)))</xm:f>
            <xm:f>"Value Missing"</xm:f>
            <x14:dxf>
              <font>
                <color rgb="FF9C0006"/>
              </font>
              <fill>
                <patternFill>
                  <bgColor rgb="FFFFC7CE"/>
                </patternFill>
              </fill>
            </x14:dxf>
          </x14:cfRule>
          <xm:sqref>R185:R217</xm:sqref>
        </x14:conditionalFormatting>
        <x14:conditionalFormatting xmlns:xm="http://schemas.microsoft.com/office/excel/2006/main">
          <x14:cfRule type="notContainsText" priority="380" operator="notContains" id="{68EA98EC-C7D3-574A-BAAB-6E4045192DAF}">
            <xm:f>ISERROR(SEARCH("Value Missing",R192))</xm:f>
            <xm:f>"Value Missing"</xm:f>
            <x14:dxf>
              <font>
                <color rgb="FF006100"/>
              </font>
              <fill>
                <patternFill>
                  <bgColor rgb="FFC6EFCE"/>
                </patternFill>
              </fill>
            </x14:dxf>
          </x14:cfRule>
          <xm:sqref>R192</xm:sqref>
        </x14:conditionalFormatting>
        <x14:conditionalFormatting xmlns:xm="http://schemas.microsoft.com/office/excel/2006/main">
          <x14:cfRule type="containsText" priority="378" operator="containsText" id="{EE0C5DB8-7946-5547-9B63-1F5CF03206F0}">
            <xm:f>NOT(ISERROR(SEARCH("Value Missing",R199)))</xm:f>
            <xm:f>"Value Missing"</xm:f>
            <x14:dxf>
              <font>
                <color rgb="FF9C0006"/>
              </font>
              <fill>
                <patternFill>
                  <bgColor rgb="FFFFC7CE"/>
                </patternFill>
              </fill>
            </x14:dxf>
          </x14:cfRule>
          <x14:cfRule type="notContainsText" priority="377" operator="notContains" id="{9E68E843-A3A4-7944-93D1-748A9854A463}">
            <xm:f>ISERROR(SEARCH("Value Missing",R199))</xm:f>
            <xm:f>"Value Missing"</xm:f>
            <x14:dxf>
              <font>
                <color rgb="FF006100"/>
              </font>
              <fill>
                <patternFill>
                  <bgColor rgb="FFC6EFCE"/>
                </patternFill>
              </fill>
            </x14:dxf>
          </x14:cfRule>
          <xm:sqref>R199</xm:sqref>
        </x14:conditionalFormatting>
        <x14:conditionalFormatting xmlns:xm="http://schemas.microsoft.com/office/excel/2006/main">
          <x14:cfRule type="containsText" priority="345" operator="containsText" id="{E9C1603B-D4AE-874E-BAE9-48086556B6CE}">
            <xm:f>NOT(ISERROR(SEARCH("Value Missing",R210)))</xm:f>
            <xm:f>"Value Missing"</xm:f>
            <x14:dxf>
              <font>
                <color rgb="FF9C0006"/>
              </font>
              <fill>
                <patternFill>
                  <bgColor rgb="FFFFC7CE"/>
                </patternFill>
              </fill>
            </x14:dxf>
          </x14:cfRule>
          <x14:cfRule type="notContainsText" priority="344" operator="notContains" id="{4E045DA0-FD53-5E40-BBF0-2CDC4CE9F47E}">
            <xm:f>ISERROR(SEARCH("Value Missing",R210))</xm:f>
            <xm:f>"Value Missing"</xm:f>
            <x14:dxf>
              <font>
                <color rgb="FF006100"/>
              </font>
              <fill>
                <patternFill>
                  <bgColor rgb="FFC6EFCE"/>
                </patternFill>
              </fill>
            </x14:dxf>
          </x14:cfRule>
          <xm:sqref>R210:R218 R222:R238</xm:sqref>
        </x14:conditionalFormatting>
        <x14:conditionalFormatting xmlns:xm="http://schemas.microsoft.com/office/excel/2006/main">
          <x14:cfRule type="containsText" priority="357" operator="containsText" id="{7DE68D98-2A1E-AB45-882A-633792BD1637}">
            <xm:f>NOT(ISERROR(SEARCH("Value Missing",R228)))</xm:f>
            <xm:f>"Value Missing"</xm:f>
            <x14:dxf>
              <font>
                <color rgb="FF9C0006"/>
              </font>
              <fill>
                <patternFill>
                  <bgColor rgb="FFFFC7CE"/>
                </patternFill>
              </fill>
            </x14:dxf>
          </x14:cfRule>
          <xm:sqref>R228:R240</xm:sqref>
        </x14:conditionalFormatting>
        <x14:conditionalFormatting xmlns:xm="http://schemas.microsoft.com/office/excel/2006/main">
          <x14:cfRule type="containsText" priority="375" operator="containsText" id="{3607B5F1-A376-BE4A-9792-6E91E4CC76ED}">
            <xm:f>NOT(ISERROR(SEARCH("Value Missing",R229)))</xm:f>
            <xm:f>"Value Missing"</xm:f>
            <x14:dxf>
              <font>
                <color rgb="FF9C0006"/>
              </font>
              <fill>
                <patternFill>
                  <bgColor rgb="FFFFC7CE"/>
                </patternFill>
              </fill>
            </x14:dxf>
          </x14:cfRule>
          <x14:cfRule type="notContainsText" priority="374" operator="notContains" id="{EBC57E73-A542-EC41-AA99-9191204B2415}">
            <xm:f>ISERROR(SEARCH("Value Missing",R229))</xm:f>
            <xm:f>"Value Missing"</xm:f>
            <x14:dxf>
              <font>
                <color rgb="FF006100"/>
              </font>
              <fill>
                <patternFill>
                  <bgColor rgb="FFC6EFCE"/>
                </patternFill>
              </fill>
            </x14:dxf>
          </x14:cfRule>
          <xm:sqref>R229:R236</xm:sqref>
        </x14:conditionalFormatting>
        <x14:conditionalFormatting xmlns:xm="http://schemas.microsoft.com/office/excel/2006/main">
          <x14:cfRule type="notContainsText" priority="356" operator="notContains" id="{4DFFBA2C-D6A5-5B41-93FF-957BBC667C53}">
            <xm:f>ISERROR(SEARCH("Value Missing",R240))</xm:f>
            <xm:f>"Value Missing"</xm:f>
            <x14:dxf>
              <font>
                <color rgb="FF006100"/>
              </font>
              <fill>
                <patternFill>
                  <bgColor rgb="FFC6EFCE"/>
                </patternFill>
              </fill>
            </x14:dxf>
          </x14:cfRule>
          <xm:sqref>R240</xm:sqref>
        </x14:conditionalFormatting>
        <x14:conditionalFormatting xmlns:xm="http://schemas.microsoft.com/office/excel/2006/main">
          <x14:cfRule type="notContainsText" priority="101" operator="notContains" id="{B7C09453-568D-E248-9438-817B7227DD50}">
            <xm:f>ISERROR(SEARCH("Value Missing",R244))</xm:f>
            <xm:f>"Value Missing"</xm:f>
            <x14:dxf>
              <font>
                <color rgb="FF006100"/>
              </font>
              <fill>
                <patternFill>
                  <bgColor rgb="FFC6EFCE"/>
                </patternFill>
              </fill>
            </x14:dxf>
          </x14:cfRule>
          <x14:cfRule type="containsText" priority="102" stopIfTrue="1" operator="containsText" id="{32CE79AA-7F16-3341-BE86-5E6E6FA73D09}">
            <xm:f>NOT(ISERROR(SEARCH("Value Missing",R244)))</xm:f>
            <xm:f>"Value Missing"</xm:f>
            <x14:dxf>
              <font>
                <color rgb="FF9C0006"/>
              </font>
              <fill>
                <patternFill>
                  <bgColor rgb="FFFFC7CE"/>
                </patternFill>
              </fill>
            </x14:dxf>
          </x14:cfRule>
          <xm:sqref>R244:R277</xm:sqref>
        </x14:conditionalFormatting>
        <x14:conditionalFormatting xmlns:xm="http://schemas.microsoft.com/office/excel/2006/main">
          <x14:cfRule type="containsText" priority="23" operator="containsText" id="{E2B8FD11-3FB0-824E-A8F8-504378E43C7B}">
            <xm:f>NOT(ISERROR(SEARCH("Value Missing",R281)))</xm:f>
            <xm:f>"Value Missing"</xm:f>
            <x14:dxf>
              <font>
                <color rgb="FF9C0006"/>
              </font>
              <fill>
                <patternFill>
                  <bgColor rgb="FFFFC7CE"/>
                </patternFill>
              </fill>
            </x14:dxf>
          </x14:cfRule>
          <x14:cfRule type="notContainsText" priority="22" operator="notContains" id="{028D377C-6717-F147-A91A-075170A1FFE4}">
            <xm:f>ISERROR(SEARCH("Value Missing",R281))</xm:f>
            <xm:f>"Value Missing"</xm:f>
            <x14:dxf>
              <font>
                <color rgb="FF006100"/>
              </font>
              <fill>
                <patternFill>
                  <bgColor rgb="FFC6EFCE"/>
                </patternFill>
              </fill>
            </x14:dxf>
          </x14:cfRule>
          <xm:sqref>R281:R312</xm:sqref>
        </x14:conditionalFormatting>
        <x14:conditionalFormatting xmlns:xm="http://schemas.microsoft.com/office/excel/2006/main">
          <x14:cfRule type="containsText" priority="25" operator="containsText" id="{9206FEF1-A800-2845-95BA-B0651F16FEEC}">
            <xm:f>NOT(ISERROR(SEARCH("Value Missing",R316)))</xm:f>
            <xm:f>"Value Missing"</xm:f>
            <x14:dxf>
              <font>
                <color rgb="FF9C0006"/>
              </font>
              <fill>
                <patternFill>
                  <bgColor rgb="FFFFC7CE"/>
                </patternFill>
              </fill>
            </x14:dxf>
          </x14:cfRule>
          <x14:cfRule type="notContainsText" priority="24" operator="notContains" id="{7AE973B3-607F-FD4F-B806-13ACC2C91AE9}">
            <xm:f>ISERROR(SEARCH("Value Missing",R316))</xm:f>
            <xm:f>"Value Missing"</xm:f>
            <x14:dxf>
              <font>
                <color rgb="FF006100"/>
              </font>
              <fill>
                <patternFill>
                  <bgColor rgb="FFC6EFCE"/>
                </patternFill>
              </fill>
            </x14:dxf>
          </x14:cfRule>
          <xm:sqref>R316:R347</xm:sqref>
        </x14:conditionalFormatting>
        <x14:conditionalFormatting xmlns:xm="http://schemas.microsoft.com/office/excel/2006/main">
          <x14:cfRule type="containsText" priority="1590" operator="containsText" id="{4DE0EAC0-D6C1-A24D-A0A3-E69D3875A170}">
            <xm:f>NOT(ISERROR(SEARCH("Value Missing",U8)))</xm:f>
            <xm:f>"Value Missing"</xm:f>
            <x14:dxf>
              <font>
                <color rgb="FF9C0006"/>
              </font>
              <fill>
                <patternFill>
                  <bgColor rgb="FFFFC7CE"/>
                </patternFill>
              </fill>
            </x14:dxf>
          </x14:cfRule>
          <x14:cfRule type="notContainsText" priority="1589" operator="notContains" id="{44931D3D-915C-8641-915A-39E8A8EBF7A6}">
            <xm:f>ISERROR(SEARCH("Value Missing",U8))</xm:f>
            <xm:f>"Value Missing"</xm:f>
            <x14:dxf>
              <font>
                <color rgb="FF006100"/>
              </font>
              <fill>
                <patternFill>
                  <bgColor rgb="FFC6EFCE"/>
                </patternFill>
              </fill>
            </x14:dxf>
          </x14:cfRule>
          <xm:sqref>U8:U9</xm:sqref>
        </x14:conditionalFormatting>
        <x14:conditionalFormatting xmlns:xm="http://schemas.microsoft.com/office/excel/2006/main">
          <x14:cfRule type="containsText" priority="1583" operator="containsText" id="{1997DC49-A5D2-B441-B9B0-FF9C99CFD8F7}">
            <xm:f>NOT(ISERROR(SEARCH("Value Missing",U13)))</xm:f>
            <xm:f>"Value Missing"</xm:f>
            <x14:dxf>
              <font>
                <color rgb="FF9C0006"/>
              </font>
              <fill>
                <patternFill>
                  <bgColor rgb="FFFFC7CE"/>
                </patternFill>
              </fill>
            </x14:dxf>
          </x14:cfRule>
          <x14:cfRule type="notContainsText" priority="1582" operator="notContains" id="{44EEBB87-F811-BB4B-BC11-6001152F69BD}">
            <xm:f>ISERROR(SEARCH("Value Missing",U13))</xm:f>
            <xm:f>"Value Missing"</xm:f>
            <x14:dxf>
              <font>
                <color rgb="FF006100"/>
              </font>
              <fill>
                <patternFill>
                  <bgColor rgb="FFC6EFCE"/>
                </patternFill>
              </fill>
            </x14:dxf>
          </x14:cfRule>
          <xm:sqref>U13:U14</xm:sqref>
        </x14:conditionalFormatting>
        <x14:conditionalFormatting xmlns:xm="http://schemas.microsoft.com/office/excel/2006/main">
          <x14:cfRule type="containsText" priority="1578" operator="containsText" id="{CECA1DF2-AE4F-F840-9E9E-93FE60797373}">
            <xm:f>NOT(ISERROR(SEARCH("Value Missing",U18)))</xm:f>
            <xm:f>"Value Missing"</xm:f>
            <x14:dxf>
              <font>
                <color rgb="FF9C0006"/>
              </font>
              <fill>
                <patternFill>
                  <bgColor rgb="FFFFC7CE"/>
                </patternFill>
              </fill>
            </x14:dxf>
          </x14:cfRule>
          <x14:cfRule type="notContainsText" priority="1577" operator="notContains" id="{E9F5C35D-6DF6-A04D-BB7D-C236297DA160}">
            <xm:f>ISERROR(SEARCH("Value Missing",U18))</xm:f>
            <xm:f>"Value Missing"</xm:f>
            <x14:dxf>
              <font>
                <color rgb="FF006100"/>
              </font>
              <fill>
                <patternFill>
                  <bgColor rgb="FFC6EFCE"/>
                </patternFill>
              </fill>
            </x14:dxf>
          </x14:cfRule>
          <xm:sqref>U18:U19</xm:sqref>
        </x14:conditionalFormatting>
        <x14:conditionalFormatting xmlns:xm="http://schemas.microsoft.com/office/excel/2006/main">
          <x14:cfRule type="containsText" priority="597" operator="containsText" id="{6E3A3474-1CE7-7142-B9E8-ECB566EC51ED}">
            <xm:f>NOT(ISERROR(SEARCH("Value Missing",U23)))</xm:f>
            <xm:f>"Value Missing"</xm:f>
            <x14:dxf>
              <font>
                <color rgb="FF9C0006"/>
              </font>
              <fill>
                <patternFill>
                  <bgColor rgb="FFFFC7CE"/>
                </patternFill>
              </fill>
            </x14:dxf>
          </x14:cfRule>
          <x14:cfRule type="notContainsText" priority="596" operator="notContains" id="{676759FF-1F07-EA4B-AC1D-3D16CCD262B6}">
            <xm:f>ISERROR(SEARCH("Value Missing",U23))</xm:f>
            <xm:f>"Value Missing"</xm:f>
            <x14:dxf>
              <font>
                <color rgb="FF006100"/>
              </font>
              <fill>
                <patternFill>
                  <bgColor rgb="FFC6EFCE"/>
                </patternFill>
              </fill>
            </x14:dxf>
          </x14:cfRule>
          <xm:sqref>U23:U24</xm:sqref>
        </x14:conditionalFormatting>
        <x14:conditionalFormatting xmlns:xm="http://schemas.microsoft.com/office/excel/2006/main">
          <x14:cfRule type="notContainsText" priority="1587" operator="notContains" id="{9A37B9CE-9E40-D64A-9357-1CA33AD79BDB}">
            <xm:f>ISERROR(SEARCH("Value Missing",U28))</xm:f>
            <xm:f>"Value Missing"</xm:f>
            <x14:dxf>
              <font>
                <color rgb="FF006100"/>
              </font>
              <fill>
                <patternFill>
                  <bgColor rgb="FFC6EFCE"/>
                </patternFill>
              </fill>
            </x14:dxf>
          </x14:cfRule>
          <x14:cfRule type="containsText" priority="1588" operator="containsText" id="{8B7CD512-9743-1441-9F6D-E37ADFBA5B05}">
            <xm:f>NOT(ISERROR(SEARCH("Value Missing",U28)))</xm:f>
            <xm:f>"Value Missing"</xm:f>
            <x14:dxf>
              <font>
                <color rgb="FF9C0006"/>
              </font>
              <fill>
                <patternFill>
                  <bgColor rgb="FFFFC7CE"/>
                </patternFill>
              </fill>
            </x14:dxf>
          </x14:cfRule>
          <xm:sqref>U28</xm:sqref>
        </x14:conditionalFormatting>
        <x14:conditionalFormatting xmlns:xm="http://schemas.microsoft.com/office/excel/2006/main">
          <x14:cfRule type="notContainsText" priority="1580" operator="notContains" id="{83824AD8-325D-714D-9AC2-9D2B21D96E95}">
            <xm:f>ISERROR(SEARCH("Value Missing",U32))</xm:f>
            <xm:f>"Value Missing"</xm:f>
            <x14:dxf>
              <font>
                <color rgb="FF006100"/>
              </font>
              <fill>
                <patternFill>
                  <bgColor rgb="FFC6EFCE"/>
                </patternFill>
              </fill>
            </x14:dxf>
          </x14:cfRule>
          <x14:cfRule type="containsText" priority="1581" operator="containsText" id="{C9F387A2-50E5-CA4C-8CA5-415DC733D984}">
            <xm:f>NOT(ISERROR(SEARCH("Value Missing",U32)))</xm:f>
            <xm:f>"Value Missing"</xm:f>
            <x14:dxf>
              <font>
                <color rgb="FF9C0006"/>
              </font>
              <fill>
                <patternFill>
                  <bgColor rgb="FFFFC7CE"/>
                </patternFill>
              </fill>
            </x14:dxf>
          </x14:cfRule>
          <xm:sqref>U32</xm:sqref>
        </x14:conditionalFormatting>
        <x14:conditionalFormatting xmlns:xm="http://schemas.microsoft.com/office/excel/2006/main">
          <x14:cfRule type="containsText" priority="1574" operator="containsText" id="{66EAE9BD-7036-384D-B379-5294549E8C88}">
            <xm:f>NOT(ISERROR(SEARCH("Value Missing",U36)))</xm:f>
            <xm:f>"Value Missing"</xm:f>
            <x14:dxf>
              <font>
                <color rgb="FF9C0006"/>
              </font>
              <fill>
                <patternFill>
                  <bgColor rgb="FFFFC7CE"/>
                </patternFill>
              </fill>
            </x14:dxf>
          </x14:cfRule>
          <x14:cfRule type="notContainsText" priority="1573" operator="notContains" id="{C3F76E3E-872D-6841-B6D6-B4162A516659}">
            <xm:f>ISERROR(SEARCH("Value Missing",U36))</xm:f>
            <xm:f>"Value Missing"</xm:f>
            <x14:dxf>
              <font>
                <color rgb="FF006100"/>
              </font>
              <fill>
                <patternFill>
                  <bgColor rgb="FFC6EFCE"/>
                </patternFill>
              </fill>
            </x14:dxf>
          </x14:cfRule>
          <xm:sqref>U36</xm:sqref>
        </x14:conditionalFormatting>
        <x14:conditionalFormatting xmlns:xm="http://schemas.microsoft.com/office/excel/2006/main">
          <x14:cfRule type="containsText" priority="1389" operator="containsText" id="{A222DF2A-8F10-D84C-97F7-EA18995B3CB2}">
            <xm:f>NOT(ISERROR(SEARCH("Value Missing",U40)))</xm:f>
            <xm:f>"Value Missing"</xm:f>
            <x14:dxf>
              <font>
                <color rgb="FF9C0006"/>
              </font>
              <fill>
                <patternFill>
                  <bgColor rgb="FFFFC7CE"/>
                </patternFill>
              </fill>
            </x14:dxf>
          </x14:cfRule>
          <x14:cfRule type="notContainsText" priority="1388" operator="notContains" id="{664328CD-3C4C-C34A-8A3F-F609646C6E1B}">
            <xm:f>ISERROR(SEARCH("Value Missing",U40))</xm:f>
            <xm:f>"Value Missing"</xm:f>
            <x14:dxf>
              <font>
                <color rgb="FF006100"/>
              </font>
              <fill>
                <patternFill>
                  <bgColor rgb="FFC6EFCE"/>
                </patternFill>
              </fill>
            </x14:dxf>
          </x14:cfRule>
          <xm:sqref>U40</xm:sqref>
        </x14:conditionalFormatting>
        <x14:conditionalFormatting xmlns:xm="http://schemas.microsoft.com/office/excel/2006/main">
          <x14:cfRule type="containsText" priority="1387" operator="containsText" id="{334DF228-2CB6-FE42-AFB7-9F61BB732FAC}">
            <xm:f>NOT(ISERROR(SEARCH("Value Missing",U44)))</xm:f>
            <xm:f>"Value Missing"</xm:f>
            <x14:dxf>
              <font>
                <color rgb="FF9C0006"/>
              </font>
              <fill>
                <patternFill>
                  <bgColor rgb="FFFFC7CE"/>
                </patternFill>
              </fill>
            </x14:dxf>
          </x14:cfRule>
          <x14:cfRule type="notContainsText" priority="1386" operator="notContains" id="{BBAD9CE7-DF50-0E41-9999-71B5DA30D888}">
            <xm:f>ISERROR(SEARCH("Value Missing",U44))</xm:f>
            <xm:f>"Value Missing"</xm:f>
            <x14:dxf>
              <font>
                <color rgb="FF006100"/>
              </font>
              <fill>
                <patternFill>
                  <bgColor rgb="FFC6EFCE"/>
                </patternFill>
              </fill>
            </x14:dxf>
          </x14:cfRule>
          <xm:sqref>U44</xm:sqref>
        </x14:conditionalFormatting>
        <x14:conditionalFormatting xmlns:xm="http://schemas.microsoft.com/office/excel/2006/main">
          <x14:cfRule type="containsText" priority="1385" operator="containsText" id="{6BE37C52-268E-3148-B071-7D0754434044}">
            <xm:f>NOT(ISERROR(SEARCH("Value Missing",U48)))</xm:f>
            <xm:f>"Value Missing"</xm:f>
            <x14:dxf>
              <font>
                <color rgb="FF9C0006"/>
              </font>
              <fill>
                <patternFill>
                  <bgColor rgb="FFFFC7CE"/>
                </patternFill>
              </fill>
            </x14:dxf>
          </x14:cfRule>
          <x14:cfRule type="notContainsText" priority="1384" operator="notContains" id="{3799A907-1A1C-414E-A7DA-DF8415A7E5F9}">
            <xm:f>ISERROR(SEARCH("Value Missing",U48))</xm:f>
            <xm:f>"Value Missing"</xm:f>
            <x14:dxf>
              <font>
                <color rgb="FF006100"/>
              </font>
              <fill>
                <patternFill>
                  <bgColor rgb="FFC6EFCE"/>
                </patternFill>
              </fill>
            </x14:dxf>
          </x14:cfRule>
          <xm:sqref>U48</xm:sqref>
        </x14:conditionalFormatting>
        <x14:conditionalFormatting xmlns:xm="http://schemas.microsoft.com/office/excel/2006/main">
          <x14:cfRule type="notContainsText" priority="1382" operator="notContains" id="{5FBEE526-4A6A-784F-BBF8-727EC75975D0}">
            <xm:f>ISERROR(SEARCH("Value Missing",U52))</xm:f>
            <xm:f>"Value Missing"</xm:f>
            <x14:dxf>
              <font>
                <color rgb="FF006100"/>
              </font>
              <fill>
                <patternFill>
                  <bgColor rgb="FFC6EFCE"/>
                </patternFill>
              </fill>
            </x14:dxf>
          </x14:cfRule>
          <x14:cfRule type="containsText" priority="1383" operator="containsText" id="{7014DB30-1F0E-5140-88DF-02CE068A49DB}">
            <xm:f>NOT(ISERROR(SEARCH("Value Missing",U52)))</xm:f>
            <xm:f>"Value Missing"</xm:f>
            <x14:dxf>
              <font>
                <color rgb="FF9C0006"/>
              </font>
              <fill>
                <patternFill>
                  <bgColor rgb="FFFFC7CE"/>
                </patternFill>
              </fill>
            </x14:dxf>
          </x14:cfRule>
          <xm:sqref>U52</xm:sqref>
        </x14:conditionalFormatting>
        <x14:conditionalFormatting xmlns:xm="http://schemas.microsoft.com/office/excel/2006/main">
          <x14:cfRule type="containsText" priority="1381" operator="containsText" id="{FB431EDF-E94E-034E-9114-1BF618B35CE5}">
            <xm:f>NOT(ISERROR(SEARCH("Value Missing",U56)))</xm:f>
            <xm:f>"Value Missing"</xm:f>
            <x14:dxf>
              <font>
                <color rgb="FF9C0006"/>
              </font>
              <fill>
                <patternFill>
                  <bgColor rgb="FFFFC7CE"/>
                </patternFill>
              </fill>
            </x14:dxf>
          </x14:cfRule>
          <x14:cfRule type="notContainsText" priority="1380" operator="notContains" id="{D92FE75C-5A72-1D44-901E-112F40D295E8}">
            <xm:f>ISERROR(SEARCH("Value Missing",U56))</xm:f>
            <xm:f>"Value Missing"</xm:f>
            <x14:dxf>
              <font>
                <color rgb="FF006100"/>
              </font>
              <fill>
                <patternFill>
                  <bgColor rgb="FFC6EFCE"/>
                </patternFill>
              </fill>
            </x14:dxf>
          </x14:cfRule>
          <xm:sqref>U56</xm:sqref>
        </x14:conditionalFormatting>
        <x14:conditionalFormatting xmlns:xm="http://schemas.microsoft.com/office/excel/2006/main">
          <x14:cfRule type="containsText" priority="1379" operator="containsText" id="{B2B9AD9B-1514-8D45-A723-8F4B7BEAFC9B}">
            <xm:f>NOT(ISERROR(SEARCH("Value Missing",U60)))</xm:f>
            <xm:f>"Value Missing"</xm:f>
            <x14:dxf>
              <font>
                <color rgb="FF9C0006"/>
              </font>
              <fill>
                <patternFill>
                  <bgColor rgb="FFFFC7CE"/>
                </patternFill>
              </fill>
            </x14:dxf>
          </x14:cfRule>
          <x14:cfRule type="notContainsText" priority="1378" operator="notContains" id="{BFC63F22-6362-154A-B0E7-18BAC33E7DE0}">
            <xm:f>ISERROR(SEARCH("Value Missing",U60))</xm:f>
            <xm:f>"Value Missing"</xm:f>
            <x14:dxf>
              <font>
                <color rgb="FF006100"/>
              </font>
              <fill>
                <patternFill>
                  <bgColor rgb="FFC6EFCE"/>
                </patternFill>
              </fill>
            </x14:dxf>
          </x14:cfRule>
          <xm:sqref>U60</xm:sqref>
        </x14:conditionalFormatting>
        <x14:conditionalFormatting xmlns:xm="http://schemas.microsoft.com/office/excel/2006/main">
          <x14:cfRule type="containsText" priority="1377" operator="containsText" id="{3DE87D87-B424-734D-9E1A-3FD8A64C60F7}">
            <xm:f>NOT(ISERROR(SEARCH("Value Missing",U64)))</xm:f>
            <xm:f>"Value Missing"</xm:f>
            <x14:dxf>
              <font>
                <color rgb="FF9C0006"/>
              </font>
              <fill>
                <patternFill>
                  <bgColor rgb="FFFFC7CE"/>
                </patternFill>
              </fill>
            </x14:dxf>
          </x14:cfRule>
          <x14:cfRule type="notContainsText" priority="1376" operator="notContains" id="{D6276D16-CCE7-D346-A67C-9F325C3A0D00}">
            <xm:f>ISERROR(SEARCH("Value Missing",U64))</xm:f>
            <xm:f>"Value Missing"</xm:f>
            <x14:dxf>
              <font>
                <color rgb="FF006100"/>
              </font>
              <fill>
                <patternFill>
                  <bgColor rgb="FFC6EFCE"/>
                </patternFill>
              </fill>
            </x14:dxf>
          </x14:cfRule>
          <xm:sqref>U64</xm:sqref>
        </x14:conditionalFormatting>
        <x14:conditionalFormatting xmlns:xm="http://schemas.microsoft.com/office/excel/2006/main">
          <x14:cfRule type="notContainsText" priority="1374" operator="notContains" id="{E8E52FD7-DFD5-454C-BD56-561E415F20FF}">
            <xm:f>ISERROR(SEARCH("Value Missing",U68))</xm:f>
            <xm:f>"Value Missing"</xm:f>
            <x14:dxf>
              <font>
                <color rgb="FF006100"/>
              </font>
              <fill>
                <patternFill>
                  <bgColor rgb="FFC6EFCE"/>
                </patternFill>
              </fill>
            </x14:dxf>
          </x14:cfRule>
          <x14:cfRule type="containsText" priority="1375" operator="containsText" id="{F66C3292-F1DC-B94A-A53B-D1B4592CDD9F}">
            <xm:f>NOT(ISERROR(SEARCH("Value Missing",U68)))</xm:f>
            <xm:f>"Value Missing"</xm:f>
            <x14:dxf>
              <font>
                <color rgb="FF9C0006"/>
              </font>
              <fill>
                <patternFill>
                  <bgColor rgb="FFFFC7CE"/>
                </patternFill>
              </fill>
            </x14:dxf>
          </x14:cfRule>
          <xm:sqref>U68</xm:sqref>
        </x14:conditionalFormatting>
        <x14:conditionalFormatting xmlns:xm="http://schemas.microsoft.com/office/excel/2006/main">
          <x14:cfRule type="notContainsText" priority="1372" operator="notContains" id="{6E00A636-58DA-874E-9F4D-2A18FDF33177}">
            <xm:f>ISERROR(SEARCH("Value Missing",U72))</xm:f>
            <xm:f>"Value Missing"</xm:f>
            <x14:dxf>
              <font>
                <color rgb="FF006100"/>
              </font>
              <fill>
                <patternFill>
                  <bgColor rgb="FFC6EFCE"/>
                </patternFill>
              </fill>
            </x14:dxf>
          </x14:cfRule>
          <x14:cfRule type="containsText" priority="1373" operator="containsText" id="{9A4CE4C9-7EEF-F247-843A-D8F447B441FC}">
            <xm:f>NOT(ISERROR(SEARCH("Value Missing",U72)))</xm:f>
            <xm:f>"Value Missing"</xm:f>
            <x14:dxf>
              <font>
                <color rgb="FF9C0006"/>
              </font>
              <fill>
                <patternFill>
                  <bgColor rgb="FFFFC7CE"/>
                </patternFill>
              </fill>
            </x14:dxf>
          </x14:cfRule>
          <xm:sqref>U72</xm:sqref>
        </x14:conditionalFormatting>
        <x14:conditionalFormatting xmlns:xm="http://schemas.microsoft.com/office/excel/2006/main">
          <x14:cfRule type="notContainsText" priority="1370" operator="notContains" id="{9AF8A23A-5F46-5C41-AB50-41F56FF84FB2}">
            <xm:f>ISERROR(SEARCH("Value Missing",U76))</xm:f>
            <xm:f>"Value Missing"</xm:f>
            <x14:dxf>
              <font>
                <color rgb="FF006100"/>
              </font>
              <fill>
                <patternFill>
                  <bgColor rgb="FFC6EFCE"/>
                </patternFill>
              </fill>
            </x14:dxf>
          </x14:cfRule>
          <x14:cfRule type="containsText" priority="1371" operator="containsText" id="{8C22B40F-307A-014E-81A5-8C924E8B8637}">
            <xm:f>NOT(ISERROR(SEARCH("Value Missing",U76)))</xm:f>
            <xm:f>"Value Missing"</xm:f>
            <x14:dxf>
              <font>
                <color rgb="FF9C0006"/>
              </font>
              <fill>
                <patternFill>
                  <bgColor rgb="FFFFC7CE"/>
                </patternFill>
              </fill>
            </x14:dxf>
          </x14:cfRule>
          <xm:sqref>U76</xm:sqref>
        </x14:conditionalFormatting>
        <x14:conditionalFormatting xmlns:xm="http://schemas.microsoft.com/office/excel/2006/main">
          <x14:cfRule type="containsText" priority="1090" operator="containsText" id="{DF52A004-968D-844F-8C87-105273187820}">
            <xm:f>NOT(ISERROR(SEARCH("Value Missing",C8)))</xm:f>
            <xm:f>"Value Missing"</xm:f>
            <x14:dxf>
              <font>
                <color rgb="FF9C0006"/>
              </font>
              <fill>
                <patternFill>
                  <bgColor rgb="FFFFC7CE"/>
                </patternFill>
              </fill>
            </x14:dxf>
          </x14:cfRule>
          <x14:cfRule type="notContainsText" priority="1089" operator="notContains" id="{DD5398D3-EA12-B243-BCD6-A23EFF664D3C}">
            <xm:f>ISERROR(SEARCH("Value Missing",C8))</xm:f>
            <xm:f>"Value Missing"</xm:f>
            <x14:dxf>
              <font>
                <color rgb="FF006100"/>
              </font>
              <fill>
                <patternFill>
                  <bgColor rgb="FFC6EFCE"/>
                </patternFill>
              </fill>
            </x14:dxf>
          </x14:cfRule>
          <xm:sqref>X8:X16 C220:C223</xm:sqref>
        </x14:conditionalFormatting>
        <x14:conditionalFormatting xmlns:xm="http://schemas.microsoft.com/office/excel/2006/main">
          <x14:cfRule type="containsText" priority="653" operator="containsText" id="{69EF0644-407D-0C47-8B54-B5288C8A965B}">
            <xm:f>NOT(ISERROR(SEARCH("Value Missing",X11)))</xm:f>
            <xm:f>"Value Missing"</xm:f>
            <x14:dxf>
              <font>
                <color rgb="FF9C0006"/>
              </font>
              <fill>
                <patternFill>
                  <bgColor rgb="FFFFC7CE"/>
                </patternFill>
              </fill>
            </x14:dxf>
          </x14:cfRule>
          <x14:cfRule type="notContainsText" priority="652" operator="notContains" id="{87F80119-6159-4441-AD08-241729F04ACE}">
            <xm:f>ISERROR(SEARCH("Value Missing",X11))</xm:f>
            <xm:f>"Value Missing"</xm:f>
            <x14:dxf>
              <font>
                <color rgb="FF006100"/>
              </font>
              <fill>
                <patternFill>
                  <bgColor rgb="FFC6EFCE"/>
                </patternFill>
              </fill>
            </x14:dxf>
          </x14:cfRule>
          <xm:sqref>X11</xm:sqref>
        </x14:conditionalFormatting>
        <x14:conditionalFormatting xmlns:xm="http://schemas.microsoft.com/office/excel/2006/main">
          <x14:cfRule type="notContainsText" priority="842" operator="notContains" id="{93264BA5-4DBB-3C45-A406-F88003199A75}">
            <xm:f>ISERROR(SEARCH("Value Missing",X17))</xm:f>
            <xm:f>"Value Missing"</xm:f>
            <x14:dxf>
              <font>
                <color rgb="FF006100"/>
              </font>
              <fill>
                <patternFill>
                  <bgColor rgb="FFC6EFCE"/>
                </patternFill>
              </fill>
            </x14:dxf>
          </x14:cfRule>
          <x14:cfRule type="containsText" priority="843" operator="containsText" id="{61FB2C02-5230-6743-8044-FC769D85CB0B}">
            <xm:f>NOT(ISERROR(SEARCH("Value Missing",X17)))</xm:f>
            <xm:f>"Value Missing"</xm:f>
            <x14:dxf>
              <font>
                <color rgb="FF9C0006"/>
              </font>
              <fill>
                <patternFill>
                  <bgColor rgb="FFFFC7CE"/>
                </patternFill>
              </fill>
            </x14:dxf>
          </x14:cfRule>
          <xm:sqref>X17:X28</xm:sqref>
        </x14:conditionalFormatting>
        <x14:conditionalFormatting xmlns:xm="http://schemas.microsoft.com/office/excel/2006/main">
          <x14:cfRule type="notContainsText" priority="868" operator="notContains" id="{4425913C-C1FE-844D-9ACF-F7B6611D440C}">
            <xm:f>ISERROR(SEARCH("Value Missing",X29))</xm:f>
            <xm:f>"Value Missing"</xm:f>
            <x14:dxf>
              <font>
                <color rgb="FF006100"/>
              </font>
              <fill>
                <patternFill>
                  <bgColor rgb="FFC6EFCE"/>
                </patternFill>
              </fill>
            </x14:dxf>
          </x14:cfRule>
          <xm:sqref>X29</xm:sqref>
        </x14:conditionalFormatting>
        <x14:conditionalFormatting xmlns:xm="http://schemas.microsoft.com/office/excel/2006/main">
          <x14:cfRule type="notContainsText" priority="535" operator="notContains" id="{C78C0BB6-CC89-AE4D-BDBA-A5E7D0ED3D74}">
            <xm:f>ISERROR(SEARCH("Value Missing",X30))</xm:f>
            <xm:f>"Value Missing"</xm:f>
            <x14:dxf>
              <font>
                <color rgb="FF006100"/>
              </font>
              <fill>
                <patternFill>
                  <bgColor rgb="FFC6EFCE"/>
                </patternFill>
              </fill>
            </x14:dxf>
          </x14:cfRule>
          <x14:cfRule type="containsText" priority="536" operator="containsText" id="{C2C3586C-8C9B-BD46-BE1D-8CEBD2EBC78F}">
            <xm:f>NOT(ISERROR(SEARCH("Value Missing",X30)))</xm:f>
            <xm:f>"Value Missing"</xm:f>
            <x14:dxf>
              <font>
                <color rgb="FF9C0006"/>
              </font>
              <fill>
                <patternFill>
                  <bgColor rgb="FFFFC7CE"/>
                </patternFill>
              </fill>
            </x14:dxf>
          </x14:cfRule>
          <xm:sqref>X30:X36</xm:sqref>
        </x14:conditionalFormatting>
        <x14:conditionalFormatting xmlns:xm="http://schemas.microsoft.com/office/excel/2006/main">
          <x14:cfRule type="containsText" priority="909" operator="containsText" id="{8B7311FB-B1C0-9647-9369-36C4179FEE64}">
            <xm:f>NOT(ISERROR(SEARCH("Value Missing",X40)))</xm:f>
            <xm:f>"Value Missing"</xm:f>
            <x14:dxf>
              <font>
                <color rgb="FF9C0006"/>
              </font>
              <fill>
                <patternFill>
                  <bgColor rgb="FFFFC7CE"/>
                </patternFill>
              </fill>
            </x14:dxf>
          </x14:cfRule>
          <x14:cfRule type="notContainsText" priority="908" operator="notContains" id="{7CF55370-F370-CB45-9457-9C4A5CC08C4F}">
            <xm:f>ISERROR(SEARCH("Value Missing",X40))</xm:f>
            <xm:f>"Value Missing"</xm:f>
            <x14:dxf>
              <font>
                <color rgb="FF006100"/>
              </font>
              <fill>
                <patternFill>
                  <bgColor rgb="FFC6EFCE"/>
                </patternFill>
              </fill>
            </x14:dxf>
          </x14:cfRule>
          <xm:sqref>X40</xm:sqref>
        </x14:conditionalFormatting>
        <x14:conditionalFormatting xmlns:xm="http://schemas.microsoft.com/office/excel/2006/main">
          <x14:cfRule type="containsText" priority="768" operator="containsText" id="{372593AD-5990-5E4F-984D-2425FFEA4C40}">
            <xm:f>NOT(ISERROR(SEARCH("Value Missing",X40)))</xm:f>
            <xm:f>"Value Missing"</xm:f>
            <x14:dxf>
              <font>
                <color rgb="FF9C0006"/>
              </font>
              <fill>
                <patternFill>
                  <bgColor rgb="FFFFC7CE"/>
                </patternFill>
              </fill>
            </x14:dxf>
          </x14:cfRule>
          <xm:sqref>X40:X54 X58:X79</xm:sqref>
        </x14:conditionalFormatting>
        <x14:conditionalFormatting xmlns:xm="http://schemas.microsoft.com/office/excel/2006/main">
          <x14:cfRule type="notContainsText" priority="814" operator="notContains" id="{FDE05BF0-EB6C-6948-A8A4-7FD7AA9FA81C}">
            <xm:f>ISERROR(SEARCH("Value Missing",I20))</xm:f>
            <xm:f>"Value Missing"</xm:f>
            <x14:dxf>
              <font>
                <color rgb="FF006100"/>
              </font>
              <fill>
                <patternFill>
                  <bgColor rgb="FFC6EFCE"/>
                </patternFill>
              </fill>
            </x14:dxf>
          </x14:cfRule>
          <xm:sqref>X40:X54 X58:X85 I20:I21 I133:I134</xm:sqref>
        </x14:conditionalFormatting>
        <x14:conditionalFormatting xmlns:xm="http://schemas.microsoft.com/office/excel/2006/main">
          <x14:cfRule type="notContainsText" priority="733" operator="notContains" id="{9CFCCADB-0D4F-1649-9DDA-8820303729DE}">
            <xm:f>ISERROR(SEARCH("Value Missing",X40))</xm:f>
            <xm:f>"Value Missing"</xm:f>
            <x14:dxf>
              <font>
                <color rgb="FF006100"/>
              </font>
              <fill>
                <patternFill>
                  <bgColor rgb="FFC6EFCE"/>
                </patternFill>
              </fill>
            </x14:dxf>
          </x14:cfRule>
          <xm:sqref>X40:X54 X58:X85</xm:sqref>
        </x14:conditionalFormatting>
        <x14:conditionalFormatting xmlns:xm="http://schemas.microsoft.com/office/excel/2006/main">
          <x14:cfRule type="containsText" priority="617" operator="containsText" id="{39C87DB9-06E5-644F-AFCE-985CAA262F1F}">
            <xm:f>NOT(ISERROR(SEARCH("Value Missing",X42)))</xm:f>
            <xm:f>"Value Missing"</xm:f>
            <x14:dxf>
              <font>
                <color rgb="FF9C0006"/>
              </font>
              <fill>
                <patternFill>
                  <bgColor rgb="FFFFC7CE"/>
                </patternFill>
              </fill>
            </x14:dxf>
          </x14:cfRule>
          <x14:cfRule type="notContainsText" priority="616" operator="notContains" id="{4644EA75-0466-4949-9622-C2C9B6A15EA2}">
            <xm:f>ISERROR(SEARCH("Value Missing",X42))</xm:f>
            <xm:f>"Value Missing"</xm:f>
            <x14:dxf>
              <font>
                <color rgb="FF006100"/>
              </font>
              <fill>
                <patternFill>
                  <bgColor rgb="FFC6EFCE"/>
                </patternFill>
              </fill>
            </x14:dxf>
          </x14:cfRule>
          <xm:sqref>X42:X43</xm:sqref>
        </x14:conditionalFormatting>
        <x14:conditionalFormatting xmlns:xm="http://schemas.microsoft.com/office/excel/2006/main">
          <x14:cfRule type="notContainsText" priority="767" operator="notContains" id="{ABA98C35-62DF-464A-ACDA-35E352CEA1D0}">
            <xm:f>ISERROR(SEARCH("Value Missing",X44))</xm:f>
            <xm:f>"Value Missing"</xm:f>
            <x14:dxf>
              <font>
                <color rgb="FF006100"/>
              </font>
              <fill>
                <patternFill>
                  <bgColor rgb="FFC6EFCE"/>
                </patternFill>
              </fill>
            </x14:dxf>
          </x14:cfRule>
          <xm:sqref>X44:X54 X58:X79</xm:sqref>
        </x14:conditionalFormatting>
        <x14:conditionalFormatting xmlns:xm="http://schemas.microsoft.com/office/excel/2006/main">
          <x14:cfRule type="containsText" priority="734" operator="containsText" id="{CB8A1822-3108-A04C-822A-2BC74103D2E2}">
            <xm:f>NOT(ISERROR(SEARCH("Value Missing",X48)))</xm:f>
            <xm:f>"Value Missing"</xm:f>
            <x14:dxf>
              <font>
                <color rgb="FF9C0006"/>
              </font>
              <fill>
                <patternFill>
                  <bgColor rgb="FFFFC7CE"/>
                </patternFill>
              </fill>
            </x14:dxf>
          </x14:cfRule>
          <xm:sqref>X48:X54 X58:X85</xm:sqref>
        </x14:conditionalFormatting>
        <x14:conditionalFormatting xmlns:xm="http://schemas.microsoft.com/office/excel/2006/main">
          <x14:cfRule type="containsText" priority="365" operator="containsText" id="{4C19A037-4CE8-A640-9E66-9707F917C538}">
            <xm:f>NOT(ISERROR(SEARCH("Value Missing",X50)))</xm:f>
            <xm:f>"Value Missing"</xm:f>
            <x14:dxf>
              <font>
                <color rgb="FF9C0006"/>
              </font>
              <fill>
                <patternFill>
                  <bgColor rgb="FFFFC7CE"/>
                </patternFill>
              </fill>
            </x14:dxf>
          </x14:cfRule>
          <x14:cfRule type="notContainsText" priority="364" operator="notContains" id="{F535E230-629A-9341-BE63-96AB56C8D60F}">
            <xm:f>ISERROR(SEARCH("Value Missing",X50))</xm:f>
            <xm:f>"Value Missing"</xm:f>
            <x14:dxf>
              <font>
                <color rgb="FF006100"/>
              </font>
              <fill>
                <patternFill>
                  <bgColor rgb="FFC6EFCE"/>
                </patternFill>
              </fill>
            </x14:dxf>
          </x14:cfRule>
          <xm:sqref>X50:X54</xm:sqref>
        </x14:conditionalFormatting>
        <x14:conditionalFormatting xmlns:xm="http://schemas.microsoft.com/office/excel/2006/main">
          <x14:cfRule type="containsText" priority="431" operator="containsText" id="{222C26CC-4905-4D4B-9E56-04B6432864D5}">
            <xm:f>NOT(ISERROR(SEARCH("Value Missing",X84)))</xm:f>
            <xm:f>"Value Missing"</xm:f>
            <x14:dxf>
              <font>
                <color rgb="FF9C0006"/>
              </font>
              <fill>
                <patternFill>
                  <bgColor rgb="FFFFC7CE"/>
                </patternFill>
              </fill>
            </x14:dxf>
          </x14:cfRule>
          <x14:cfRule type="notContainsText" priority="430" operator="notContains" id="{F0B59E40-E6DB-D94E-ACC1-C5F51B42942B}">
            <xm:f>ISERROR(SEARCH("Value Missing",X84))</xm:f>
            <xm:f>"Value Missing"</xm:f>
            <x14:dxf>
              <font>
                <color rgb="FF006100"/>
              </font>
              <fill>
                <patternFill>
                  <bgColor rgb="FFC6EFCE"/>
                </patternFill>
              </fill>
            </x14:dxf>
          </x14:cfRule>
          <xm:sqref>X84:X85</xm:sqref>
        </x14:conditionalFormatting>
        <x14:conditionalFormatting xmlns:xm="http://schemas.microsoft.com/office/excel/2006/main">
          <x14:cfRule type="containsText" priority="963" operator="containsText" id="{3310644F-19CB-2540-9167-ADA445DA9855}">
            <xm:f>NOT(ISERROR(SEARCH("Value Missing",I89)))</xm:f>
            <xm:f>"Value Missing"</xm:f>
            <x14:dxf>
              <font>
                <color rgb="FF9C0006"/>
              </font>
              <fill>
                <patternFill>
                  <bgColor rgb="FFFFC7CE"/>
                </patternFill>
              </fill>
            </x14:dxf>
          </x14:cfRule>
          <x14:cfRule type="notContainsText" priority="962" operator="notContains" id="{5D77C4D5-3A10-0141-87E6-EC09827A7370}">
            <xm:f>ISERROR(SEARCH("Value Missing",I89))</xm:f>
            <xm:f>"Value Missing"</xm:f>
            <x14:dxf>
              <font>
                <color rgb="FF006100"/>
              </font>
              <fill>
                <patternFill>
                  <bgColor rgb="FFC6EFCE"/>
                </patternFill>
              </fill>
            </x14:dxf>
          </x14:cfRule>
          <xm:sqref>X89:X105 I157:I162</xm:sqref>
        </x14:conditionalFormatting>
        <x14:conditionalFormatting xmlns:xm="http://schemas.microsoft.com/office/excel/2006/main">
          <x14:cfRule type="notContainsText" priority="96" operator="notContains" id="{462F0E7A-F056-DD45-8FA9-CB8CB9D73537}">
            <xm:f>ISERROR(SEARCH("Value Missing",AA8))</xm:f>
            <xm:f>"Value Missing"</xm:f>
            <x14:dxf>
              <font>
                <color rgb="FF006100"/>
              </font>
              <fill>
                <patternFill>
                  <bgColor rgb="FFC6EFCE"/>
                </patternFill>
              </fill>
            </x14:dxf>
          </x14:cfRule>
          <x14:cfRule type="containsText" priority="95" operator="containsText" id="{710DD210-C5F7-9648-AD30-6B65C6130D83}">
            <xm:f>NOT(ISERROR(SEARCH("Value Missing",AA8)))</xm:f>
            <xm:f>"Value Missing"</xm:f>
            <x14:dxf>
              <font>
                <color rgb="FF9C0006"/>
              </font>
              <fill>
                <patternFill>
                  <bgColor rgb="FFFFC7CE"/>
                </patternFill>
              </fill>
            </x14:dxf>
          </x14:cfRule>
          <x14:cfRule type="notContainsText" priority="94" operator="notContains" id="{D136C9DA-39AF-684F-B931-090F0DE80EB8}">
            <xm:f>ISERROR(SEARCH("Value Missing",AA8))</xm:f>
            <xm:f>"Value Missing"</xm:f>
            <x14:dxf>
              <font>
                <color rgb="FF006100"/>
              </font>
              <fill>
                <patternFill>
                  <bgColor rgb="FFC6EFCE"/>
                </patternFill>
              </fill>
            </x14:dxf>
          </x14:cfRule>
          <xm:sqref>AA8:AB10</xm:sqref>
        </x14:conditionalFormatting>
        <x14:conditionalFormatting xmlns:xm="http://schemas.microsoft.com/office/excel/2006/main">
          <x14:cfRule type="containsText" priority="178" operator="containsText" id="{2FF7DEA5-38D3-4244-8C2A-D599AD7E627F}">
            <xm:f>NOT(ISERROR(SEARCH("Value Missing",F17)))</xm:f>
            <xm:f>"Value Missing"</xm:f>
            <x14:dxf>
              <font>
                <color rgb="FF9C0006"/>
              </font>
              <fill>
                <patternFill>
                  <bgColor rgb="FFFFC7CE"/>
                </patternFill>
              </fill>
            </x14:dxf>
          </x14:cfRule>
          <x14:cfRule type="notContainsText" priority="177" operator="notContains" id="{917B724E-5459-2041-B285-D24C387C9831}">
            <xm:f>ISERROR(SEARCH("Value Missing",F17))</xm:f>
            <xm:f>"Value Missing"</xm:f>
            <x14:dxf>
              <font>
                <color rgb="FF006100"/>
              </font>
              <fill>
                <patternFill>
                  <bgColor rgb="FFC6EFCE"/>
                </patternFill>
              </fill>
            </x14:dxf>
          </x14:cfRule>
          <xm:sqref>AA17:AB17 F89:F93 F95:F99 F101:F105 F127:F131 F133:F137 F139:F143 F158:F162 F164:F168 F170:F174</xm:sqref>
        </x14:conditionalFormatting>
        <x14:conditionalFormatting xmlns:xm="http://schemas.microsoft.com/office/excel/2006/main">
          <x14:cfRule type="containsText" priority="152" operator="containsText" id="{EDF8C0A2-F3E3-9D48-B813-7A551DA0C7FF}">
            <xm:f>NOT(ISERROR(SEARCH("Value Missing",F21)))</xm:f>
            <xm:f>"Value Missing"</xm:f>
            <x14:dxf>
              <font>
                <color rgb="FF9C0006"/>
              </font>
              <fill>
                <patternFill>
                  <bgColor rgb="FFFFC7CE"/>
                </patternFill>
              </fill>
            </x14:dxf>
          </x14:cfRule>
          <xm:sqref>AA21:AB21 F78:F79 F178:F183</xm:sqref>
        </x14:conditionalFormatting>
        <x14:conditionalFormatting xmlns:xm="http://schemas.microsoft.com/office/excel/2006/main">
          <x14:cfRule type="containsText" priority="150" operator="containsText" id="{792995C6-CFBD-9A43-BF33-175CFD67583D}">
            <xm:f>NOT(ISERROR(SEARCH("Value Missing",C25)))</xm:f>
            <xm:f>"Value Missing"</xm:f>
            <x14:dxf>
              <font>
                <color rgb="FF9C0006"/>
              </font>
              <fill>
                <patternFill>
                  <bgColor rgb="FFFFC7CE"/>
                </patternFill>
              </fill>
            </x14:dxf>
          </x14:cfRule>
          <x14:cfRule type="notContainsText" priority="149" operator="notContains" id="{871E156B-5CEA-E241-B3EA-F929B77D0F2C}">
            <xm:f>ISERROR(SEARCH("Value Missing",C25))</xm:f>
            <xm:f>"Value Missing"</xm:f>
            <x14:dxf>
              <font>
                <color rgb="FF006100"/>
              </font>
              <fill>
                <patternFill>
                  <bgColor rgb="FFC6EFCE"/>
                </patternFill>
              </fill>
            </x14:dxf>
          </x14:cfRule>
          <xm:sqref>AA25:AB25 C90</xm:sqref>
        </x14:conditionalFormatting>
        <x14:conditionalFormatting xmlns:xm="http://schemas.microsoft.com/office/excel/2006/main">
          <x14:cfRule type="containsText" priority="146" operator="containsText" id="{99F086BA-0E53-6745-892D-C8931839D241}">
            <xm:f>NOT(ISERROR(SEARCH("Value Missing",AA29)))</xm:f>
            <xm:f>"Value Missing"</xm:f>
            <x14:dxf>
              <font>
                <color rgb="FF9C0006"/>
              </font>
              <fill>
                <patternFill>
                  <bgColor rgb="FFFFC7CE"/>
                </patternFill>
              </fill>
            </x14:dxf>
          </x14:cfRule>
          <x14:cfRule type="notContainsText" priority="145" operator="notContains" id="{C5AE94E0-85E8-0247-A25F-2C67E6BD3A89}">
            <xm:f>ISERROR(SEARCH("Value Missing",AA29))</xm:f>
            <xm:f>"Value Missing"</xm:f>
            <x14:dxf>
              <font>
                <color rgb="FF006100"/>
              </font>
              <fill>
                <patternFill>
                  <bgColor rgb="FFC6EFCE"/>
                </patternFill>
              </fill>
            </x14:dxf>
          </x14:cfRule>
          <xm:sqref>AA29:AB29</xm:sqref>
        </x14:conditionalFormatting>
        <x14:conditionalFormatting xmlns:xm="http://schemas.microsoft.com/office/excel/2006/main">
          <x14:cfRule type="containsText" priority="780" operator="containsText" id="{3B827EB2-2A8F-C747-9F49-11D59159CC80}">
            <xm:f>NOT(ISERROR(SEARCH("Value Missing",C33)))</xm:f>
            <xm:f>"Value Missing"</xm:f>
            <x14:dxf>
              <font>
                <color rgb="FF9C0006"/>
              </font>
              <fill>
                <patternFill>
                  <bgColor rgb="FFFFC7CE"/>
                </patternFill>
              </fill>
            </x14:dxf>
          </x14:cfRule>
          <xm:sqref>AA33:AB33 R351:R365 F210:F211 C211:C216</xm:sqref>
        </x14:conditionalFormatting>
        <x14:conditionalFormatting xmlns:xm="http://schemas.microsoft.com/office/excel/2006/main">
          <x14:cfRule type="containsText" priority="170" operator="containsText" id="{3F5ED746-A181-BF43-AAB8-44543530893E}">
            <xm:f>NOT(ISERROR(SEARCH("Value Missing",AA37)))</xm:f>
            <xm:f>"Value Missing"</xm:f>
            <x14:dxf>
              <font>
                <color rgb="FF9C0006"/>
              </font>
              <fill>
                <patternFill>
                  <bgColor rgb="FFFFC7CE"/>
                </patternFill>
              </fill>
            </x14:dxf>
          </x14:cfRule>
          <x14:cfRule type="notContainsText" priority="169" operator="notContains" id="{7E609425-F091-0240-A677-9FA723C11EAF}">
            <xm:f>ISERROR(SEARCH("Value Missing",AA37))</xm:f>
            <xm:f>"Value Missing"</xm:f>
            <x14:dxf>
              <font>
                <color rgb="FF006100"/>
              </font>
              <fill>
                <patternFill>
                  <bgColor rgb="FFC6EFCE"/>
                </patternFill>
              </fill>
            </x14:dxf>
          </x14:cfRule>
          <xm:sqref>AA37:AB37 AB38</xm:sqref>
        </x14:conditionalFormatting>
        <x14:conditionalFormatting xmlns:xm="http://schemas.microsoft.com/office/excel/2006/main">
          <x14:cfRule type="containsText" priority="154" operator="containsText" id="{70F6B6DD-FA0C-C549-8CC7-063876CCA5EC}">
            <xm:f>NOT(ISERROR(SEARCH("Value Missing",AA42)))</xm:f>
            <xm:f>"Value Missing"</xm:f>
            <x14:dxf>
              <font>
                <color rgb="FF9C0006"/>
              </font>
              <fill>
                <patternFill>
                  <bgColor rgb="FFFFC7CE"/>
                </patternFill>
              </fill>
            </x14:dxf>
          </x14:cfRule>
          <x14:cfRule type="notContainsText" priority="153" operator="notContains" id="{9A1D59FB-DFAA-1043-8046-D0E7880C86DB}">
            <xm:f>ISERROR(SEARCH("Value Missing",AA42))</xm:f>
            <xm:f>"Value Missing"</xm:f>
            <x14:dxf>
              <font>
                <color rgb="FF006100"/>
              </font>
              <fill>
                <patternFill>
                  <bgColor rgb="FFC6EFCE"/>
                </patternFill>
              </fill>
            </x14:dxf>
          </x14:cfRule>
          <xm:sqref>AA42:AB42 AB43</xm:sqref>
        </x14:conditionalFormatting>
        <x14:conditionalFormatting xmlns:xm="http://schemas.microsoft.com/office/excel/2006/main">
          <x14:cfRule type="containsText" priority="158" operator="containsText" id="{A2DF7135-BFB0-4346-9E8D-9A6DFA64468A}">
            <xm:f>NOT(ISERROR(SEARCH("Value Missing",AA47)))</xm:f>
            <xm:f>"Value Missing"</xm:f>
            <x14:dxf>
              <font>
                <color rgb="FF9C0006"/>
              </font>
              <fill>
                <patternFill>
                  <bgColor rgb="FFFFC7CE"/>
                </patternFill>
              </fill>
            </x14:dxf>
          </x14:cfRule>
          <x14:cfRule type="notContainsText" priority="157" operator="notContains" id="{69519E85-40AC-F64E-B098-034C65152F0F}">
            <xm:f>ISERROR(SEARCH("Value Missing",AA47))</xm:f>
            <xm:f>"Value Missing"</xm:f>
            <x14:dxf>
              <font>
                <color rgb="FF006100"/>
              </font>
              <fill>
                <patternFill>
                  <bgColor rgb="FFC6EFCE"/>
                </patternFill>
              </fill>
            </x14:dxf>
          </x14:cfRule>
          <xm:sqref>AA47:AB47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4E573-5D55-1F41-89DB-9AB72D7C1F17}">
  <sheetPr codeName="Sheet28"/>
  <dimension ref="A1:AH410"/>
  <sheetViews>
    <sheetView showGridLines="0" zoomScaleNormal="100" workbookViewId="0">
      <pane ySplit="4" topLeftCell="A5" activePane="bottomLeft" state="frozen"/>
      <selection pane="bottomLeft" activeCell="I178" sqref="I178:I193"/>
    </sheetView>
  </sheetViews>
  <sheetFormatPr baseColWidth="10" defaultColWidth="11" defaultRowHeight="20" customHeight="1"/>
  <cols>
    <col min="1" max="1" width="2.83203125" customWidth="1"/>
    <col min="2" max="2" width="55.6640625" bestFit="1" customWidth="1"/>
    <col min="3" max="3" width="35.5" bestFit="1" customWidth="1"/>
    <col min="4" max="4" width="2.83203125" customWidth="1"/>
    <col min="5" max="5" width="55.6640625" bestFit="1" customWidth="1"/>
    <col min="6" max="6" width="37" bestFit="1" customWidth="1"/>
    <col min="7" max="7" width="2.83203125" customWidth="1"/>
    <col min="8" max="8" width="54.6640625" bestFit="1" customWidth="1"/>
    <col min="9" max="9" width="49.6640625" bestFit="1" customWidth="1"/>
    <col min="10" max="10" width="2.83203125" customWidth="1"/>
    <col min="11" max="11" width="54.6640625" bestFit="1" customWidth="1"/>
    <col min="12" max="12" width="49.6640625" bestFit="1" customWidth="1"/>
    <col min="13" max="13" width="4.33203125" customWidth="1"/>
    <col min="14" max="14" width="54.6640625" bestFit="1" customWidth="1"/>
    <col min="15" max="15" width="49.6640625" bestFit="1" customWidth="1"/>
    <col min="16" max="16" width="4" customWidth="1"/>
    <col min="17" max="17" width="54.6640625" bestFit="1" customWidth="1"/>
    <col min="18" max="18" width="49.6640625" bestFit="1" customWidth="1"/>
    <col min="19" max="19" width="3.5" customWidth="1"/>
    <col min="20" max="20" width="54.6640625" bestFit="1" customWidth="1"/>
    <col min="21" max="21" width="49.6640625" bestFit="1" customWidth="1"/>
    <col min="22" max="22" width="2.6640625" customWidth="1"/>
    <col min="23" max="23" width="54.6640625" bestFit="1" customWidth="1"/>
    <col min="24" max="24" width="49.6640625" bestFit="1" customWidth="1"/>
    <col min="25" max="25" width="2.83203125" customWidth="1"/>
    <col min="26" max="26" width="54.6640625" bestFit="1" customWidth="1"/>
    <col min="27" max="27" width="49.6640625" bestFit="1" customWidth="1"/>
    <col min="28" max="28" width="2.83203125" customWidth="1"/>
    <col min="29" max="29" width="2.33203125" customWidth="1"/>
    <col min="30" max="30" width="51.6640625" bestFit="1" customWidth="1"/>
    <col min="31" max="31" width="50.83203125" customWidth="1"/>
    <col min="32" max="32" width="40.83203125" customWidth="1"/>
    <col min="33" max="34" width="2.83203125" customWidth="1"/>
  </cols>
  <sheetData>
    <row r="1" spans="1:31" s="3" customFormat="1" ht="16" customHeight="1">
      <c r="A1" s="6"/>
      <c r="B1" s="6"/>
      <c r="C1" s="6"/>
      <c r="D1" s="6"/>
      <c r="E1" s="6"/>
      <c r="F1" s="6"/>
      <c r="G1" s="6"/>
    </row>
    <row r="2" spans="1:31" s="3" customFormat="1" ht="54" customHeight="1">
      <c r="E2" s="195"/>
      <c r="F2" s="196"/>
      <c r="G2" s="196"/>
      <c r="H2" s="196"/>
      <c r="I2" s="196"/>
      <c r="J2" s="196"/>
    </row>
    <row r="3" spans="1:31" s="3" customFormat="1" ht="20" customHeight="1">
      <c r="E3" s="193" t="s">
        <v>1222</v>
      </c>
      <c r="F3" s="100"/>
      <c r="G3" s="100"/>
      <c r="H3" s="100"/>
      <c r="I3" s="100"/>
      <c r="J3" s="100"/>
    </row>
    <row r="4" spans="1:31" s="3" customFormat="1" ht="16">
      <c r="J4" s="7"/>
    </row>
    <row r="5" spans="1:31" s="3" customFormat="1" ht="16">
      <c r="J5" s="7"/>
    </row>
    <row r="6" spans="1:31" s="3" customFormat="1" ht="20" customHeight="1">
      <c r="B6" s="184" t="s">
        <v>4139</v>
      </c>
      <c r="C6" s="188"/>
      <c r="E6" s="184" t="s">
        <v>4023</v>
      </c>
      <c r="F6" s="188"/>
      <c r="H6" s="184" t="s">
        <v>3922</v>
      </c>
      <c r="I6" s="188"/>
      <c r="K6" s="184" t="s">
        <v>3921</v>
      </c>
      <c r="L6" s="188"/>
      <c r="N6" s="184" t="s">
        <v>3920</v>
      </c>
      <c r="O6" s="188"/>
      <c r="Q6" s="184" t="s">
        <v>3919</v>
      </c>
      <c r="R6" s="188"/>
      <c r="T6" s="184" t="s">
        <v>3918</v>
      </c>
      <c r="U6" s="188"/>
      <c r="W6" s="184" t="s">
        <v>3917</v>
      </c>
      <c r="X6" s="188"/>
      <c r="Z6" s="184" t="s">
        <v>3916</v>
      </c>
      <c r="AA6" s="188"/>
      <c r="AD6" s="501" t="s">
        <v>1362</v>
      </c>
      <c r="AE6" s="503"/>
    </row>
    <row r="7" spans="1:31" s="3" customFormat="1" ht="20" customHeight="1">
      <c r="B7" s="112" t="s">
        <v>735</v>
      </c>
      <c r="C7" s="113" t="s">
        <v>1230</v>
      </c>
      <c r="E7" s="112" t="s">
        <v>735</v>
      </c>
      <c r="F7" s="113" t="s">
        <v>1230</v>
      </c>
      <c r="H7" s="112" t="s">
        <v>735</v>
      </c>
      <c r="I7" s="113" t="s">
        <v>1230</v>
      </c>
      <c r="K7" s="112" t="s">
        <v>735</v>
      </c>
      <c r="L7" s="113" t="s">
        <v>1230</v>
      </c>
      <c r="N7" s="112" t="s">
        <v>735</v>
      </c>
      <c r="O7" s="113" t="s">
        <v>1230</v>
      </c>
      <c r="Q7" s="112" t="s">
        <v>735</v>
      </c>
      <c r="R7" s="113" t="s">
        <v>1230</v>
      </c>
      <c r="T7" s="112" t="s">
        <v>735</v>
      </c>
      <c r="U7" s="113" t="s">
        <v>1230</v>
      </c>
      <c r="W7" s="112" t="s">
        <v>735</v>
      </c>
      <c r="X7" s="113" t="s">
        <v>1230</v>
      </c>
      <c r="Z7" s="112" t="s">
        <v>735</v>
      </c>
      <c r="AA7" s="113" t="s">
        <v>1230</v>
      </c>
      <c r="AD7" s="189" t="s">
        <v>3971</v>
      </c>
      <c r="AE7" s="18">
        <f>IF(AND(this_instance="sfo",wld_domain_number_chosen=1),13,IF(AND(this_instance="sfo",wld_domain_number_chosen=2),15,IF(AND(this_instance="sfo",wld_domain_number_chosen=3),17,IF(AND(this_instance="lax",wld_domain_number_chosen=1),23,IF(AND(this_instance="lax",wld_domain_number_chosen=2),25,IF(AND(this_instance="lax",wld_domain_number_chosen=3),27))))))</f>
        <v>13</v>
      </c>
    </row>
    <row r="8" spans="1:31" s="3" customFormat="1" ht="20" customHeight="1">
      <c r="B8" s="21" t="s">
        <v>3184</v>
      </c>
      <c r="C8" s="18" t="str">
        <f>IF(ISBLANK('Network Inputs - Rack'!D9),"Value Missing",'Network Inputs - Rack'!D9)</f>
        <v>Value Missing</v>
      </c>
      <c r="E8" s="21" t="s">
        <v>3184</v>
      </c>
      <c r="F8" s="18" t="str">
        <f>IF(ISBLANK(input_wld_az1_mgmt_vm_vlan),"Value Missing",input_wld_az1_mgmt_vm_vlan)</f>
        <v>Value Missing</v>
      </c>
      <c r="H8" s="21" t="s">
        <v>3184</v>
      </c>
      <c r="I8" s="18" t="str">
        <f>IF(ISBLANK(input_wld_az1_rack2_mgmt_vm_vlan),"Value Missing",input_wld_az1_rack2_mgmt_vm_vlan)</f>
        <v>Value Missing</v>
      </c>
      <c r="K8" s="21" t="s">
        <v>3184</v>
      </c>
      <c r="L8" s="18" t="str">
        <f>IF(ISBLANK(input_wld_az1_rack3_mgmt_vm_vlan),"Value Missing",input_wld_az1_rack3_mgmt_vm_vlan)</f>
        <v>Value Missing</v>
      </c>
      <c r="N8" s="21" t="s">
        <v>3184</v>
      </c>
      <c r="O8" s="18" t="str">
        <f>IF(ISBLANK(input_wld_az1_rack4_mgmt_vm_vlan),"Value Missing",input_wld_az1_rack4_mgmt_vm_vlan)</f>
        <v>Value Missing</v>
      </c>
      <c r="Q8" s="21" t="s">
        <v>3184</v>
      </c>
      <c r="R8" s="18" t="str">
        <f>IF(ISBLANK(input_wld_az1_rack5_mgmt_vm_vlan),"Value Missing",input_wld_az1_rack5_mgmt_vm_vlan)</f>
        <v>Value Missing</v>
      </c>
      <c r="T8" s="21" t="s">
        <v>3184</v>
      </c>
      <c r="U8" s="18" t="str">
        <f>IF(ISBLANK(input_wld_az1_rack6_mgmt_vm_vlan),"Value Missing",input_wld_az1_rack6_mgmt_vm_vlan)</f>
        <v>Value Missing</v>
      </c>
      <c r="W8" s="21" t="s">
        <v>3184</v>
      </c>
      <c r="X8" s="18" t="str">
        <f>IF(ISBLANK(input_wld_az1_rack7_mgmt_vm_vlan),"Value Missing",input_wld_az1_rack7_mgmt_vm_vlan)</f>
        <v>Value Missing</v>
      </c>
      <c r="Z8" s="21" t="s">
        <v>3184</v>
      </c>
      <c r="AA8" s="18" t="str">
        <f>IF(ISBLANK(input_wld_az1_rack8_mgmt_vm_vlan),"Value Missing",input_wld_az1_rack8_mgmt_vm_vlan)</f>
        <v>Value Missing</v>
      </c>
      <c r="AD8" s="189" t="s">
        <v>3972</v>
      </c>
      <c r="AE8" s="18">
        <f>IF(AND(this_instance="sfo",wld_domain_number_chosen=1),14,IF(AND(this_instance="sfo",wld_domain_number_chosen=2),16,IF(AND(this_instance="sfo",wld_domain_number_chosen=3),18,IF(AND(this_instance="lax",wld_domain_number_chosen=1),24,IF(AND(this_instance="lax",wld_domain_number_chosen=2),26,IF(AND(this_instance="lax",wld_domain_number_chosen=3),28))))))</f>
        <v>14</v>
      </c>
    </row>
    <row r="9" spans="1:31" s="3" customFormat="1" ht="20" customHeight="1">
      <c r="B9" s="21" t="s">
        <v>3185</v>
      </c>
      <c r="C9" s="18" t="str">
        <f>IF(ISBLANK(input_mgmt_az1_mgmt_vlan),"Value Missing",input_mgmt_az1_mgmt_vlan)</f>
        <v>Value Missing</v>
      </c>
      <c r="E9" s="21" t="s">
        <v>3185</v>
      </c>
      <c r="F9" s="18" t="str">
        <f>IF(ISBLANK(input_wld_az1_mgmt_vlan),"Value Missing",input_wld_az1_mgmt_vlan)</f>
        <v>Value Missing</v>
      </c>
      <c r="H9" s="21" t="s">
        <v>3185</v>
      </c>
      <c r="I9" s="18" t="str">
        <f>IF(ISBLANK(input_wld_az1_rack2_mgmt_vlan),"Value Missing",input_wld_az1_rack2_mgmt_vlan)</f>
        <v>Value Missing</v>
      </c>
      <c r="K9" s="21" t="s">
        <v>3185</v>
      </c>
      <c r="L9" s="18" t="str">
        <f>IF(ISBLANK(input_wld_az1_rack3_mgmt_vlan),"Value Missing",input_wld_az1_rack3_mgmt_vlan)</f>
        <v>Value Missing</v>
      </c>
      <c r="N9" s="21" t="s">
        <v>3185</v>
      </c>
      <c r="O9" s="18" t="str">
        <f>IF(ISBLANK(input_wld_az1_rack4_mgmt_vlan),"Value Missing",input_wld_az1_rack4_mgmt_vlan)</f>
        <v>Value Missing</v>
      </c>
      <c r="Q9" s="21" t="s">
        <v>3185</v>
      </c>
      <c r="R9" s="18" t="str">
        <f>IF(ISBLANK(input_wld_az1_rack5_mgmt_vlan),"Value Missing",input_wld_az1_rack5_mgmt_vlan)</f>
        <v>Value Missing</v>
      </c>
      <c r="T9" s="21" t="s">
        <v>3185</v>
      </c>
      <c r="U9" s="18" t="str">
        <f>IF(ISBLANK(input_wld_az1_rack6_mgmt_vlan),"Value Missing",input_wld_az1_rack6_mgmt_vlan)</f>
        <v>Value Missing</v>
      </c>
      <c r="W9" s="21" t="s">
        <v>3185</v>
      </c>
      <c r="X9" s="18" t="str">
        <f>IF(ISBLANK(input_wld_az1_rack7_mgmt_vlan),"Value Missing",input_wld_az1_rack7_mgmt_vlan)</f>
        <v>Value Missing</v>
      </c>
      <c r="Z9" s="21" t="s">
        <v>3185</v>
      </c>
      <c r="AA9" s="18" t="str">
        <f>IF(ISBLANK(input_wld_az1_rack8_mgmt_vlan),"Value Missing",input_wld_az1_rack8_mgmt_vlan)</f>
        <v>Value Missing</v>
      </c>
      <c r="AD9" s="189" t="s">
        <v>3973</v>
      </c>
      <c r="AE9" s="18" t="str">
        <f>CONCATENATE("10.",prefix_wld_az1_rack_vlan)</f>
        <v>10.13</v>
      </c>
    </row>
    <row r="10" spans="1:31" s="3" customFormat="1" ht="20" customHeight="1">
      <c r="B10" s="21" t="s">
        <v>540</v>
      </c>
      <c r="C10" s="18" t="str">
        <f>IF(ISBLANK(input_mgmt_az1_vmotion_vlan),"Value Missing",input_mgmt_az1_vmotion_vlan)</f>
        <v>Value Missing</v>
      </c>
      <c r="E10" s="21" t="s">
        <v>540</v>
      </c>
      <c r="F10" s="18" t="str">
        <f>IF(ISBLANK(input_wld_az1_vmotion_vlan),"Value Missing",input_wld_az1_vmotion_vlan)</f>
        <v>Value Missing</v>
      </c>
      <c r="H10" s="21" t="s">
        <v>540</v>
      </c>
      <c r="I10" s="18" t="str">
        <f>IF(ISBLANK(input_wld_az1_rack2_vmotion_vlan),"Value Missing",input_wld_az1_rack2_vmotion_vlan)</f>
        <v>Value Missing</v>
      </c>
      <c r="K10" s="21" t="s">
        <v>540</v>
      </c>
      <c r="L10" s="18" t="str">
        <f>IF(ISBLANK(input_wld_az1_rack3_vmotion_vlan),"Value Missing",input_wld_az1_rack3_vmotion_vlan)</f>
        <v>Value Missing</v>
      </c>
      <c r="N10" s="21" t="s">
        <v>540</v>
      </c>
      <c r="O10" s="18" t="str">
        <f>IF(ISBLANK(input_wld_az1_rack4_vmotion_vlan),"Value Missing",input_wld_az1_rack4_vmotion_vlan)</f>
        <v>Value Missing</v>
      </c>
      <c r="Q10" s="21" t="s">
        <v>540</v>
      </c>
      <c r="R10" s="18" t="str">
        <f>IF(ISBLANK(input_wld_az1_rack5_vmotion_vlan),"Value Missing",input_wld_az1_rack5_vmotion_vlan)</f>
        <v>Value Missing</v>
      </c>
      <c r="T10" s="21" t="s">
        <v>540</v>
      </c>
      <c r="U10" s="18" t="str">
        <f>IF(ISBLANK(input_wld_az1_rack6_vmotion_vlan),"Value Missing",input_wld_az1_rack6_vmotion_vlan)</f>
        <v>Value Missing</v>
      </c>
      <c r="W10" s="21" t="s">
        <v>540</v>
      </c>
      <c r="X10" s="18" t="str">
        <f>IF(ISBLANK(input_wld_az1_rack7_vmotion_vlan),"Value Missing",input_wld_az1_rack7_vmotion_vlan)</f>
        <v>Value Missing</v>
      </c>
      <c r="Z10" s="21" t="s">
        <v>540</v>
      </c>
      <c r="AA10" s="18" t="str">
        <f>IF(ISBLANK(input_wld_az1_rack8_vmotion_vlan),"Value Missing",input_wld_az1_rack8_vmotion_vlan)</f>
        <v>Value Missing</v>
      </c>
      <c r="AD10" s="189" t="s">
        <v>3974</v>
      </c>
      <c r="AE10" s="18" t="str">
        <f>CONCATENATE("10.",prefix_wld_az2_rack_vlan)</f>
        <v>10.14</v>
      </c>
    </row>
    <row r="11" spans="1:31" s="3" customFormat="1" ht="20" customHeight="1">
      <c r="B11" s="52" t="str">
        <f>"Principal Storage Network ("&amp;wld_principal_storage_chosen&amp;")"</f>
        <v>Principal Storage Network (vSAN-ESA)</v>
      </c>
      <c r="C11" s="18" t="str">
        <f>IF(ISBLANK(input_mgmt_az1_vsan_vlan),"Value Missing",input_mgmt_az1_vsan_vlan)</f>
        <v>Value Missing</v>
      </c>
      <c r="E11" s="52" t="str">
        <f>"Principal Storage Network ("&amp;wld_principal_storage_chosen&amp;")"</f>
        <v>Principal Storage Network (vSAN-ESA)</v>
      </c>
      <c r="F11" s="18" t="str">
        <f>IF(ISBLANK(input_wld_az1_principal_storage_vlan),"Value Missing",input_wld_az1_principal_storage_vlan)</f>
        <v>Value Missing</v>
      </c>
      <c r="H11" s="52" t="str">
        <f>"Principal Storage Network ("&amp;wld_principal_storage_chosen&amp;")"</f>
        <v>Principal Storage Network (vSAN-ESA)</v>
      </c>
      <c r="I11" s="18" t="str">
        <f>IF(ISBLANK(input_wld_az1_rack2_principal_storage_vlan),"Value Missing",input_wld_az1_rack2_principal_storage_vlan)</f>
        <v>Value Missing</v>
      </c>
      <c r="K11" s="52" t="str">
        <f>"Principal Storage Network ("&amp;wld_principal_storage_chosen&amp;")"</f>
        <v>Principal Storage Network (vSAN-ESA)</v>
      </c>
      <c r="L11" s="18" t="str">
        <f>IF(ISBLANK(input_wld_az1_rack3_principal_storage_vlan),"Value Missing",input_wld_az1_rack3_principal_storage_vlan)</f>
        <v>Value Missing</v>
      </c>
      <c r="N11" s="52" t="str">
        <f>"Principal Storage Network ("&amp;wld_principal_storage_chosen&amp;")"</f>
        <v>Principal Storage Network (vSAN-ESA)</v>
      </c>
      <c r="O11" s="18" t="str">
        <f>IF(ISBLANK(input_wld_az1_rack4_principal_storage_vlan),"Value Missing",input_wld_az1_rack4_principal_storage_vlan)</f>
        <v>Value Missing</v>
      </c>
      <c r="Q11" s="52" t="str">
        <f>"Principal Storage Network ("&amp;wld_principal_storage_chosen&amp;")"</f>
        <v>Principal Storage Network (vSAN-ESA)</v>
      </c>
      <c r="R11" s="18" t="str">
        <f>IF(ISBLANK(input_wld_az1_rack5_principal_storage_vlan),"Value Missing",input_wld_az1_rack5_principal_storage_vlan)</f>
        <v>Value Missing</v>
      </c>
      <c r="T11" s="52" t="str">
        <f>"Principal Storage Network ("&amp;wld_principal_storage_chosen&amp;")"</f>
        <v>Principal Storage Network (vSAN-ESA)</v>
      </c>
      <c r="U11" s="18" t="str">
        <f>IF(ISBLANK(input_wld_az1_rack6_principal_storage_vlan),"Value Missing",input_wld_az1_rack6_principal_storage_vlan)</f>
        <v>Value Missing</v>
      </c>
      <c r="W11" s="52" t="str">
        <f>"Principal Storage Network ("&amp;wld_principal_storage_chosen&amp;")"</f>
        <v>Principal Storage Network (vSAN-ESA)</v>
      </c>
      <c r="X11" s="18" t="str">
        <f>IF(ISBLANK(input_wld_az1_rack7_principal_storage_vlan),"Value Missing",input_wld_az1_rack7_principal_storage_vlan)</f>
        <v>Value Missing</v>
      </c>
      <c r="Z11" s="52" t="str">
        <f>"Principal Storage Network ("&amp;wld_principal_storage_chosen&amp;")"</f>
        <v>Principal Storage Network (vSAN-ESA)</v>
      </c>
      <c r="AA11" s="18" t="str">
        <f>IF(ISBLANK(input_wld_az1_rack8_principal_storage_vlan),"Value Missing",input_wld_az1_rack8_principal_storage_vlan)</f>
        <v>Value Missing</v>
      </c>
      <c r="AD11"/>
    </row>
    <row r="12" spans="1:31" s="3" customFormat="1" ht="20" customHeight="1">
      <c r="B12" s="21" t="s">
        <v>543</v>
      </c>
      <c r="C12" s="18" t="str">
        <f>IF(ISBLANK(input_mgmt_az1_host_overlay_vlan),"Value Missing",input_mgmt_az1_host_overlay_vlan)</f>
        <v>Value Missing</v>
      </c>
      <c r="E12" s="21" t="s">
        <v>543</v>
      </c>
      <c r="F12" s="18" t="str">
        <f>IF(ISBLANK(input_wld_az1_host_overlay_vlan),"Value Missing",input_wld_az1_host_overlay_vlan)</f>
        <v>Value Missing</v>
      </c>
      <c r="H12" s="21" t="s">
        <v>543</v>
      </c>
      <c r="I12" s="18" t="str">
        <f>IF(ISBLANK(input_wld_az1_rack2_host_overlay_vlan),"Value Missing",input_wld_az1_rack2_host_overlay_vlan)</f>
        <v>Value Missing</v>
      </c>
      <c r="K12" s="21" t="s">
        <v>543</v>
      </c>
      <c r="L12" s="18" t="str">
        <f>IF(ISBLANK(input_wld_az1_rack3_host_overlay_vlan),"Value Missing",input_wld_az1_rack3_host_overlay_vlan)</f>
        <v>Value Missing</v>
      </c>
      <c r="N12" s="21" t="s">
        <v>543</v>
      </c>
      <c r="O12" s="18" t="str">
        <f>IF(ISBLANK(input_wld_az1_rack4_host_overlay_vlan),"Value Missing",input_wld_az1_rack4_host_overlay_vlan)</f>
        <v>Value Missing</v>
      </c>
      <c r="Q12" s="21" t="s">
        <v>543</v>
      </c>
      <c r="R12" s="18" t="str">
        <f>IF(ISBLANK(input_wld_az1_rack5_host_overlay_vlan),"Value Missing",input_wld_az1_rack5_host_overlay_vlan)</f>
        <v>Value Missing</v>
      </c>
      <c r="T12" s="21" t="s">
        <v>543</v>
      </c>
      <c r="U12" s="18" t="str">
        <f>IF(ISBLANK(input_wld_az1_rack6_host_overlay_vlan),"Value Missing",input_wld_az1_rack6_host_overlay_vlan)</f>
        <v>Value Missing</v>
      </c>
      <c r="W12" s="21" t="s">
        <v>543</v>
      </c>
      <c r="X12" s="18" t="str">
        <f>IF(ISBLANK(input_wld_az1_rack7_host_overlay_vlan),"Value Missing",input_wld_az1_rack7_host_overlay_vlan)</f>
        <v>Value Missing</v>
      </c>
      <c r="Z12" s="21" t="s">
        <v>543</v>
      </c>
      <c r="AA12" s="18" t="str">
        <f>IF(ISBLANK(input_wld_az1_rack8_host_overlay_vlan),"Value Missing",input_wld_az1_rack8_host_overlay_vlan)</f>
        <v>Value Missing</v>
      </c>
    </row>
    <row r="13" spans="1:31" s="3" customFormat="1" ht="20" customHeight="1">
      <c r="B13" s="40" t="s">
        <v>566</v>
      </c>
      <c r="C13" s="18" t="s">
        <v>452</v>
      </c>
      <c r="E13" s="21" t="s">
        <v>566</v>
      </c>
      <c r="F13" s="18" t="str">
        <f>IF(ISBLANK(input_wld_az1_secondary_storage_vlan),"Value Missing",input_wld_az1_secondary_storage_vlan)</f>
        <v>Value Missing</v>
      </c>
      <c r="H13" s="21" t="s">
        <v>566</v>
      </c>
      <c r="I13" s="18" t="str">
        <f>IF(ISBLANK(input_wld_az1_rack2_secondary_storage_vlan),"Value Missing",input_wld_az1_rack2_secondary_storage_vlan)</f>
        <v>Value Missing</v>
      </c>
      <c r="K13" s="21" t="s">
        <v>566</v>
      </c>
      <c r="L13" s="18" t="str">
        <f>IF(ISBLANK(input_wld_az1_rack3_secondary_storage_vlan),"Value Missing",input_wld_az1_rack3_secondary_storage_vlan)</f>
        <v>Value Missing</v>
      </c>
      <c r="N13" s="21" t="s">
        <v>566</v>
      </c>
      <c r="O13" s="18" t="str">
        <f>IF(ISBLANK(input_wld_az1_rack4_secondary_storage_vlan),"Value Missing",input_wld_az1_rack4_secondary_storage_vlan)</f>
        <v>Value Missing</v>
      </c>
      <c r="Q13" s="21" t="s">
        <v>566</v>
      </c>
      <c r="R13" s="18" t="str">
        <f>IF(ISBLANK(input_wld_az1_rack5_secondary_storage_vlan),"Value Missing",input_wld_az1_rack5_secondary_storage_vlan)</f>
        <v>Value Missing</v>
      </c>
      <c r="T13" s="21" t="s">
        <v>566</v>
      </c>
      <c r="U13" s="18" t="str">
        <f>IF(ISBLANK(input_wld_az1_rack6_secondary_storage_vlan),"Value Missing",input_wld_az1_rack6_secondary_storage_vlan)</f>
        <v>Value Missing</v>
      </c>
      <c r="W13" s="21" t="s">
        <v>566</v>
      </c>
      <c r="X13" s="18" t="str">
        <f>IF(ISBLANK(input_wld_az1_rack7_secondary_storage_vlan),"Value Missing",input_wld_az1_rack7_secondary_storage_vlan)</f>
        <v>Value Missing</v>
      </c>
      <c r="Z13" s="21" t="s">
        <v>566</v>
      </c>
      <c r="AA13" s="18" t="str">
        <f>IF(ISBLANK(input_wld_az1_rack8_secondary_storage_vlan),"Value Missing",input_wld_az1_rack8_secondary_storage_vlan)</f>
        <v>Value Missing</v>
      </c>
      <c r="AD13" s="501" t="s">
        <v>3874</v>
      </c>
      <c r="AE13" s="502">
        <v>65</v>
      </c>
    </row>
    <row r="14" spans="1:31" s="3" customFormat="1" ht="20" customHeight="1">
      <c r="B14" s="21" t="s">
        <v>544</v>
      </c>
      <c r="C14" s="18" t="str">
        <f>IF(ISBLANK(input_mgmt_az1_uplink01_vlan),"Value Missing",input_mgmt_az1_uplink01_vlan)</f>
        <v>Value Missing</v>
      </c>
      <c r="E14" s="21" t="s">
        <v>544</v>
      </c>
      <c r="F14" s="18" t="str">
        <f>IF(ISBLANK(input_wld_az1_uplink01_vlan),"Value Missing",input_wld_az1_uplink01_vlan)</f>
        <v>Value Missing</v>
      </c>
      <c r="H14" s="21" t="s">
        <v>544</v>
      </c>
      <c r="I14" s="18" t="str">
        <f>IF(ISBLANK(input_wld_az1_rack2_uplink01_vlan),"Value Missing",input_wld_az1_rack2_uplink01_vlan)</f>
        <v>Value Missing</v>
      </c>
      <c r="K14" s="21" t="s">
        <v>544</v>
      </c>
      <c r="L14" s="18" t="str">
        <f>IF(ISBLANK(input_wld_az1_rack3_uplink01_vlan),"Value Missing",input_wld_az1_rack3_uplink01_vlan)</f>
        <v>Value Missing</v>
      </c>
      <c r="N14" s="21" t="s">
        <v>544</v>
      </c>
      <c r="O14" s="18" t="str">
        <f>IF(ISBLANK(input_wld_az1_rack4_uplink01_vlan),"Value Missing",input_wld_az1_rack4_uplink01_vlan)</f>
        <v>Value Missing</v>
      </c>
      <c r="Q14" s="21" t="s">
        <v>544</v>
      </c>
      <c r="R14" s="18" t="str">
        <f>IF(ISBLANK(input_wld_az1_rack5_uplink01_vlan),"Value Missing",input_wld_az1_rack5_uplink01_vlan)</f>
        <v>Value Missing</v>
      </c>
      <c r="T14" s="21" t="s">
        <v>544</v>
      </c>
      <c r="U14" s="18" t="str">
        <f>IF(ISBLANK(input_wld_az1_rack6_uplink01_vlan),"Value Missing",input_wld_az1_rack6_uplink01_vlan)</f>
        <v>Value Missing</v>
      </c>
      <c r="W14" s="21" t="s">
        <v>544</v>
      </c>
      <c r="X14" s="18" t="str">
        <f>IF(ISBLANK(input_wld_az1_rack7_uplink01_vlan),"Value Missing",input_wld_az1_rack7_uplink01_vlan)</f>
        <v>Value Missing</v>
      </c>
      <c r="Z14" s="21" t="s">
        <v>544</v>
      </c>
      <c r="AA14" s="18" t="str">
        <f>IF(ISBLANK(input_wld_az1_rack8_uplink01_vlan),"Value Missing",input_wld_az1_rack8_uplink01_vlan)</f>
        <v>Value Missing</v>
      </c>
      <c r="AD14" s="18" t="s">
        <v>3873</v>
      </c>
      <c r="AE14" s="18">
        <f>IF(this_instance="sfo",1,2)</f>
        <v>1</v>
      </c>
    </row>
    <row r="15" spans="1:31" s="3" customFormat="1" ht="20" customHeight="1">
      <c r="B15" s="21" t="s">
        <v>545</v>
      </c>
      <c r="C15" s="18" t="str">
        <f>IF(ISBLANK(input_mgmt_az1_uplink02_vlan),"Value Missing",input_mgmt_az1_uplink02_vlan)</f>
        <v>Value Missing</v>
      </c>
      <c r="E15" s="21" t="s">
        <v>545</v>
      </c>
      <c r="F15" s="18" t="str">
        <f>IF(ISBLANK(input_wld_az1_uplink02_vlan),"Value Missing",input_wld_az1_uplink02_vlan)</f>
        <v>Value Missing</v>
      </c>
      <c r="H15" s="21" t="s">
        <v>545</v>
      </c>
      <c r="I15" s="18" t="str">
        <f>IF(ISBLANK(input_wld_az1_rack2_uplink02_vlan),"Value Missing",input_wld_az1_rack2_uplink02_vlan)</f>
        <v>Value Missing</v>
      </c>
      <c r="K15" s="21" t="s">
        <v>545</v>
      </c>
      <c r="L15" s="18" t="str">
        <f>IF(ISBLANK(input_wld_az1_rack3_uplink02_vlan),"Value Missing",input_wld_az1_rack3_uplink02_vlan)</f>
        <v>Value Missing</v>
      </c>
      <c r="N15" s="21" t="s">
        <v>545</v>
      </c>
      <c r="O15" s="18" t="str">
        <f>IF(ISBLANK(input_wld_az1_rack4_uplink02_vlan),"Value Missing",input_wld_az1_rack4_uplink02_vlan)</f>
        <v>Value Missing</v>
      </c>
      <c r="Q15" s="21" t="s">
        <v>545</v>
      </c>
      <c r="R15" s="18" t="str">
        <f>IF(ISBLANK(input_wld_az1_rack5_uplink02_vlan),"Value Missing",input_wld_az1_rack5_uplink02_vlan)</f>
        <v>Value Missing</v>
      </c>
      <c r="T15" s="21" t="s">
        <v>545</v>
      </c>
      <c r="U15" s="18" t="str">
        <f>IF(ISBLANK(input_wld_az1_rack6_uplink02_vlan),"Value Missing",input_wld_az1_rack6_uplink02_vlan)</f>
        <v>Value Missing</v>
      </c>
      <c r="W15" s="21" t="s">
        <v>545</v>
      </c>
      <c r="X15" s="18" t="str">
        <f>IF(ISBLANK(input_wld_az1_rack7_uplink02_vlan),"Value Missing",input_wld_az1_rack7_uplink02_vlan)</f>
        <v>Value Missing</v>
      </c>
      <c r="Z15" s="21" t="s">
        <v>545</v>
      </c>
      <c r="AA15" s="18" t="str">
        <f>IF(ISBLANK(input_wld_az1_rack8_uplink02_vlan),"Value Missing",input_wld_az1_rack8_uplink02_vlan)</f>
        <v>Value Missing</v>
      </c>
      <c r="AD15" s="18" t="s">
        <v>3978</v>
      </c>
      <c r="AE15" s="18">
        <v>1</v>
      </c>
    </row>
    <row r="16" spans="1:31" s="3" customFormat="1" ht="20" customHeight="1">
      <c r="B16" s="21" t="s">
        <v>546</v>
      </c>
      <c r="C16" s="18" t="str">
        <f>IF(ISBLANK(input_mgmt_az1_edge_overlay_vlan),"Value Missing",input_mgmt_az1_edge_overlay_vlan)</f>
        <v>Value Missing</v>
      </c>
      <c r="E16" s="21" t="s">
        <v>546</v>
      </c>
      <c r="F16" s="18" t="str">
        <f>IF(ISBLANK(input_wld_az1_edge_overlay_vlan),"Value Missing",input_wld_az1_edge_overlay_vlan)</f>
        <v>Value Missing</v>
      </c>
      <c r="H16" s="21" t="s">
        <v>546</v>
      </c>
      <c r="I16" s="18" t="str">
        <f>IF(ISBLANK(input_wld_az1_rack2_edge_overlay_vlan),"Value Missing",input_wld_az1_rack2_edge_overlay_vlan)</f>
        <v>Value Missing</v>
      </c>
      <c r="K16" s="21" t="s">
        <v>546</v>
      </c>
      <c r="L16" s="18" t="str">
        <f>IF(ISBLANK(input_wld_az1_rack3_edge_overlay_vlan),"Value Missing",input_wld_az1_rack3_edge_overlay_vlan)</f>
        <v>Value Missing</v>
      </c>
      <c r="N16" s="21" t="s">
        <v>546</v>
      </c>
      <c r="O16" s="18" t="str">
        <f>IF(ISBLANK(input_wld_az1_rack4_edge_overlay_vlan),"Value Missing",input_wld_az1_rack4_edge_overlay_vlan)</f>
        <v>Value Missing</v>
      </c>
      <c r="Q16" s="21" t="s">
        <v>546</v>
      </c>
      <c r="R16" s="18" t="str">
        <f>IF(ISBLANK(input_wld_az1_rack5_edge_overlay_vlan),"Value Missing",input_wld_az1_rack5_edge_overlay_vlan)</f>
        <v>Value Missing</v>
      </c>
      <c r="T16" s="21" t="s">
        <v>546</v>
      </c>
      <c r="U16" s="18" t="str">
        <f>IF(ISBLANK(input_wld_az1_rack6_edge_overlay_vlan),"Value Missing",input_wld_az1_rack6_edge_overlay_vlan)</f>
        <v>Value Missing</v>
      </c>
      <c r="W16" s="21" t="s">
        <v>546</v>
      </c>
      <c r="X16" s="18" t="str">
        <f>IF(ISBLANK(input_wld_az1_rack7_edge_overlay_vlan),"Value Missing",input_wld_az1_rack7_edge_overlay_vlan)</f>
        <v>Value Missing</v>
      </c>
      <c r="Z16" s="21" t="s">
        <v>546</v>
      </c>
      <c r="AA16" s="18" t="str">
        <f>IF(ISBLANK(input_wld_az1_rack8_edge_overlay_vlan),"Value Missing",input_wld_az1_rack8_edge_overlay_vlan)</f>
        <v>Value Missing</v>
      </c>
      <c r="AD16" s="18" t="s">
        <v>3979</v>
      </c>
      <c r="AE16" s="18">
        <v>2</v>
      </c>
    </row>
    <row r="17" spans="2:31" s="3" customFormat="1" ht="20" customHeight="1">
      <c r="B17" s="21" t="s">
        <v>547</v>
      </c>
      <c r="C17" s="18" t="str">
        <f>IF(ISBLANK(input_mgmt_az1_rtep_overlay_vlan),"Value Missing",input_mgmt_az1_rtep_overlay_vlan)</f>
        <v>Value Missing</v>
      </c>
      <c r="E17" s="21" t="s">
        <v>547</v>
      </c>
      <c r="F17" s="18" t="str">
        <f>IF(ISBLANK(input_wld_az1_rtep_overlay_vlan),"Value Missing",input_wld_az1_rtep_overlay_vlan)</f>
        <v>Value Missing</v>
      </c>
      <c r="H17" s="21" t="s">
        <v>547</v>
      </c>
      <c r="I17" s="18" t="str">
        <f>IF(ISBLANK(input_wld_az1_rack2_rtep_overlay_vlan),"Value Missing",input_wld_az1_rack2_rtep_overlay_vlan)</f>
        <v>Value Missing</v>
      </c>
      <c r="K17" s="21" t="s">
        <v>547</v>
      </c>
      <c r="L17" s="18" t="str">
        <f>IF(ISBLANK(input_wld_az1_rack3_rtep_overlay_vlan),"Value Missing",input_wld_az1_rack3_rtep_overlay_vlan)</f>
        <v>Value Missing</v>
      </c>
      <c r="N17" s="21" t="s">
        <v>547</v>
      </c>
      <c r="O17" s="18" t="str">
        <f>IF(ISBLANK(input_wld_az1_rack4_rtep_overlay_vlan),"Value Missing",input_wld_az1_rack4_rtep_overlay_vlan)</f>
        <v>Value Missing</v>
      </c>
      <c r="Q17" s="21" t="s">
        <v>547</v>
      </c>
      <c r="R17" s="18" t="str">
        <f>IF(ISBLANK(input_wld_az1_rack5_rtep_overlay_vlan),"Value Missing",input_wld_az1_rack5_rtep_overlay_vlan)</f>
        <v>Value Missing</v>
      </c>
      <c r="T17" s="21" t="s">
        <v>547</v>
      </c>
      <c r="U17" s="18" t="str">
        <f>IF(ISBLANK(input_wld_az1_rack6_rtep_overlay_vlan),"Value Missing",input_wld_az1_rack6_rtep_overlay_vlan)</f>
        <v>Value Missing</v>
      </c>
      <c r="W17" s="21" t="s">
        <v>547</v>
      </c>
      <c r="X17" s="18" t="str">
        <f>IF(ISBLANK(input_wld_az1_rack7_rtep_overlay_vlan),"Value Missing",input_wld_az1_rack7_rtep_overlay_vlan)</f>
        <v>Value Missing</v>
      </c>
      <c r="Z17" s="21" t="s">
        <v>547</v>
      </c>
      <c r="AA17" s="18" t="str">
        <f>IF(ISBLANK(input_wld_az1_rack8_rtep_overlay_vlan),"Value Missing",input_wld_az1_rack8_rtep_overlay_vlan)</f>
        <v>Value Missing</v>
      </c>
      <c r="AD17" s="18" t="s">
        <v>3976</v>
      </c>
      <c r="AE17" s="18">
        <f>IF(wld_domain_number_chosen=1,3,IF(wld_domain_number_chosen=2,5,7))</f>
        <v>3</v>
      </c>
    </row>
    <row r="18" spans="2:31" s="3" customFormat="1" ht="20" customHeight="1">
      <c r="B18" s="21" t="s">
        <v>548</v>
      </c>
      <c r="C18" s="18" t="str">
        <f>IF(ISBLANK(input_mgmt_az1_vrms_vlan),"Value Missing",input_mgmt_az1_vrms_vlan)</f>
        <v>Value Missing</v>
      </c>
      <c r="E18" s="21" t="s">
        <v>548</v>
      </c>
      <c r="F18" s="18" t="str">
        <f>IF(ISBLANK(input_wld_az1_vrms_vlan),"Value Missing",input_wld_az1_vrms_vlan)</f>
        <v>Value Missing</v>
      </c>
      <c r="H18" s="21" t="s">
        <v>548</v>
      </c>
      <c r="I18" s="18" t="str">
        <f>IF(ISBLANK(input_wld_az1_rack2_vrms_vlan),"Value Missing",input_wld_az1_rack2_vrms_vlan)</f>
        <v>Value Missing</v>
      </c>
      <c r="K18" s="21" t="s">
        <v>548</v>
      </c>
      <c r="L18" s="18" t="str">
        <f>IF(ISBLANK(input_wld_az1_rack3_vrms_vlan),"Value Missing",input_wld_az1_rack3_vrms_vlan)</f>
        <v>Value Missing</v>
      </c>
      <c r="N18" s="21" t="s">
        <v>548</v>
      </c>
      <c r="O18" s="18" t="str">
        <f>IF(ISBLANK(input_wld_az1_rack4_vrms_vlan),"Value Missing",input_wld_az1_rack4_vrms_vlan)</f>
        <v>Value Missing</v>
      </c>
      <c r="Q18" s="21" t="s">
        <v>548</v>
      </c>
      <c r="R18" s="18" t="str">
        <f>IF(ISBLANK(input_wld_az1_rack5_vrms_vlan),"Value Missing",input_wld_az1_rack5_vrms_vlan)</f>
        <v>Value Missing</v>
      </c>
      <c r="T18" s="21" t="s">
        <v>548</v>
      </c>
      <c r="U18" s="18" t="str">
        <f>IF(ISBLANK(input_wld_az1_rack6_vrms_vlan),"Value Missing",input_wld_az1_rack6_vrms_vlan)</f>
        <v>Value Missing</v>
      </c>
      <c r="W18" s="21" t="s">
        <v>548</v>
      </c>
      <c r="X18" s="18" t="str">
        <f>IF(ISBLANK(input_wld_az1_rack7_vrms_vlan),"Value Missing",input_wld_az1_rack7_vrms_vlan)</f>
        <v>Value Missing</v>
      </c>
      <c r="Z18" s="21" t="s">
        <v>548</v>
      </c>
      <c r="AA18" s="18" t="str">
        <f>IF(ISBLANK(input_wld_az1_rack8_vrms_vlan),"Value Missing",input_wld_az1_rack8_vrms_vlan)</f>
        <v>Value Missing</v>
      </c>
      <c r="AD18" s="18" t="s">
        <v>3977</v>
      </c>
      <c r="AE18" s="18">
        <f>IF(wld_domain_number_chosen=1,4,IF(wld_domain_number_chosen=2,6,8))</f>
        <v>4</v>
      </c>
    </row>
    <row r="19" spans="2:31" s="3" customFormat="1" ht="20" customHeight="1"/>
    <row r="20" spans="2:31" s="3" customFormat="1" ht="20" customHeight="1">
      <c r="B20" s="184" t="s">
        <v>4107</v>
      </c>
      <c r="C20" s="188"/>
      <c r="E20" s="184" t="s">
        <v>4025</v>
      </c>
      <c r="F20" s="188"/>
      <c r="H20" s="184" t="s">
        <v>3915</v>
      </c>
      <c r="I20" s="188"/>
      <c r="K20" s="184" t="s">
        <v>3914</v>
      </c>
      <c r="L20" s="188"/>
      <c r="N20" s="184" t="s">
        <v>3913</v>
      </c>
      <c r="O20" s="188"/>
      <c r="Q20" s="184" t="s">
        <v>3912</v>
      </c>
      <c r="R20" s="188"/>
      <c r="T20" s="184" t="s">
        <v>3911</v>
      </c>
      <c r="U20" s="188"/>
      <c r="W20" s="184" t="s">
        <v>3910</v>
      </c>
      <c r="X20" s="188"/>
      <c r="Z20" s="184" t="s">
        <v>3909</v>
      </c>
      <c r="AA20" s="188"/>
    </row>
    <row r="21" spans="2:31" s="3" customFormat="1" ht="20" customHeight="1">
      <c r="B21" s="112" t="s">
        <v>735</v>
      </c>
      <c r="C21" s="113" t="s">
        <v>1230</v>
      </c>
      <c r="E21" s="112" t="s">
        <v>735</v>
      </c>
      <c r="F21" s="113" t="s">
        <v>1230</v>
      </c>
      <c r="H21" s="112" t="s">
        <v>735</v>
      </c>
      <c r="I21" s="113" t="s">
        <v>1230</v>
      </c>
      <c r="K21" s="112" t="s">
        <v>735</v>
      </c>
      <c r="L21" s="113" t="s">
        <v>1230</v>
      </c>
      <c r="N21" s="112" t="s">
        <v>735</v>
      </c>
      <c r="O21" s="113" t="s">
        <v>1230</v>
      </c>
      <c r="Q21" s="112" t="s">
        <v>735</v>
      </c>
      <c r="R21" s="113" t="s">
        <v>1230</v>
      </c>
      <c r="T21" s="112" t="s">
        <v>735</v>
      </c>
      <c r="U21" s="113" t="s">
        <v>1230</v>
      </c>
      <c r="W21" s="112" t="s">
        <v>735</v>
      </c>
      <c r="X21" s="113" t="s">
        <v>1230</v>
      </c>
      <c r="Z21" s="112" t="s">
        <v>735</v>
      </c>
      <c r="AA21" s="113" t="s">
        <v>1230</v>
      </c>
      <c r="AD21"/>
    </row>
    <row r="22" spans="2:31" s="3" customFormat="1" ht="20" customHeight="1">
      <c r="B22" s="21" t="s">
        <v>3184</v>
      </c>
      <c r="C22" s="18" t="str">
        <f>IF(ISBLANK(input_mgmt_az1_mgmt_vm_cidr),"Value Missing",input_mgmt_az1_mgmt_vm_cidr)</f>
        <v>Value Missing</v>
      </c>
      <c r="E22" s="21" t="s">
        <v>3184</v>
      </c>
      <c r="F22" s="18" t="str">
        <f>IF(ISBLANK(input_wld_az1_mgmt_vm_cidr),"Value Missing",input_wld_az1_mgmt_vm_cidr)</f>
        <v>Value Missing</v>
      </c>
      <c r="H22" s="21" t="s">
        <v>3184</v>
      </c>
      <c r="I22" s="18" t="str">
        <f>IF(ISBLANK(input_wld_az1_rack2_mgmt_vm_cidr),"Value Missing",input_wld_az1_rack2_mgmt_vm_cidr)</f>
        <v>Value Missing</v>
      </c>
      <c r="K22" s="21" t="s">
        <v>3184</v>
      </c>
      <c r="L22" s="18" t="str">
        <f>IF(ISBLANK(input_wld_az1_rack3_mgmt_vm_cidr),"Value Missing",input_wld_az1_rack3_mgmt_vm_cidr)</f>
        <v>Value Missing</v>
      </c>
      <c r="N22" s="21" t="s">
        <v>3184</v>
      </c>
      <c r="O22" s="18" t="str">
        <f>IF(ISBLANK(input_wld_az1_rack4_mgmt_vm_cidr),"Value Missing",input_wld_az1_rack4_mgmt_vm_cidr)</f>
        <v>Value Missing</v>
      </c>
      <c r="Q22" s="21" t="s">
        <v>3184</v>
      </c>
      <c r="R22" s="18" t="str">
        <f>IF(ISBLANK(input_wld_az1_rack5_mgmt_vm_cidr),"Value Missing",input_wld_az1_rack5_mgmt_vm_cidr)</f>
        <v>Value Missing</v>
      </c>
      <c r="T22" s="21" t="s">
        <v>3184</v>
      </c>
      <c r="U22" s="18" t="str">
        <f>IF(ISBLANK(input_wld_az1_rack6_mgmt_vm_cidr),"Value Missing",input_wld_az1_rack6_mgmt_vm_cidr)</f>
        <v>Value Missing</v>
      </c>
      <c r="W22" s="21" t="s">
        <v>3184</v>
      </c>
      <c r="X22" s="18" t="str">
        <f>IF(ISBLANK(input_wld_az1_rack7_mgmt_vm_cidr),"Value Missing",input_wld_az1_rack7_mgmt_vm_cidr)</f>
        <v>Value Missing</v>
      </c>
      <c r="Z22" s="21" t="s">
        <v>3184</v>
      </c>
      <c r="AA22" s="18" t="str">
        <f>IF(ISBLANK(input_wld_az1_rack8_mgmt_vm_cidr),"Value Missing",input_wld_az1_rack8_mgmt_vm_cidr)</f>
        <v>Value Missing</v>
      </c>
      <c r="AD22"/>
    </row>
    <row r="23" spans="2:31" s="3" customFormat="1" ht="20" customHeight="1">
      <c r="B23" s="21" t="s">
        <v>3185</v>
      </c>
      <c r="C23" s="18" t="str">
        <f>IF(ISBLANK(input_mgmt_az1_mgmt_cidr),"Value Missing",input_mgmt_az1_mgmt_cidr)</f>
        <v>Value Missing</v>
      </c>
      <c r="E23" s="21" t="s">
        <v>3185</v>
      </c>
      <c r="F23" s="18" t="str">
        <f>IF(ISBLANK(input_wld_az1_mgmt_cidr),"Value Missing",input_wld_az1_mgmt_cidr)</f>
        <v>Value Missing</v>
      </c>
      <c r="H23" s="21" t="s">
        <v>3185</v>
      </c>
      <c r="I23" s="18" t="str">
        <f>IF(ISBLANK(input_wld_az1_rack2_mgmt_cidr),"Value Missing",input_wld_az1_rack2_mgmt_cidr)</f>
        <v>Value Missing</v>
      </c>
      <c r="K23" s="21" t="s">
        <v>3185</v>
      </c>
      <c r="L23" s="18" t="str">
        <f>IF(ISBLANK(input_wld_az1_rack3_mgmt_cidr),"Value Missing",input_wld_az1_rack3_mgmt_cidr)</f>
        <v>Value Missing</v>
      </c>
      <c r="N23" s="21" t="s">
        <v>3185</v>
      </c>
      <c r="O23" s="18" t="str">
        <f>IF(ISBLANK(input_wld_az1_rack4_mgmt_cidr),"Value Missing",input_wld_az1_rack4_mgmt_cidr)</f>
        <v>Value Missing</v>
      </c>
      <c r="Q23" s="21" t="s">
        <v>3185</v>
      </c>
      <c r="R23" s="18" t="str">
        <f>IF(ISBLANK(input_wld_az1_rack5_mgmt_cidr),"Value Missing",input_wld_az1_rack5_mgmt_cidr)</f>
        <v>Value Missing</v>
      </c>
      <c r="T23" s="21" t="s">
        <v>3185</v>
      </c>
      <c r="U23" s="18" t="str">
        <f>IF(ISBLANK(input_wld_az1_rack6_mgmt_cidr),"Value Missing",input_wld_az1_rack6_mgmt_cidr)</f>
        <v>Value Missing</v>
      </c>
      <c r="W23" s="21" t="s">
        <v>3185</v>
      </c>
      <c r="X23" s="18" t="str">
        <f>IF(ISBLANK(input_wld_az1_rack7_mgmt_cidr),"Value Missing",input_wld_az1_rack7_mgmt_cidr)</f>
        <v>Value Missing</v>
      </c>
      <c r="Z23" s="21" t="s">
        <v>3185</v>
      </c>
      <c r="AA23" s="18" t="str">
        <f>IF(ISBLANK(input_wld_az1_rack8_mgmt_cidr),"Value Missing",input_wld_az1_rack8_mgmt_cidr)</f>
        <v>Value Missing</v>
      </c>
      <c r="AD23"/>
    </row>
    <row r="24" spans="2:31" s="3" customFormat="1" ht="20" customHeight="1">
      <c r="B24" s="21" t="s">
        <v>540</v>
      </c>
      <c r="C24" s="18" t="str">
        <f>IF(ISBLANK(input_mgmt_az1_vmotion_cidr),"Value Missing",input_mgmt_az1_vmotion_cidr)</f>
        <v>Value Missing</v>
      </c>
      <c r="E24" s="21" t="s">
        <v>540</v>
      </c>
      <c r="F24" s="18" t="str">
        <f>IF(ISBLANK(input_wld_az1_vmotion_cidr),"Value Missing",input_wld_az1_vmotion_cidr)</f>
        <v>Value Missing</v>
      </c>
      <c r="H24" s="21" t="s">
        <v>540</v>
      </c>
      <c r="I24" s="18" t="str">
        <f>IF(ISBLANK(input_wld_az1_rack2_vmotion_cidr),"Value Missing",input_wld_az1_rack2_vmotion_cidr)</f>
        <v>Value Missing</v>
      </c>
      <c r="K24" s="21" t="s">
        <v>540</v>
      </c>
      <c r="L24" s="18" t="str">
        <f>IF(ISBLANK(input_wld_az1_rack3_vmotion_cidr),"Value Missing",input_wld_az1_rack3_vmotion_cidr)</f>
        <v>Value Missing</v>
      </c>
      <c r="N24" s="21" t="s">
        <v>540</v>
      </c>
      <c r="O24" s="18" t="str">
        <f>IF(ISBLANK(input_wld_az1_rack4_vmotion_cidr),"Value Missing",input_wld_az1_rack4_vmotion_cidr)</f>
        <v>Value Missing</v>
      </c>
      <c r="Q24" s="21" t="s">
        <v>540</v>
      </c>
      <c r="R24" s="18" t="str">
        <f>IF(ISBLANK(input_wld_az1_rack5_vmotion_cidr),"Value Missing",input_wld_az1_rack5_vmotion_cidr)</f>
        <v>Value Missing</v>
      </c>
      <c r="T24" s="21" t="s">
        <v>540</v>
      </c>
      <c r="U24" s="18" t="str">
        <f>IF(ISBLANK(input_wld_az1_rack6_vmotion_cidr),"Value Missing",input_wld_az1_rack6_vmotion_cidr)</f>
        <v>Value Missing</v>
      </c>
      <c r="W24" s="21" t="s">
        <v>540</v>
      </c>
      <c r="X24" s="18" t="str">
        <f>IF(ISBLANK(input_wld_az1_rack7_vmotion_cidr),"Value Missing",input_wld_az1_rack7_vmotion_cidr)</f>
        <v>Value Missing</v>
      </c>
      <c r="Z24" s="21" t="s">
        <v>540</v>
      </c>
      <c r="AA24" s="18" t="str">
        <f>IF(ISBLANK(input_wld_az1_rack8_vmotion_cidr),"Value Missing",input_wld_az1_rack8_vmotion_cidr)</f>
        <v>Value Missing</v>
      </c>
      <c r="AD24"/>
    </row>
    <row r="25" spans="2:31" s="3" customFormat="1" ht="20" customHeight="1">
      <c r="B25" s="52" t="str">
        <f>"Principal Storage Network ("&amp;wld_principal_storage_chosen&amp;")"</f>
        <v>Principal Storage Network (vSAN-ESA)</v>
      </c>
      <c r="C25" s="18" t="str">
        <f>IF(ISBLANK(input_mgmt_az1_vsan_cidr),"Value Missing",input_mgmt_az1_vsan_cidr)</f>
        <v>Value Missing</v>
      </c>
      <c r="E25" s="52" t="str">
        <f>"Principal Storage Network ("&amp;wld_principal_storage_chosen&amp;")"</f>
        <v>Principal Storage Network (vSAN-ESA)</v>
      </c>
      <c r="F25" s="18" t="str">
        <f>IF(ISBLANK(input_wld_az1_principal_storage_cidr),"Value Missing",input_wld_az1_principal_storage_cidr)</f>
        <v>Value Missing</v>
      </c>
      <c r="H25" s="52" t="str">
        <f>"Principal Storage Network ("&amp;wld_principal_storage_chosen&amp;")"</f>
        <v>Principal Storage Network (vSAN-ESA)</v>
      </c>
      <c r="I25" s="18" t="str">
        <f>IF(ISBLANK(input_wld_az1_rack2_principal_storage_cidr),"Value Missing",input_wld_az1_rack2_principal_storage_cidr)</f>
        <v>Value Missing</v>
      </c>
      <c r="K25" s="52" t="str">
        <f>"Principal Storage Network ("&amp;wld_principal_storage_chosen&amp;")"</f>
        <v>Principal Storage Network (vSAN-ESA)</v>
      </c>
      <c r="L25" s="18" t="str">
        <f>IF(ISBLANK(input_wld_az1_rack3_principal_storage_cidr),"Value Missing",input_wld_az1_rack3_principal_storage_cidr)</f>
        <v>Value Missing</v>
      </c>
      <c r="N25" s="52" t="str">
        <f>"Principal Storage Network ("&amp;wld_principal_storage_chosen&amp;")"</f>
        <v>Principal Storage Network (vSAN-ESA)</v>
      </c>
      <c r="O25" s="18" t="str">
        <f>IF(ISBLANK(input_wld_az1_rack4_principal_storage_cidr),"Value Missing",input_wld_az1_rack4_principal_storage_cidr)</f>
        <v>Value Missing</v>
      </c>
      <c r="Q25" s="52" t="str">
        <f>"Principal Storage Network ("&amp;wld_principal_storage_chosen&amp;")"</f>
        <v>Principal Storage Network (vSAN-ESA)</v>
      </c>
      <c r="R25" s="18" t="str">
        <f>IF(ISBLANK(input_wld_az1_rack5_principal_storage_cidr),"Value Missing",input_wld_az1_rack5_principal_storage_cidr)</f>
        <v>Value Missing</v>
      </c>
      <c r="T25" s="52" t="str">
        <f>"Principal Storage Network ("&amp;wld_principal_storage_chosen&amp;")"</f>
        <v>Principal Storage Network (vSAN-ESA)</v>
      </c>
      <c r="U25" s="18" t="str">
        <f>IF(ISBLANK(input_wld_az1_rack6_principal_storage_cidr),"Value Missing",input_wld_az1_rack6_principal_storage_cidr)</f>
        <v>Value Missing</v>
      </c>
      <c r="W25" s="52" t="str">
        <f>"Principal Storage Network ("&amp;wld_principal_storage_chosen&amp;")"</f>
        <v>Principal Storage Network (vSAN-ESA)</v>
      </c>
      <c r="X25" s="18" t="str">
        <f>IF(ISBLANK(input_wld_az1_rack7_principal_storage_cidr),"Value Missing",input_wld_az1_rack7_principal_storage_cidr)</f>
        <v>Value Missing</v>
      </c>
      <c r="Z25" s="52" t="str">
        <f>"Principal Storage Network ("&amp;wld_principal_storage_chosen&amp;")"</f>
        <v>Principal Storage Network (vSAN-ESA)</v>
      </c>
      <c r="AA25" s="18" t="str">
        <f>IF(ISBLANK(input_wld_az1_rack8_principal_storage_cidr),"Value Missing",input_wld_az1_rack8_principal_storage_cidr)</f>
        <v>Value Missing</v>
      </c>
    </row>
    <row r="26" spans="2:31" s="3" customFormat="1" ht="20" customHeight="1">
      <c r="B26" s="21" t="s">
        <v>543</v>
      </c>
      <c r="C26" s="18" t="str">
        <f>IF(ISBLANK(input_mgmt_az1_host_overlay_cidr),"Value Missing",input_mgmt_az1_host_overlay_cidr)</f>
        <v>Value Missing</v>
      </c>
      <c r="E26" s="21" t="s">
        <v>543</v>
      </c>
      <c r="F26" s="18" t="str">
        <f>IF(ISBLANK(input_wld_az1_host_overlay_cidr),"Value Missing",input_wld_az1_host_overlay_cidr)</f>
        <v>Value Missing</v>
      </c>
      <c r="H26" s="21" t="s">
        <v>543</v>
      </c>
      <c r="I26" s="18" t="str">
        <f>IF(ISBLANK(input_wld_az1_rack2_host_overlay_cidr),"Value Missing",input_wld_az1_rack2_host_overlay_cidr)</f>
        <v>Value Missing</v>
      </c>
      <c r="K26" s="21" t="s">
        <v>543</v>
      </c>
      <c r="L26" s="18" t="str">
        <f>IF(ISBLANK(input_wld_az1_rack3_host_overlay_cidr),"Value Missing",input_wld_az1_rack3_host_overlay_cidr)</f>
        <v>Value Missing</v>
      </c>
      <c r="N26" s="21" t="s">
        <v>543</v>
      </c>
      <c r="O26" s="18" t="str">
        <f>IF(ISBLANK(input_wld_az1_rack4_host_overlay_cidr),"Value Missing",input_wld_az1_rack4_host_overlay_cidr)</f>
        <v>Value Missing</v>
      </c>
      <c r="Q26" s="21" t="s">
        <v>543</v>
      </c>
      <c r="R26" s="18" t="str">
        <f>IF(ISBLANK(input_wld_az1_rack5_host_overlay_cidr),"Value Missing",input_wld_az1_rack5_host_overlay_cidr)</f>
        <v>Value Missing</v>
      </c>
      <c r="T26" s="21" t="s">
        <v>543</v>
      </c>
      <c r="U26" s="18" t="str">
        <f>IF(ISBLANK(input_wld_az1_rack6_host_overlay_cidr),"Value Missing",input_wld_az1_rack6_host_overlay_cidr)</f>
        <v>Value Missing</v>
      </c>
      <c r="W26" s="21" t="s">
        <v>543</v>
      </c>
      <c r="X26" s="18" t="str">
        <f>IF(ISBLANK(input_wld_az1_rack7_host_overlay_cidr),"Value Missing",input_wld_az1_rack7_host_overlay_cidr)</f>
        <v>Value Missing</v>
      </c>
      <c r="Z26" s="21" t="s">
        <v>543</v>
      </c>
      <c r="AA26" s="18" t="str">
        <f>IF(ISBLANK(input_wld_az1_rack8_host_overlay_cidr),"Value Missing",input_wld_az1_rack8_host_overlay_cidr)</f>
        <v>Value Missing</v>
      </c>
      <c r="AD26"/>
    </row>
    <row r="27" spans="2:31" s="3" customFormat="1" ht="20" customHeight="1">
      <c r="B27" s="40" t="s">
        <v>566</v>
      </c>
      <c r="C27" s="18" t="s">
        <v>452</v>
      </c>
      <c r="E27" s="21" t="s">
        <v>566</v>
      </c>
      <c r="F27" s="18" t="str">
        <f>IF(ISBLANK(input_wld_az1_secondary_storage_cidr),"Value Missing",input_wld_az1_secondary_storage_cidr)</f>
        <v>Value Missing</v>
      </c>
      <c r="H27" s="21" t="s">
        <v>566</v>
      </c>
      <c r="I27" s="18" t="str">
        <f>IF(ISBLANK(input_wld_az1_rack2_secondary_storage_cidr),"Value Missing",input_wld_az1_rack2_secondary_storage_cidr)</f>
        <v>Value Missing</v>
      </c>
      <c r="K27" s="21" t="s">
        <v>566</v>
      </c>
      <c r="L27" s="18" t="str">
        <f>IF(ISBLANK(input_wld_az1_rack3_secondary_storage_cidr),"Value Missing",input_wld_az1_rack3_secondary_storage_cidr)</f>
        <v>Value Missing</v>
      </c>
      <c r="N27" s="21" t="s">
        <v>566</v>
      </c>
      <c r="O27" s="18" t="str">
        <f>IF(ISBLANK(input_wld_az1_rack4_secondary_storage_cidr),"Value Missing",input_wld_az1_rack4_secondary_storage_cidr)</f>
        <v>Value Missing</v>
      </c>
      <c r="Q27" s="21" t="s">
        <v>566</v>
      </c>
      <c r="R27" s="18" t="str">
        <f>IF(ISBLANK(input_wld_az1_rack5_secondary_storage_cidr),"Value Missing",input_wld_az1_rack5_secondary_storage_cidr)</f>
        <v>Value Missing</v>
      </c>
      <c r="T27" s="21" t="s">
        <v>566</v>
      </c>
      <c r="U27" s="18" t="str">
        <f>IF(ISBLANK(input_wld_az1_rack6_secondary_storage_cidr),"Value Missing",input_wld_az1_rack6_secondary_storage_cidr)</f>
        <v>Value Missing</v>
      </c>
      <c r="W27" s="21" t="s">
        <v>566</v>
      </c>
      <c r="X27" s="18" t="str">
        <f>IF(ISBLANK(input_wld_az1_rack7_secondary_storage_cidr),"Value Missing",input_wld_az1_rack7_secondary_storage_cidr)</f>
        <v>Value Missing</v>
      </c>
      <c r="Z27" s="21" t="s">
        <v>566</v>
      </c>
      <c r="AA27" s="18" t="str">
        <f>IF(ISBLANK(input_wld_az1_rack8_secondary_storage_cidr),"Value Missing",input_wld_az1_rack8_secondary_storage_cidr)</f>
        <v>Value Missing</v>
      </c>
      <c r="AD27"/>
    </row>
    <row r="28" spans="2:31" s="3" customFormat="1" ht="20" customHeight="1">
      <c r="B28" s="21" t="s">
        <v>544</v>
      </c>
      <c r="C28" s="18" t="str">
        <f>IF(ISBLANK(input_mgmt_az1_uplink01_cidr),"Value Missing",input_mgmt_az1_uplink01_cidr)</f>
        <v>Value Missing</v>
      </c>
      <c r="E28" s="21" t="s">
        <v>544</v>
      </c>
      <c r="F28" s="18" t="str">
        <f>IF(ISBLANK(input_wld_az1_uplink01_cidr),"Value Missing",input_wld_az1_uplink01_cidr)</f>
        <v>Value Missing</v>
      </c>
      <c r="H28" s="21" t="s">
        <v>544</v>
      </c>
      <c r="I28" s="18" t="str">
        <f>IF(ISBLANK(input_wld_az1_rack2_uplink01_cidr),"Value Missing",input_wld_az1_rack2_uplink01_cidr)</f>
        <v>Value Missing</v>
      </c>
      <c r="K28" s="21" t="s">
        <v>544</v>
      </c>
      <c r="L28" s="18" t="str">
        <f>IF(ISBLANK(input_wld_az1_rack3_uplink01_cidr),"Value Missing",input_wld_az1_rack3_uplink01_cidr)</f>
        <v>Value Missing</v>
      </c>
      <c r="N28" s="21" t="s">
        <v>544</v>
      </c>
      <c r="O28" s="18" t="str">
        <f>IF(ISBLANK(input_wld_az1_rack4_uplink01_cidr),"Value Missing",input_wld_az1_rack4_uplink01_cidr)</f>
        <v>Value Missing</v>
      </c>
      <c r="Q28" s="21" t="s">
        <v>544</v>
      </c>
      <c r="R28" s="18" t="str">
        <f>IF(ISBLANK(input_wld_az1_rack5_uplink01_cidr),"Value Missing",input_wld_az1_rack5_uplink01_cidr)</f>
        <v>Value Missing</v>
      </c>
      <c r="T28" s="21" t="s">
        <v>544</v>
      </c>
      <c r="U28" s="18" t="str">
        <f>IF(ISBLANK(input_wld_az1_rack6_uplink01_cidr),"Value Missing",input_wld_az1_rack6_uplink01_cidr)</f>
        <v>Value Missing</v>
      </c>
      <c r="W28" s="21" t="s">
        <v>544</v>
      </c>
      <c r="X28" s="18" t="str">
        <f>IF(ISBLANK(input_wld_az1_rack7_uplink01_cidr),"Value Missing",input_wld_az1_rack7_uplink01_cidr)</f>
        <v>Value Missing</v>
      </c>
      <c r="Z28" s="21" t="s">
        <v>544</v>
      </c>
      <c r="AA28" s="18" t="str">
        <f>IF(ISBLANK(input_wld_az1_rack8_uplink01_cidr),"Value Missing",input_wld_az1_rack8_uplink01_cidr)</f>
        <v>Value Missing</v>
      </c>
      <c r="AD28"/>
    </row>
    <row r="29" spans="2:31" s="3" customFormat="1" ht="20" customHeight="1">
      <c r="B29" s="21" t="s">
        <v>545</v>
      </c>
      <c r="C29" s="18" t="str">
        <f>IF(ISBLANK(input_mgmt_az1_uplink02_cidr),"Value Missing",input_mgmt_az1_uplink02_cidr)</f>
        <v>Value Missing</v>
      </c>
      <c r="E29" s="21" t="s">
        <v>545</v>
      </c>
      <c r="F29" s="18" t="str">
        <f>IF(ISBLANK(input_wld_az1_uplink02_cidr),"Value Missing",input_wld_az1_uplink02_cidr)</f>
        <v>Value Missing</v>
      </c>
      <c r="H29" s="21" t="s">
        <v>545</v>
      </c>
      <c r="I29" s="18" t="str">
        <f>IF(ISBLANK(input_wld_az1_rack2_uplink02_cidr),"Value Missing",input_wld_az1_rack2_uplink02_cidr)</f>
        <v>Value Missing</v>
      </c>
      <c r="K29" s="21" t="s">
        <v>545</v>
      </c>
      <c r="L29" s="18" t="str">
        <f>IF(ISBLANK(input_wld_az1_rack3_uplink02_cidr),"Value Missing",input_wld_az1_rack3_uplink02_cidr)</f>
        <v>Value Missing</v>
      </c>
      <c r="N29" s="21" t="s">
        <v>545</v>
      </c>
      <c r="O29" s="18" t="str">
        <f>IF(ISBLANK(input_wld_az1_rack4_uplink02_cidr),"Value Missing",input_wld_az1_rack4_uplink02_cidr)</f>
        <v>Value Missing</v>
      </c>
      <c r="Q29" s="21" t="s">
        <v>545</v>
      </c>
      <c r="R29" s="18" t="str">
        <f>IF(ISBLANK(input_wld_az1_rack5_uplink02_cidr),"Value Missing",input_wld_az1_rack5_uplink02_cidr)</f>
        <v>Value Missing</v>
      </c>
      <c r="T29" s="21" t="s">
        <v>545</v>
      </c>
      <c r="U29" s="18" t="str">
        <f>IF(ISBLANK(input_wld_az1_rack6_uplink02_cidr),"Value Missing",input_wld_az1_rack6_uplink02_cidr)</f>
        <v>Value Missing</v>
      </c>
      <c r="W29" s="21" t="s">
        <v>545</v>
      </c>
      <c r="X29" s="18" t="str">
        <f>IF(ISBLANK(input_wld_az1_rack7_uplink02_cidr),"Value Missing",input_wld_az1_rack7_uplink02_cidr)</f>
        <v>Value Missing</v>
      </c>
      <c r="Z29" s="21" t="s">
        <v>545</v>
      </c>
      <c r="AA29" s="18" t="str">
        <f>IF(ISBLANK(input_wld_az1_rack8_uplink02_cidr),"Value Missing",input_wld_az1_rack8_uplink02_cidr)</f>
        <v>Value Missing</v>
      </c>
      <c r="AD29"/>
    </row>
    <row r="30" spans="2:31" s="3" customFormat="1" ht="20" customHeight="1">
      <c r="B30" s="21" t="s">
        <v>546</v>
      </c>
      <c r="C30" s="18" t="str">
        <f>IF(ISBLANK(input_mgmt_az1_edge_overlay_cidr),"Value Missing",input_mgmt_az1_edge_overlay_cidr)</f>
        <v>Value Missing</v>
      </c>
      <c r="E30" s="21" t="s">
        <v>546</v>
      </c>
      <c r="F30" s="18" t="str">
        <f>IF(ISBLANK(input_wld_az1_edge_overlay_cidr),"Value Missing",input_wld_az1_edge_overlay_cidr)</f>
        <v>Value Missing</v>
      </c>
      <c r="H30" s="21" t="s">
        <v>546</v>
      </c>
      <c r="I30" s="18" t="str">
        <f>IF(ISBLANK(input_wld_az1_rack2_edge_overlay_cidr),"Value Missing",input_wld_az1_rack2_edge_overlay_cidr)</f>
        <v>Value Missing</v>
      </c>
      <c r="K30" s="21" t="s">
        <v>546</v>
      </c>
      <c r="L30" s="18" t="str">
        <f>IF(ISBLANK(input_wld_az1_rack3_edge_overlay_cidr),"Value Missing",input_wld_az1_rack3_edge_overlay_cidr)</f>
        <v>Value Missing</v>
      </c>
      <c r="N30" s="21" t="s">
        <v>546</v>
      </c>
      <c r="O30" s="18" t="str">
        <f>IF(ISBLANK(input_wld_az1_rack4_edge_overlay_cidr),"Value Missing",input_wld_az1_rack4_edge_overlay_cidr)</f>
        <v>Value Missing</v>
      </c>
      <c r="Q30" s="21" t="s">
        <v>546</v>
      </c>
      <c r="R30" s="18" t="str">
        <f>IF(ISBLANK(input_wld_az1_rack5_edge_overlay_cidr),"Value Missing",input_wld_az1_rack5_edge_overlay_cidr)</f>
        <v>Value Missing</v>
      </c>
      <c r="T30" s="21" t="s">
        <v>546</v>
      </c>
      <c r="U30" s="18" t="str">
        <f>IF(ISBLANK(input_wld_az1_rack6_edge_overlay_cidr),"Value Missing",input_wld_az1_rack6_edge_overlay_cidr)</f>
        <v>Value Missing</v>
      </c>
      <c r="W30" s="21" t="s">
        <v>546</v>
      </c>
      <c r="X30" s="18" t="str">
        <f>IF(ISBLANK(input_wld_az1_rack7_edge_overlay_cidr),"Value Missing",input_wld_az1_rack7_edge_overlay_cidr)</f>
        <v>Value Missing</v>
      </c>
      <c r="Z30" s="21" t="s">
        <v>546</v>
      </c>
      <c r="AA30" s="18" t="str">
        <f>IF(ISBLANK(input_wld_az1_rack8_edge_overlay_cidr),"Value Missing",input_wld_az1_rack8_edge_overlay_cidr)</f>
        <v>Value Missing</v>
      </c>
      <c r="AD30"/>
    </row>
    <row r="31" spans="2:31" s="3" customFormat="1" ht="20" customHeight="1">
      <c r="B31" s="21" t="s">
        <v>547</v>
      </c>
      <c r="C31" s="18" t="str">
        <f>IF(ISBLANK(input_mgmt_az1_rtep_overlay_cidr),"Value Missing",input_mgmt_az1_rtep_overlay_cidr)</f>
        <v>Value Missing</v>
      </c>
      <c r="E31" s="21" t="s">
        <v>547</v>
      </c>
      <c r="F31" s="18" t="str">
        <f>IF(ISBLANK(input_wld_az1_rtep_overlay_cidr),"Value Missing",input_wld_az1_rtep_overlay_cidr)</f>
        <v>Value Missing</v>
      </c>
      <c r="H31" s="21" t="s">
        <v>547</v>
      </c>
      <c r="I31" s="18" t="str">
        <f>IF(ISBLANK(input_wld_az1_rack2_rtep_overlay_cidr),"Value Missing",input_wld_az1_rack2_rtep_overlay_cidr)</f>
        <v>Value Missing</v>
      </c>
      <c r="K31" s="21" t="s">
        <v>547</v>
      </c>
      <c r="L31" s="18" t="str">
        <f>IF(ISBLANK(input_wld_az1_rack3_rtep_overlay_cidr),"Value Missing",input_wld_az1_rack3_rtep_overlay_cidr)</f>
        <v>Value Missing</v>
      </c>
      <c r="N31" s="21" t="s">
        <v>547</v>
      </c>
      <c r="O31" s="18" t="str">
        <f>IF(ISBLANK(input_wld_az1_rack4_rtep_overlay_cidr),"Value Missing",input_wld_az1_rack4_rtep_overlay_cidr)</f>
        <v>Value Missing</v>
      </c>
      <c r="Q31" s="21" t="s">
        <v>547</v>
      </c>
      <c r="R31" s="18" t="str">
        <f>IF(ISBLANK(input_wld_az1_rack5_rtep_overlay_cidr),"Value Missing",input_wld_az1_rack5_rtep_overlay_cidr)</f>
        <v>Value Missing</v>
      </c>
      <c r="T31" s="21" t="s">
        <v>547</v>
      </c>
      <c r="U31" s="18" t="str">
        <f>IF(ISBLANK(input_wld_az1_rack6_rtep_overlay_cidr),"Value Missing",input_wld_az1_rack6_rtep_overlay_cidr)</f>
        <v>Value Missing</v>
      </c>
      <c r="W31" s="21" t="s">
        <v>547</v>
      </c>
      <c r="X31" s="18" t="str">
        <f>IF(ISBLANK(input_wld_az1_rack7_rtep_overlay_cidr),"Value Missing",input_wld_az1_rack7_rtep_overlay_cidr)</f>
        <v>Value Missing</v>
      </c>
      <c r="Z31" s="21" t="s">
        <v>547</v>
      </c>
      <c r="AA31" s="18" t="str">
        <f>IF(ISBLANK(input_wld_az1_rack8_rtep_overlay_cidr),"Value Missing",input_wld_az1_rack8_rtep_overlay_cidr)</f>
        <v>Value Missing</v>
      </c>
      <c r="AD31"/>
    </row>
    <row r="32" spans="2:31" s="3" customFormat="1" ht="20" customHeight="1">
      <c r="B32" s="21" t="s">
        <v>548</v>
      </c>
      <c r="C32" s="18" t="str">
        <f>IF(ISBLANK(input_mgmt_az1_vrms_cidr),"Value Missing",input_mgmt_az1_vrms_cidr)</f>
        <v>Value Missing</v>
      </c>
      <c r="E32" s="21" t="s">
        <v>548</v>
      </c>
      <c r="F32" s="18" t="str">
        <f>IF(ISBLANK(input_wld_az1_vrms_cidr),"Value Missing",input_wld_az1_vrms_cidr)</f>
        <v>Value Missing</v>
      </c>
      <c r="H32" s="21" t="s">
        <v>548</v>
      </c>
      <c r="I32" s="18" t="str">
        <f>IF(ISBLANK(input_wld_az1_rack2_vrms_cidr),"Value Missing",input_wld_az1_rack2_vrms_cidr)</f>
        <v>Value Missing</v>
      </c>
      <c r="K32" s="21" t="s">
        <v>548</v>
      </c>
      <c r="L32" s="18" t="str">
        <f>IF(ISBLANK(input_wld_az1_rack3_vrms_cidr),"Value Missing",input_wld_az1_rack3_vrms_cidr)</f>
        <v>Value Missing</v>
      </c>
      <c r="N32" s="21" t="s">
        <v>548</v>
      </c>
      <c r="O32" s="18" t="str">
        <f>IF(ISBLANK(input_wld_az1_rack4_vrms_cidr),"Value Missing",input_wld_az1_rack4_vrms_cidr)</f>
        <v>Value Missing</v>
      </c>
      <c r="Q32" s="21" t="s">
        <v>548</v>
      </c>
      <c r="R32" s="18" t="str">
        <f>IF(ISBLANK(input_wld_az1_rack5_vrms_cidr),"Value Missing",input_wld_az1_rack5_vrms_cidr)</f>
        <v>Value Missing</v>
      </c>
      <c r="T32" s="21" t="s">
        <v>548</v>
      </c>
      <c r="U32" s="18" t="str">
        <f>IF(ISBLANK(input_wld_az1_rack6_vrms_cidr),"Value Missing",input_wld_az1_rack6_vrms_cidr)</f>
        <v>Value Missing</v>
      </c>
      <c r="W32" s="21" t="s">
        <v>548</v>
      </c>
      <c r="X32" s="18" t="str">
        <f>IF(ISBLANK(input_wld_az1_rack7_vrms_cidr),"Value Missing",input_wld_az1_rack7_vrms_cidr)</f>
        <v>Value Missing</v>
      </c>
      <c r="Z32" s="21" t="s">
        <v>548</v>
      </c>
      <c r="AA32" s="18" t="str">
        <f>IF(ISBLANK(input_wld_az1_rack8_vrms_cidr),"Value Missing",input_wld_az1_rack8_vrms_cidr)</f>
        <v>Value Missing</v>
      </c>
      <c r="AD32"/>
    </row>
    <row r="33" spans="2:31" s="3" customFormat="1" ht="20" customHeight="1">
      <c r="AD33"/>
    </row>
    <row r="34" spans="2:31" s="3" customFormat="1" ht="20" customHeight="1">
      <c r="B34" s="184" t="s">
        <v>4108</v>
      </c>
      <c r="C34" s="188"/>
      <c r="E34" s="184" t="s">
        <v>4026</v>
      </c>
      <c r="F34" s="188"/>
      <c r="H34" s="184" t="s">
        <v>3908</v>
      </c>
      <c r="I34" s="188"/>
      <c r="K34" s="184" t="s">
        <v>3907</v>
      </c>
      <c r="L34" s="188"/>
      <c r="N34" s="184" t="s">
        <v>3906</v>
      </c>
      <c r="O34" s="188"/>
      <c r="Q34" s="184" t="s">
        <v>3905</v>
      </c>
      <c r="R34" s="188"/>
      <c r="T34" s="184" t="s">
        <v>3904</v>
      </c>
      <c r="U34" s="188"/>
      <c r="W34" s="184" t="s">
        <v>3903</v>
      </c>
      <c r="X34" s="188"/>
      <c r="Z34" s="184" t="s">
        <v>3902</v>
      </c>
      <c r="AA34" s="188"/>
      <c r="AD34"/>
      <c r="AE34"/>
    </row>
    <row r="35" spans="2:31" s="3" customFormat="1" ht="20" customHeight="1">
      <c r="B35" s="112" t="s">
        <v>735</v>
      </c>
      <c r="C35" s="113" t="s">
        <v>1230</v>
      </c>
      <c r="E35" s="112" t="s">
        <v>735</v>
      </c>
      <c r="F35" s="113" t="s">
        <v>1230</v>
      </c>
      <c r="H35" s="112" t="s">
        <v>735</v>
      </c>
      <c r="I35" s="113" t="s">
        <v>1230</v>
      </c>
      <c r="K35" s="112" t="s">
        <v>735</v>
      </c>
      <c r="L35" s="113" t="s">
        <v>1230</v>
      </c>
      <c r="N35" s="112" t="s">
        <v>735</v>
      </c>
      <c r="O35" s="113" t="s">
        <v>1230</v>
      </c>
      <c r="Q35" s="112" t="s">
        <v>735</v>
      </c>
      <c r="R35" s="113" t="s">
        <v>1230</v>
      </c>
      <c r="T35" s="112" t="s">
        <v>735</v>
      </c>
      <c r="U35" s="113" t="s">
        <v>1230</v>
      </c>
      <c r="W35" s="112" t="s">
        <v>735</v>
      </c>
      <c r="X35" s="113" t="s">
        <v>1230</v>
      </c>
      <c r="Z35" s="112" t="s">
        <v>735</v>
      </c>
      <c r="AA35" s="113" t="s">
        <v>1230</v>
      </c>
      <c r="AD35"/>
      <c r="AE35"/>
    </row>
    <row r="36" spans="2:31" s="3" customFormat="1" ht="20" customHeight="1">
      <c r="B36" s="21" t="s">
        <v>3184</v>
      </c>
      <c r="C36" s="18" t="str">
        <f>IF(ISBLANK(input_mgmt_az1_mgmt_vm_gateway_ip),"Value Missing",input_mgmt_az1_mgmt_vm_gateway_ip)</f>
        <v>Value Missing</v>
      </c>
      <c r="E36" s="21" t="s">
        <v>3184</v>
      </c>
      <c r="F36" s="18" t="str">
        <f>IF(ISBLANK(input_wld_az1_mgmt_vm_gateway_ip),"Value Missing",input_wld_az1_mgmt_vm_gateway_ip)</f>
        <v>Value Missing</v>
      </c>
      <c r="H36" s="21" t="s">
        <v>3184</v>
      </c>
      <c r="I36" s="18" t="str">
        <f>IF(ISBLANK(input_wld_az1_rack2_mgmt_vm_gateway_ip),"Value Missing",input_wld_az1_rack2_mgmt_vm_gateway_ip)</f>
        <v>Value Missing</v>
      </c>
      <c r="K36" s="21" t="s">
        <v>3184</v>
      </c>
      <c r="L36" s="18" t="str">
        <f>IF(ISBLANK(input_wld_az1_rack3_mgmt_vm_gateway_ip),"Value Missing",input_wld_az1_rack3_mgmt_vm_gateway_ip)</f>
        <v>Value Missing</v>
      </c>
      <c r="N36" s="21" t="s">
        <v>3184</v>
      </c>
      <c r="O36" s="18" t="str">
        <f>IF(ISBLANK(input_wld_az1_rack4_mgmt_vm_gateway_ip),"Value Missing",input_wld_az1_rack4_mgmt_vm_gateway_ip)</f>
        <v>Value Missing</v>
      </c>
      <c r="Q36" s="21" t="s">
        <v>3184</v>
      </c>
      <c r="R36" s="18" t="str">
        <f>IF(ISBLANK(input_wld_az1_rack5_mgmt_vm_gateway_ip),"Value Missing",input_wld_az1_rack5_mgmt_vm_gateway_ip)</f>
        <v>Value Missing</v>
      </c>
      <c r="T36" s="21" t="s">
        <v>3184</v>
      </c>
      <c r="U36" s="18" t="str">
        <f>IF(ISBLANK(input_wld_az1_rack6_mgmt_vm_gateway_ip),"Value Missing",input_wld_az1_rack6_mgmt_vm_gateway_ip)</f>
        <v>Value Missing</v>
      </c>
      <c r="W36" s="21" t="s">
        <v>3184</v>
      </c>
      <c r="X36" s="18" t="str">
        <f>IF(ISBLANK(input_wld_az1_rack7_mgmt_vm_gateway_ip),"Value Missing",input_wld_az1_rack7_mgmt_vm_gateway_ip)</f>
        <v>Value Missing</v>
      </c>
      <c r="Z36" s="21" t="s">
        <v>3184</v>
      </c>
      <c r="AA36" s="18" t="str">
        <f>IF(ISBLANK(input_wld_az1_rack8_mgmt_vm_gateway_ip),"Value Missing",input_wld_az1_rack8_mgmt_vm_gateway_ip)</f>
        <v>Value Missing</v>
      </c>
      <c r="AD36"/>
      <c r="AE36"/>
    </row>
    <row r="37" spans="2:31" s="3" customFormat="1" ht="20" customHeight="1">
      <c r="B37" s="21" t="s">
        <v>3185</v>
      </c>
      <c r="C37" s="18" t="str">
        <f>IF(ISBLANK(input_mgmt_az1_mgmt_gateway_ip),"Value Missing",input_mgmt_az1_mgmt_gateway_ip)</f>
        <v>Value Missing</v>
      </c>
      <c r="E37" s="21" t="s">
        <v>3185</v>
      </c>
      <c r="F37" s="18" t="str">
        <f>IF(ISBLANK(input_wld_az1_mgmt_gateway_ip),"Value Missing",input_wld_az1_mgmt_gateway_ip)</f>
        <v>Value Missing</v>
      </c>
      <c r="H37" s="21" t="s">
        <v>3185</v>
      </c>
      <c r="I37" s="18" t="str">
        <f>IF(ISBLANK(input_wld_az1_rack2_mgmt_gateway_ip),"Value Missing",input_wld_az1_rack2_mgmt_gateway_ip)</f>
        <v>Value Missing</v>
      </c>
      <c r="K37" s="21" t="s">
        <v>3185</v>
      </c>
      <c r="L37" s="18" t="str">
        <f>IF(ISBLANK(input_wld_az1_rack3_mgmt_gateway_ip),"Value Missing",input_wld_az1_rack3_mgmt_gateway_ip)</f>
        <v>Value Missing</v>
      </c>
      <c r="N37" s="21" t="s">
        <v>3185</v>
      </c>
      <c r="O37" s="18" t="str">
        <f>IF(ISBLANK(input_wld_az1_rack4_mgmt_gateway_ip),"Value Missing",input_wld_az1_rack4_mgmt_gateway_ip)</f>
        <v>Value Missing</v>
      </c>
      <c r="Q37" s="21" t="s">
        <v>3185</v>
      </c>
      <c r="R37" s="18" t="str">
        <f>IF(ISBLANK(input_wld_az1_rack5_mgmt_gateway_ip),"Value Missing",input_wld_az1_rack5_mgmt_gateway_ip)</f>
        <v>Value Missing</v>
      </c>
      <c r="T37" s="21" t="s">
        <v>3185</v>
      </c>
      <c r="U37" s="18" t="str">
        <f>IF(ISBLANK(input_wld_az1_rack6_mgmt_gateway_ip),"Value Missing",input_wld_az1_rack6_mgmt_gateway_ip)</f>
        <v>Value Missing</v>
      </c>
      <c r="W37" s="21" t="s">
        <v>3185</v>
      </c>
      <c r="X37" s="18" t="str">
        <f>IF(ISBLANK(input_wld_az1_rack7_mgmt_gateway_ip),"Value Missing",input_wld_az1_rack7_mgmt_gateway_ip)</f>
        <v>Value Missing</v>
      </c>
      <c r="Z37" s="21" t="s">
        <v>3185</v>
      </c>
      <c r="AA37" s="18" t="str">
        <f>IF(ISBLANK(input_wld_az1_rack8_mgmt_gateway_ip),"Value Missing",input_wld_az1_rack8_mgmt_gateway_ip)</f>
        <v>Value Missing</v>
      </c>
      <c r="AD37"/>
      <c r="AE37"/>
    </row>
    <row r="38" spans="2:31" s="3" customFormat="1" ht="20" customHeight="1">
      <c r="B38" s="21" t="s">
        <v>540</v>
      </c>
      <c r="C38" s="18" t="str">
        <f>IF(ISBLANK(input_mgmt_az1_vmotion_gateway_ip),"Value Missing",input_mgmt_az1_vmotion_gateway_ip)</f>
        <v>Value Missing</v>
      </c>
      <c r="E38" s="21" t="s">
        <v>540</v>
      </c>
      <c r="F38" s="18" t="str">
        <f>IF(ISBLANK(input_wld_az1_vmotion_gateway_ip),"Value Missing",input_wld_az1_vmotion_gateway_ip)</f>
        <v>Value Missing</v>
      </c>
      <c r="H38" s="21" t="s">
        <v>540</v>
      </c>
      <c r="I38" s="18" t="str">
        <f>IF(ISBLANK(input_wld_az1_rack2_vmotion_gateway_ip),"Value Missing",input_wld_az1_rack2_vmotion_gateway_ip)</f>
        <v>Value Missing</v>
      </c>
      <c r="K38" s="21" t="s">
        <v>540</v>
      </c>
      <c r="L38" s="18" t="str">
        <f>IF(ISBLANK(input_wld_az1_rack3_vmotion_gateway_ip),"Value Missing",input_wld_az1_rack3_vmotion_gateway_ip)</f>
        <v>Value Missing</v>
      </c>
      <c r="N38" s="21" t="s">
        <v>540</v>
      </c>
      <c r="O38" s="18" t="str">
        <f>IF(ISBLANK(input_wld_az1_rack4_vmotion_gateway_ip),"Value Missing",input_wld_az1_rack4_vmotion_gateway_ip)</f>
        <v>Value Missing</v>
      </c>
      <c r="Q38" s="21" t="s">
        <v>540</v>
      </c>
      <c r="R38" s="18" t="str">
        <f>IF(ISBLANK(input_wld_az1_rack5_vmotion_gateway_ip),"Value Missing",input_wld_az1_rack5_vmotion_gateway_ip)</f>
        <v>Value Missing</v>
      </c>
      <c r="T38" s="21" t="s">
        <v>540</v>
      </c>
      <c r="U38" s="18" t="str">
        <f>IF(ISBLANK(input_wld_az1_rack6_vmotion_gateway_ip),"Value Missing",input_wld_az1_rack6_vmotion_gateway_ip)</f>
        <v>Value Missing</v>
      </c>
      <c r="W38" s="21" t="s">
        <v>540</v>
      </c>
      <c r="X38" s="18" t="str">
        <f>IF(ISBLANK(input_wld_az1_rack7_vmotion_gateway_ip),"Value Missing",input_wld_az1_rack7_vmotion_gateway_ip)</f>
        <v>Value Missing</v>
      </c>
      <c r="Z38" s="21" t="s">
        <v>540</v>
      </c>
      <c r="AA38" s="18" t="str">
        <f>IF(ISBLANK(input_wld_az1_rack8_vmotion_gateway_ip),"Value Missing",input_wld_az1_rack8_vmotion_gateway_ip)</f>
        <v>Value Missing</v>
      </c>
      <c r="AD38"/>
      <c r="AE38"/>
    </row>
    <row r="39" spans="2:31" s="3" customFormat="1" ht="20" customHeight="1">
      <c r="B39" s="52" t="str">
        <f>"Principal Storage Network ("&amp;wld_principal_storage_chosen&amp;")"</f>
        <v>Principal Storage Network (vSAN-ESA)</v>
      </c>
      <c r="C39" s="18" t="str">
        <f>IF(ISBLANK(input_mgmt_az1_vsan_gateway_ip),"Value Missing",input_mgmt_az1_vsan_gateway_ip)</f>
        <v>Value Missing</v>
      </c>
      <c r="E39" s="52" t="str">
        <f>"Principal Storage Network ("&amp;wld_principal_storage_chosen&amp;")"</f>
        <v>Principal Storage Network (vSAN-ESA)</v>
      </c>
      <c r="F39" s="18" t="str">
        <f>IF(ISBLANK(input_wld_az1_principal_storage_gateway_ip),"Value Missing",input_wld_az1_principal_storage_gateway_ip)</f>
        <v>Value Missing</v>
      </c>
      <c r="H39" s="52" t="str">
        <f>"Principal Storage Network ("&amp;wld_principal_storage_chosen&amp;")"</f>
        <v>Principal Storage Network (vSAN-ESA)</v>
      </c>
      <c r="I39" s="18" t="str">
        <f>IF(ISBLANK(input_wld_az1_rack2_principal_storage_gateway_ip),"Value Missing",input_wld_az1_rack2_principal_storage_gateway_ip)</f>
        <v>Value Missing</v>
      </c>
      <c r="K39" s="52" t="str">
        <f>"Principal Storage Network ("&amp;wld_principal_storage_chosen&amp;")"</f>
        <v>Principal Storage Network (vSAN-ESA)</v>
      </c>
      <c r="L39" s="18" t="str">
        <f>IF(ISBLANK(input_wld_az1_rack3_principal_storage_gateway_ip),"Value Missing",input_wld_az1_rack3_principal_storage_gateway_ip)</f>
        <v>Value Missing</v>
      </c>
      <c r="N39" s="52" t="str">
        <f>"Principal Storage Network ("&amp;wld_principal_storage_chosen&amp;")"</f>
        <v>Principal Storage Network (vSAN-ESA)</v>
      </c>
      <c r="O39" s="18" t="str">
        <f>IF(ISBLANK(input_wld_az1_rack4_principal_storage_gateway_ip),"Value Missing",input_wld_az1_rack4_principal_storage_gateway_ip)</f>
        <v>Value Missing</v>
      </c>
      <c r="Q39" s="52" t="str">
        <f>"Principal Storage Network ("&amp;wld_principal_storage_chosen&amp;")"</f>
        <v>Principal Storage Network (vSAN-ESA)</v>
      </c>
      <c r="R39" s="18" t="str">
        <f>IF(ISBLANK(input_wld_az1_rack5_principal_storage_gateway_ip),"Value Missing",input_wld_az1_rack5_principal_storage_gateway_ip)</f>
        <v>Value Missing</v>
      </c>
      <c r="T39" s="52" t="str">
        <f>"Principal Storage Network ("&amp;wld_principal_storage_chosen&amp;")"</f>
        <v>Principal Storage Network (vSAN-ESA)</v>
      </c>
      <c r="U39" s="18" t="str">
        <f>IF(ISBLANK(input_wld_az1_rack6_principal_storage_gateway_ip),"Value Missing",input_wld_az1_rack6_principal_storage_gateway_ip)</f>
        <v>Value Missing</v>
      </c>
      <c r="W39" s="52" t="str">
        <f>"Principal Storage Network ("&amp;wld_principal_storage_chosen&amp;")"</f>
        <v>Principal Storage Network (vSAN-ESA)</v>
      </c>
      <c r="X39" s="18" t="str">
        <f>IF(ISBLANK(input_wld_az1_rack7_principal_storage_gateway_ip),"Value Missing",input_wld_az1_rack7_principal_storage_gateway_ip)</f>
        <v>Value Missing</v>
      </c>
      <c r="Z39" s="52" t="str">
        <f>"Principal Storage Network ("&amp;wld_principal_storage_chosen&amp;")"</f>
        <v>Principal Storage Network (vSAN-ESA)</v>
      </c>
      <c r="AA39" s="18" t="str">
        <f>IF(ISBLANK(input_wld_az1_rack8_principal_storage_gateway_ip),"Value Missing",input_wld_az1_rack8_principal_storage_gateway_ip)</f>
        <v>Value Missing</v>
      </c>
      <c r="AD39"/>
      <c r="AE39"/>
    </row>
    <row r="40" spans="2:31" s="3" customFormat="1" ht="20" customHeight="1">
      <c r="B40" s="21" t="s">
        <v>543</v>
      </c>
      <c r="C40" s="18" t="str">
        <f>IF(ISBLANK(input_mgmt_az1_host_overlay_gateway_ip),"Value Missing",input_mgmt_az1_host_overlay_gateway_ip)</f>
        <v>Value Missing</v>
      </c>
      <c r="E40" s="21" t="s">
        <v>543</v>
      </c>
      <c r="F40" s="18" t="str">
        <f>IF(ISBLANK(input_wld_az1_host_overlay_gateway_ip),"Value Missing",input_wld_az1_host_overlay_gateway_ip)</f>
        <v>Value Missing</v>
      </c>
      <c r="H40" s="21" t="s">
        <v>543</v>
      </c>
      <c r="I40" s="18" t="str">
        <f>IF(ISBLANK(input_wld_az1_rack2_host_overlay_gateway_ip),"Value Missing",input_wld_az1_rack2_host_overlay_gateway_ip)</f>
        <v>Value Missing</v>
      </c>
      <c r="K40" s="21" t="s">
        <v>543</v>
      </c>
      <c r="L40" s="18" t="str">
        <f>IF(ISBLANK(input_wld_az1_rack3_host_overlay_gateway_ip),"Value Missing",input_wld_az1_rack3_host_overlay_gateway_ip)</f>
        <v>Value Missing</v>
      </c>
      <c r="N40" s="21" t="s">
        <v>543</v>
      </c>
      <c r="O40" s="18" t="str">
        <f>IF(ISBLANK(input_wld_az1_rack4_host_overlay_gateway_ip),"Value Missing",input_wld_az1_rack4_host_overlay_gateway_ip)</f>
        <v>Value Missing</v>
      </c>
      <c r="Q40" s="21" t="s">
        <v>543</v>
      </c>
      <c r="R40" s="18" t="str">
        <f>IF(ISBLANK(input_wld_az1_rack5_host_overlay_gateway_ip),"Value Missing",input_wld_az1_rack5_host_overlay_gateway_ip)</f>
        <v>Value Missing</v>
      </c>
      <c r="T40" s="21" t="s">
        <v>543</v>
      </c>
      <c r="U40" s="18" t="str">
        <f>IF(ISBLANK(input_wld_az1_rack6_host_overlay_gateway_ip),"Value Missing",input_wld_az1_rack6_host_overlay_gateway_ip)</f>
        <v>Value Missing</v>
      </c>
      <c r="W40" s="21" t="s">
        <v>543</v>
      </c>
      <c r="X40" s="18" t="str">
        <f>IF(ISBLANK(input_wld_az1_rack7_host_overlay_gateway_ip),"Value Missing",input_wld_az1_rack7_host_overlay_gateway_ip)</f>
        <v>Value Missing</v>
      </c>
      <c r="Z40" s="21" t="s">
        <v>543</v>
      </c>
      <c r="AA40" s="18" t="str">
        <f>IF(ISBLANK(input_wld_az1_rack8_host_overlay_gateway_ip),"Value Missing",input_wld_az1_rack8_host_overlay_gateway_ip)</f>
        <v>Value Missing</v>
      </c>
      <c r="AD40"/>
      <c r="AE40"/>
    </row>
    <row r="41" spans="2:31" s="3" customFormat="1" ht="20" customHeight="1">
      <c r="B41" s="40" t="s">
        <v>566</v>
      </c>
      <c r="C41" s="18" t="s">
        <v>452</v>
      </c>
      <c r="E41" s="21" t="s">
        <v>566</v>
      </c>
      <c r="F41" s="18" t="str">
        <f>IF(ISBLANK(input_wld_az1_secondary_storage_gateway_ip),"Value Missing",input_wld_az1_secondary_storage_gateway_ip)</f>
        <v>Value Missing</v>
      </c>
      <c r="H41" s="21" t="s">
        <v>566</v>
      </c>
      <c r="I41" s="18" t="str">
        <f>IF(ISBLANK(input_wld_az1_rack2_secondary_storage_gateway_ip),"Value Missing",input_wld_az1_rack2_secondary_storage_gateway_ip)</f>
        <v>Value Missing</v>
      </c>
      <c r="K41" s="21" t="s">
        <v>566</v>
      </c>
      <c r="L41" s="18" t="str">
        <f>IF(ISBLANK(input_wld_az1_rack3_secondary_storage_gateway_ip),"Value Missing",input_wld_az1_rack3_secondary_storage_gateway_ip)</f>
        <v>Value Missing</v>
      </c>
      <c r="N41" s="21" t="s">
        <v>566</v>
      </c>
      <c r="O41" s="18" t="str">
        <f>IF(ISBLANK(input_wld_az1_rack4_secondary_storage_gateway_ip),"Value Missing",input_wld_az1_rack4_secondary_storage_gateway_ip)</f>
        <v>Value Missing</v>
      </c>
      <c r="Q41" s="21" t="s">
        <v>566</v>
      </c>
      <c r="R41" s="18" t="str">
        <f>IF(ISBLANK(input_wld_az1_rack5_secondary_storage_gateway_ip),"Value Missing",input_wld_az1_rack5_secondary_storage_gateway_ip)</f>
        <v>Value Missing</v>
      </c>
      <c r="T41" s="21" t="s">
        <v>566</v>
      </c>
      <c r="U41" s="18" t="str">
        <f>IF(ISBLANK(input_wld_az1_rack6_secondary_storage_gateway_ip),"Value Missing",input_wld_az1_rack6_secondary_storage_gateway_ip)</f>
        <v>Value Missing</v>
      </c>
      <c r="W41" s="21" t="s">
        <v>566</v>
      </c>
      <c r="X41" s="18" t="str">
        <f>IF(ISBLANK(input_wld_az1_rack7_secondary_storage_gateway_ip),"Value Missing",input_wld_az1_rack7_secondary_storage_gateway_ip)</f>
        <v>Value Missing</v>
      </c>
      <c r="Z41" s="21" t="s">
        <v>566</v>
      </c>
      <c r="AA41" s="18" t="str">
        <f>IF(ISBLANK(input_wld_az1_rack8_secondary_storage_gateway_ip),"Value Missing",input_wld_az1_rack8_secondary_storage_gateway_ip)</f>
        <v>Value Missing</v>
      </c>
      <c r="AD41"/>
      <c r="AE41"/>
    </row>
    <row r="42" spans="2:31" s="3" customFormat="1" ht="20" customHeight="1">
      <c r="B42" s="21" t="s">
        <v>544</v>
      </c>
      <c r="C42" s="18" t="str">
        <f>IF(ISBLANK(input_mgmt_az1_uplink01_gateway_ip),"Value Missing",input_mgmt_az1_uplink01_gateway_ip)</f>
        <v>Value Missing</v>
      </c>
      <c r="E42" s="21" t="s">
        <v>544</v>
      </c>
      <c r="F42" s="18" t="str">
        <f>IF(ISBLANK(input_wld_az1_uplink01_gateway_ip),"Value Missing",input_wld_az1_uplink01_gateway_ip)</f>
        <v>Value Missing</v>
      </c>
      <c r="H42" s="21" t="s">
        <v>544</v>
      </c>
      <c r="I42" s="18" t="str">
        <f>IF(ISBLANK(input_wld_az1_rack2_uplink01_gateway_ip),"Value Missing",input_wld_az1_rack2_uplink01_gateway_ip)</f>
        <v>Value Missing</v>
      </c>
      <c r="K42" s="21" t="s">
        <v>544</v>
      </c>
      <c r="L42" s="18" t="str">
        <f>IF(ISBLANK(input_wld_az1_rack3_uplink01_gateway_ip),"Value Missing",input_wld_az1_rack3_uplink01_gateway_ip)</f>
        <v>Value Missing</v>
      </c>
      <c r="N42" s="21" t="s">
        <v>544</v>
      </c>
      <c r="O42" s="18" t="str">
        <f>IF(ISBLANK(input_wld_az1_rack4_uplink01_gateway_ip),"Value Missing",input_wld_az1_rack4_uplink01_gateway_ip)</f>
        <v>Value Missing</v>
      </c>
      <c r="Q42" s="21" t="s">
        <v>544</v>
      </c>
      <c r="R42" s="18" t="str">
        <f>IF(ISBLANK(input_wld_az1_rack5_uplink01_gateway_ip),"Value Missing",input_wld_az1_rack5_uplink01_gateway_ip)</f>
        <v>Value Missing</v>
      </c>
      <c r="T42" s="21" t="s">
        <v>544</v>
      </c>
      <c r="U42" s="18" t="str">
        <f>IF(ISBLANK(input_wld_az1_rack6_uplink01_gateway_ip),"Value Missing",input_wld_az1_rack6_uplink01_gateway_ip)</f>
        <v>Value Missing</v>
      </c>
      <c r="W42" s="21" t="s">
        <v>544</v>
      </c>
      <c r="X42" s="18" t="str">
        <f>IF(ISBLANK(input_wld_az1_rack7_uplink01_gateway_ip),"Value Missing",input_wld_az1_rack7_uplink01_gateway_ip)</f>
        <v>Value Missing</v>
      </c>
      <c r="Z42" s="21" t="s">
        <v>544</v>
      </c>
      <c r="AA42" s="18" t="str">
        <f>IF(ISBLANK(input_wld_az1_rack8_uplink01_gateway_ip),"Value Missing",input_wld_az1_rack8_uplink01_gateway_ip)</f>
        <v>Value Missing</v>
      </c>
      <c r="AD42"/>
      <c r="AE42"/>
    </row>
    <row r="43" spans="2:31" s="3" customFormat="1" ht="20" customHeight="1">
      <c r="B43" s="21" t="s">
        <v>545</v>
      </c>
      <c r="C43" s="18" t="str">
        <f>IF(ISBLANK(input_mgmt_az1_uplink02_gateway_ip),"Value Missing",input_mgmt_az1_uplink02_gateway_ip)</f>
        <v>Value Missing</v>
      </c>
      <c r="E43" s="21" t="s">
        <v>545</v>
      </c>
      <c r="F43" s="18" t="str">
        <f>IF(ISBLANK(input_wld_az1_uplink02_gateway_ip),"Value Missing",input_wld_az1_uplink02_gateway_ip)</f>
        <v>Value Missing</v>
      </c>
      <c r="H43" s="21" t="s">
        <v>545</v>
      </c>
      <c r="I43" s="18" t="str">
        <f>IF(ISBLANK(input_wld_az1_rack2_uplink02_gateway_ip),"Value Missing",input_wld_az1_rack2_uplink02_gateway_ip)</f>
        <v>Value Missing</v>
      </c>
      <c r="K43" s="21" t="s">
        <v>545</v>
      </c>
      <c r="L43" s="18" t="str">
        <f>IF(ISBLANK(input_wld_az1_rack3_uplink02_gateway_ip),"Value Missing",input_wld_az1_rack3_uplink02_gateway_ip)</f>
        <v>Value Missing</v>
      </c>
      <c r="N43" s="21" t="s">
        <v>545</v>
      </c>
      <c r="O43" s="18" t="str">
        <f>IF(ISBLANK(input_wld_az1_rack4_uplink02_gateway_ip),"Value Missing",input_wld_az1_rack4_uplink02_gateway_ip)</f>
        <v>Value Missing</v>
      </c>
      <c r="Q43" s="21" t="s">
        <v>545</v>
      </c>
      <c r="R43" s="18" t="str">
        <f>IF(ISBLANK(input_wld_az1_rack5_uplink02_gateway_ip),"Value Missing",input_wld_az1_rack5_uplink02_gateway_ip)</f>
        <v>Value Missing</v>
      </c>
      <c r="T43" s="21" t="s">
        <v>545</v>
      </c>
      <c r="U43" s="18" t="str">
        <f>IF(ISBLANK(input_wld_az1_rack6_uplink02_gateway_ip),"Value Missing",input_wld_az1_rack6_uplink02_gateway_ip)</f>
        <v>Value Missing</v>
      </c>
      <c r="W43" s="21" t="s">
        <v>545</v>
      </c>
      <c r="X43" s="18" t="str">
        <f>IF(ISBLANK(input_wld_az1_rack7_uplink02_gateway_ip),"Value Missing",input_wld_az1_rack7_uplink02_gateway_ip)</f>
        <v>Value Missing</v>
      </c>
      <c r="Z43" s="21" t="s">
        <v>545</v>
      </c>
      <c r="AA43" s="18" t="str">
        <f>IF(ISBLANK(input_wld_az1_rack8_uplink02_gateway_ip),"Value Missing",input_wld_az1_rack8_uplink02_gateway_ip)</f>
        <v>Value Missing</v>
      </c>
      <c r="AD43"/>
      <c r="AE43"/>
    </row>
    <row r="44" spans="2:31" s="3" customFormat="1" ht="20" customHeight="1">
      <c r="B44" s="21" t="s">
        <v>546</v>
      </c>
      <c r="C44" s="18" t="str">
        <f>IF(ISBLANK(input_mgmt_az1_edge_overlay_gateway_ip),"Value Missing",input_mgmt_az1_edge_overlay_gateway_ip)</f>
        <v>Value Missing</v>
      </c>
      <c r="E44" s="21" t="s">
        <v>546</v>
      </c>
      <c r="F44" s="18" t="str">
        <f>IF(ISBLANK(input_wld_az1_edge_overlay_gateway_ip),"Value Missing",input_wld_az1_edge_overlay_gateway_ip)</f>
        <v>Value Missing</v>
      </c>
      <c r="H44" s="21" t="s">
        <v>546</v>
      </c>
      <c r="I44" s="18" t="str">
        <f>IF(ISBLANK(input_wld_az1_rack2_edge_overlay_gateway_ip),"Value Missing",input_wld_az1_rack2_edge_overlay_gateway_ip)</f>
        <v>Value Missing</v>
      </c>
      <c r="K44" s="21" t="s">
        <v>546</v>
      </c>
      <c r="L44" s="18" t="str">
        <f>IF(ISBLANK(input_wld_az1_rack3_edge_overlay_gateway_ip),"Value Missing",input_wld_az1_rack3_edge_overlay_gateway_ip)</f>
        <v>Value Missing</v>
      </c>
      <c r="N44" s="21" t="s">
        <v>546</v>
      </c>
      <c r="O44" s="18" t="str">
        <f>IF(ISBLANK(input_wld_az1_rack4_edge_overlay_gateway_ip),"Value Missing",input_wld_az1_rack4_edge_overlay_gateway_ip)</f>
        <v>Value Missing</v>
      </c>
      <c r="Q44" s="21" t="s">
        <v>546</v>
      </c>
      <c r="R44" s="18" t="str">
        <f>IF(ISBLANK(input_wld_az1_rack5_edge_overlay_gateway_ip),"Value Missing",input_wld_az1_rack5_edge_overlay_gateway_ip)</f>
        <v>Value Missing</v>
      </c>
      <c r="T44" s="21" t="s">
        <v>546</v>
      </c>
      <c r="U44" s="18" t="str">
        <f>IF(ISBLANK(input_wld_az1_rack6_edge_overlay_gateway_ip),"Value Missing",input_wld_az1_rack6_edge_overlay_gateway_ip)</f>
        <v>Value Missing</v>
      </c>
      <c r="W44" s="21" t="s">
        <v>546</v>
      </c>
      <c r="X44" s="18" t="str">
        <f>IF(ISBLANK(input_wld_az1_rack7_edge_overlay_gateway_ip),"Value Missing",input_wld_az1_rack7_edge_overlay_gateway_ip)</f>
        <v>Value Missing</v>
      </c>
      <c r="Z44" s="21" t="s">
        <v>546</v>
      </c>
      <c r="AA44" s="18" t="str">
        <f>IF(ISBLANK(input_wld_az1_rack8_edge_overlay_gateway_ip),"Value Missing",input_wld_az1_rack8_edge_overlay_gateway_ip)</f>
        <v>Value Missing</v>
      </c>
      <c r="AD44"/>
      <c r="AE44"/>
    </row>
    <row r="45" spans="2:31" s="3" customFormat="1" ht="20" customHeight="1">
      <c r="B45" s="21" t="s">
        <v>547</v>
      </c>
      <c r="C45" s="18" t="str">
        <f>IF(ISBLANK(input_mgmt_az1_rtep_overlay_gateway_ip),"Value Missing",input_mgmt_az1_rtep_overlay_gateway_ip)</f>
        <v>Value Missing</v>
      </c>
      <c r="E45" s="21" t="s">
        <v>547</v>
      </c>
      <c r="F45" s="18" t="str">
        <f>IF(ISBLANK(input_wld_az1_rtep_overlay_gateway_ip),"Value Missing",input_wld_az1_rtep_overlay_gateway_ip)</f>
        <v>Value Missing</v>
      </c>
      <c r="H45" s="21" t="s">
        <v>547</v>
      </c>
      <c r="I45" s="18" t="str">
        <f>IF(ISBLANK(input_wld_az1_rack2_rtep_overlay_gateway_ip),"Value Missing",input_wld_az1_rack2_rtep_overlay_gateway_ip)</f>
        <v>Value Missing</v>
      </c>
      <c r="K45" s="21" t="s">
        <v>547</v>
      </c>
      <c r="L45" s="18" t="str">
        <f>IF(ISBLANK(input_wld_az1_rack3_rtep_overlay_gateway_ip),"Value Missing",input_wld_az1_rack3_rtep_overlay_gateway_ip)</f>
        <v>Value Missing</v>
      </c>
      <c r="N45" s="21" t="s">
        <v>547</v>
      </c>
      <c r="O45" s="18" t="str">
        <f>IF(ISBLANK(input_wld_az1_rack4_rtep_overlay_gateway_ip),"Value Missing",input_wld_az1_rack4_rtep_overlay_gateway_ip)</f>
        <v>Value Missing</v>
      </c>
      <c r="Q45" s="21" t="s">
        <v>547</v>
      </c>
      <c r="R45" s="18" t="str">
        <f>IF(ISBLANK(input_wld_az1_rack5_rtep_overlay_gateway_ip),"Value Missing",input_wld_az1_rack5_rtep_overlay_gateway_ip)</f>
        <v>Value Missing</v>
      </c>
      <c r="T45" s="21" t="s">
        <v>547</v>
      </c>
      <c r="U45" s="18" t="str">
        <f>IF(ISBLANK(input_wld_az1_rack6_rtep_overlay_gateway_ip),"Value Missing",input_wld_az1_rack6_rtep_overlay_gateway_ip)</f>
        <v>Value Missing</v>
      </c>
      <c r="W45" s="21" t="s">
        <v>547</v>
      </c>
      <c r="X45" s="18" t="str">
        <f>IF(ISBLANK(input_wld_az1_rack7_rtep_overlay_gateway_ip),"Value Missing",input_wld_az1_rack7_rtep_overlay_gateway_ip)</f>
        <v>Value Missing</v>
      </c>
      <c r="Z45" s="21" t="s">
        <v>547</v>
      </c>
      <c r="AA45" s="18" t="str">
        <f>IF(ISBLANK(input_wld_az1_rack8_rtep_overlay_gateway_ip),"Value Missing",input_wld_az1_rack8_rtep_overlay_gateway_ip)</f>
        <v>Value Missing</v>
      </c>
      <c r="AD45"/>
      <c r="AE45"/>
    </row>
    <row r="46" spans="2:31" s="3" customFormat="1" ht="20" customHeight="1">
      <c r="B46" s="21" t="s">
        <v>548</v>
      </c>
      <c r="C46" s="18" t="str">
        <f>IF(ISBLANK(input_mgmt_az1_vrms_gateway_ip),"Value Missing",input_mgmt_az1_vrms_gateway_ip)</f>
        <v>Value Missing</v>
      </c>
      <c r="E46" s="21" t="s">
        <v>548</v>
      </c>
      <c r="F46" s="18" t="str">
        <f>IF(ISBLANK(input_wld_az1_vrms_gateway_ip),"Value Missing",input_wld_az1_vrms_gateway_ip)</f>
        <v>Value Missing</v>
      </c>
      <c r="H46" s="21" t="s">
        <v>548</v>
      </c>
      <c r="I46" s="18" t="str">
        <f>IF(ISBLANK(input_wld_az1_rack2_vrms_gateway_ip),"Value Missing",input_wld_az1_rack2_vrms_gateway_ip)</f>
        <v>Value Missing</v>
      </c>
      <c r="K46" s="21" t="s">
        <v>548</v>
      </c>
      <c r="L46" s="18" t="str">
        <f>IF(ISBLANK(input_wld_az1_rack3_vrms_gateway_ip),"Value Missing",input_wld_az1_rack3_vrms_gateway_ip)</f>
        <v>Value Missing</v>
      </c>
      <c r="N46" s="21" t="s">
        <v>548</v>
      </c>
      <c r="O46" s="18" t="str">
        <f>IF(ISBLANK(input_wld_az1_rack4_vrms_gateway_ip),"Value Missing",input_wld_az1_rack4_vrms_gateway_ip)</f>
        <v>Value Missing</v>
      </c>
      <c r="Q46" s="21" t="s">
        <v>548</v>
      </c>
      <c r="R46" s="18" t="str">
        <f>IF(ISBLANK(input_wld_az1_rack5_vrms_gateway_ip),"Value Missing",input_wld_az1_rack5_vrms_gateway_ip)</f>
        <v>Value Missing</v>
      </c>
      <c r="T46" s="21" t="s">
        <v>548</v>
      </c>
      <c r="U46" s="18" t="str">
        <f>IF(ISBLANK(input_wld_az1_rack6_vrms_gateway_ip),"Value Missing",input_wld_az1_rack6_vrms_gateway_ip)</f>
        <v>Value Missing</v>
      </c>
      <c r="W46" s="21" t="s">
        <v>548</v>
      </c>
      <c r="X46" s="18" t="str">
        <f>IF(ISBLANK(input_wld_az1_rack7_vrms_gateway_ip),"Value Missing",input_wld_az1_rack7_vrms_gateway_ip)</f>
        <v>Value Missing</v>
      </c>
      <c r="Z46" s="21" t="s">
        <v>548</v>
      </c>
      <c r="AA46" s="18" t="str">
        <f>IF(ISBLANK(input_wld_az1_rack8_vrms_gateway_ip),"Value Missing",input_wld_az1_rack8_vrms_gateway_ip)</f>
        <v>Value Missing</v>
      </c>
      <c r="AD46"/>
    </row>
    <row r="47" spans="2:31" s="3" customFormat="1" ht="20" customHeight="1">
      <c r="AD47"/>
    </row>
    <row r="48" spans="2:31" s="3" customFormat="1" ht="20" customHeight="1">
      <c r="B48" s="184" t="s">
        <v>4109</v>
      </c>
      <c r="C48" s="188"/>
      <c r="E48" s="184" t="s">
        <v>4027</v>
      </c>
      <c r="F48" s="188"/>
      <c r="H48" s="184" t="s">
        <v>3900</v>
      </c>
      <c r="I48" s="188"/>
      <c r="K48" s="184" t="s">
        <v>3899</v>
      </c>
      <c r="L48" s="188"/>
      <c r="N48" s="184" t="s">
        <v>3898</v>
      </c>
      <c r="O48" s="188"/>
      <c r="Q48" s="184" t="s">
        <v>3897</v>
      </c>
      <c r="R48" s="188"/>
      <c r="T48" s="184" t="s">
        <v>3896</v>
      </c>
      <c r="U48" s="188"/>
      <c r="W48" s="184" t="s">
        <v>3895</v>
      </c>
      <c r="X48" s="188"/>
      <c r="Z48" s="184" t="s">
        <v>3894</v>
      </c>
      <c r="AA48" s="188"/>
      <c r="AD48"/>
    </row>
    <row r="49" spans="2:31" s="3" customFormat="1" ht="20" customHeight="1">
      <c r="B49" s="112" t="s">
        <v>735</v>
      </c>
      <c r="C49" s="113" t="s">
        <v>1230</v>
      </c>
      <c r="E49" s="112" t="s">
        <v>735</v>
      </c>
      <c r="F49" s="113" t="s">
        <v>1230</v>
      </c>
      <c r="H49" s="112" t="s">
        <v>735</v>
      </c>
      <c r="I49" s="113" t="s">
        <v>1230</v>
      </c>
      <c r="K49" s="112" t="s">
        <v>735</v>
      </c>
      <c r="L49" s="113" t="s">
        <v>1230</v>
      </c>
      <c r="N49" s="112" t="s">
        <v>735</v>
      </c>
      <c r="O49" s="113" t="s">
        <v>1230</v>
      </c>
      <c r="Q49" s="112" t="s">
        <v>735</v>
      </c>
      <c r="R49" s="113" t="s">
        <v>1230</v>
      </c>
      <c r="T49" s="112" t="s">
        <v>735</v>
      </c>
      <c r="U49" s="113" t="s">
        <v>1230</v>
      </c>
      <c r="W49" s="112" t="s">
        <v>735</v>
      </c>
      <c r="X49" s="113" t="s">
        <v>1230</v>
      </c>
      <c r="Z49" s="112" t="s">
        <v>735</v>
      </c>
      <c r="AA49" s="113" t="s">
        <v>1230</v>
      </c>
      <c r="AD49"/>
    </row>
    <row r="50" spans="2:31" s="3" customFormat="1" ht="20" customHeight="1">
      <c r="B50" s="21" t="s">
        <v>3184</v>
      </c>
      <c r="C50" s="18" t="str">
        <f>IF(ISBLANK(input_mgmt_az1_mgmt_vm_mtu),"Value Missing",input_mgmt_az1_mgmt_vm_mtu)</f>
        <v>Value Missing</v>
      </c>
      <c r="E50" s="21" t="s">
        <v>3184</v>
      </c>
      <c r="F50" s="18" t="str">
        <f>IF(ISBLANK(input_wld_az1_mgmt_vm_mtu),"Value Missing",input_wld_az1_mgmt_vm_mtu)</f>
        <v>Value Missing</v>
      </c>
      <c r="H50" s="21" t="s">
        <v>3184</v>
      </c>
      <c r="I50" s="18" t="str">
        <f>IF(ISBLANK(input_wld_az1_rack2_mgmt_vm_mtu),"Value Missing",input_wld_az1_rack2_mgmt_vm_mtu)</f>
        <v>Value Missing</v>
      </c>
      <c r="K50" s="21" t="s">
        <v>3184</v>
      </c>
      <c r="L50" s="18" t="str">
        <f>IF(ISBLANK(input_wld_az1_rack3_mgmt_vm_mtu),"Value Missing",input_wld_az1_rack3_mgmt_vm_mtu)</f>
        <v>Value Missing</v>
      </c>
      <c r="N50" s="21" t="s">
        <v>3184</v>
      </c>
      <c r="O50" s="18" t="str">
        <f>IF(ISBLANK(input_wld_az1_rack4_mgmt_vm_mtu),"Value Missing",input_wld_az1_rack4_mgmt_vm_mtu)</f>
        <v>Value Missing</v>
      </c>
      <c r="Q50" s="21" t="s">
        <v>3184</v>
      </c>
      <c r="R50" s="18" t="str">
        <f>IF(ISBLANK(input_wld_az1_rack5_mgmt_vm_mtu),"Value Missing",input_wld_az1_rack5_mgmt_vm_mtu)</f>
        <v>Value Missing</v>
      </c>
      <c r="T50" s="21" t="s">
        <v>3184</v>
      </c>
      <c r="U50" s="18" t="str">
        <f>IF(ISBLANK(input_wld_az1_rack6_mgmt_vm_mtu),"Value Missing",input_wld_az1_rack6_mgmt_vm_mtu)</f>
        <v>Value Missing</v>
      </c>
      <c r="W50" s="21" t="s">
        <v>3184</v>
      </c>
      <c r="X50" s="18" t="str">
        <f>IF(ISBLANK(input_wld_az1_rack7_mgmt_vm_mtu),"Value Missing",input_wld_az1_rack7_mgmt_vm_mtu)</f>
        <v>Value Missing</v>
      </c>
      <c r="Z50" s="21" t="s">
        <v>3184</v>
      </c>
      <c r="AA50" s="18" t="str">
        <f>IF(ISBLANK(input_wld_az1_rack8_mgmt_vm_mtu),"Value Missing",input_wld_az1_rack8_mgmt_vm_mtu)</f>
        <v>Value Missing</v>
      </c>
      <c r="AD50"/>
    </row>
    <row r="51" spans="2:31" s="3" customFormat="1" ht="20" customHeight="1">
      <c r="B51" s="21" t="s">
        <v>3185</v>
      </c>
      <c r="C51" s="18" t="str">
        <f>IF(ISBLANK(input_mgmt_az1_mgmt_mtu),"Value Missing",input_mgmt_az1_mgmt_mtu)</f>
        <v>Value Missing</v>
      </c>
      <c r="E51" s="21" t="s">
        <v>3185</v>
      </c>
      <c r="F51" s="18" t="str">
        <f>IF(ISBLANK(input_wld_az1_mgmt_mtu),"Value Missing",input_wld_az1_mgmt_mtu)</f>
        <v>Value Missing</v>
      </c>
      <c r="H51" s="21" t="s">
        <v>3185</v>
      </c>
      <c r="I51" s="18" t="str">
        <f>IF(ISBLANK(input_wld_az1_rack2_mgmt_mtu),"Value Missing",input_wld_az1_rack2_mgmt_mtu)</f>
        <v>Value Missing</v>
      </c>
      <c r="K51" s="21" t="s">
        <v>3185</v>
      </c>
      <c r="L51" s="18" t="str">
        <f>IF(ISBLANK(input_wld_az1_rack3_mgmt_mtu),"Value Missing",input_wld_az1_rack3_mgmt_mtu)</f>
        <v>Value Missing</v>
      </c>
      <c r="N51" s="21" t="s">
        <v>3185</v>
      </c>
      <c r="O51" s="18" t="str">
        <f>IF(ISBLANK(input_wld_az1_rack4_mgmt_mtu),"Value Missing",input_wld_az1_rack4_mgmt_mtu)</f>
        <v>Value Missing</v>
      </c>
      <c r="Q51" s="21" t="s">
        <v>3185</v>
      </c>
      <c r="R51" s="18" t="str">
        <f>IF(ISBLANK(input_wld_az1_rack5_mgmt_mtu),"Value Missing",input_wld_az1_rack5_mgmt_mtu)</f>
        <v>Value Missing</v>
      </c>
      <c r="T51" s="21" t="s">
        <v>3185</v>
      </c>
      <c r="U51" s="18" t="str">
        <f>IF(ISBLANK(input_wld_az1_rack6_mgmt_mtu),"Value Missing",input_wld_az1_rack6_mgmt_mtu)</f>
        <v>Value Missing</v>
      </c>
      <c r="W51" s="21" t="s">
        <v>3185</v>
      </c>
      <c r="X51" s="18" t="str">
        <f>IF(ISBLANK(input_wld_az1_rack7_mgmt_mtu),"Value Missing",input_wld_az1_rack7_mgmt_mtu)</f>
        <v>Value Missing</v>
      </c>
      <c r="Z51" s="21" t="s">
        <v>3185</v>
      </c>
      <c r="AA51" s="18" t="str">
        <f>IF(ISBLANK(input_wld_az1_rack8_mgmt_mtu),"Value Missing",input_wld_az1_rack8_mgmt_mtu)</f>
        <v>Value Missing</v>
      </c>
      <c r="AD51"/>
    </row>
    <row r="52" spans="2:31" s="3" customFormat="1" ht="20" customHeight="1">
      <c r="B52" s="21" t="s">
        <v>540</v>
      </c>
      <c r="C52" s="18" t="str">
        <f>IF(ISBLANK(input_mgmt_az1_vmotion_mtu),"Value Missing",input_mgmt_az1_vmotion_mtu)</f>
        <v>Value Missing</v>
      </c>
      <c r="E52" s="21" t="s">
        <v>540</v>
      </c>
      <c r="F52" s="18" t="str">
        <f>IF(ISBLANK(input_wld_az1_vmotion_mtu),"Value Missing",input_wld_az1_vmotion_mtu)</f>
        <v>Value Missing</v>
      </c>
      <c r="H52" s="21" t="s">
        <v>540</v>
      </c>
      <c r="I52" s="18" t="str">
        <f>IF(ISBLANK(input_wld_az1_rack2_vmotion_mtu),"Value Missing",input_wld_az1_rack2_vmotion_mtu)</f>
        <v>Value Missing</v>
      </c>
      <c r="K52" s="21" t="s">
        <v>540</v>
      </c>
      <c r="L52" s="18" t="str">
        <f>IF(ISBLANK(input_wld_az1_rack3_vmotion_mtu),"Value Missing",input_wld_az1_rack3_vmotion_mtu)</f>
        <v>Value Missing</v>
      </c>
      <c r="N52" s="21" t="s">
        <v>540</v>
      </c>
      <c r="O52" s="18" t="str">
        <f>IF(ISBLANK(input_wld_az1_rack4_vmotion_mtu),"Value Missing",input_wld_az1_rack4_vmotion_mtu)</f>
        <v>Value Missing</v>
      </c>
      <c r="Q52" s="21" t="s">
        <v>540</v>
      </c>
      <c r="R52" s="18" t="str">
        <f>IF(ISBLANK(input_wld_az1_rack5_vmotion_mtu),"Value Missing",input_wld_az1_rack5_vmotion_mtu)</f>
        <v>Value Missing</v>
      </c>
      <c r="T52" s="21" t="s">
        <v>540</v>
      </c>
      <c r="U52" s="18" t="str">
        <f>IF(ISBLANK(input_wld_az1_rack6_vmotion_mtu),"Value Missing",input_wld_az1_rack6_vmotion_mtu)</f>
        <v>Value Missing</v>
      </c>
      <c r="W52" s="21" t="s">
        <v>540</v>
      </c>
      <c r="X52" s="18" t="str">
        <f>IF(ISBLANK(input_wld_az1_rack7_vmotion_mtu),"Value Missing",input_wld_az1_rack7_vmotion_mtu)</f>
        <v>Value Missing</v>
      </c>
      <c r="Z52" s="21" t="s">
        <v>540</v>
      </c>
      <c r="AA52" s="18" t="str">
        <f>IF(ISBLANK(input_wld_az1_rack8_vmotion_mtu),"Value Missing",input_wld_az1_rack8_vmotion_mtu)</f>
        <v>Value Missing</v>
      </c>
      <c r="AD52"/>
    </row>
    <row r="53" spans="2:31" s="3" customFormat="1" ht="20" customHeight="1">
      <c r="B53" s="52" t="str">
        <f>"Principal Storage Network ("&amp;wld_principal_storage_chosen&amp;")"</f>
        <v>Principal Storage Network (vSAN-ESA)</v>
      </c>
      <c r="C53" s="18" t="str">
        <f>IF(ISBLANK(input_mgmt_az1_vsan_mtu),"Value Missing",input_mgmt_az1_vsan_mtu)</f>
        <v>Value Missing</v>
      </c>
      <c r="E53" s="52" t="str">
        <f>"Principal Storage Network ("&amp;wld_principal_storage_chosen&amp;")"</f>
        <v>Principal Storage Network (vSAN-ESA)</v>
      </c>
      <c r="F53" s="18" t="str">
        <f>IF(ISBLANK(input_wld_az1_principal_storage_mtu),"Value Missing",input_wld_az1_principal_storage_mtu)</f>
        <v>Value Missing</v>
      </c>
      <c r="H53" s="52" t="str">
        <f>"Principal Storage Network ("&amp;wld_principal_storage_chosen&amp;")"</f>
        <v>Principal Storage Network (vSAN-ESA)</v>
      </c>
      <c r="I53" s="18" t="str">
        <f>IF(ISBLANK(input_wld_az1_rack2_principal_storage_mtu),"Value Missing",input_wld_az1_rack2_principal_storage_mtu)</f>
        <v>Value Missing</v>
      </c>
      <c r="K53" s="52" t="str">
        <f>"Principal Storage Network ("&amp;wld_principal_storage_chosen&amp;")"</f>
        <v>Principal Storage Network (vSAN-ESA)</v>
      </c>
      <c r="L53" s="18" t="str">
        <f>IF(ISBLANK(input_wld_az1_rack3_principal_storage_mtu),"Value Missing",input_wld_az1_rack3_principal_storage_mtu)</f>
        <v>Value Missing</v>
      </c>
      <c r="N53" s="52" t="str">
        <f>"Principal Storage Network ("&amp;wld_principal_storage_chosen&amp;")"</f>
        <v>Principal Storage Network (vSAN-ESA)</v>
      </c>
      <c r="O53" s="18" t="str">
        <f>IF(ISBLANK(input_wld_az1_rack4_principal_storage_mtu),"Value Missing",input_wld_az1_rack4_principal_storage_mtu)</f>
        <v>Value Missing</v>
      </c>
      <c r="Q53" s="52" t="str">
        <f>"Principal Storage Network ("&amp;wld_principal_storage_chosen&amp;")"</f>
        <v>Principal Storage Network (vSAN-ESA)</v>
      </c>
      <c r="R53" s="18" t="str">
        <f>IF(ISBLANK(input_wld_az1_rack5_principal_storage_mtu),"Value Missing",input_wld_az1_rack5_principal_storage_mtu)</f>
        <v>Value Missing</v>
      </c>
      <c r="T53" s="52" t="str">
        <f>"Principal Storage Network ("&amp;wld_principal_storage_chosen&amp;")"</f>
        <v>Principal Storage Network (vSAN-ESA)</v>
      </c>
      <c r="U53" s="18" t="str">
        <f>IF(ISBLANK(input_wld_az1_rack6_principal_storage_mtu),"Value Missing",input_wld_az1_rack6_principal_storage_mtu)</f>
        <v>Value Missing</v>
      </c>
      <c r="W53" s="52" t="str">
        <f>"Principal Storage Network ("&amp;wld_principal_storage_chosen&amp;")"</f>
        <v>Principal Storage Network (vSAN-ESA)</v>
      </c>
      <c r="X53" s="18" t="str">
        <f>IF(ISBLANK(input_wld_az1_rack7_principal_storage_mtu),"Value Missing",input_wld_az1_rack7_principal_storage_mtu)</f>
        <v>Value Missing</v>
      </c>
      <c r="Z53" s="52" t="str">
        <f>"Principal Storage Network ("&amp;wld_principal_storage_chosen&amp;")"</f>
        <v>Principal Storage Network (vSAN-ESA)</v>
      </c>
      <c r="AA53" s="18" t="str">
        <f>IF(ISBLANK(input_wld_az1_rack8_principal_storage_mtu),"Value Missing",input_wld_az1_rack8_principal_storage_mtu)</f>
        <v>Value Missing</v>
      </c>
      <c r="AD53"/>
    </row>
    <row r="54" spans="2:31" s="3" customFormat="1" ht="20" customHeight="1">
      <c r="B54" s="21" t="s">
        <v>543</v>
      </c>
      <c r="C54" s="18" t="str">
        <f>IF(ISBLANK(input_mgmt_az1_host_overlay_mtu),"Value Missing",input_mgmt_az1_host_overlay_mtu)</f>
        <v>Value Missing</v>
      </c>
      <c r="E54" s="21" t="s">
        <v>543</v>
      </c>
      <c r="F54" s="18" t="str">
        <f>IF(ISBLANK(input_wld_az1_host_overlay_mtu),"Value Missing",input_wld_az1_host_overlay_mtu)</f>
        <v>Value Missing</v>
      </c>
      <c r="H54" s="21" t="s">
        <v>543</v>
      </c>
      <c r="I54" s="18" t="str">
        <f>IF(ISBLANK(input_wld_az1_rack2_host_overlay_mtu),"Value Missing",input_wld_az1_rack2_host_overlay_mtu)</f>
        <v>Value Missing</v>
      </c>
      <c r="K54" s="21" t="s">
        <v>543</v>
      </c>
      <c r="L54" s="18" t="str">
        <f>IF(ISBLANK(input_wld_az1_rack3_host_overlay_mtu),"Value Missing",input_wld_az1_rack3_host_overlay_mtu)</f>
        <v>Value Missing</v>
      </c>
      <c r="N54" s="21" t="s">
        <v>543</v>
      </c>
      <c r="O54" s="18" t="str">
        <f>IF(ISBLANK(input_wld_az1_rack4_host_overlay_mtu),"Value Missing",input_wld_az1_rack4_host_overlay_mtu)</f>
        <v>Value Missing</v>
      </c>
      <c r="Q54" s="21" t="s">
        <v>543</v>
      </c>
      <c r="R54" s="18" t="str">
        <f>IF(ISBLANK(input_wld_az1_rack5_host_overlay_mtu),"Value Missing",input_wld_az1_rack5_host_overlay_mtu)</f>
        <v>Value Missing</v>
      </c>
      <c r="T54" s="21" t="s">
        <v>543</v>
      </c>
      <c r="U54" s="18" t="str">
        <f>IF(ISBLANK(input_wld_az1_rack6_host_overlay_mtu),"Value Missing",input_wld_az1_rack6_host_overlay_mtu)</f>
        <v>Value Missing</v>
      </c>
      <c r="W54" s="21" t="s">
        <v>543</v>
      </c>
      <c r="X54" s="18" t="str">
        <f>IF(ISBLANK(input_wld_az1_rack7_host_overlay_mtu),"Value Missing",input_wld_az1_rack7_host_overlay_mtu)</f>
        <v>Value Missing</v>
      </c>
      <c r="Z54" s="21" t="s">
        <v>543</v>
      </c>
      <c r="AA54" s="18" t="str">
        <f>IF(ISBLANK(input_wld_az1_rack8_host_overlay_mtu),"Value Missing",input_wld_az1_rack8_host_overlay_mtu)</f>
        <v>Value Missing</v>
      </c>
      <c r="AD54"/>
    </row>
    <row r="55" spans="2:31" s="3" customFormat="1" ht="20" customHeight="1">
      <c r="B55" s="40" t="s">
        <v>566</v>
      </c>
      <c r="C55" s="18" t="s">
        <v>452</v>
      </c>
      <c r="E55" s="21" t="s">
        <v>566</v>
      </c>
      <c r="F55" s="18" t="str">
        <f>IF(ISBLANK(input_wld_az1_secondary_storage_mtu),"Value Missing",input_wld_az1_secondary_storage_mtu)</f>
        <v>Value Missing</v>
      </c>
      <c r="H55" s="21" t="s">
        <v>566</v>
      </c>
      <c r="I55" s="18" t="str">
        <f>IF(ISBLANK(input_wld_az1_rack2_secondary_storage_mtu),"Value Missing",input_wld_az1_rack2_secondary_storage_mtu)</f>
        <v>Value Missing</v>
      </c>
      <c r="K55" s="21" t="s">
        <v>566</v>
      </c>
      <c r="L55" s="18" t="str">
        <f>IF(ISBLANK(input_wld_az1_rack3_secondary_storage_mtu),"Value Missing",input_wld_az1_rack3_secondary_storage_mtu)</f>
        <v>Value Missing</v>
      </c>
      <c r="N55" s="21" t="s">
        <v>566</v>
      </c>
      <c r="O55" s="18" t="str">
        <f>IF(ISBLANK(input_wld_az1_rack4_secondary_storage_mtu),"Value Missing",input_wld_az1_rack4_secondary_storage_mtu)</f>
        <v>Value Missing</v>
      </c>
      <c r="Q55" s="21" t="s">
        <v>566</v>
      </c>
      <c r="R55" s="18" t="str">
        <f>IF(ISBLANK(input_wld_az1_rack5_secondary_storage_mtu),"Value Missing",input_wld_az1_rack5_secondary_storage_mtu)</f>
        <v>Value Missing</v>
      </c>
      <c r="T55" s="21" t="s">
        <v>566</v>
      </c>
      <c r="U55" s="18" t="str">
        <f>IF(ISBLANK(input_wld_az1_rack6_secondary_storage_mtu),"Value Missing",input_wld_az1_rack6_secondary_storage_mtu)</f>
        <v>Value Missing</v>
      </c>
      <c r="W55" s="21" t="s">
        <v>566</v>
      </c>
      <c r="X55" s="18" t="str">
        <f>IF(ISBLANK(input_wld_az1_rack7_secondary_storage_mtu),"Value Missing",input_wld_az1_rack7_secondary_storage_mtu)</f>
        <v>Value Missing</v>
      </c>
      <c r="Z55" s="21" t="s">
        <v>566</v>
      </c>
      <c r="AA55" s="18" t="str">
        <f>IF(ISBLANK(input_wld_az1_rack8_secondary_storage_mtu),"Value Missing",input_wld_az1_rack8_secondary_storage_mtu)</f>
        <v>Value Missing</v>
      </c>
      <c r="AD55"/>
    </row>
    <row r="56" spans="2:31" s="3" customFormat="1" ht="20" customHeight="1">
      <c r="B56" s="21" t="s">
        <v>544</v>
      </c>
      <c r="C56" s="18" t="str">
        <f>IF(ISBLANK(input_mgmt_az1_uplink01_mtu),"Value Missing",input_mgmt_az1_uplink01_mtu)</f>
        <v>Value Missing</v>
      </c>
      <c r="E56" s="21" t="s">
        <v>544</v>
      </c>
      <c r="F56" s="18" t="str">
        <f>IF(ISBLANK(input_wld_az1_uplink01_mtu),"Value Missing",input_wld_az1_uplink01_mtu)</f>
        <v>Value Missing</v>
      </c>
      <c r="H56" s="21" t="s">
        <v>544</v>
      </c>
      <c r="I56" s="18" t="str">
        <f>IF(ISBLANK(input_wld_az1_rack2_uplink01_mtu),"Value Missing",input_wld_az1_rack2_uplink01_mtu)</f>
        <v>Value Missing</v>
      </c>
      <c r="K56" s="21" t="s">
        <v>544</v>
      </c>
      <c r="L56" s="18" t="str">
        <f>IF(ISBLANK(input_wld_az1_rack3_uplink01_mtu),"Value Missing",input_wld_az1_rack3_uplink01_mtu)</f>
        <v>Value Missing</v>
      </c>
      <c r="N56" s="21" t="s">
        <v>544</v>
      </c>
      <c r="O56" s="18" t="str">
        <f>IF(ISBLANK(input_wld_az1_rack4_uplink01_mtu),"Value Missing",input_wld_az1_rack4_uplink01_mtu)</f>
        <v>Value Missing</v>
      </c>
      <c r="Q56" s="21" t="s">
        <v>544</v>
      </c>
      <c r="R56" s="18" t="str">
        <f>IF(ISBLANK(input_wld_az1_rack5_uplink01_mtu),"Value Missing",input_wld_az1_rack5_uplink01_mtu)</f>
        <v>Value Missing</v>
      </c>
      <c r="T56" s="21" t="s">
        <v>544</v>
      </c>
      <c r="U56" s="18" t="str">
        <f>IF(ISBLANK(input_wld_az1_rack6_uplink01_mtu),"Value Missing",input_wld_az1_rack6_uplink01_mtu)</f>
        <v>Value Missing</v>
      </c>
      <c r="W56" s="21" t="s">
        <v>544</v>
      </c>
      <c r="X56" s="18" t="str">
        <f>IF(ISBLANK(input_wld_az1_rack7_uplink01_mtu),"Value Missing",input_wld_az1_rack7_uplink01_mtu)</f>
        <v>Value Missing</v>
      </c>
      <c r="Z56" s="21" t="s">
        <v>544</v>
      </c>
      <c r="AA56" s="18" t="str">
        <f>IF(ISBLANK(input_wld_az1_rack8_uplink01_mtu),"Value Missing",input_wld_az1_rack8_uplink01_mtu)</f>
        <v>Value Missing</v>
      </c>
      <c r="AD56"/>
    </row>
    <row r="57" spans="2:31" s="3" customFormat="1" ht="20" customHeight="1">
      <c r="B57" s="21" t="s">
        <v>545</v>
      </c>
      <c r="C57" s="18" t="str">
        <f>IF(ISBLANK(input_mgmt_az1_uplink02_mtu),"Value Missing",input_mgmt_az1_uplink02_mtu)</f>
        <v>Value Missing</v>
      </c>
      <c r="E57" s="21" t="s">
        <v>545</v>
      </c>
      <c r="F57" s="18" t="str">
        <f>IF(ISBLANK(input_wld_az1_uplink02_mtu),"Value Missing",input_wld_az1_uplink02_mtu)</f>
        <v>Value Missing</v>
      </c>
      <c r="H57" s="21" t="s">
        <v>545</v>
      </c>
      <c r="I57" s="18" t="str">
        <f>IF(ISBLANK(input_wld_az1_rack2_uplink02_mtu),"Value Missing",input_wld_az1_rack2_uplink02_mtu)</f>
        <v>Value Missing</v>
      </c>
      <c r="K57" s="21" t="s">
        <v>545</v>
      </c>
      <c r="L57" s="18" t="str">
        <f>IF(ISBLANK(input_wld_az1_rack3_uplink02_mtu),"Value Missing",input_wld_az1_rack3_uplink02_mtu)</f>
        <v>Value Missing</v>
      </c>
      <c r="N57" s="21" t="s">
        <v>545</v>
      </c>
      <c r="O57" s="18" t="str">
        <f>IF(ISBLANK(input_wld_az1_rack4_uplink02_mtu),"Value Missing",input_wld_az1_rack4_uplink02_mtu)</f>
        <v>Value Missing</v>
      </c>
      <c r="Q57" s="21" t="s">
        <v>545</v>
      </c>
      <c r="R57" s="18" t="str">
        <f>IF(ISBLANK(input_wld_az1_rack5_uplink02_mtu),"Value Missing",input_wld_az1_rack5_uplink02_mtu)</f>
        <v>Value Missing</v>
      </c>
      <c r="T57" s="21" t="s">
        <v>545</v>
      </c>
      <c r="U57" s="18" t="str">
        <f>IF(ISBLANK(input_wld_az1_rack6_uplink02_mtu),"Value Missing",input_wld_az1_rack6_uplink02_mtu)</f>
        <v>Value Missing</v>
      </c>
      <c r="W57" s="21" t="s">
        <v>545</v>
      </c>
      <c r="X57" s="18" t="str">
        <f>IF(ISBLANK(input_wld_az1_rack7_uplink02_mtu),"Value Missing",input_wld_az1_rack7_uplink02_mtu)</f>
        <v>Value Missing</v>
      </c>
      <c r="Z57" s="21" t="s">
        <v>545</v>
      </c>
      <c r="AA57" s="18" t="str">
        <f>IF(ISBLANK(input_wld_az1_rack8_uplink02_mtu),"Value Missing",input_wld_az1_rack8_uplink02_mtu)</f>
        <v>Value Missing</v>
      </c>
      <c r="AD57"/>
    </row>
    <row r="58" spans="2:31" s="3" customFormat="1" ht="20" customHeight="1">
      <c r="B58" s="21" t="s">
        <v>546</v>
      </c>
      <c r="C58" s="18" t="str">
        <f>IF(ISBLANK(input_mgmt_az1_edge_overlay_mtu),"Value Missing",input_mgmt_az1_edge_overlay_mtu)</f>
        <v>Value Missing</v>
      </c>
      <c r="E58" s="21" t="s">
        <v>546</v>
      </c>
      <c r="F58" s="18" t="str">
        <f>IF(ISBLANK(input_wld_az1_edge_overlay_mtu),"Value Missing",input_wld_az1_edge_overlay_mtu)</f>
        <v>Value Missing</v>
      </c>
      <c r="H58" s="21" t="s">
        <v>546</v>
      </c>
      <c r="I58" s="18" t="str">
        <f>IF(ISBLANK(input_wld_az1_rack2_edge_overlay_mtu),"Value Missing",input_wld_az1_rack2_edge_overlay_mtu)</f>
        <v>Value Missing</v>
      </c>
      <c r="K58" s="21" t="s">
        <v>546</v>
      </c>
      <c r="L58" s="18" t="str">
        <f>IF(ISBLANK(input_wld_az1_rack3_edge_overlay_mtu),"Value Missing",input_wld_az1_rack3_edge_overlay_mtu)</f>
        <v>Value Missing</v>
      </c>
      <c r="N58" s="21" t="s">
        <v>546</v>
      </c>
      <c r="O58" s="18" t="str">
        <f>IF(ISBLANK(input_wld_az1_rack4_edge_overlay_mtu),"Value Missing",input_wld_az1_rack4_edge_overlay_mtu)</f>
        <v>Value Missing</v>
      </c>
      <c r="Q58" s="21" t="s">
        <v>546</v>
      </c>
      <c r="R58" s="18" t="str">
        <f>IF(ISBLANK(input_wld_az1_rack5_edge_overlay_mtu),"Value Missing",input_wld_az1_rack5_edge_overlay_mtu)</f>
        <v>Value Missing</v>
      </c>
      <c r="T58" s="21" t="s">
        <v>546</v>
      </c>
      <c r="U58" s="18" t="str">
        <f>IF(ISBLANK(input_wld_az1_rack6_edge_overlay_mtu),"Value Missing",input_wld_az1_rack6_edge_overlay_mtu)</f>
        <v>Value Missing</v>
      </c>
      <c r="W58" s="21" t="s">
        <v>546</v>
      </c>
      <c r="X58" s="18" t="str">
        <f>IF(ISBLANK(input_wld_az1_rack7_edge_overlay_mtu),"Value Missing",input_wld_az1_rack7_edge_overlay_mtu)</f>
        <v>Value Missing</v>
      </c>
      <c r="Z58" s="21" t="s">
        <v>546</v>
      </c>
      <c r="AA58" s="18" t="str">
        <f>IF(ISBLANK(input_wld_az1_rack8_edge_overlay_mtu),"Value Missing",input_wld_az1_rack8_edge_overlay_mtu)</f>
        <v>Value Missing</v>
      </c>
      <c r="AD58"/>
    </row>
    <row r="59" spans="2:31" s="3" customFormat="1" ht="20" customHeight="1">
      <c r="B59" s="21" t="s">
        <v>547</v>
      </c>
      <c r="C59" s="18" t="str">
        <f>IF(ISBLANK(input_mgmt_az1_rtep_overlay_mtu),"Value Missing",input_mgmt_az1_rtep_overlay_mtu)</f>
        <v>Value Missing</v>
      </c>
      <c r="E59" s="21" t="s">
        <v>547</v>
      </c>
      <c r="F59" s="18" t="str">
        <f>IF(ISBLANK(input_wld_az1_rtep_overlay_mtu),"Value Missing",input_wld_az1_rtep_overlay_mtu)</f>
        <v>Value Missing</v>
      </c>
      <c r="H59" s="21" t="s">
        <v>547</v>
      </c>
      <c r="I59" s="18" t="str">
        <f>IF(ISBLANK(input_wld_az1_rack2_rtep_overlay_mtu),"Value Missing",input_wld_az1_rack2_rtep_overlay_mtu)</f>
        <v>Value Missing</v>
      </c>
      <c r="K59" s="21" t="s">
        <v>547</v>
      </c>
      <c r="L59" s="18" t="str">
        <f>IF(ISBLANK(input_wld_az1_rack3_rtep_overlay_mtu),"Value Missing",input_wld_az1_rack3_rtep_overlay_mtu)</f>
        <v>Value Missing</v>
      </c>
      <c r="N59" s="21" t="s">
        <v>547</v>
      </c>
      <c r="O59" s="18" t="str">
        <f>IF(ISBLANK(input_wld_az1_rack4_rtep_overlay_mtu),"Value Missing",input_wld_az1_rack4_rtep_overlay_mtu)</f>
        <v>Value Missing</v>
      </c>
      <c r="Q59" s="21" t="s">
        <v>547</v>
      </c>
      <c r="R59" s="18" t="str">
        <f>IF(ISBLANK(input_wld_az1_rack5_rtep_overlay_mtu),"Value Missing",input_wld_az1_rack5_rtep_overlay_mtu)</f>
        <v>Value Missing</v>
      </c>
      <c r="T59" s="21" t="s">
        <v>547</v>
      </c>
      <c r="U59" s="18" t="str">
        <f>IF(ISBLANK(input_wld_az1_rack6_rtep_overlay_mtu),"Value Missing",input_wld_az1_rack6_rtep_overlay_mtu)</f>
        <v>Value Missing</v>
      </c>
      <c r="W59" s="21" t="s">
        <v>547</v>
      </c>
      <c r="X59" s="18" t="str">
        <f>IF(ISBLANK(input_wld_az1_rack7_rtep_overlay_mtu),"Value Missing",input_wld_az1_rack7_rtep_overlay_mtu)</f>
        <v>Value Missing</v>
      </c>
      <c r="Z59" s="21" t="s">
        <v>547</v>
      </c>
      <c r="AA59" s="18" t="str">
        <f>IF(ISBLANK(input_wld_az1_rack8_rtep_overlay_mtu),"Value Missing",input_wld_az1_rack8_rtep_overlay_mtu)</f>
        <v>Value Missing</v>
      </c>
      <c r="AD59"/>
    </row>
    <row r="60" spans="2:31" s="3" customFormat="1" ht="20" customHeight="1">
      <c r="B60" s="21" t="s">
        <v>548</v>
      </c>
      <c r="C60" s="18" t="str">
        <f>IF(ISBLANK(input_mgmt_az1_vrms_mtu),"Value Missing",input_mgmt_az1_vrms_mtu)</f>
        <v>Value Missing</v>
      </c>
      <c r="E60" s="21" t="s">
        <v>548</v>
      </c>
      <c r="F60" s="18" t="str">
        <f>IF(ISBLANK(input_wld_az1_vrms_mtu),"Value Missing",input_wld_az1_vrms_mtu)</f>
        <v>Value Missing</v>
      </c>
      <c r="H60" s="21" t="s">
        <v>548</v>
      </c>
      <c r="I60" s="18" t="str">
        <f>IF(ISBLANK(input_wld_az1_rack2_vrms_mtu),"Value Missing",input_wld_az1_rack2_vrms_mtu)</f>
        <v>Value Missing</v>
      </c>
      <c r="K60" s="21" t="s">
        <v>548</v>
      </c>
      <c r="L60" s="18" t="str">
        <f>IF(ISBLANK(input_wld_az1_rack3_vrms_mtu),"Value Missing",input_wld_az1_rack3_vrms_mtu)</f>
        <v>Value Missing</v>
      </c>
      <c r="N60" s="21" t="s">
        <v>548</v>
      </c>
      <c r="O60" s="18" t="str">
        <f>IF(ISBLANK(input_wld_az1_rack4_vrms_mtu),"Value Missing",input_wld_az1_rack4_vrms_mtu)</f>
        <v>Value Missing</v>
      </c>
      <c r="Q60" s="21" t="s">
        <v>548</v>
      </c>
      <c r="R60" s="18" t="str">
        <f>IF(ISBLANK(input_wld_az1_rack5_vrms_mtu),"Value Missing",input_wld_az1_rack5_vrms_mtu)</f>
        <v>Value Missing</v>
      </c>
      <c r="T60" s="21" t="s">
        <v>548</v>
      </c>
      <c r="U60" s="18" t="str">
        <f>IF(ISBLANK(input_wld_az1_rack6_vrms_mtu),"Value Missing",input_wld_az1_rack6_vrms_mtu)</f>
        <v>Value Missing</v>
      </c>
      <c r="W60" s="21" t="s">
        <v>548</v>
      </c>
      <c r="X60" s="18" t="str">
        <f>IF(ISBLANK(input_wld_az1_rack7_vrms_mtu),"Value Missing",input_wld_az1_rack7_vrms_mtu)</f>
        <v>Value Missing</v>
      </c>
      <c r="Z60" s="21" t="s">
        <v>548</v>
      </c>
      <c r="AA60" s="18" t="str">
        <f>IF(ISBLANK(input_wld_az1_rack8_vrms_mtu),"Value Missing",input_wld_az1_rack8_vrms_mtu)</f>
        <v>Value Missing</v>
      </c>
      <c r="AD60"/>
    </row>
    <row r="61" spans="2:31" s="3" customFormat="1" ht="20" customHeight="1">
      <c r="AD61"/>
    </row>
    <row r="62" spans="2:31" s="3" customFormat="1" ht="20" customHeight="1">
      <c r="B62" s="184" t="s">
        <v>4110</v>
      </c>
      <c r="C62" s="188"/>
      <c r="E62" s="184" t="s">
        <v>4028</v>
      </c>
      <c r="F62" s="188"/>
      <c r="H62" s="184" t="s">
        <v>3893</v>
      </c>
      <c r="I62" s="188"/>
      <c r="K62" s="184" t="s">
        <v>3892</v>
      </c>
      <c r="L62" s="188"/>
      <c r="N62" s="184" t="s">
        <v>3891</v>
      </c>
      <c r="O62" s="188"/>
      <c r="Q62" s="184" t="s">
        <v>3890</v>
      </c>
      <c r="R62" s="188"/>
      <c r="T62" s="184" t="s">
        <v>3889</v>
      </c>
      <c r="U62" s="188"/>
      <c r="W62" s="184" t="s">
        <v>3888</v>
      </c>
      <c r="X62" s="188"/>
      <c r="Z62" s="184" t="s">
        <v>3887</v>
      </c>
      <c r="AA62" s="188"/>
      <c r="AD62"/>
    </row>
    <row r="63" spans="2:31" s="3" customFormat="1" ht="20" customHeight="1">
      <c r="B63" s="112" t="s">
        <v>735</v>
      </c>
      <c r="C63" s="113" t="s">
        <v>1230</v>
      </c>
      <c r="E63" s="112" t="s">
        <v>735</v>
      </c>
      <c r="F63" s="113" t="s">
        <v>1230</v>
      </c>
      <c r="H63" s="112" t="s">
        <v>735</v>
      </c>
      <c r="I63" s="113" t="s">
        <v>1230</v>
      </c>
      <c r="K63" s="112" t="s">
        <v>735</v>
      </c>
      <c r="L63" s="113" t="s">
        <v>1230</v>
      </c>
      <c r="N63" s="112" t="s">
        <v>735</v>
      </c>
      <c r="O63" s="113" t="s">
        <v>1230</v>
      </c>
      <c r="Q63" s="112" t="s">
        <v>735</v>
      </c>
      <c r="R63" s="113" t="s">
        <v>1230</v>
      </c>
      <c r="T63" s="112" t="s">
        <v>735</v>
      </c>
      <c r="U63" s="113" t="s">
        <v>1230</v>
      </c>
      <c r="W63" s="112" t="s">
        <v>735</v>
      </c>
      <c r="X63" s="113" t="s">
        <v>1230</v>
      </c>
      <c r="Z63" s="112" t="s">
        <v>735</v>
      </c>
      <c r="AA63" s="113" t="s">
        <v>1230</v>
      </c>
      <c r="AD63"/>
    </row>
    <row r="64" spans="2:31" s="3" customFormat="1" ht="20" customHeight="1">
      <c r="B64" s="21" t="s">
        <v>556</v>
      </c>
      <c r="C64" s="18" t="str">
        <f>IF(ISBLANK(input_mgmt_en_asn),"Value Missing",input_mgmt_en_asn)</f>
        <v>Value Missing</v>
      </c>
      <c r="E64" s="21" t="s">
        <v>556</v>
      </c>
      <c r="F64" s="18" t="str">
        <f>IF(ISBLANK(input_wld_en_asn),"Value Missing",input_wld_en_asn)</f>
        <v>Value Missing</v>
      </c>
      <c r="H64" s="21" t="s">
        <v>556</v>
      </c>
      <c r="I64" s="18" t="str">
        <f>IF(ISBLANK(input_wld_rack2_en_asn),"Value Missing",input_wld_rack2_en_asn)</f>
        <v>Value Missing</v>
      </c>
      <c r="K64" s="21" t="s">
        <v>556</v>
      </c>
      <c r="L64" s="18" t="str">
        <f>IF(ISBLANK(input_wld_rack3_en_asn),"Value Missing",input_wld_rack3_en_asn)</f>
        <v>Value Missing</v>
      </c>
      <c r="N64" s="21" t="s">
        <v>556</v>
      </c>
      <c r="O64" s="18" t="str">
        <f>IF(ISBLANK(input_wld_rack4_en_asn),"Value Missing",input_wld_rack4_en_asn)</f>
        <v>Value Missing</v>
      </c>
      <c r="Q64" s="21" t="s">
        <v>556</v>
      </c>
      <c r="R64" s="18" t="str">
        <f>IF(ISBLANK(input_wld_rack5_en_asn),"Value Missing",input_wld_rack5_en_asn)</f>
        <v>Value Missing</v>
      </c>
      <c r="T64" s="21" t="s">
        <v>556</v>
      </c>
      <c r="U64" s="18" t="str">
        <f>IF(ISBLANK(input_wld_rack6_en_asn),"Value Missing",input_wld_rack6_en_asn)</f>
        <v>Value Missing</v>
      </c>
      <c r="W64" s="21" t="s">
        <v>556</v>
      </c>
      <c r="X64" s="18" t="str">
        <f>IF(ISBLANK(input_wld_rack7_en_asn),"Value Missing",input_wld_rack7_en_asn)</f>
        <v>Value Missing</v>
      </c>
      <c r="Z64" s="21" t="s">
        <v>556</v>
      </c>
      <c r="AA64" s="18" t="str">
        <f>IF(ISBLANK(input_wld_rack8_en_asn),"Value Missing",input_wld_rack8_en_asn)</f>
        <v>Value Missing</v>
      </c>
      <c r="AD64" s="103"/>
      <c r="AE64" s="106"/>
    </row>
    <row r="65" spans="2:31" s="3" customFormat="1" ht="20" customHeight="1">
      <c r="B65" s="21" t="s">
        <v>557</v>
      </c>
      <c r="C65" s="18" t="str">
        <f>IF(ISBLANK(input_mgmt_az1_tor1_peer_ip),"Value Missing",input_mgmt_az1_tor1_peer_ip)</f>
        <v>Value Missing</v>
      </c>
      <c r="E65" s="21" t="s">
        <v>557</v>
      </c>
      <c r="F65" s="18" t="str">
        <f>IF(ISBLANK(input_wld_az1_tor1_peer_ip),"Value Missing",input_wld_az1_tor1_peer_ip)</f>
        <v>Value Missing</v>
      </c>
      <c r="H65" s="21" t="s">
        <v>557</v>
      </c>
      <c r="I65" s="18" t="str">
        <f>IF(ISBLANK(input_wld_az1_rack2_tor1_peer_ip),"Value Missing",input_wld_az1_rack2_tor1_peer_ip)</f>
        <v>Value Missing</v>
      </c>
      <c r="K65" s="21" t="s">
        <v>557</v>
      </c>
      <c r="L65" s="18" t="str">
        <f>IF(ISBLANK(input_wld_az1_rack3_tor1_peer_ip),"Value Missing",input_wld_az1_rack3_tor1_peer_ip)</f>
        <v>Value Missing</v>
      </c>
      <c r="N65" s="21" t="s">
        <v>557</v>
      </c>
      <c r="O65" s="18" t="str">
        <f>IF(ISBLANK(input_wld_az1_rack4_tor1_peer_ip),"Value Missing",input_wld_az1_rack4_tor1_peer_ip)</f>
        <v>Value Missing</v>
      </c>
      <c r="Q65" s="21" t="s">
        <v>557</v>
      </c>
      <c r="R65" s="18" t="str">
        <f>IF(ISBLANK(input_wld_az1_rack5_tor1_peer_ip),"Value Missing",input_wld_az1_rack5_tor1_peer_ip)</f>
        <v>Value Missing</v>
      </c>
      <c r="T65" s="21" t="s">
        <v>557</v>
      </c>
      <c r="U65" s="18" t="str">
        <f>IF(ISBLANK(input_wld_az1_rack6_tor1_peer_ip),"Value Missing",input_wld_az1_rack6_tor1_peer_ip)</f>
        <v>Value Missing</v>
      </c>
      <c r="W65" s="21" t="s">
        <v>557</v>
      </c>
      <c r="X65" s="18" t="str">
        <f>IF(ISBLANK(input_wld_az1_rack7_tor1_peer_ip),"Value Missing",input_wld_az1_rack7_tor1_peer_ip)</f>
        <v>Value Missing</v>
      </c>
      <c r="Z65" s="21" t="s">
        <v>557</v>
      </c>
      <c r="AA65" s="18" t="str">
        <f>IF(ISBLANK(input_wld_az1_rack8_tor1_peer_ip),"Value Missing",input_wld_az1_rack8_tor1_peer_ip)</f>
        <v>Value Missing</v>
      </c>
      <c r="AD65"/>
    </row>
    <row r="66" spans="2:31" s="3" customFormat="1" ht="20" customHeight="1">
      <c r="B66" s="21" t="s">
        <v>558</v>
      </c>
      <c r="C66" s="18" t="str">
        <f>IF(ISBLANK(input_mgmt_az1_tor1_peer_asn),"Value Missing",input_mgmt_az1_tor1_peer_asn)</f>
        <v>Value Missing</v>
      </c>
      <c r="E66" s="21" t="s">
        <v>558</v>
      </c>
      <c r="F66" s="18" t="str">
        <f>IF(ISBLANK(input_wld_az1_tor1_peer_asn),"Value Missing",input_wld_az1_tor1_peer_asn)</f>
        <v>Value Missing</v>
      </c>
      <c r="H66" s="21" t="s">
        <v>558</v>
      </c>
      <c r="I66" s="18" t="str">
        <f>IF(ISBLANK(input_wld_az1_rack2_tor1_peer_asn),"Value Missing",input_wld_az1_rack2_tor1_peer_asn)</f>
        <v>Value Missing</v>
      </c>
      <c r="K66" s="21" t="s">
        <v>558</v>
      </c>
      <c r="L66" s="18" t="str">
        <f>IF(ISBLANK(input_wld_az1_rack3_tor1_peer_asn),"Value Missing",input_wld_az1_rack3_tor1_peer_asn)</f>
        <v>Value Missing</v>
      </c>
      <c r="N66" s="21" t="s">
        <v>558</v>
      </c>
      <c r="O66" s="18" t="str">
        <f>IF(ISBLANK(input_wld_az1_rack4_tor1_peer_asn),"Value Missing",input_wld_az1_rack4_tor1_peer_asn)</f>
        <v>Value Missing</v>
      </c>
      <c r="Q66" s="21" t="s">
        <v>558</v>
      </c>
      <c r="R66" s="18" t="str">
        <f>IF(ISBLANK(input_wld_az1_rack5_tor1_peer_asn),"Value Missing",input_wld_az1_rack5_tor1_peer_asn)</f>
        <v>Value Missing</v>
      </c>
      <c r="T66" s="21" t="s">
        <v>558</v>
      </c>
      <c r="U66" s="18" t="str">
        <f>IF(ISBLANK(input_wld_az1_rack6_tor1_peer_asn),"Value Missing",input_wld_az1_rack6_tor1_peer_asn)</f>
        <v>Value Missing</v>
      </c>
      <c r="W66" s="21" t="s">
        <v>558</v>
      </c>
      <c r="X66" s="18" t="str">
        <f>IF(ISBLANK(input_wld_az1_rack7_tor1_peer_asn),"Value Missing",input_wld_az1_rack7_tor1_peer_asn)</f>
        <v>Value Missing</v>
      </c>
      <c r="Z66" s="21" t="s">
        <v>558</v>
      </c>
      <c r="AA66" s="18" t="str">
        <f>IF(ISBLANK(input_wld_az1_rack8_tor1_peer_asn),"Value Missing",input_wld_az1_rack8_tor1_peer_asn)</f>
        <v>Value Missing</v>
      </c>
      <c r="AD66"/>
    </row>
    <row r="67" spans="2:31" s="3" customFormat="1" ht="20" customHeight="1">
      <c r="B67" s="21" t="s">
        <v>559</v>
      </c>
      <c r="C67" s="18" t="str">
        <f>IF(ISBLANK(input_mgmt_az1_tor1_peer_bgp_password),"Value Missing",input_mgmt_az1_tor1_peer_bgp_password)</f>
        <v>Value Missing</v>
      </c>
      <c r="E67" s="21" t="s">
        <v>559</v>
      </c>
      <c r="F67" s="18" t="str">
        <f>IF(ISBLANK(input_wld_az1_tor1_peer_bgp_password),"Value Missing",input_wld_az1_tor1_peer_bgp_password)</f>
        <v>Value Missing</v>
      </c>
      <c r="H67" s="21" t="s">
        <v>559</v>
      </c>
      <c r="I67" s="18" t="str">
        <f>IF(ISBLANK(input_wld_az1_rack2_tor1_peer_bgp_password),"Value Missing",input_wld_az1_rack2_tor1_peer_bgp_password)</f>
        <v>Value Missing</v>
      </c>
      <c r="K67" s="21" t="s">
        <v>559</v>
      </c>
      <c r="L67" s="18" t="str">
        <f>IF(ISBLANK(input_wld_az1_rack3_tor1_peer_bgp_password),"Value Missing",input_wld_az1_rack3_tor1_peer_bgp_password)</f>
        <v>Value Missing</v>
      </c>
      <c r="N67" s="21" t="s">
        <v>559</v>
      </c>
      <c r="O67" s="18" t="str">
        <f>IF(ISBLANK(input_wld_az1_rack4_tor1_peer_bgp_password),"Value Missing",input_wld_az1_rack4_tor1_peer_bgp_password)</f>
        <v>Value Missing</v>
      </c>
      <c r="Q67" s="21" t="s">
        <v>559</v>
      </c>
      <c r="R67" s="18" t="str">
        <f>IF(ISBLANK(input_wld_az1_rack5_tor1_peer_bgp_password),"Value Missing",input_wld_az1_rack5_tor1_peer_bgp_password)</f>
        <v>Value Missing</v>
      </c>
      <c r="T67" s="21" t="s">
        <v>559</v>
      </c>
      <c r="U67" s="18" t="str">
        <f>IF(ISBLANK(input_wld_az1_rack6_tor1_peer_bgp_password),"Value Missing",input_wld_az1_rack6_tor1_peer_bgp_password)</f>
        <v>Value Missing</v>
      </c>
      <c r="W67" s="21" t="s">
        <v>559</v>
      </c>
      <c r="X67" s="18" t="str">
        <f>IF(ISBLANK(input_wld_az1_rack7_tor1_peer_bgp_password),"Value Missing",input_wld_az1_rack7_tor1_peer_bgp_password)</f>
        <v>Value Missing</v>
      </c>
      <c r="Z67" s="21" t="s">
        <v>559</v>
      </c>
      <c r="AA67" s="18" t="str">
        <f>IF(ISBLANK(input_wld_az1_rack8_tor1_peer_bgp_password),"Value Missing",input_wld_az1_rack8_tor1_peer_bgp_password)</f>
        <v>Value Missing</v>
      </c>
      <c r="AD67"/>
      <c r="AE67"/>
    </row>
    <row r="68" spans="2:31" s="3" customFormat="1" ht="20" customHeight="1">
      <c r="B68" s="21" t="s">
        <v>560</v>
      </c>
      <c r="C68" s="18" t="str">
        <f>IF(ISBLANK(input_mgmt_az1_tor2_peer_ip),"Value Missing",input_mgmt_az1_tor2_peer_ip)</f>
        <v>Value Missing</v>
      </c>
      <c r="E68" s="21" t="s">
        <v>560</v>
      </c>
      <c r="F68" s="18" t="str">
        <f>IF(ISBLANK(input_wld_az1_tor2_peer_ip),"Value Missing",input_wld_az1_tor2_peer_ip)</f>
        <v>Value Missing</v>
      </c>
      <c r="H68" s="21" t="s">
        <v>560</v>
      </c>
      <c r="I68" s="18" t="str">
        <f>IF(ISBLANK(input_wld_az1_rack2_tor2_peer_ip),"Value Missing",input_wld_az1_rack2_tor2_peer_ip)</f>
        <v>Value Missing</v>
      </c>
      <c r="K68" s="21" t="s">
        <v>560</v>
      </c>
      <c r="L68" s="18" t="str">
        <f>IF(ISBLANK(input_wld_az1_rack3_tor2_peer_ip),"Value Missing",input_wld_az1_rack3_tor2_peer_ip)</f>
        <v>Value Missing</v>
      </c>
      <c r="N68" s="21" t="s">
        <v>560</v>
      </c>
      <c r="O68" s="18" t="str">
        <f>IF(ISBLANK(input_wld_az1_rack4_tor2_peer_ip),"Value Missing",input_wld_az1_rack4_tor2_peer_ip)</f>
        <v>Value Missing</v>
      </c>
      <c r="Q68" s="21" t="s">
        <v>560</v>
      </c>
      <c r="R68" s="18" t="str">
        <f>IF(ISBLANK(input_wld_az1_rack5_tor2_peer_ip),"Value Missing",input_wld_az1_rack5_tor2_peer_ip)</f>
        <v>Value Missing</v>
      </c>
      <c r="T68" s="21" t="s">
        <v>560</v>
      </c>
      <c r="U68" s="18" t="str">
        <f>IF(ISBLANK(input_wld_az1_rack6_tor2_peer_ip),"Value Missing",input_wld_az1_rack6_tor2_peer_ip)</f>
        <v>Value Missing</v>
      </c>
      <c r="W68" s="21" t="s">
        <v>560</v>
      </c>
      <c r="X68" s="18" t="str">
        <f>IF(ISBLANK(input_wld_az1_rack7_tor2_peer_ip),"Value Missing",input_wld_az1_rack7_tor2_peer_ip)</f>
        <v>Value Missing</v>
      </c>
      <c r="Z68" s="21" t="s">
        <v>560</v>
      </c>
      <c r="AA68" s="18" t="str">
        <f>IF(ISBLANK(input_wld_az1_rack8_tor2_peer_ip),"Value Missing",input_wld_az1_rack8_tor2_peer_ip)</f>
        <v>Value Missing</v>
      </c>
      <c r="AD68"/>
      <c r="AE68"/>
    </row>
    <row r="69" spans="2:31" s="3" customFormat="1" ht="20" customHeight="1">
      <c r="B69" s="21" t="s">
        <v>561</v>
      </c>
      <c r="C69" s="18" t="str">
        <f>IF(ISBLANK(input_mgmt_az1_tor2_peer_asn),"Value Missing",input_mgmt_az1_tor2_peer_asn)</f>
        <v>Value Missing</v>
      </c>
      <c r="E69" s="21" t="s">
        <v>561</v>
      </c>
      <c r="F69" s="18" t="str">
        <f>IF(ISBLANK(input_wld_az1_tor2_peer_asn),"Value Missing",input_wld_az1_tor2_peer_asn)</f>
        <v>Value Missing</v>
      </c>
      <c r="H69" s="21" t="s">
        <v>561</v>
      </c>
      <c r="I69" s="18" t="str">
        <f>IF(ISBLANK(input_wld_az1_rack2_tor2_peer_asn),"Value Missing",input_wld_az1_rack2_tor2_peer_asn)</f>
        <v>Value Missing</v>
      </c>
      <c r="K69" s="21" t="s">
        <v>561</v>
      </c>
      <c r="L69" s="18" t="str">
        <f>IF(ISBLANK(input_wld_az1_rack3_tor2_peer_asn),"Value Missing",input_wld_az1_rack3_tor2_peer_asn)</f>
        <v>Value Missing</v>
      </c>
      <c r="N69" s="21" t="s">
        <v>561</v>
      </c>
      <c r="O69" s="18" t="str">
        <f>IF(ISBLANK(input_wld_az1_rack4_tor2_peer_asn),"Value Missing",input_wld_az1_rack4_tor2_peer_asn)</f>
        <v>Value Missing</v>
      </c>
      <c r="Q69" s="21" t="s">
        <v>561</v>
      </c>
      <c r="R69" s="18" t="str">
        <f>IF(ISBLANK(input_wld_az1_rack5_tor2_peer_asn),"Value Missing",input_wld_az1_rack5_tor2_peer_asn)</f>
        <v>Value Missing</v>
      </c>
      <c r="T69" s="21" t="s">
        <v>561</v>
      </c>
      <c r="U69" s="18" t="str">
        <f>IF(ISBLANK(input_wld_az1_rack6_tor2_peer_asn),"Value Missing",input_wld_az1_rack6_tor2_peer_asn)</f>
        <v>Value Missing</v>
      </c>
      <c r="W69" s="21" t="s">
        <v>561</v>
      </c>
      <c r="X69" s="18" t="str">
        <f>IF(ISBLANK(input_wld_az1_rack7_tor2_peer_asn),"Value Missing",input_wld_az1_rack7_tor2_peer_asn)</f>
        <v>Value Missing</v>
      </c>
      <c r="Z69" s="21" t="s">
        <v>561</v>
      </c>
      <c r="AA69" s="18" t="str">
        <f>IF(ISBLANK(input_wld_az1_rack8_tor2_peer_asn),"Value Missing",input_wld_az1_rack8_tor2_peer_asn)</f>
        <v>Value Missing</v>
      </c>
      <c r="AD69"/>
      <c r="AE69"/>
    </row>
    <row r="70" spans="2:31" s="3" customFormat="1" ht="20" customHeight="1">
      <c r="B70" s="21" t="s">
        <v>562</v>
      </c>
      <c r="C70" s="18" t="str">
        <f>IF(ISBLANK(input_mgmt_az1_tor2_peer_bgp_password),"Value Missing",input_mgmt_az1_tor2_peer_bgp_password)</f>
        <v>Value Missing</v>
      </c>
      <c r="E70" s="21" t="s">
        <v>562</v>
      </c>
      <c r="F70" s="18" t="str">
        <f>IF(ISBLANK(input_wld_az1_tor2_peer_bgp_password),"Value Missing",input_wld_az1_tor2_peer_bgp_password)</f>
        <v>Value Missing</v>
      </c>
      <c r="H70" s="21" t="s">
        <v>562</v>
      </c>
      <c r="I70" s="18" t="str">
        <f>IF(ISBLANK(input_wld_az1_rack2_tor2_peer_bgp_password),"Value Missing",input_wld_az1_rack2_tor2_peer_bgp_password)</f>
        <v>Value Missing</v>
      </c>
      <c r="K70" s="21" t="s">
        <v>562</v>
      </c>
      <c r="L70" s="18" t="str">
        <f>IF(ISBLANK(input_wld_az1_rack3_tor2_peer_bgp_password),"Value Missing",input_wld_az1_rack3_tor2_peer_bgp_password)</f>
        <v>Value Missing</v>
      </c>
      <c r="N70" s="21" t="s">
        <v>562</v>
      </c>
      <c r="O70" s="18" t="str">
        <f>IF(ISBLANK(input_wld_az1_rack4_tor2_peer_bgp_password),"Value Missing",input_wld_az1_rack4_tor2_peer_bgp_password)</f>
        <v>Value Missing</v>
      </c>
      <c r="Q70" s="21" t="s">
        <v>562</v>
      </c>
      <c r="R70" s="18" t="str">
        <f>IF(ISBLANK(input_wld_az1_rack5_tor2_peer_bgp_password),"Value Missing",input_wld_az1_rack5_tor2_peer_bgp_password)</f>
        <v>Value Missing</v>
      </c>
      <c r="T70" s="21" t="s">
        <v>562</v>
      </c>
      <c r="U70" s="18" t="str">
        <f>IF(ISBLANK(input_wld_az1_rack6_tor2_peer_bgp_password),"Value Missing",input_wld_az1_rack6_tor2_peer_bgp_password)</f>
        <v>Value Missing</v>
      </c>
      <c r="W70" s="21" t="s">
        <v>562</v>
      </c>
      <c r="X70" s="18" t="str">
        <f>IF(ISBLANK(input_wld_az1_rack7_tor2_peer_bgp_password),"Value Missing",input_wld_az1_rack7_tor2_peer_bgp_password)</f>
        <v>Value Missing</v>
      </c>
      <c r="Z70" s="21" t="s">
        <v>562</v>
      </c>
      <c r="AA70" s="18" t="str">
        <f>IF(ISBLANK(input_wld_az1_rack8_tor2_peer_bgp_password),"Value Missing",input_wld_az1_rack8_tor2_peer_bgp_password)</f>
        <v>Value Missing</v>
      </c>
      <c r="AD70"/>
      <c r="AE70"/>
    </row>
    <row r="71" spans="2:31" s="3" customFormat="1" ht="20" customHeight="1">
      <c r="F71" s="5"/>
      <c r="I71" s="5"/>
      <c r="L71" s="5"/>
      <c r="O71" s="5"/>
      <c r="R71" s="5"/>
      <c r="U71" s="5"/>
      <c r="X71" s="5"/>
      <c r="AA71" s="5"/>
      <c r="AD71"/>
      <c r="AE71"/>
    </row>
    <row r="72" spans="2:31" s="3" customFormat="1" ht="20" customHeight="1">
      <c r="B72" s="184" t="s">
        <v>4141</v>
      </c>
      <c r="C72" s="188"/>
      <c r="E72" s="184" t="s">
        <v>4190</v>
      </c>
      <c r="F72" s="188"/>
      <c r="H72" s="184" t="s">
        <v>3969</v>
      </c>
      <c r="I72" s="188"/>
      <c r="K72" s="184" t="s">
        <v>3970</v>
      </c>
      <c r="L72" s="188"/>
      <c r="N72" s="184" t="s">
        <v>3886</v>
      </c>
      <c r="O72" s="188"/>
      <c r="Q72" s="184" t="s">
        <v>3885</v>
      </c>
      <c r="R72" s="188"/>
      <c r="T72" s="184" t="s">
        <v>3884</v>
      </c>
      <c r="U72" s="188"/>
      <c r="W72" s="184" t="s">
        <v>3883</v>
      </c>
      <c r="X72" s="188"/>
      <c r="Z72" s="184" t="s">
        <v>3882</v>
      </c>
      <c r="AA72" s="188"/>
      <c r="AD72"/>
      <c r="AE72"/>
    </row>
    <row r="73" spans="2:31" s="3" customFormat="1" ht="20" customHeight="1">
      <c r="B73" s="112" t="s">
        <v>735</v>
      </c>
      <c r="C73" s="113" t="s">
        <v>1230</v>
      </c>
      <c r="E73" s="112" t="s">
        <v>735</v>
      </c>
      <c r="F73" s="113" t="s">
        <v>1230</v>
      </c>
      <c r="H73" s="112" t="s">
        <v>735</v>
      </c>
      <c r="I73" s="113" t="s">
        <v>1230</v>
      </c>
      <c r="K73" s="112" t="s">
        <v>735</v>
      </c>
      <c r="L73" s="113" t="s">
        <v>1230</v>
      </c>
      <c r="N73" s="112" t="s">
        <v>735</v>
      </c>
      <c r="O73" s="113" t="s">
        <v>1230</v>
      </c>
      <c r="Q73" s="112" t="s">
        <v>735</v>
      </c>
      <c r="R73" s="113" t="s">
        <v>1230</v>
      </c>
      <c r="T73" s="112" t="s">
        <v>735</v>
      </c>
      <c r="U73" s="113" t="s">
        <v>1230</v>
      </c>
      <c r="W73" s="112" t="s">
        <v>735</v>
      </c>
      <c r="X73" s="113" t="s">
        <v>1230</v>
      </c>
      <c r="Z73" s="112" t="s">
        <v>735</v>
      </c>
      <c r="AA73" s="113" t="s">
        <v>1230</v>
      </c>
      <c r="AD73"/>
      <c r="AE73"/>
    </row>
    <row r="74" spans="2:31" s="3" customFormat="1" ht="20" customHeight="1">
      <c r="B74" s="21" t="s">
        <v>3184</v>
      </c>
      <c r="C74" s="18" t="str">
        <f>IF(ISBLANK(input_mgmt_cl01_az1_mgmt_vm_pg),"Value Missing",input_mgmt_cl01_az1_mgmt_vm_pg)</f>
        <v>Value Missing</v>
      </c>
      <c r="E74" s="21" t="s">
        <v>3184</v>
      </c>
      <c r="F74" s="18" t="str">
        <f>IF(ISBLANK(input_wld_cl01_az1_mgmt_vm_pg),"Value Missing",input_wld_cl01_az1_mgmt_vm_pg)</f>
        <v>Value Missing</v>
      </c>
      <c r="H74" s="21" t="s">
        <v>3184</v>
      </c>
      <c r="I74" s="18" t="str">
        <f>CONCATENATE(input_wld_cl01_az1_mgmt_vm_pg,"_VLAN_",wld_az1_rack2_mgmt_vm_vlan)</f>
        <v>_VLAN_Value Missing</v>
      </c>
      <c r="K74" s="21" t="s">
        <v>3184</v>
      </c>
      <c r="L74" s="18" t="str">
        <f>CONCATENATE(input_wld_cl01_az1_mgmt_vm_pg,"_VLAN_",wld_az1_rack3_mgmt_vm_vlan)</f>
        <v>_VLAN_Value Missing</v>
      </c>
      <c r="N74" s="21" t="s">
        <v>3184</v>
      </c>
      <c r="O74" s="18" t="str">
        <f>CONCATENATE(input_wld_cl01_az1_mgmt_vm_pg,"_VLAN_",wld_az1_rack4_mgmt_vm_vlan)</f>
        <v>_VLAN_Value Missing</v>
      </c>
      <c r="Q74" s="21" t="s">
        <v>3184</v>
      </c>
      <c r="R74" s="18" t="str">
        <f>CONCATENATE(input_wld_cl01_az1_mgmt_vm_pg,"_VLAN_",wld_az1_rack5_mgmt_vm_vlan)</f>
        <v>_VLAN_Value Missing</v>
      </c>
      <c r="T74" s="21" t="s">
        <v>3184</v>
      </c>
      <c r="U74" s="18" t="str">
        <f>CONCATENATE(input_wld_cl01_az1_mgmt_vm_pg,"_VLAN_",wld_az1_rack6_mgmt_vm_vlan)</f>
        <v>_VLAN_Value Missing</v>
      </c>
      <c r="W74" s="21" t="s">
        <v>3184</v>
      </c>
      <c r="X74" s="18" t="str">
        <f>CONCATENATE(input_wld_cl01_az1_mgmt_vm_pg,"_VLAN_",wld_az1_rack7_mgmt_vm_vlan)</f>
        <v>_VLAN_Value Missing</v>
      </c>
      <c r="Z74" s="21" t="s">
        <v>3184</v>
      </c>
      <c r="AA74" s="18" t="str">
        <f>CONCATENATE(input_wld_cl01_az1_mgmt_vm_pg,"_VLAN_",wld_az1_rack8_mgmt_vm_vlan)</f>
        <v>_VLAN_Value Missing</v>
      </c>
      <c r="AD74"/>
      <c r="AE74"/>
    </row>
    <row r="75" spans="2:31" s="3" customFormat="1" ht="20" customHeight="1">
      <c r="B75" s="21" t="s">
        <v>3185</v>
      </c>
      <c r="C75" s="18" t="str">
        <f>IF(ISBLANK(input_mgmt_cl01_az1_mgmt_pg),"Value Missing",input_mgmt_cl01_az1_mgmt_pg)</f>
        <v>Value Missing</v>
      </c>
      <c r="E75" s="21" t="s">
        <v>3185</v>
      </c>
      <c r="F75" s="18" t="str">
        <f>IF(ISBLANK(input_wld_cl01_az1_mgmt_pg),"Value Missing",input_wld_cl01_az1_mgmt_pg)</f>
        <v>Value Missing</v>
      </c>
      <c r="H75" s="21" t="s">
        <v>3185</v>
      </c>
      <c r="I75" s="16" t="str">
        <f>CONCATENATE(input_wld_cl01_az1_mgmt_pg,"_VLAN_",wld_az1_rack2_mgmt_vlan)</f>
        <v>_VLAN_Value Missing</v>
      </c>
      <c r="K75" s="21" t="s">
        <v>3185</v>
      </c>
      <c r="L75" s="18" t="str">
        <f>CONCATENATE(input_wld_cl01_az1_mgmt_pg,"_VLAN_",wld_az1_rack3_mgmt_vlan)</f>
        <v>_VLAN_Value Missing</v>
      </c>
      <c r="N75" s="21" t="s">
        <v>3185</v>
      </c>
      <c r="O75" s="18" t="str">
        <f>CONCATENATE(input_wld_cl01_az1_mgmt_pg,"_VLAN_",wld_az1_rack4_mgmt_vlan)</f>
        <v>_VLAN_Value Missing</v>
      </c>
      <c r="Q75" s="21" t="s">
        <v>3185</v>
      </c>
      <c r="R75" s="18" t="str">
        <f>CONCATENATE(input_wld_cl01_az1_mgmt_pg,"_VLAN_",wld_az1_rack5_mgmt_vlan)</f>
        <v>_VLAN_Value Missing</v>
      </c>
      <c r="T75" s="21" t="s">
        <v>3185</v>
      </c>
      <c r="U75" s="18" t="str">
        <f>CONCATENATE(input_wld_cl01_az1_mgmt_pg,"_VLAN_",wld_az1_rack6_mgmt_vlan)</f>
        <v>_VLAN_Value Missing</v>
      </c>
      <c r="W75" s="21" t="s">
        <v>3185</v>
      </c>
      <c r="X75" s="18" t="str">
        <f>CONCATENATE(input_wld_cl01_az1_mgmt_pg,"_VLAN_",wld_az1_rack7_mgmt_vlan)</f>
        <v>_VLAN_Value Missing</v>
      </c>
      <c r="Z75" s="21" t="s">
        <v>3185</v>
      </c>
      <c r="AA75" s="18" t="str">
        <f>CONCATENATE(input_wld_cl01_az1_mgmt_pg,"_VLAN_",wld_az1_rack8_mgmt_vlan)</f>
        <v>_VLAN_Value Missing</v>
      </c>
      <c r="AD75"/>
      <c r="AE75"/>
    </row>
    <row r="76" spans="2:31" s="3" customFormat="1" ht="20" customHeight="1">
      <c r="B76" s="21" t="s">
        <v>540</v>
      </c>
      <c r="C76" s="18" t="str">
        <f>IF(ISBLANK(input_mgmt_cl01_az1_vmotion_pg),"Value Missing",input_mgmt_cl01_az1_vmotion_pg)</f>
        <v>Value Missing</v>
      </c>
      <c r="E76" s="21" t="s">
        <v>540</v>
      </c>
      <c r="F76" s="18" t="str">
        <f>IF(ISBLANK(input_wld_cl01_az1_vmotion_pg),"Value Missing",input_wld_cl01_az1_vmotion_pg)</f>
        <v>Value Missing</v>
      </c>
      <c r="H76" s="21" t="s">
        <v>540</v>
      </c>
      <c r="I76" s="18" t="str">
        <f>CONCATENATE(input_wld_cl01_az1_vmotion_pg,"_VLAN_",wld_az1_rack2_principal_storage_vlan)</f>
        <v>_VLAN_Value Missing</v>
      </c>
      <c r="K76" s="21" t="s">
        <v>540</v>
      </c>
      <c r="L76" s="18" t="str">
        <f>CONCATENATE(input_wld_cl01_az1_vmotion_pg,"_VLAN_",wld_az1_rack3_vmotion_vlan)</f>
        <v>_VLAN_Value Missing</v>
      </c>
      <c r="N76" s="21" t="s">
        <v>540</v>
      </c>
      <c r="O76" s="18" t="str">
        <f>CONCATENATE(input_wld_cl01_az1_vmotion_pg,"_VLAN_",wld_az1_rack4_vmotion_vlan)</f>
        <v>_VLAN_Value Missing</v>
      </c>
      <c r="Q76" s="21" t="s">
        <v>540</v>
      </c>
      <c r="R76" s="18" t="str">
        <f>CONCATENATE(input_wld_cl01_az1_vmotion_pg,"_VLAN_",wld_az1_rack5_vmotion_vlan)</f>
        <v>_VLAN_Value Missing</v>
      </c>
      <c r="T76" s="21" t="s">
        <v>540</v>
      </c>
      <c r="U76" s="18" t="str">
        <f>CONCATENATE(input_wld_cl01_az1_vmotion_pg,"_VLAN_",wld_az1_rack6_vmotion_vlan)</f>
        <v>_VLAN_Value Missing</v>
      </c>
      <c r="W76" s="21" t="s">
        <v>540</v>
      </c>
      <c r="X76" s="18" t="str">
        <f>CONCATENATE(input_wld_cl01_az1_vmotion_pg,"_VLAN_",wld_az1_rack7_vmotion_vlan)</f>
        <v>_VLAN_Value Missing</v>
      </c>
      <c r="Z76" s="21" t="s">
        <v>540</v>
      </c>
      <c r="AA76" s="18" t="str">
        <f>CONCATENATE(input_wld_cl01_az1_vmotion_pg,"_VLAN_",wld_az1_rack8_vmotion_vlan)</f>
        <v>_VLAN_Value Missing</v>
      </c>
      <c r="AD76"/>
      <c r="AE76"/>
    </row>
    <row r="77" spans="2:31" s="3" customFormat="1" ht="20" customHeight="1">
      <c r="B77" s="21" t="s">
        <v>541</v>
      </c>
      <c r="C77" s="18" t="str">
        <f>IF(ISBLANK(input_mgmt_cl01_az1_vsan_pg),"Value Missing",input_mgmt_cl01_az1_vsan_pg)</f>
        <v>Value Missing</v>
      </c>
      <c r="E77" s="21" t="s">
        <v>541</v>
      </c>
      <c r="F77" s="18" t="str">
        <f>IF(ISBLANK(input_wld_cl01_az1_principal_storage_pg),"Value Missing",input_wld_cl01_az1_principal_storage_pg)</f>
        <v>Value Missing</v>
      </c>
      <c r="H77" s="21" t="s">
        <v>541</v>
      </c>
      <c r="I77" s="18" t="str">
        <f>CONCATENATE(input_wld_cl01_az1_principal_storage_pg,"_VLAN_",wld_az1_rack2_mgmt_vlan)</f>
        <v>_VLAN_Value Missing</v>
      </c>
      <c r="K77" s="21" t="s">
        <v>541</v>
      </c>
      <c r="L77" s="18" t="str">
        <f>CONCATENATE(input_wld_cl01_az1_principal_storage_pg,"_VLAN_",wld_az1_rack3_principal_storage_vlan)</f>
        <v>_VLAN_Value Missing</v>
      </c>
      <c r="N77" s="21" t="s">
        <v>541</v>
      </c>
      <c r="O77" s="18" t="str">
        <f>CONCATENATE(input_wld_cl01_az1_principal_storage_pg,"_VLAN_",wld_az1_rack4_principal_storage_vlan)</f>
        <v>_VLAN_Value Missing</v>
      </c>
      <c r="Q77" s="21" t="s">
        <v>541</v>
      </c>
      <c r="R77" s="18" t="str">
        <f>CONCATENATE(input_wld_cl01_az1_principal_storage_pg,"_VLAN_",wld_az1_rack5_principal_storage_vlan)</f>
        <v>_VLAN_Value Missing</v>
      </c>
      <c r="T77" s="21" t="s">
        <v>541</v>
      </c>
      <c r="U77" s="18" t="str">
        <f>CONCATENATE(input_wld_cl01_az1_principal_storage_pg,"_VLAN_",wld_az1_rack6_principal_storage_vlan)</f>
        <v>_VLAN_Value Missing</v>
      </c>
      <c r="W77" s="21" t="s">
        <v>541</v>
      </c>
      <c r="X77" s="18" t="str">
        <f>CONCATENATE(input_wld_cl01_az1_principal_storage_pg,"_VLAN_",wld_az1_rack7_principal_storage_vlan)</f>
        <v>_VLAN_Value Missing</v>
      </c>
      <c r="Z77" s="21" t="s">
        <v>541</v>
      </c>
      <c r="AA77" s="18" t="str">
        <f>CONCATENATE(input_wld_cl01_az1_principal_storage_pg,"_VLAN_",wld_az1_rack8_principal_storage_vlan)</f>
        <v>_VLAN_Value Missing</v>
      </c>
      <c r="AD77"/>
      <c r="AE77"/>
    </row>
    <row r="78" spans="2:31" s="3" customFormat="1" ht="20" customHeight="1">
      <c r="B78" s="21" t="s">
        <v>544</v>
      </c>
      <c r="C78" s="18" t="str">
        <f>IF(ISBLANK(input_mgmt_cl01_az1_uplink01_pg),"Value Missing",input_mgmt_cl01_az1_uplink01_pg)</f>
        <v/>
      </c>
      <c r="E78" s="21" t="s">
        <v>544</v>
      </c>
      <c r="F78" s="18" t="str" cm="1">
        <f t="array" ref="F78">IF(ISBLANK(input_wld_cl01_az1_uplink01_pg),"Value Missing",input_wld_cl01_az1_uplink01_pg)</f>
        <v>Value Missing</v>
      </c>
      <c r="H78" s="21" t="s">
        <v>544</v>
      </c>
      <c r="I78" s="18" t="str">
        <f>IF(ISBLANK(input_wld_az1_rack2_uplink01_pg),"Value Missing",input_wld_az1_rack2_uplink01_pg)</f>
        <v>Value Missing</v>
      </c>
      <c r="K78" s="21" t="s">
        <v>544</v>
      </c>
      <c r="L78" s="18" t="str" cm="1">
        <f t="array" ref="L78">IF(ISBLANK(input_wld_az1_rack3_uplink01_pg),"Value Missing",input_wld_az1_rack3_uplink01_pg)</f>
        <v>Value Missing</v>
      </c>
      <c r="N78" s="21" t="s">
        <v>544</v>
      </c>
      <c r="O78" s="18" t="str" cm="1">
        <f t="array" ref="O78">IF(ISBLANK(input_wld_az1_rack4_uplink01_pg),"Value Missing",input_wld_az1_rack4_uplink01_pg)</f>
        <v>Value Missing</v>
      </c>
      <c r="Q78" s="21" t="s">
        <v>544</v>
      </c>
      <c r="R78" s="18" t="str">
        <f>IF(ISBLANK(input_wld_az1_rack5_uplink01_pg),"Value Missing",input_wld_az1_rack5_uplink01_pg)</f>
        <v>Value Missing</v>
      </c>
      <c r="T78" s="21" t="s">
        <v>544</v>
      </c>
      <c r="U78" s="18" t="str" cm="1">
        <f t="array" ref="U78">IF(ISBLANK(input_wld_az1_rack6_uplink01_pg),"Value Missing",input_wld_az1_rack6_uplink01_pg)</f>
        <v>Value Missing</v>
      </c>
      <c r="W78" s="21" t="s">
        <v>544</v>
      </c>
      <c r="X78" s="18" t="str" cm="1">
        <f t="array" ref="X78">IF(ISBLANK(input_wld_az1_rack7_uplink01_pg),"Value Missing",input_wld_az1_rack7_uplink01_pg)</f>
        <v>Value Missing</v>
      </c>
      <c r="Z78" s="21" t="s">
        <v>544</v>
      </c>
      <c r="AA78" s="18" t="str" cm="1">
        <f t="array" ref="AA78">IF(ISBLANK(input_wld_az1_rack8_uplink01_pg),"Value Missing",input_wld_az1_rack8_uplink01_pg)</f>
        <v>Value Missing</v>
      </c>
      <c r="AD78"/>
      <c r="AE78"/>
    </row>
    <row r="79" spans="2:31" s="3" customFormat="1" ht="20" customHeight="1">
      <c r="B79" s="21" t="s">
        <v>545</v>
      </c>
      <c r="C79" s="18" t="str">
        <f>IF(ISBLANK(input_mgmt_cl01_az1_uplink02_pg),"Value Missing",input_mgmt_cl01_az1_uplink02_pg)</f>
        <v/>
      </c>
      <c r="E79" s="21" t="s">
        <v>545</v>
      </c>
      <c r="F79" s="18" t="str" cm="1">
        <f t="array" ref="F79">IF(ISBLANK(input_wld_cl01_az1_uplink02_pg),"Value Missing",input_wld_cl01_az1_uplink02_pg)</f>
        <v>Value Missing</v>
      </c>
      <c r="H79" s="21" t="s">
        <v>545</v>
      </c>
      <c r="I79" s="18" t="str">
        <f>IF(ISBLANK(input_wld_az1_rack2_uplink02_pg),"Value Missing",input_wld_az1_rack2_uplink02_pg)</f>
        <v>Value Missing</v>
      </c>
      <c r="K79" s="21" t="s">
        <v>545</v>
      </c>
      <c r="L79" s="18" t="str" cm="1">
        <f t="array" ref="L79">IF(ISBLANK(input_wld_az1_rack3_uplink02_pg),"Value Missing",input_wld_az1_rack3_uplink02_pg)</f>
        <v>Value Missing</v>
      </c>
      <c r="N79" s="21" t="s">
        <v>545</v>
      </c>
      <c r="O79" s="18" t="str" cm="1">
        <f t="array" ref="O79">IF(ISBLANK(input_wld_az1_rack4_uplink02_pg),"Value Missing",input_wld_az1_rack4_uplink02_pg)</f>
        <v>Value Missing</v>
      </c>
      <c r="Q79" s="21" t="s">
        <v>545</v>
      </c>
      <c r="R79" s="18" t="str" cm="1">
        <f t="array" ref="R79">IF(ISBLANK(input_wld_az1_rack5_uplink02_pg),"Value Missing",input_wld_az1_rack5_uplink02_pg)</f>
        <v>Value Missing</v>
      </c>
      <c r="T79" s="21" t="s">
        <v>545</v>
      </c>
      <c r="U79" s="18" t="str" cm="1">
        <f t="array" ref="U79">IF(ISBLANK(input_wld_az1_rack6_uplink02_pg),"Value Missing",input_wld_az1_rack6_uplink02_pg)</f>
        <v>Value Missing</v>
      </c>
      <c r="W79" s="21" t="s">
        <v>545</v>
      </c>
      <c r="X79" s="18" t="str" cm="1">
        <f t="array" ref="X79">IF(ISBLANK(input_wld_az1_rack7_uplink02_pg),"Value Missing",input_wld_az1_rack7_uplink02_pg)</f>
        <v>Value Missing</v>
      </c>
      <c r="Z79" s="21" t="s">
        <v>545</v>
      </c>
      <c r="AA79" s="18" t="str" cm="1">
        <f t="array" ref="AA79">IF(ISBLANK(input_wld_az1_rack8_uplink02_pg),"Value Missing",input_wld_az1_rack8_uplink02_pg)</f>
        <v>Value Missing</v>
      </c>
      <c r="AD79"/>
      <c r="AE79"/>
    </row>
    <row r="80" spans="2:31" s="3" customFormat="1" ht="20" customHeight="1">
      <c r="F80" s="5"/>
      <c r="I80" s="5"/>
      <c r="J80" s="5"/>
      <c r="AD80"/>
      <c r="AE80"/>
    </row>
    <row r="81" spans="2:33" s="3" customFormat="1" ht="20" customHeight="1">
      <c r="B81" s="183" t="s">
        <v>4111</v>
      </c>
      <c r="C81" s="188"/>
      <c r="E81" s="183" t="s">
        <v>4029</v>
      </c>
      <c r="F81" s="188"/>
      <c r="H81" s="183" t="s">
        <v>3881</v>
      </c>
      <c r="I81" s="188"/>
      <c r="K81" s="183" t="s">
        <v>3880</v>
      </c>
      <c r="L81" s="188"/>
      <c r="N81" s="183" t="s">
        <v>3879</v>
      </c>
      <c r="O81" s="188"/>
      <c r="Q81" s="183" t="s">
        <v>3878</v>
      </c>
      <c r="R81" s="188"/>
      <c r="T81" s="183" t="s">
        <v>3877</v>
      </c>
      <c r="U81" s="188"/>
      <c r="W81" s="183" t="s">
        <v>3876</v>
      </c>
      <c r="X81" s="188"/>
      <c r="Z81" s="183" t="s">
        <v>3875</v>
      </c>
      <c r="AA81" s="188"/>
      <c r="AD81"/>
      <c r="AE81"/>
      <c r="AF81"/>
      <c r="AG81"/>
    </row>
    <row r="82" spans="2:33" s="3" customFormat="1" ht="20" customHeight="1">
      <c r="B82" s="112" t="s">
        <v>735</v>
      </c>
      <c r="C82" s="113" t="s">
        <v>1230</v>
      </c>
      <c r="E82" s="112" t="s">
        <v>735</v>
      </c>
      <c r="F82" s="113" t="s">
        <v>555</v>
      </c>
      <c r="H82" s="112" t="s">
        <v>735</v>
      </c>
      <c r="I82" s="113" t="s">
        <v>555</v>
      </c>
      <c r="K82" s="112" t="s">
        <v>735</v>
      </c>
      <c r="L82" s="113" t="s">
        <v>555</v>
      </c>
      <c r="N82" s="112" t="s">
        <v>735</v>
      </c>
      <c r="O82" s="113" t="s">
        <v>555</v>
      </c>
      <c r="Q82" s="112" t="s">
        <v>735</v>
      </c>
      <c r="R82" s="113" t="s">
        <v>555</v>
      </c>
      <c r="T82" s="112" t="s">
        <v>735</v>
      </c>
      <c r="U82" s="113" t="s">
        <v>555</v>
      </c>
      <c r="W82" s="112" t="s">
        <v>735</v>
      </c>
      <c r="X82" s="113" t="s">
        <v>555</v>
      </c>
      <c r="Z82" s="112" t="s">
        <v>735</v>
      </c>
      <c r="AA82" s="113" t="s">
        <v>555</v>
      </c>
      <c r="AD82"/>
      <c r="AE82"/>
      <c r="AF82"/>
      <c r="AG82"/>
    </row>
    <row r="83" spans="2:33" s="3" customFormat="1" ht="20" customHeight="1">
      <c r="B83" s="26" t="s">
        <v>670</v>
      </c>
      <c r="C83" s="18" t="str">
        <f>IF(ISBLANK(input_mgmt_az1_vmotion_pool_start_ip),"Value Missing",input_mgmt_az1_vmotion_pool_start_ip)</f>
        <v>Value Missing</v>
      </c>
      <c r="E83" s="26" t="s">
        <v>670</v>
      </c>
      <c r="F83" s="18" t="str">
        <f>IF(ISBLANK(input_wld_az1_vmotion_pool_start_ip),"Value Missing",input_wld_az1_vmotion_pool_start_ip)</f>
        <v>Value Missing</v>
      </c>
      <c r="H83" s="26" t="s">
        <v>670</v>
      </c>
      <c r="I83" s="18" t="str">
        <f>IF(ISBLANK(input_wld_az1_rack2_vmotion_pool_start_ip),"Value Missing",input_wld_az1_rack2_vmotion_pool_start_ip)</f>
        <v>Value Missing</v>
      </c>
      <c r="K83" s="26" t="s">
        <v>670</v>
      </c>
      <c r="L83" s="18" t="str">
        <f>IF(ISBLANK(input_wld_az1_rack3_vmotion_pool_start_ip),"Value Missing",input_wld_az1_rack3_vmotion_pool_start_ip)</f>
        <v>Value Missing</v>
      </c>
      <c r="N83" s="26" t="s">
        <v>670</v>
      </c>
      <c r="O83" s="18" t="str">
        <f>IF(ISBLANK(input_wld_az1_rack4_vmotion_pool_start_ip),"Value Missing",input_wld_az1_rack4_vmotion_pool_start_ip)</f>
        <v>Value Missing</v>
      </c>
      <c r="Q83" s="26" t="s">
        <v>670</v>
      </c>
      <c r="R83" s="18" t="str">
        <f>IF(ISBLANK(input_wld_az1_rack5_vmotion_pool_start_ip),"Value Missing",input_wld_az1_rack5_vmotion_pool_start_ip)</f>
        <v>Value Missing</v>
      </c>
      <c r="T83" s="26" t="s">
        <v>670</v>
      </c>
      <c r="U83" s="18" t="str">
        <f>IF(ISBLANK(input_wld_az1_rack6_vmotion_pool_start_ip),"Value Missing",input_wld_az1_rack6_vmotion_pool_start_ip)</f>
        <v>Value Missing</v>
      </c>
      <c r="W83" s="26" t="s">
        <v>670</v>
      </c>
      <c r="X83" s="18" t="str">
        <f>IF(ISBLANK(input_wld_az1_rack7_vmotion_pool_start_ip),"Value Missing",input_wld_az1_rack7_vmotion_pool_start_ip)</f>
        <v>Value Missing</v>
      </c>
      <c r="Z83" s="26" t="s">
        <v>670</v>
      </c>
      <c r="AA83" s="18" t="str">
        <f>IF(ISBLANK(input_wld_az1_rack8_vmotion_pool_start_ip),"Value Missing",input_wld_az1_rack8_vmotion_pool_start_ip)</f>
        <v>Value Missing</v>
      </c>
      <c r="AD83"/>
      <c r="AE83"/>
      <c r="AF83"/>
      <c r="AG83"/>
    </row>
    <row r="84" spans="2:33" s="3" customFormat="1" ht="20" customHeight="1">
      <c r="B84" s="26" t="s">
        <v>672</v>
      </c>
      <c r="C84" s="18" t="str">
        <f>IF(ISBLANK(input_mgmt_az1_vmotion_pool_end_ip),"Value Missing",input_mgmt_az1_vmotion_pool_end_ip)</f>
        <v>Value Missing</v>
      </c>
      <c r="E84" s="26" t="s">
        <v>672</v>
      </c>
      <c r="F84" s="18" t="str">
        <f>IF(ISBLANK(input_wld_az1_vmotion_pool_end_ip),"Value Missing",input_wld_az1_vmotion_pool_end_ip)</f>
        <v>Value Missing</v>
      </c>
      <c r="H84" s="26" t="s">
        <v>672</v>
      </c>
      <c r="I84" s="18" t="str">
        <f>IF(ISBLANK(input_wld_az1_rack2_vmotion_pool_end_ip),"Value Missing",input_wld_az1_rack2_vmotion_pool_end_ip)</f>
        <v>Value Missing</v>
      </c>
      <c r="K84" s="26" t="s">
        <v>672</v>
      </c>
      <c r="L84" s="18" t="str">
        <f>IF(ISBLANK(input_wld_az1_rack3_vmotion_pool_end_ip),"Value Missing",input_wld_az1_rack3_vmotion_pool_end_ip)</f>
        <v>Value Missing</v>
      </c>
      <c r="N84" s="26" t="s">
        <v>672</v>
      </c>
      <c r="O84" s="18" t="str">
        <f>IF(ISBLANK(input_wld_az1_rack4_vmotion_pool_end_ip),"Value Missing",input_wld_az1_rack4_vmotion_pool_end_ip)</f>
        <v>Value Missing</v>
      </c>
      <c r="Q84" s="26" t="s">
        <v>672</v>
      </c>
      <c r="R84" s="18" t="str">
        <f>IF(ISBLANK(input_wld_az1_rack5_vmotion_pool_end_ip),"Value Missing",input_wld_az1_rack5_vmotion_pool_end_ip)</f>
        <v>Value Missing</v>
      </c>
      <c r="T84" s="26" t="s">
        <v>672</v>
      </c>
      <c r="U84" s="18" t="str">
        <f>IF(ISBLANK(input_wld_az1_rack6_vmotion_pool_end_ip),"Value Missing",input_wld_az1_rack6_vmotion_pool_end_ip)</f>
        <v>Value Missing</v>
      </c>
      <c r="W84" s="26" t="s">
        <v>672</v>
      </c>
      <c r="X84" s="18" t="str">
        <f>IF(ISBLANK(input_wld_az1_rack7_vmotion_pool_end_ip),"Value Missing",input_wld_az1_rack7_vmotion_pool_end_ip)</f>
        <v>Value Missing</v>
      </c>
      <c r="Z84" s="26" t="s">
        <v>672</v>
      </c>
      <c r="AA84" s="18" t="str">
        <f>IF(ISBLANK(input_wld_az1_rack8_vmotion_pool_end_ip),"Value Missing",input_wld_az1_rack8_vmotion_pool_end_ip)</f>
        <v>Value Missing</v>
      </c>
      <c r="AD84"/>
      <c r="AE84"/>
      <c r="AF84"/>
      <c r="AG84"/>
    </row>
    <row r="85" spans="2:33" s="3" customFormat="1" ht="20" customHeight="1">
      <c r="B85" s="26" t="s">
        <v>674</v>
      </c>
      <c r="C85" s="18" t="str">
        <f>IF(ISBLANK(input_mgmt_az1_vsan_pool_start_ip),"Value Missing",input_mgmt_az1_vsan_pool_start_ip)</f>
        <v>Value Missing</v>
      </c>
      <c r="E85" s="26" t="s">
        <v>674</v>
      </c>
      <c r="F85" s="18" t="str">
        <f>IF(ISBLANK(input_wld_az1_principal_storage_pool_start_ip),"Value Missing",input_wld_az1_principal_storage_pool_start_ip)</f>
        <v>Value Missing</v>
      </c>
      <c r="H85" s="26" t="s">
        <v>674</v>
      </c>
      <c r="I85" s="18" t="str">
        <f>IF(ISBLANK(input_wld_az1_rack2_principal_storage_pool_start_ip),"Value Missing",input_wld_az1_rack2_principal_storage_pool_start_ip)</f>
        <v>Value Missing</v>
      </c>
      <c r="K85" s="26" t="s">
        <v>674</v>
      </c>
      <c r="L85" s="18" t="str">
        <f>IF(ISBLANK(input_wld_az1_rack3_principal_storage_pool_start_ip),"Value Missing",input_wld_az1_rack3_principal_storage_pool_start_ip)</f>
        <v>Value Missing</v>
      </c>
      <c r="N85" s="26" t="s">
        <v>674</v>
      </c>
      <c r="O85" s="18" t="str">
        <f>IF(ISBLANK(input_wld_az1_rack4_principal_storage_pool_start_ip),"Value Missing",input_wld_az1_rack4_principal_storage_pool_start_ip)</f>
        <v>Value Missing</v>
      </c>
      <c r="Q85" s="26" t="s">
        <v>674</v>
      </c>
      <c r="R85" s="18" t="str">
        <f>IF(ISBLANK(input_wld_az1_rack5_principal_storage_pool_start_ip),"Value Missing",input_wld_az1_rack5_principal_storage_pool_start_ip)</f>
        <v>Value Missing</v>
      </c>
      <c r="T85" s="26" t="s">
        <v>674</v>
      </c>
      <c r="U85" s="18" t="str">
        <f>IF(ISBLANK(input_wld_az1_rack6_principal_storage_pool_start_ip),"Value Missing",input_wld_az1_rack6_principal_storage_pool_start_ip)</f>
        <v>Value Missing</v>
      </c>
      <c r="W85" s="26" t="s">
        <v>674</v>
      </c>
      <c r="X85" s="18" t="str">
        <f>IF(ISBLANK(input_wld_az1_rack7_principal_storage_pool_start_ip),"Value Missing",input_wld_az1_rack7_principal_storage_pool_start_ip)</f>
        <v>Value Missing</v>
      </c>
      <c r="Z85" s="26" t="s">
        <v>674</v>
      </c>
      <c r="AA85" s="18" t="str">
        <f>IF(ISBLANK(input_wld_az1_rack8_principal_storage_pool_start_ip),"Value Missing",input_wld_az1_rack8_principal_storage_pool_start_ip)</f>
        <v>Value Missing</v>
      </c>
      <c r="AD85"/>
      <c r="AE85"/>
      <c r="AF85"/>
      <c r="AG85"/>
    </row>
    <row r="86" spans="2:33" s="3" customFormat="1" ht="20" customHeight="1">
      <c r="B86" s="26" t="s">
        <v>676</v>
      </c>
      <c r="C86" s="18" t="str">
        <f>IF(ISBLANK(input_mgmt_az1_vsan_pool_end_ip),"Value Missing",input_mgmt_az1_vsan_pool_end_ip)</f>
        <v>Value Missing</v>
      </c>
      <c r="E86" s="26" t="s">
        <v>676</v>
      </c>
      <c r="F86" s="18" t="str">
        <f>IF(ISBLANK(input_wld_az1_principal_storage_pool_end_ip),"Value Missing",input_wld_az1_principal_storage_pool_end_ip)</f>
        <v>Value Missing</v>
      </c>
      <c r="H86" s="26" t="s">
        <v>676</v>
      </c>
      <c r="I86" s="18" t="str">
        <f>IF(ISBLANK(input_wld_az1_rack2_principal_storage_pool_end_ip),"Value Missing",input_wld_az1_rack2_principal_storage_pool_end_ip)</f>
        <v>Value Missing</v>
      </c>
      <c r="K86" s="26" t="s">
        <v>676</v>
      </c>
      <c r="L86" s="18" t="str">
        <f>IF(ISBLANK(input_wld_az1_rack3_principal_storage_pool_end_ip),"Value Missing",input_wld_az1_rack3_principal_storage_pool_end_ip)</f>
        <v>Value Missing</v>
      </c>
      <c r="N86" s="26" t="s">
        <v>676</v>
      </c>
      <c r="O86" s="18" t="str">
        <f>IF(ISBLANK(input_wld_az1_rack4_principal_storage_pool_end_ip),"Value Missing",input_wld_az1_rack4_principal_storage_pool_end_ip)</f>
        <v>Value Missing</v>
      </c>
      <c r="Q86" s="26" t="s">
        <v>676</v>
      </c>
      <c r="R86" s="18" t="str">
        <f>IF(ISBLANK(input_wld_az1_rack5_principal_storage_pool_end_ip),"Value Missing",input_wld_az1_rack5_principal_storage_pool_end_ip)</f>
        <v>Value Missing</v>
      </c>
      <c r="T86" s="26" t="s">
        <v>676</v>
      </c>
      <c r="U86" s="18" t="str">
        <f>IF(ISBLANK(input_wld_az1_rack6_principal_storage_pool_end_ip),"Value Missing",input_wld_az1_rack6_principal_storage_pool_end_ip)</f>
        <v>Value Missing</v>
      </c>
      <c r="W86" s="26" t="s">
        <v>676</v>
      </c>
      <c r="X86" s="18" t="str">
        <f>IF(ISBLANK(input_wld_az1_rack7_principal_storage_pool_end_ip),"Value Missing",input_wld_az1_rack7_principal_storage_pool_end_ip)</f>
        <v>Value Missing</v>
      </c>
      <c r="Z86" s="26" t="s">
        <v>676</v>
      </c>
      <c r="AA86" s="18" t="str">
        <f>IF(ISBLANK(input_wld_az1_rack8_principal_storage_pool_end_ip),"Value Missing",input_wld_az1_rack8_principal_storage_pool_end_ip)</f>
        <v>Value Missing</v>
      </c>
      <c r="AD86"/>
      <c r="AE86"/>
      <c r="AF86"/>
      <c r="AG86"/>
    </row>
    <row r="87" spans="2:33" s="3" customFormat="1" ht="20" customHeight="1">
      <c r="B87" s="26" t="s">
        <v>677</v>
      </c>
      <c r="C87" s="18" t="str">
        <f>IF(ISBLANK(input_mgmt_az1_host_overlay_pool_start_ip),"Value Missing",input_mgmt_az1_host_overlay_pool_start_ip)</f>
        <v>Value Missing</v>
      </c>
      <c r="E87" s="26" t="s">
        <v>677</v>
      </c>
      <c r="F87" s="18" t="str">
        <f>IF(ISBLANK(input_wld_az1_host_overlay_pool_start_ip),"Value Missing",input_wld_az1_host_overlay_pool_start_ip)</f>
        <v>Value Missing</v>
      </c>
      <c r="H87" s="26" t="s">
        <v>677</v>
      </c>
      <c r="I87" s="18" t="str">
        <f>IF(ISBLANK(input_wld_az1_rack2_host_overlay_pool_start_ip),"Value Missing",input_wld_az1_rack2_host_overlay_pool_start_ip)</f>
        <v>Value Missing</v>
      </c>
      <c r="K87" s="26" t="s">
        <v>677</v>
      </c>
      <c r="L87" s="18" t="str">
        <f>IF(ISBLANK(input_wld_az1_rack3_host_overlay_pool_start_ip),"Value Missing",input_wld_az1_rack3_host_overlay_pool_start_ip)</f>
        <v>Value Missing</v>
      </c>
      <c r="N87" s="26" t="s">
        <v>677</v>
      </c>
      <c r="O87" s="18" t="str">
        <f>IF(ISBLANK(input_wld_az1_rack4_host_overlay_pool_start_ip),"Value Missing",input_wld_az1_rack4_host_overlay_pool_start_ip)</f>
        <v>Value Missing</v>
      </c>
      <c r="Q87" s="26" t="s">
        <v>677</v>
      </c>
      <c r="R87" s="18" t="str">
        <f>IF(ISBLANK(input_wld_az1_rack5_host_overlay_pool_start_ip),"Value Missing",input_wld_az1_rack5_host_overlay_pool_start_ip)</f>
        <v>Value Missing</v>
      </c>
      <c r="T87" s="26" t="s">
        <v>677</v>
      </c>
      <c r="U87" s="18" t="str">
        <f>IF(ISBLANK(input_wld_az1_rack6_host_overlay_pool_start_ip),"Value Missing",input_wld_az1_rack6_host_overlay_pool_start_ip)</f>
        <v>Value Missing</v>
      </c>
      <c r="W87" s="26" t="s">
        <v>677</v>
      </c>
      <c r="X87" s="18" t="str">
        <f>IF(ISBLANK(input_wld_az1_rack7_host_overlay_pool_start_ip),"Value Missing",input_wld_az1_rack7_host_overlay_pool_start_ip)</f>
        <v>Value Missing</v>
      </c>
      <c r="Z87" s="26" t="s">
        <v>677</v>
      </c>
      <c r="AA87" s="18" t="str">
        <f>IF(ISBLANK(input_wld_az1_rack8_host_overlay_pool_start_ip),"Value Missing",input_wld_az1_rack8_host_overlay_pool_start_ip)</f>
        <v>Value Missing</v>
      </c>
      <c r="AD87"/>
      <c r="AE87"/>
      <c r="AF87"/>
      <c r="AG87"/>
    </row>
    <row r="88" spans="2:33" s="3" customFormat="1" ht="20" customHeight="1">
      <c r="B88" s="26" t="s">
        <v>679</v>
      </c>
      <c r="C88" s="18" t="str">
        <f>IF(ISBLANK(input_mgmt_az1_host_overlay_pool_end_ip),"Value Missing",input_mgmt_az1_host_overlay_pool_end_ip)</f>
        <v>Value Missing</v>
      </c>
      <c r="E88" s="26" t="s">
        <v>679</v>
      </c>
      <c r="F88" s="18" t="str">
        <f>IF(ISBLANK(input_wld_az1_host_overlay_pool_end_ip),"Value Missing",input_wld_az1_host_overlay_pool_end_ip)</f>
        <v>Value Missing</v>
      </c>
      <c r="H88" s="26" t="s">
        <v>679</v>
      </c>
      <c r="I88" s="18" t="str">
        <f>IF(ISBLANK(input_wld_az1_rack2_host_overlay_pool_end_ip),"Value Missing",input_wld_az1_rack2_host_overlay_pool_end_ip)</f>
        <v>Value Missing</v>
      </c>
      <c r="K88" s="26" t="s">
        <v>679</v>
      </c>
      <c r="L88" s="18" t="str">
        <f>IF(ISBLANK(input_wld_az1_rack3_host_overlay_pool_end_ip),"Value Missing",input_wld_az1_rack3_host_overlay_pool_end_ip)</f>
        <v>Value Missing</v>
      </c>
      <c r="N88" s="26" t="s">
        <v>679</v>
      </c>
      <c r="O88" s="18" t="str">
        <f>IF(ISBLANK(input_wld_az1_rack4_host_overlay_pool_end_ip),"Value Missing",input_wld_az1_rack4_host_overlay_pool_end_ip)</f>
        <v>Value Missing</v>
      </c>
      <c r="Q88" s="26" t="s">
        <v>679</v>
      </c>
      <c r="R88" s="18" t="str">
        <f>IF(ISBLANK(input_wld_az1_rack5_host_overlay_pool_end_ip),"Value Missing",input_wld_az1_rack5_host_overlay_pool_end_ip)</f>
        <v>Value Missing</v>
      </c>
      <c r="T88" s="26" t="s">
        <v>679</v>
      </c>
      <c r="U88" s="18" t="str">
        <f>IF(ISBLANK(input_wld_az1_rack6_host_overlay_pool_end_ip),"Value Missing",input_wld_az1_rack6_host_overlay_pool_end_ip)</f>
        <v>Value Missing</v>
      </c>
      <c r="W88" s="26" t="s">
        <v>679</v>
      </c>
      <c r="X88" s="18" t="str">
        <f>IF(ISBLANK(input_wld_az1_rack7_host_overlay_pool_end_ip),"Value Missing",input_wld_az1_rack7_host_overlay_pool_end_ip)</f>
        <v>Value Missing</v>
      </c>
      <c r="Z88" s="26" t="s">
        <v>679</v>
      </c>
      <c r="AA88" s="18" t="str">
        <f>IF(ISBLANK(input_wld_az1_rack8_host_overlay_pool_end_ip),"Value Missing",input_wld_az1_rack8_host_overlay_pool_end_ip)</f>
        <v>Value Missing</v>
      </c>
      <c r="AD88"/>
      <c r="AE88"/>
      <c r="AF88"/>
      <c r="AG88"/>
    </row>
    <row r="89" spans="2:33" s="3" customFormat="1" ht="20" customHeight="1">
      <c r="B89" s="40" t="s">
        <v>691</v>
      </c>
      <c r="C89" s="18" t="s">
        <v>452</v>
      </c>
      <c r="E89" s="52" t="s">
        <v>691</v>
      </c>
      <c r="F89" s="18" t="str">
        <f>IF(ISBLANK(input_wld_az1_secondary_storage_pool_start_ip),"Value Missing",input_wld_az1_secondary_storage_pool_start_ip)</f>
        <v>Value Missing</v>
      </c>
      <c r="H89" s="52" t="s">
        <v>691</v>
      </c>
      <c r="I89" s="18" t="str">
        <f>IF(ISBLANK(input_wld_az1_rack2_secondary_storage_pool_start_ip),"Value Missing",input_wld_az1_rack2_secondary_storage_pool_start_ip)</f>
        <v>Value Missing</v>
      </c>
      <c r="K89" s="52" t="s">
        <v>691</v>
      </c>
      <c r="L89" s="18" t="str">
        <f>IF(ISBLANK(input_wld_az1_rack3_secondary_storage_pool_start_ip),"Value Missing",input_wld_az1_rack3_secondary_storage_pool_start_ip)</f>
        <v>Value Missing</v>
      </c>
      <c r="N89" s="52" t="s">
        <v>691</v>
      </c>
      <c r="O89" s="18" t="str">
        <f>IF(ISBLANK(input_wld_az1_rack4_secondary_storage_pool_start_ip),"Value Missing",input_wld_az1_rack4_secondary_storage_pool_start_ip)</f>
        <v>Value Missing</v>
      </c>
      <c r="Q89" s="52" t="s">
        <v>691</v>
      </c>
      <c r="R89" s="18" t="str">
        <f>IF(ISBLANK(input_wld_az1_rack5_secondary_storage_pool_start_ip),"Value Missing",input_wld_az1_rack5_secondary_storage_pool_start_ip)</f>
        <v>Value Missing</v>
      </c>
      <c r="T89" s="52" t="s">
        <v>691</v>
      </c>
      <c r="U89" s="18" t="str">
        <f>IF(ISBLANK(input_wld_az1_rack6_secondary_storage_pool_start_ip),"Value Missing",input_wld_az1_rack6_secondary_storage_pool_start_ip)</f>
        <v>Value Missing</v>
      </c>
      <c r="W89" s="52" t="s">
        <v>691</v>
      </c>
      <c r="X89" s="18" t="str">
        <f>IF(ISBLANK(input_wld_az1_rack7_secondary_storage_pool_start_ip),"Value Missing",input_wld_az1_rack7_secondary_storage_pool_start_ip)</f>
        <v>Value Missing</v>
      </c>
      <c r="Z89" s="52" t="s">
        <v>691</v>
      </c>
      <c r="AA89" s="18" t="str">
        <f>IF(ISBLANK(input_wld_az1_rack8_secondary_storage_pool_start_ip),"Value Missing",input_wld_az1_rack8_secondary_storage_pool_start_ip)</f>
        <v>Value Missing</v>
      </c>
      <c r="AD89"/>
      <c r="AE89"/>
      <c r="AF89"/>
      <c r="AG89"/>
    </row>
    <row r="90" spans="2:33" s="3" customFormat="1" ht="20" customHeight="1">
      <c r="B90" s="199" t="s">
        <v>693</v>
      </c>
      <c r="C90" s="18" t="s">
        <v>452</v>
      </c>
      <c r="E90" s="55" t="s">
        <v>693</v>
      </c>
      <c r="F90" s="18" t="str">
        <f>IF(ISBLANK(input_wld_az1_secondary_storage_pool_end_ip),"Value Missing",input_wld_az1_secondary_storage_pool_end_ip)</f>
        <v>Value Missing</v>
      </c>
      <c r="H90" s="55" t="s">
        <v>693</v>
      </c>
      <c r="I90" s="18" t="str">
        <f>IF(ISBLANK(input_wld_az1_rack2_secondary_storage_pool_end_ip),"Value Missing",input_wld_az1_rack2_secondary_storage_pool_end_ip)</f>
        <v>Value Missing</v>
      </c>
      <c r="K90" s="55" t="s">
        <v>693</v>
      </c>
      <c r="L90" s="18" t="str">
        <f>IF(ISBLANK(input_wld_az1_rack3_secondary_storage_pool_end_ip),"Value Missing",input_wld_az1_rack3_secondary_storage_pool_end_ip)</f>
        <v>Value Missing</v>
      </c>
      <c r="N90" s="55" t="s">
        <v>693</v>
      </c>
      <c r="O90" s="18" t="str">
        <f>IF(ISBLANK(input_wld_az1_rack4_secondary_storage_pool_end_ip),"Value Missing",input_wld_az1_rack4_secondary_storage_pool_end_ip)</f>
        <v>Value Missing</v>
      </c>
      <c r="Q90" s="55" t="s">
        <v>693</v>
      </c>
      <c r="R90" s="18" t="str">
        <f>IF(ISBLANK(input_wld_az1_rack5_secondary_storage_pool_end_ip),"Value Missing",input_wld_az1_rack5_secondary_storage_pool_end_ip)</f>
        <v>Value Missing</v>
      </c>
      <c r="T90" s="55" t="s">
        <v>693</v>
      </c>
      <c r="U90" s="18" t="str">
        <f>IF(ISBLANK(input_wld_az1_rack6_secondary_storage_pool_end_ip),"Value Missing",input_wld_az1_rack6_secondary_storage_pool_end_ip)</f>
        <v>Value Missing</v>
      </c>
      <c r="W90" s="55" t="s">
        <v>693</v>
      </c>
      <c r="X90" s="18" t="str">
        <f>IF(ISBLANK(input_wld_az1_rack7_secondary_storage_pool_end_ip),"Value Missing",input_wld_az1_rack7_secondary_storage_pool_end_ip)</f>
        <v>Value Missing</v>
      </c>
      <c r="Z90" s="55" t="s">
        <v>693</v>
      </c>
      <c r="AA90" s="18" t="str">
        <f>IF(ISBLANK(input_wld_az1_rack8_secondary_storage_pool_end_ip),"Value Missing",input_wld_az1_rack8_secondary_storage_pool_end_ip)</f>
        <v>Value Missing</v>
      </c>
      <c r="AD90"/>
      <c r="AE90"/>
      <c r="AF90"/>
      <c r="AG90"/>
    </row>
    <row r="91" spans="2:33" s="3" customFormat="1" ht="20" customHeight="1">
      <c r="B91" s="26" t="s">
        <v>4227</v>
      </c>
      <c r="C91" s="18"/>
      <c r="E91" s="26" t="s">
        <v>4227</v>
      </c>
      <c r="F91" s="18" t="str">
        <f>IF(ISBLANK(input_wld_az1_edge_overlay_pool_start_ip),"Value Missing",input_wld_az1_edge_overlay_pool_start_ip)</f>
        <v>Value Missing</v>
      </c>
      <c r="H91" s="26" t="s">
        <v>4227</v>
      </c>
      <c r="I91" s="18" t="str">
        <f>IF(ISBLANK(input_wld_az1_rack2_edge_overlay_pool_start_ip),"Value Missing",input_wld_az1_rack2_edge_overlay_pool_start_ip)</f>
        <v>Value Missing</v>
      </c>
      <c r="K91" s="26" t="s">
        <v>4227</v>
      </c>
      <c r="L91" s="18" t="str">
        <f>IF(ISBLANK(input_wld_az1_rack3_edge_overlay_pool_start_ip),"Value Missing",input_wld_az1_rack3_edge_overlay_pool_start_ip)</f>
        <v>Value Missing</v>
      </c>
      <c r="N91" s="26" t="s">
        <v>4227</v>
      </c>
      <c r="O91" s="18" t="str">
        <f>IF(ISBLANK(input_wld_az1_rack4_edge_overlay_pool_start_ip),"Value Missing",input_wld_az1_rack4_edge_overlay_pool_start_ip)</f>
        <v>Value Missing</v>
      </c>
      <c r="Q91" s="26" t="s">
        <v>4227</v>
      </c>
      <c r="R91" s="18" t="str">
        <f>IF(ISBLANK(input_wld_az1_rack5_edge_overlay_pool_start_ip),"Value Missing",input_wld_az1_rack5_edge_overlay_pool_start_ip)</f>
        <v>Value Missing</v>
      </c>
      <c r="T91" s="26" t="s">
        <v>4227</v>
      </c>
      <c r="U91" s="18" t="str">
        <f>IF(ISBLANK(input_wld_az1_rack6_edge_overlay_pool_start_ip),"Value Missing",input_wld_az1_rack6_edge_overlay_pool_start_ip)</f>
        <v>Value Missing</v>
      </c>
      <c r="W91" s="26" t="s">
        <v>4227</v>
      </c>
      <c r="X91" s="18" t="str">
        <f>IF(ISBLANK(input_wld_az1_rack7_edge_overlay_pool_start_ip),"Value Missing",input_wld_az1_rack7_edge_overlay_pool_start_ip)</f>
        <v>Value Missing</v>
      </c>
      <c r="Z91" s="26" t="s">
        <v>4227</v>
      </c>
      <c r="AA91" s="18" t="str">
        <f>IF(ISBLANK(input_wld_az1_rack8_edge_overlay_pool_start_ip),"Value Missing",input_wld_az1_rack8_edge_overlay_pool_start_ip)</f>
        <v>Value Missing</v>
      </c>
      <c r="AD91"/>
      <c r="AE91"/>
      <c r="AF91"/>
      <c r="AG91"/>
    </row>
    <row r="92" spans="2:33" s="3" customFormat="1" ht="20" customHeight="1">
      <c r="B92" s="26" t="s">
        <v>4228</v>
      </c>
      <c r="C92" s="18"/>
      <c r="E92" s="26" t="s">
        <v>4228</v>
      </c>
      <c r="F92" s="18" t="str">
        <f>IF(ISBLANK(input_wld_az1_edge_overlay_pool_end_ip),"Value Missing",input_wld_az1_edge_overlay_pool_end_ip)</f>
        <v>Value Missing</v>
      </c>
      <c r="H92" s="26" t="s">
        <v>4228</v>
      </c>
      <c r="I92" s="18" t="str">
        <f>IF(ISBLANK(input_wld_az1_rack2_edge_overlay_pool_end_ip),"Value Missing",input_wld_az1_rack2_edge_overlay_pool_end_ip)</f>
        <v>Value Missing</v>
      </c>
      <c r="K92" s="26" t="s">
        <v>4228</v>
      </c>
      <c r="L92" s="18" t="str">
        <f>IF(ISBLANK(input_wld_az1_rack3_edge_overlay_pool_end_ip),"Value Missing",input_wld_az1_rack3_edge_overlay_pool_end_ip)</f>
        <v>Value Missing</v>
      </c>
      <c r="N92" s="26" t="s">
        <v>4228</v>
      </c>
      <c r="O92" s="18" t="str">
        <f>IF(ISBLANK(input_wld_az1_rack4_edge_overlay_pool_end_ip),"Value Missing",input_wld_az1_rack4_edge_overlay_pool_end_ip)</f>
        <v>Value Missing</v>
      </c>
      <c r="Q92" s="26" t="s">
        <v>4228</v>
      </c>
      <c r="R92" s="18" t="str">
        <f>IF(ISBLANK(input_wld_az1_rack5_edge_overlay_pool_end_ip),"Value Missing",input_wld_az1_rack5_edge_overlay_pool_end_ip)</f>
        <v>Value Missing</v>
      </c>
      <c r="T92" s="26" t="s">
        <v>4228</v>
      </c>
      <c r="U92" s="18" t="str">
        <f>IF(ISBLANK(input_wld_az1_rack6_edge_overlay_pool_end_ip),"Value Missing",input_wld_az1_rack6_edge_overlay_pool_end_ip)</f>
        <v>Value Missing</v>
      </c>
      <c r="W92" s="26" t="s">
        <v>4228</v>
      </c>
      <c r="X92" s="18" t="str">
        <f>IF(ISBLANK(input_wld_az1_rack7_edge_overlay_pool_end_ip),"Value Missing",input_wld_az1_rack7_edge_overlay_pool_end_ip)</f>
        <v>Value Missing</v>
      </c>
      <c r="Z92" s="26" t="s">
        <v>4228</v>
      </c>
      <c r="AA92" s="18" t="str">
        <f>IF(ISBLANK(input_wld_az1_rack8_edge_overlay_pool_end_ip),"Value Missing",input_wld_az1_rack8_edge_overlay_pool_end_ip)</f>
        <v>Value Missing</v>
      </c>
      <c r="AD92"/>
      <c r="AE92"/>
      <c r="AF92"/>
      <c r="AG92"/>
    </row>
    <row r="93" spans="2:33" s="3" customFormat="1" ht="20" customHeight="1">
      <c r="B93" s="26" t="s">
        <v>681</v>
      </c>
      <c r="C93" s="18" t="str">
        <f>IF(ISBLANK(input_mgmt_rtep_overlay_pool_start_ip),"Value Missing",input_mgmt_rtep_overlay_pool_start_ip)</f>
        <v>Value Missing</v>
      </c>
      <c r="E93" s="26" t="s">
        <v>681</v>
      </c>
      <c r="F93" s="18" t="str">
        <f>IF(ISBLANK(input_wld_rtep_overlay_pool_start_ip),"Value Missing",input_wld_rtep_overlay_pool_start_ip)</f>
        <v>Value Missing</v>
      </c>
      <c r="H93" s="26" t="s">
        <v>681</v>
      </c>
      <c r="I93" s="18" t="str">
        <f>IF(ISBLANK(input_wld_az1_rack2_rtep_overlay_pool_start_ip),"Value Missing",input_wld_az1_rack2_rtep_overlay_pool_start_ip)</f>
        <v>Value Missing</v>
      </c>
      <c r="K93" s="26" t="s">
        <v>681</v>
      </c>
      <c r="L93" s="18" t="str">
        <f>IF(ISBLANK(input_wld_az1_rack3_rtep_overlay_pool_start_ip),"Value Missing",input_wld_az1_rack3_rtep_overlay_pool_start_ip)</f>
        <v>Value Missing</v>
      </c>
      <c r="N93" s="26" t="s">
        <v>681</v>
      </c>
      <c r="O93" s="18" t="str">
        <f>IF(ISBLANK(input_wld_az1_rack4_rtep_overlay_pool_start_ip),"Value Missing",input_wld_az1_rack4_rtep_overlay_pool_start_ip)</f>
        <v>Value Missing</v>
      </c>
      <c r="Q93" s="26" t="s">
        <v>681</v>
      </c>
      <c r="R93" s="18" t="str">
        <f>IF(ISBLANK(input_wld_az1_rack5_rtep_overlay_pool_start_ip),"Value Missing",input_wld_az1_rack5_rtep_overlay_pool_start_ip)</f>
        <v>Value Missing</v>
      </c>
      <c r="T93" s="26" t="s">
        <v>681</v>
      </c>
      <c r="U93" s="18" t="str">
        <f>IF(ISBLANK(input_wld_az1_rack6_rtep_overlay_pool_start_ip),"Value Missing",input_wld_az1_rack6_rtep_overlay_pool_start_ip)</f>
        <v>Value Missing</v>
      </c>
      <c r="W93" s="26" t="s">
        <v>681</v>
      </c>
      <c r="X93" s="18" t="str">
        <f>IF(ISBLANK(input_wld_az1_rack7_rtep_overlay_pool_start_ip),"Value Missing",input_wld_az1_rack7_rtep_overlay_pool_start_ip)</f>
        <v>Value Missing</v>
      </c>
      <c r="Z93" s="26" t="s">
        <v>681</v>
      </c>
      <c r="AA93" s="18" t="str">
        <f>IF(ISBLANK(input_wld_az1_rack8_rtep_overlay_pool_start_ip),"Value Missing",input_wld_az1_rack8_rtep_overlay_pool_start_ip)</f>
        <v>Value Missing</v>
      </c>
      <c r="AD93"/>
      <c r="AE93"/>
      <c r="AF93"/>
      <c r="AG93"/>
    </row>
    <row r="94" spans="2:33" s="3" customFormat="1" ht="20" customHeight="1">
      <c r="B94" s="26" t="s">
        <v>683</v>
      </c>
      <c r="C94" s="18" t="str">
        <f>IF(ISBLANK(input_mgmt_rtep_overlay_pool_end_ip),"Value Missing",input_mgmt_rtep_overlay_pool_end_ip)</f>
        <v>Value Missing</v>
      </c>
      <c r="E94" s="26" t="s">
        <v>683</v>
      </c>
      <c r="F94" s="18" t="str">
        <f>IF(ISBLANK(input_wld_rtep_overlay_pool_end_ip),"Value Missing",input_wld_rtep_overlay_pool_end_ip)</f>
        <v>Value Missing</v>
      </c>
      <c r="H94" s="26" t="s">
        <v>683</v>
      </c>
      <c r="I94" s="18" t="str">
        <f>IF(ISBLANK(input_wld_az1_rack2_rtep_overlay_pool_end_ip),"Value Missing",input_wld_az1_rack2_rtep_overlay_pool_end_ip)</f>
        <v>Value Missing</v>
      </c>
      <c r="K94" s="26" t="s">
        <v>683</v>
      </c>
      <c r="L94" s="18" t="str">
        <f>IF(ISBLANK(input_wld_az1_rack3_rtep_overlay_pool_end_ip),"Value Missing",input_wld_az1_rack3_rtep_overlay_pool_end_ip)</f>
        <v>Value Missing</v>
      </c>
      <c r="N94" s="26" t="s">
        <v>683</v>
      </c>
      <c r="O94" s="18" t="str">
        <f>IF(ISBLANK(input_wld_az1_rack4_rtep_overlay_pool_end_ip),"Value Missing",input_wld_az1_rack4_rtep_overlay_pool_end_ip)</f>
        <v>Value Missing</v>
      </c>
      <c r="Q94" s="26" t="s">
        <v>683</v>
      </c>
      <c r="R94" s="18" t="str">
        <f>IF(ISBLANK(input_wld_az1_rack5_rtep_overlay_pool_end_ip),"Value Missing",input_wld_az1_rack5_rtep_overlay_pool_end_ip)</f>
        <v>Value Missing</v>
      </c>
      <c r="T94" s="26" t="s">
        <v>683</v>
      </c>
      <c r="U94" s="18" t="str">
        <f>IF(ISBLANK(input_wld_az1_rack6_rtep_overlay_pool_end_ip),"Value Missing",input_wld_az1_rack6_rtep_overlay_pool_end_ip)</f>
        <v>Value Missing</v>
      </c>
      <c r="W94" s="26" t="s">
        <v>683</v>
      </c>
      <c r="X94" s="18" t="str">
        <f>IF(ISBLANK(input_wld_az1_rack7_rtep_overlay_pool_end_ip),"Value Missing",input_wld_az1_rack7_rtep_overlay_pool_end_ip)</f>
        <v>Value Missing</v>
      </c>
      <c r="Z94" s="26" t="s">
        <v>683</v>
      </c>
      <c r="AA94" s="18" t="str">
        <f>IF(ISBLANK(input_wld_az1_rack8_rtep_overlay_pool_end_ip),"Value Missing",input_wld_az1_rack8_rtep_overlay_pool_end_ip)</f>
        <v>Value Missing</v>
      </c>
      <c r="AD94"/>
      <c r="AE94"/>
      <c r="AF94"/>
      <c r="AG94"/>
    </row>
    <row r="95" spans="2:33" s="3" customFormat="1" ht="20" customHeight="1">
      <c r="E95" s="198"/>
      <c r="H95" s="30"/>
      <c r="K95" s="30"/>
      <c r="N95" s="30"/>
      <c r="Q95" s="30"/>
      <c r="T95" s="30"/>
      <c r="W95" s="30"/>
      <c r="Z95" s="30"/>
      <c r="AD95"/>
      <c r="AE95"/>
      <c r="AF95"/>
      <c r="AG95"/>
    </row>
    <row r="96" spans="2:33" s="3" customFormat="1" ht="20" customHeight="1">
      <c r="B96" s="183" t="s">
        <v>4352</v>
      </c>
      <c r="C96" s="188"/>
      <c r="E96" s="183" t="s">
        <v>4353</v>
      </c>
      <c r="F96" s="188"/>
      <c r="H96" s="183" t="s">
        <v>4354</v>
      </c>
      <c r="I96" s="188"/>
      <c r="K96" s="183" t="s">
        <v>4355</v>
      </c>
      <c r="L96" s="188"/>
      <c r="N96" s="183" t="s">
        <v>4356</v>
      </c>
      <c r="O96" s="188"/>
      <c r="Q96" s="183" t="s">
        <v>4357</v>
      </c>
      <c r="R96" s="188"/>
      <c r="T96" s="183" t="s">
        <v>4358</v>
      </c>
      <c r="U96" s="188"/>
      <c r="W96" s="183" t="s">
        <v>4359</v>
      </c>
      <c r="X96" s="188"/>
      <c r="Z96" s="183" t="s">
        <v>4360</v>
      </c>
      <c r="AA96" s="188"/>
      <c r="AD96"/>
      <c r="AE96"/>
      <c r="AF96"/>
      <c r="AG96"/>
    </row>
    <row r="97" spans="2:33" ht="20" customHeight="1">
      <c r="B97" s="112" t="s">
        <v>735</v>
      </c>
      <c r="C97" s="113" t="s">
        <v>1230</v>
      </c>
      <c r="E97" s="112" t="s">
        <v>735</v>
      </c>
      <c r="F97" s="113" t="s">
        <v>555</v>
      </c>
      <c r="H97" s="112" t="s">
        <v>735</v>
      </c>
      <c r="I97" s="113" t="s">
        <v>555</v>
      </c>
      <c r="K97" s="112" t="s">
        <v>735</v>
      </c>
      <c r="L97" s="113" t="s">
        <v>555</v>
      </c>
      <c r="N97" s="112" t="s">
        <v>735</v>
      </c>
      <c r="O97" s="113" t="s">
        <v>555</v>
      </c>
      <c r="Q97" s="112" t="s">
        <v>735</v>
      </c>
      <c r="R97" s="113" t="s">
        <v>555</v>
      </c>
      <c r="T97" s="112" t="s">
        <v>735</v>
      </c>
      <c r="U97" s="113" t="s">
        <v>555</v>
      </c>
      <c r="W97" s="112" t="s">
        <v>735</v>
      </c>
      <c r="X97" s="113" t="s">
        <v>555</v>
      </c>
      <c r="Z97" s="112" t="s">
        <v>735</v>
      </c>
      <c r="AA97" s="113" t="s">
        <v>555</v>
      </c>
    </row>
    <row r="98" spans="2:33" ht="20" customHeight="1">
      <c r="B98" s="26" t="s">
        <v>4174</v>
      </c>
      <c r="C98" s="18" t="str">
        <f>IF(ISBLANK(input_mgmt_az1_pool_name),"Value Missing",input_mgmt_az1_pool_name)</f>
        <v>Value Missing</v>
      </c>
      <c r="E98" s="26" t="s">
        <v>4174</v>
      </c>
      <c r="F98" s="18" t="str">
        <f>IF(ISBLANK(input_wld_az1_pool_name),"Value Missing",input_wld_az1_pool_name)</f>
        <v>Value Missing</v>
      </c>
      <c r="H98" s="26" t="s">
        <v>4174</v>
      </c>
      <c r="I98" s="18" t="str">
        <f>IF(ISBLANK(input_wld_az1_rack2_pool_name),"Value Missing",input_wld_az1_rack2_pool_name)</f>
        <v>Value Missing</v>
      </c>
      <c r="K98" s="26" t="s">
        <v>4174</v>
      </c>
      <c r="L98" s="18" t="str">
        <f>IF(ISBLANK(input_wld_az1_rack3_pool_name),"Value Missing",input_wld_az1_rack3_pool_name)</f>
        <v>Value Missing</v>
      </c>
      <c r="N98" s="26" t="s">
        <v>4174</v>
      </c>
      <c r="O98" s="18" t="str">
        <f>IF(ISBLANK(input_wld_az1_rack4_pool_name),"Value Missing",input_wld_az1_rack4_pool_name)</f>
        <v>Value Missing</v>
      </c>
      <c r="Q98" s="26" t="s">
        <v>4174</v>
      </c>
      <c r="R98" s="18" t="str">
        <f>IF(ISBLANK(input_wld_az1_rack5_pool_name),"Value Missing",input_wld_az1_rack5_pool_name)</f>
        <v>Value Missing</v>
      </c>
      <c r="T98" s="26" t="s">
        <v>4174</v>
      </c>
      <c r="U98" s="18" t="str">
        <f>IF(ISBLANK(input_wld_az1_rack6_pool_name),"Value Missing",input_wld_az1_rack6_pool_name)</f>
        <v>Value Missing</v>
      </c>
      <c r="W98" s="26" t="s">
        <v>4174</v>
      </c>
      <c r="X98" s="18" t="str">
        <f>IF(ISBLANK(input_wld_az1_rack7_pool_name),"Value Missing",input_wld_az1_rack7_pool_name)</f>
        <v>Value Missing</v>
      </c>
      <c r="Z98" s="26" t="s">
        <v>4174</v>
      </c>
      <c r="AA98" s="18" t="str">
        <f>IF(ISBLANK(input_wld_az1_rack8_pool_name),"Value Missing",input_wld_az1_rack8_pool_name)</f>
        <v>Value Missing</v>
      </c>
    </row>
    <row r="99" spans="2:33" s="3" customFormat="1" ht="20" customHeight="1">
      <c r="B99" s="26" t="s">
        <v>4104</v>
      </c>
      <c r="C99" s="18" t="str">
        <f>IF(ISBLANK(input_mgmt_az1_host_overlay_network_profile_name),"Value Missing",input_mgmt_az1_host_overlay_network_profile_name)</f>
        <v>Value Missing</v>
      </c>
      <c r="E99" s="26" t="s">
        <v>4104</v>
      </c>
      <c r="F99" s="18" t="str">
        <f>IF(ISBLANK(input_wld_az1_host_overlay_network_profile_name),"Value Missing",input_wld_az1_host_overlay_network_profile_name)</f>
        <v>Value Missing</v>
      </c>
      <c r="H99" s="26" t="s">
        <v>4104</v>
      </c>
      <c r="I99" s="18" t="str">
        <f>IF(ISBLANK(input_wld_az1_rack2_host_overlay_network_profile_name),"Value Missing",input_wld_az1_rack2_host_overlay_network_profile_name)</f>
        <v>Value Missing</v>
      </c>
      <c r="K99" s="26" t="s">
        <v>4104</v>
      </c>
      <c r="L99" s="18" t="str">
        <f>IF(ISBLANK(input_wld_az1_rack3_host_overlay_network_profile_name),"Value Missing",input_wld_az1_rack3_host_overlay_network_profile_name)</f>
        <v>Value Missing</v>
      </c>
      <c r="N99" s="26" t="s">
        <v>4104</v>
      </c>
      <c r="O99" s="18" t="str">
        <f>IF(ISBLANK(input_wld_az1_rack4_host_overlay_network_profile_name),"Value Missing",input_wld_az1_rack4_host_overlay_network_profile_name)</f>
        <v>Value Missing</v>
      </c>
      <c r="Q99" s="26" t="s">
        <v>4104</v>
      </c>
      <c r="R99" s="18" t="str">
        <f>IF(ISBLANK(input_wld_az1_rack5_host_overlay_network_profile_name),"Value Missing",input_wld_az1_rack5_host_overlay_network_profile_name)</f>
        <v>Value Missing</v>
      </c>
      <c r="T99" s="26" t="s">
        <v>4104</v>
      </c>
      <c r="U99" s="18" t="str">
        <f>IF(ISBLANK(input_wld_az1_rack6_host_overlay_network_profile_name),"Value Missing",input_wld_az1_rack6_host_overlay_network_profile_name)</f>
        <v>Value Missing</v>
      </c>
      <c r="W99" s="26" t="s">
        <v>4104</v>
      </c>
      <c r="X99" s="18" t="str">
        <f>IF(ISBLANK(input_wld_az1_rack7_host_overlay_network_profile_name),"Value Missing",input_wld_az1_rack7_host_overlay_network_profile_name)</f>
        <v>Value Missing</v>
      </c>
      <c r="Z99" s="26" t="s">
        <v>4104</v>
      </c>
      <c r="AA99" s="18" t="str">
        <f>IF(ISBLANK(input_wld_az1_rack8_host_overlay_network_profile_name),"Value Missing",input_wld_az1_rack8_host_overlay_network_profile_name)</f>
        <v>Value Missing</v>
      </c>
      <c r="AD99"/>
      <c r="AE99"/>
      <c r="AF99"/>
      <c r="AG99"/>
    </row>
    <row r="100" spans="2:33" s="157" customFormat="1" ht="20" customHeight="1">
      <c r="B100" s="26" t="s">
        <v>805</v>
      </c>
      <c r="C100" s="72" t="str">
        <f>IF(ISBLANK(sample_mgmt_az1_host_overlay_network_pool_description),"Value Missing",sample_mgmt_az1_host_overlay_network_pool_description)</f>
        <v>ESXi Host Overlay TEP IP Pool</v>
      </c>
      <c r="E100" s="67" t="s">
        <v>805</v>
      </c>
      <c r="F100" s="72"/>
      <c r="H100" s="67" t="s">
        <v>805</v>
      </c>
      <c r="I100" s="72"/>
      <c r="K100" s="67" t="s">
        <v>805</v>
      </c>
      <c r="L100" s="72"/>
      <c r="N100" s="67" t="s">
        <v>805</v>
      </c>
      <c r="O100" s="72"/>
      <c r="Q100" s="67" t="s">
        <v>805</v>
      </c>
      <c r="R100" s="72"/>
      <c r="T100" s="67" t="s">
        <v>805</v>
      </c>
      <c r="U100" s="72"/>
      <c r="W100" s="67" t="s">
        <v>805</v>
      </c>
      <c r="X100" s="72"/>
      <c r="Z100" s="67" t="s">
        <v>805</v>
      </c>
      <c r="AA100" s="72"/>
      <c r="AD100" s="91"/>
      <c r="AE100" s="91"/>
      <c r="AF100" s="91"/>
      <c r="AG100" s="91"/>
    </row>
    <row r="101" spans="2:33" s="3" customFormat="1" ht="20" customHeight="1">
      <c r="B101" s="26" t="s">
        <v>807</v>
      </c>
      <c r="C101" s="18" t="str">
        <f>IF(ISBLANK(input_mgmt_az1_host_overlay_network_pool_name),"Value Missing",input_mgmt_az1_host_overlay_network_pool_name)</f>
        <v>Value Missing</v>
      </c>
      <c r="E101" s="26" t="s">
        <v>4103</v>
      </c>
      <c r="F101" s="18" t="str">
        <f>IF(ISBLANK(input_wld_az1_host_overlay_network_pool_name),"Value Missing",input_wld_az1_host_overlay_network_pool_name)</f>
        <v>Value Missing</v>
      </c>
      <c r="H101" s="26" t="s">
        <v>807</v>
      </c>
      <c r="I101" s="18" t="str">
        <f>IF(ISBLANK(input_wld_az1_rack2_host_overlay_network_pool_name),"Value Missing",input_wld_az1_rack2_host_overlay_network_pool_name)</f>
        <v>Value Missing</v>
      </c>
      <c r="K101" s="26" t="s">
        <v>4103</v>
      </c>
      <c r="L101" s="18" t="str">
        <f>IF(ISBLANK(input_wld_az1_rack3_host_overlay_network_pool_name),"Value Missing",input_wld_az1_rack3_host_overlay_network_pool_name)</f>
        <v>Value Missing</v>
      </c>
      <c r="N101" s="26" t="s">
        <v>4103</v>
      </c>
      <c r="O101" s="18" t="str">
        <f>IF(ISBLANK(input_wld_az1_rack4_host_overlay_network_pool_name),"Value Missing",input_wld_az1_rack4_host_overlay_network_pool_name)</f>
        <v>Value Missing</v>
      </c>
      <c r="Q101" s="26" t="s">
        <v>4103</v>
      </c>
      <c r="R101" s="18" t="str">
        <f>IF(ISBLANK(input_wld_az1_rack5_host_overlay_network_pool_name),"Value Missing",input_wld_az1_rack5_host_overlay_network_pool_name)</f>
        <v>Value Missing</v>
      </c>
      <c r="T101" s="26" t="s">
        <v>4103</v>
      </c>
      <c r="U101" s="18" t="str">
        <f>IF(ISBLANK(input_wld_az1_rack6_host_overlay_network_pool_name),"Value Missing",input_wld_az1_rack6_host_overlay_network_pool_name)</f>
        <v>Value Missing</v>
      </c>
      <c r="W101" s="26" t="s">
        <v>4103</v>
      </c>
      <c r="X101" s="18" t="str">
        <f>IF(ISBLANK(input_wld_az1_rack7_host_overlay_network_pool_name),"Value Missing",input_wld_az1_rack7_host_overlay_network_pool_name)</f>
        <v>Value Missing</v>
      </c>
      <c r="Z101" s="26" t="s">
        <v>4103</v>
      </c>
      <c r="AA101" s="18" t="str">
        <f>IF(ISBLANK(input_wld_az1_rack8_host_overlay_network_pool_name),"Value Missing",input_wld_az1_rack8_host_overlay_network_pool_name)</f>
        <v>Value Missing</v>
      </c>
      <c r="AD101"/>
      <c r="AE101"/>
      <c r="AF101"/>
      <c r="AG101"/>
    </row>
    <row r="102" spans="2:33" s="3" customFormat="1" ht="20" customHeight="1">
      <c r="B102" s="26" t="s">
        <v>4102</v>
      </c>
      <c r="C102" s="18" t="str">
        <f>IF(ISBLANK(input_mgmt_az1_host_overlay_uplink_profile_name),"Value Missing",input_mgmt_az1_host_overlay_uplink_profile_name)</f>
        <v>Value Missing</v>
      </c>
      <c r="E102" s="26" t="s">
        <v>4102</v>
      </c>
      <c r="F102" s="18" t="str">
        <f>IF(ISBLANK(input_wld_az1_host_overlay_uplink_profile_name),"Value Missing",input_wld_az1_host_overlay_uplink_profile_name)</f>
        <v>Value Missing</v>
      </c>
      <c r="H102" s="26" t="s">
        <v>4102</v>
      </c>
      <c r="I102" s="18" t="str">
        <f>IF(ISBLANK(input_wld_az1_rack2_host_overlay_uplink_profile_name),"Value Missing",input_wld_az1_rack2_host_overlay_uplink_profile_name)</f>
        <v>Value Missing</v>
      </c>
      <c r="K102" s="26" t="s">
        <v>4102</v>
      </c>
      <c r="L102" s="18" t="str">
        <f>IF(ISBLANK(input_wld_az1_rack3_host_overlay_uplink_profile_name),"Value Missing",input_wld_az1_rack3_host_overlay_uplink_profile_name)</f>
        <v>Value Missing</v>
      </c>
      <c r="N102" s="26" t="s">
        <v>4102</v>
      </c>
      <c r="O102" s="18" t="str">
        <f>IF(ISBLANK(input_wld_az1_rack4_host_overlay_uplink_profile_name),"Value Missing",input_wld_az1_rack4_host_overlay_uplink_profile_name)</f>
        <v>Value Missing</v>
      </c>
      <c r="Q102" s="26" t="s">
        <v>4102</v>
      </c>
      <c r="R102" s="18" t="str">
        <f>IF(ISBLANK(input_wld_az1_rack5_host_overlay_uplink_profile_name),"Value Missing",input_wld_az1_rack5_host_overlay_uplink_profile_name)</f>
        <v>Value Missing</v>
      </c>
      <c r="T102" s="26" t="s">
        <v>4102</v>
      </c>
      <c r="U102" s="18" t="str">
        <f>IF(ISBLANK(input_wld_az1_rack6_host_overlay_uplink_profile_name),"Value Missing",input_wld_az1_rack6_host_overlay_uplink_profile_name)</f>
        <v>Value Missing</v>
      </c>
      <c r="W102" s="26" t="s">
        <v>4102</v>
      </c>
      <c r="X102" s="18" t="str">
        <f>IF(ISBLANK(input_wld_az1_rack7_host_overlay_uplink_profile_name),"Value Missing",input_wld_az1_rack7_host_overlay_uplink_profile_name)</f>
        <v>Value Missing</v>
      </c>
      <c r="Z102" s="26" t="s">
        <v>4102</v>
      </c>
      <c r="AA102" s="18" t="str">
        <f>IF(ISBLANK(input_wld_az1_rack8_host_overlay_uplink_profile_name),"Value Missing",input_wld_az1_rack8_host_overlay_uplink_profile_name)</f>
        <v>Value Missing</v>
      </c>
      <c r="AD102"/>
      <c r="AE102"/>
      <c r="AF102"/>
      <c r="AG102"/>
    </row>
    <row r="103" spans="2:33" s="3" customFormat="1" ht="20" customHeight="1">
      <c r="B103" s="26" t="s">
        <v>4233</v>
      </c>
      <c r="C103" s="18" t="str" cm="1">
        <f t="array" ref="C103">IF(ISBLANK(input_mgmt_az1_edge_overlay_network_pool_name),"Value Missing",input_mgmt_az1_edge_overlay_network_pool_name)</f>
        <v>Value Missing</v>
      </c>
      <c r="E103" s="26" t="s">
        <v>4233</v>
      </c>
      <c r="F103" s="18" t="str">
        <f>IF(ISBLANK(input_wld_az1_edge_overlay_network_pool_name),"Value Missing",input_wld_az1_edge_overlay_network_pool_name)</f>
        <v>Value Missing</v>
      </c>
      <c r="H103" s="26" t="s">
        <v>4233</v>
      </c>
      <c r="I103" s="18" t="str">
        <f>IF(ISBLANK(input_wld_az1_rack2_edge_overlay_network_pool_name),"Value Missing",input_wld_az1_rack2_edge_overlay_network_pool_name)</f>
        <v>Value Missing</v>
      </c>
      <c r="K103" s="26" t="s">
        <v>4233</v>
      </c>
      <c r="L103" s="18" t="str">
        <f>IF(ISBLANK(input_wld_az1_rack3_edge_overlay_network_pool_name),"Value Missing",input_wld_az1_rack3_edge_overlay_network_pool_name)</f>
        <v>Value Missing</v>
      </c>
      <c r="N103" s="26" t="s">
        <v>4233</v>
      </c>
      <c r="O103" s="18" t="str">
        <f>IF(ISBLANK(input_wld_az1_rack4_edge_overlay_network_pool_name),"Value Missing",input_wld_az1_rack4_edge_overlay_network_pool_name)</f>
        <v>Value Missing</v>
      </c>
      <c r="Q103" s="26" t="s">
        <v>4233</v>
      </c>
      <c r="R103" s="18" t="str">
        <f>IF(ISBLANK(input_wld_az1_rack5_edge_overlay_network_pool_name),"Value Missing",input_wld_az1_rack5_edge_overlay_network_pool_name)</f>
        <v>Value Missing</v>
      </c>
      <c r="T103" s="26" t="s">
        <v>4233</v>
      </c>
      <c r="U103" s="18" t="str">
        <f>IF(ISBLANK(input_wld_az1_rack6_edge_overlay_network_pool_name),"Value Missing",input_wld_az1_rack6_edge_overlay_network_pool_name)</f>
        <v>Value Missing</v>
      </c>
      <c r="W103" s="26" t="s">
        <v>4233</v>
      </c>
      <c r="X103" s="18" t="str">
        <f>IF(ISBLANK(input_wld_az1_rack7_edge_overlay_network_pool_name),"Value Missing",input_wld_az1_rack7_edge_overlay_network_pool_name)</f>
        <v>Value Missing</v>
      </c>
      <c r="Z103" s="70" t="s">
        <v>4233</v>
      </c>
      <c r="AA103" s="18" t="str">
        <f>IF(ISBLANK(input_wld_az1_rack8_edge_overlay_network_pool_name),"Value Missing",input_wld_az1_rack8_edge_overlay_network_pool_name)</f>
        <v>Value Missing</v>
      </c>
      <c r="AD103"/>
      <c r="AE103"/>
      <c r="AF103"/>
      <c r="AG103"/>
    </row>
    <row r="104" spans="2:33" s="3" customFormat="1" ht="20" customHeight="1">
      <c r="B104" s="26" t="s">
        <v>4210</v>
      </c>
      <c r="C104" s="18" t="str" cm="1">
        <f t="array" ref="C104">IF(ISBLANK(input_mgmt_az1_rtep_ip_pool_name),"Value Missing",input_mgmt_az1_rtep_ip_pool_name)</f>
        <v>Value Missing</v>
      </c>
      <c r="E104" s="26" t="s">
        <v>4210</v>
      </c>
      <c r="F104" s="18" t="str">
        <f>IF(ISBLANK(input_wld_az1_rtep_ip_pool_name),"Value Missing",input_wld_az1_rtep_ip_pool_name)</f>
        <v>Value Missing</v>
      </c>
      <c r="H104" s="26" t="s">
        <v>4210</v>
      </c>
      <c r="I104" s="18" t="str">
        <f>IF(ISBLANK(input_wld_az1_rack2_rtep_ip_pool_name),"Value Missing",input_wld_az1_rack2_rtep_ip_pool_name)</f>
        <v>Value Missing</v>
      </c>
      <c r="K104" s="26" t="s">
        <v>4210</v>
      </c>
      <c r="L104" s="18" t="str">
        <f>IF(ISBLANK(input_wld_az1_rack3_rtep_ip_pool_name),"Value Missing",input_wld_az1_rack3_rtep_ip_pool_name)</f>
        <v>Value Missing</v>
      </c>
      <c r="N104" s="26" t="s">
        <v>4210</v>
      </c>
      <c r="O104" s="18" t="str">
        <f>IF(ISBLANK(input_wld_az1_rack4_rtep_ip_pool_name),"Value Missing",input_wld_az1_rack4_rtep_ip_pool_name)</f>
        <v>Value Missing</v>
      </c>
      <c r="Q104" s="26" t="s">
        <v>4210</v>
      </c>
      <c r="R104" s="18" t="str">
        <f>IF(ISBLANK(input_wld_az1_rack5_rtep_ip_pool_name),"Value Missing",input_wld_az1_rack5_rtep_ip_pool_name)</f>
        <v>Value Missing</v>
      </c>
      <c r="T104" s="26" t="s">
        <v>4210</v>
      </c>
      <c r="U104" s="18" t="str">
        <f>IF(ISBLANK(input_wld_az1_rack6_rtep_ip_pool_name),"Value Missing",input_wld_az1_rack6_rtep_ip_pool_name)</f>
        <v>Value Missing</v>
      </c>
      <c r="W104" s="26" t="s">
        <v>4210</v>
      </c>
      <c r="X104" s="18" t="str">
        <f>IF(ISBLANK(input_wld_az1_rack7_rtep_ip_pool_name),"Value Missing",input_wld_az1_rack7_rtep_ip_pool_name)</f>
        <v>Value Missing</v>
      </c>
      <c r="Z104" s="26" t="s">
        <v>4210</v>
      </c>
      <c r="AA104" s="18" t="str">
        <f>IF(ISBLANK(input_wld_az1_rack8_rtep_ip_pool_name),"Value Missing",input_wld_az1_rack8_rtep_ip_pool_name)</f>
        <v>Value Missing</v>
      </c>
      <c r="AD104"/>
      <c r="AE104"/>
      <c r="AF104"/>
      <c r="AG104"/>
    </row>
    <row r="105" spans="2:33" s="3" customFormat="1" ht="20" customHeight="1">
      <c r="B105" s="26" t="s">
        <v>4351</v>
      </c>
      <c r="C105" s="18"/>
      <c r="E105" s="26" t="s">
        <v>4351</v>
      </c>
      <c r="F105" s="18" t="str">
        <f>IF(ISBLANK(input_wld_az1_vsan_fault_domain),"Value Missing",input_wld_az1_vsan_fault_domain)</f>
        <v>Value Missing</v>
      </c>
      <c r="H105" s="26" t="s">
        <v>4351</v>
      </c>
      <c r="I105" s="18" t="str">
        <f>IF(ISBLANK(input_wld_az1_rack2_vsan_fault_domain),"Value Missing",input_wld_az1_rack2_vsan_fault_domain)</f>
        <v>Value Missing</v>
      </c>
      <c r="K105" s="26" t="s">
        <v>4351</v>
      </c>
      <c r="L105" s="18" t="str">
        <f>IF(ISBLANK(input_wld_az1_rack3_vsan_fault_domain),"Value Missing",input_wld_az1_rack3_vsan_fault_domain)</f>
        <v>Value Missing</v>
      </c>
      <c r="N105" s="26" t="s">
        <v>4351</v>
      </c>
      <c r="O105" s="18" t="str">
        <f>IF(ISBLANK(input_wld_az1_rack4_vsan_fault_domain),"Value Missing",input_wld_az1_rack4_vsan_fault_domain)</f>
        <v>Value Missing</v>
      </c>
      <c r="Q105" s="26" t="s">
        <v>4351</v>
      </c>
      <c r="R105" s="18" t="str">
        <f>IF(ISBLANK(input_wld_az1_rack5_vsan_fault_domain),"Value Missing",input_wld_az1_rack5_vsan_fault_domain)</f>
        <v>Value Missing</v>
      </c>
      <c r="T105" s="26" t="s">
        <v>4351</v>
      </c>
      <c r="U105" s="18" t="str">
        <f>IF(ISBLANK(input_wld_az1_rack6_vsan_fault_domain),"Value Missing",input_wld_az1_rack6_vsan_fault_domain)</f>
        <v>Value Missing</v>
      </c>
      <c r="W105" s="26" t="s">
        <v>4351</v>
      </c>
      <c r="X105" s="18" t="str">
        <f>IF(ISBLANK(input_wld_az1_rack7_vsan_fault_domain),"Value Missing",input_wld_az1_rack7_vsan_fault_domain)</f>
        <v>Value Missing</v>
      </c>
      <c r="Z105" s="26" t="s">
        <v>4351</v>
      </c>
      <c r="AA105" s="18" t="str">
        <f>IF(ISBLANK(input_wld_az1_rack8_vsan_fault_domain),"Value Missing",input_wld_az1_rack8_vsan_fault_domain)</f>
        <v>Value Missing</v>
      </c>
      <c r="AD105"/>
      <c r="AE105"/>
      <c r="AF105"/>
      <c r="AG105"/>
    </row>
    <row r="106" spans="2:33" s="106" customFormat="1" ht="20" customHeight="1">
      <c r="E106" s="192"/>
      <c r="F106" s="192"/>
      <c r="H106" s="192"/>
      <c r="I106" s="103"/>
      <c r="K106" s="192"/>
      <c r="L106" s="103"/>
      <c r="N106" s="192"/>
      <c r="O106" s="103"/>
      <c r="Q106" s="192"/>
      <c r="R106" s="103"/>
      <c r="T106" s="192"/>
      <c r="U106" s="103"/>
      <c r="W106" s="192"/>
      <c r="X106" s="103"/>
      <c r="Z106" s="192"/>
      <c r="AA106" s="103"/>
      <c r="AD106"/>
      <c r="AE106"/>
      <c r="AF106" s="103"/>
      <c r="AG106" s="103"/>
    </row>
    <row r="107" spans="2:33" s="3" customFormat="1" ht="20" customHeight="1">
      <c r="B107" s="501" t="s">
        <v>4112</v>
      </c>
      <c r="C107" s="502"/>
      <c r="E107" s="501" t="s">
        <v>4030</v>
      </c>
      <c r="F107" s="502"/>
      <c r="H107" s="501" t="s">
        <v>3984</v>
      </c>
      <c r="I107" s="502"/>
      <c r="J107" s="5"/>
      <c r="K107" s="501" t="s">
        <v>3985</v>
      </c>
      <c r="L107" s="502"/>
      <c r="N107" s="501" t="s">
        <v>3901</v>
      </c>
      <c r="O107" s="502"/>
      <c r="Q107" s="501" t="s">
        <v>3901</v>
      </c>
      <c r="R107" s="502"/>
      <c r="T107" s="501" t="s">
        <v>3901</v>
      </c>
      <c r="U107" s="502"/>
      <c r="W107" s="501" t="s">
        <v>3901</v>
      </c>
      <c r="X107" s="502"/>
      <c r="Z107" s="501" t="s">
        <v>3901</v>
      </c>
      <c r="AA107" s="502"/>
      <c r="AD107"/>
      <c r="AE107"/>
    </row>
    <row r="108" spans="2:33" s="3" customFormat="1" ht="20" customHeight="1">
      <c r="B108" s="112" t="s">
        <v>735</v>
      </c>
      <c r="C108" s="113" t="s">
        <v>1230</v>
      </c>
      <c r="E108" s="112" t="s">
        <v>735</v>
      </c>
      <c r="F108" s="113" t="s">
        <v>555</v>
      </c>
      <c r="H108" s="112" t="s">
        <v>735</v>
      </c>
      <c r="I108" s="113" t="s">
        <v>555</v>
      </c>
      <c r="K108" s="112" t="s">
        <v>735</v>
      </c>
      <c r="L108" s="113" t="s">
        <v>555</v>
      </c>
      <c r="N108" s="112" t="s">
        <v>735</v>
      </c>
      <c r="O108" s="113" t="s">
        <v>555</v>
      </c>
      <c r="Q108" s="112" t="s">
        <v>735</v>
      </c>
      <c r="R108" s="113" t="s">
        <v>555</v>
      </c>
      <c r="T108" s="112" t="s">
        <v>735</v>
      </c>
      <c r="U108" s="113" t="s">
        <v>555</v>
      </c>
      <c r="W108" s="112" t="s">
        <v>735</v>
      </c>
      <c r="X108" s="113" t="s">
        <v>555</v>
      </c>
      <c r="Z108" s="112" t="s">
        <v>735</v>
      </c>
      <c r="AA108" s="113" t="s">
        <v>555</v>
      </c>
      <c r="AD108"/>
      <c r="AE108"/>
    </row>
    <row r="109" spans="2:33" s="3" customFormat="1" ht="20" customHeight="1">
      <c r="B109" s="21" t="s">
        <v>4150</v>
      </c>
      <c r="C109" s="18" t="str">
        <f>IF(ISBLANK(input_mgmt_az1_mgmt_vm_cidr),"Value Missing",VLOOKUP(INT(RIGHT(input_mgmt_az1_mgmt_vm_cidr,LEN(input_mgmt_az1_mgmt_vm_cidr)-FIND("/",input_mgmt_az1_mgmt_vm_cidr))),table_cidr_to_mask,2,FALSE))</f>
        <v>Value Missing</v>
      </c>
      <c r="E109" s="21" t="s">
        <v>4037</v>
      </c>
      <c r="F109" s="18" t="str">
        <f>IF(ISBLANK(input_wld_az1_mgmt_vm_cidr),"Value Missing",VLOOKUP(INT(RIGHT(input_wld_az1_mgmt_vm_cidr,LEN(input_wld_az1_mgmt_vm_cidr)-FIND("/",input_wld_az1_mgmt_vm_cidr))),table_cidr_to_mask,2,FALSE))</f>
        <v>Value Missing</v>
      </c>
      <c r="H109" s="21" t="s">
        <v>4044</v>
      </c>
      <c r="I109" s="18" t="str">
        <f>IF(ISBLANK(input_wld_az1_rack2_mgmt_vm_cidr),"Value Missing",VLOOKUP(INT(RIGHT(input_wld_az1_rack2_mgmt_vm_cidr,LEN(input_wld_az1_rack2_mgmt_vm_cidr)-FIND("/",input_wld_az1_rack2_mgmt_vm_cidr))),table_cidr_to_mask,2,FALSE))</f>
        <v>Value Missing</v>
      </c>
      <c r="K109" s="21" t="s">
        <v>4048</v>
      </c>
      <c r="L109" s="18" t="str">
        <f>IF(ISBLANK(input_wld_az1_rack3_mgmt_vm_cidr),"Value Missing",VLOOKUP(INT(RIGHT(input_wld_az1_rack3_mgmt_vm_cidr,LEN(input_wld_az1_rack3_mgmt_vm_cidr)-FIND("/",input_wld_az1_rack3_mgmt_vm_cidr))),table_cidr_to_mask,2,FALSE))</f>
        <v>Value Missing</v>
      </c>
      <c r="N109" s="21" t="s">
        <v>4055</v>
      </c>
      <c r="O109" s="18" t="str">
        <f>IF(ISBLANK(input_wld_az1_rack4_mgmt_vm_cidr),"Value Missing",VLOOKUP(INT(RIGHT(input_wld_az1_rack4_mgmt_vm_cidr,LEN(input_wld_az1_rack4_mgmt_vm_cidr)-FIND("/",input_wld_az1_rack4_mgmt_vm_cidr))),table_cidr_to_mask,2,FALSE))</f>
        <v>Value Missing</v>
      </c>
      <c r="Q109" s="21" t="s">
        <v>4062</v>
      </c>
      <c r="R109" s="18" t="str">
        <f>IF(ISBLANK(input_wld_az1_rack5_mgmt_vm_cidr),"Value Missing",VLOOKUP(INT(RIGHT(input_wld_az1_rack5_mgmt_vm_cidr,LEN(input_wld_az1_rack5_mgmt_vm_cidr)-FIND("/",input_wld_az1_rack5_mgmt_vm_cidr))),table_cidr_to_mask,2,FALSE))</f>
        <v>Value Missing</v>
      </c>
      <c r="T109" s="21" t="s">
        <v>4069</v>
      </c>
      <c r="U109" s="18" t="str">
        <f>IF(ISBLANK(input_wld_az1_rack6_mgmt_vm_cidr),"Value Missing",VLOOKUP(INT(RIGHT(input_wld_az1_rack6_mgmt_vm_cidr,LEN(input_wld_az1_rack6_mgmt_vm_cidr)-FIND("/",input_wld_az1_rack6_mgmt_vm_cidr))),table_cidr_to_mask,2,FALSE))</f>
        <v>Value Missing</v>
      </c>
      <c r="W109" s="21" t="s">
        <v>4076</v>
      </c>
      <c r="X109" s="18" t="str">
        <f>IF(ISBLANK(input_wld_az1_rack7_mgmt_vm_cidr),"Value Missing",VLOOKUP(INT(RIGHT(input_wld_az1_rack7_mgmt_vm_cidr,LEN(input_wld_az1_rack7_mgmt_vm_cidr)-FIND("/",input_wld_az1_rack7_mgmt_vm_cidr))),table_cidr_to_mask,2,FALSE))</f>
        <v>Value Missing</v>
      </c>
      <c r="Z109" s="21" t="s">
        <v>4083</v>
      </c>
      <c r="AA109" s="18" t="str">
        <f>IF(ISBLANK(input_wld_az1_rack8_mgmt_vm_cidr),"Value Missing",VLOOKUP(INT(RIGHT(input_wld_az1_rack8_mgmt_vm_cidr,LEN(input_wld_az1_rack8_mgmt_vm_cidr)-FIND("/",input_wld_az1_rack8_mgmt_vm_cidr))),table_cidr_to_mask,2,FALSE))</f>
        <v>Value Missing</v>
      </c>
      <c r="AD109"/>
      <c r="AE109"/>
    </row>
    <row r="110" spans="2:33" s="3" customFormat="1" ht="20" customHeight="1">
      <c r="B110" s="21" t="s">
        <v>4151</v>
      </c>
      <c r="C110" s="18" t="str">
        <f>IF(ISBLANK(input_mgmt_az1_mgmt_cidr),"Value Missing",VLOOKUP(INT(RIGHT(input_mgmt_az1_mgmt_cidr,LEN(input_mgmt_az1_mgmt_cidr)-FIND("/",input_mgmt_az1_mgmt_cidr))),table_cidr_to_mask,2,FALSE))</f>
        <v>Value Missing</v>
      </c>
      <c r="E110" s="21" t="s">
        <v>4038</v>
      </c>
      <c r="F110" s="18" t="str">
        <f>IF(ISBLANK(input_wld_az1_mgmt_cidr),"Value Missing",VLOOKUP(INT(RIGHT(input_wld_az1_mgmt_cidr,LEN(input_wld_az1_mgmt_cidr)-FIND("/",input_wld_az1_mgmt_cidr))),table_cidr_to_mask,2,FALSE))</f>
        <v>Value Missing</v>
      </c>
      <c r="H110" s="21" t="s">
        <v>4045</v>
      </c>
      <c r="I110" s="18" t="str">
        <f>IF(ISBLANK(input_wld_az1_rack2_mgmt_cidr),"Value Missing",VLOOKUP(INT(RIGHT(input_wld_az1_rack2_mgmt_cidr,LEN(input_wld_az1_rack2_mgmt_cidr)-FIND("/",input_wld_az1_rack2_mgmt_cidr))),table_cidr_to_mask,2,FALSE))</f>
        <v>Value Missing</v>
      </c>
      <c r="K110" s="21" t="s">
        <v>4049</v>
      </c>
      <c r="L110" s="18" t="str">
        <f>IF(ISBLANK(input_wld_az1_rack3_mgmt_cidr),"Value Missing",VLOOKUP(INT(RIGHT(input_wld_az1_rack3_mgmt_cidr,LEN(input_wld_az1_rack3_mgmt_cidr)-FIND("/",input_wld_az1_rack3_mgmt_cidr))),table_cidr_to_mask,2,FALSE))</f>
        <v>Value Missing</v>
      </c>
      <c r="N110" s="21" t="s">
        <v>4056</v>
      </c>
      <c r="O110" s="18" t="str">
        <f>IF(ISBLANK(input_wld_az1_rack4_mgmt_cidr),"Value Missing",VLOOKUP(INT(RIGHT(input_wld_az1_rack4_mgmt_cidr,LEN(input_wld_az1_rack4_mgmt_cidr)-FIND("/",input_wld_az1_rack4_mgmt_cidr))),table_cidr_to_mask,2,FALSE))</f>
        <v>Value Missing</v>
      </c>
      <c r="Q110" s="21" t="s">
        <v>4063</v>
      </c>
      <c r="R110" s="18" t="str">
        <f>IF(ISBLANK(input_wld_az1_rack5_mgmt_cidr),"Value Missing",VLOOKUP(INT(RIGHT(input_wld_az1_rack5_mgmt_cidr,LEN(input_wld_az1_rack5_mgmt_cidr)-FIND("/",input_wld_az1_rack5_mgmt_cidr))),table_cidr_to_mask,2,FALSE))</f>
        <v>Value Missing</v>
      </c>
      <c r="T110" s="21" t="s">
        <v>4070</v>
      </c>
      <c r="U110" s="18" t="str">
        <f>IF(ISBLANK(input_wld_az1_rack6_mgmt_cidr),"Value Missing",VLOOKUP(INT(RIGHT(input_wld_az1_rack6_mgmt_cidr,LEN(input_wld_az1_rack6_mgmt_cidr)-FIND("/",input_wld_az1_rack6_mgmt_cidr))),table_cidr_to_mask,2,FALSE))</f>
        <v>Value Missing</v>
      </c>
      <c r="W110" s="21" t="s">
        <v>4077</v>
      </c>
      <c r="X110" s="18" t="str">
        <f>IF(ISBLANK(input_wld_az1_rack7_mgmt_cidr),"Value Missing",VLOOKUP(INT(RIGHT(input_wld_az1_rack7_mgmt_cidr,LEN(input_wld_az1_rack7_mgmt_cidr)-FIND("/",input_wld_az1_rack7_mgmt_cidr))),table_cidr_to_mask,2,FALSE))</f>
        <v>Value Missing</v>
      </c>
      <c r="Z110" s="21" t="s">
        <v>4084</v>
      </c>
      <c r="AA110" s="18" t="str">
        <f>IF(ISBLANK(input_wld_az1_rack8_mgmt_cidr),"Value Missing",VLOOKUP(INT(RIGHT(input_wld_az1_rack8_mgmt_cidr,LEN(input_wld_az1_rack8_mgmt_cidr)-FIND("/",input_wld_az1_rack8_mgmt_cidr))),table_cidr_to_mask,2,FALSE))</f>
        <v>Value Missing</v>
      </c>
      <c r="AD110"/>
      <c r="AE110"/>
    </row>
    <row r="111" spans="2:33" s="3" customFormat="1" ht="20" customHeight="1">
      <c r="B111" s="21" t="s">
        <v>4152</v>
      </c>
      <c r="C111" s="18" t="str">
        <f>IF(ISBLANK(input_mgmt_az1_vmotion_cidr),"Value Missing",VLOOKUP(INT(RIGHT(input_mgmt_az1_vmotion_cidr,LEN(input_wld_az1_vmotion_cidr)-FIND("/",input_mgmt_az1_vmotion_cidr))),table_cidr_to_mask,2,FALSE))</f>
        <v>Value Missing</v>
      </c>
      <c r="E111" s="21" t="s">
        <v>4039</v>
      </c>
      <c r="F111" s="18" t="str">
        <f>IF(ISBLANK(input_wld_az1_vmotion_cidr),"Value Missing",VLOOKUP(INT(RIGHT(input_wld_az1_vmotion_cidr,LEN(input_wld_az1_vmotion_cidr)-FIND("/",input_wld_az1_vmotion_cidr))),table_cidr_to_mask,2,FALSE))</f>
        <v>Value Missing</v>
      </c>
      <c r="H111" s="21" t="s">
        <v>3981</v>
      </c>
      <c r="I111" s="18" t="str">
        <f>IF(ISBLANK(input_wld_az1_rack2_vmotion_cidr),"Value Missing",VLOOKUP(INT(RIGHT(input_wld_az1_rack2_vmotion_cidr,LEN(input_wld_az1_rack2_vmotion_cidr)-FIND("/",input_wld_az1_rack2_vmotion_cidr))),table_cidr_to_mask,2,FALSE))</f>
        <v>Value Missing</v>
      </c>
      <c r="K111" s="21" t="s">
        <v>4050</v>
      </c>
      <c r="L111" s="18" t="str">
        <f>IF(ISBLANK(input_wld_az1_rack3_vmotion_cidr),"Value Missing",VLOOKUP(INT(RIGHT(input_wld_az1_rack3_vmotion_cidr,LEN(input_wld_az1_rack3_vmotion_cidr)-FIND("/",input_wld_az1_rack3_vmotion_cidr))),table_cidr_to_mask,2,FALSE))</f>
        <v>Value Missing</v>
      </c>
      <c r="N111" s="21" t="s">
        <v>4057</v>
      </c>
      <c r="O111" s="18" t="str">
        <f>IF(ISBLANK(input_wld_az1_rack4_vmotion_cidr),"Value Missing",VLOOKUP(INT(RIGHT(input_wld_az1_rack4_vmotion_cidr,LEN(input_wld_az1_rack4_vmotion_cidr)-FIND("/",input_wld_az1_rack4_vmotion_cidr))),table_cidr_to_mask,2,FALSE))</f>
        <v>Value Missing</v>
      </c>
      <c r="Q111" s="21" t="s">
        <v>4064</v>
      </c>
      <c r="R111" s="18" t="str">
        <f>IF(ISBLANK(input_wld_az1_rack5_vmotion_cidr),"Value Missing",VLOOKUP(INT(RIGHT(input_wld_az1_rack5_vmotion_cidr,LEN(input_wld_az1_rack5_vmotion_cidr)-FIND("/",input_wld_az1_rack5_vmotion_cidr))),table_cidr_to_mask,2,FALSE))</f>
        <v>Value Missing</v>
      </c>
      <c r="T111" s="21" t="s">
        <v>4071</v>
      </c>
      <c r="U111" s="18" t="str">
        <f>IF(ISBLANK(input_wld_az1_rack6_vmotion_cidr),"Value Missing",VLOOKUP(INT(RIGHT(input_wld_az1_rack6_vmotion_cidr,LEN(input_wld_az1_rack6_vmotion_cidr)-FIND("/",input_wld_az1_rack6_vmotion_cidr))),table_cidr_to_mask,2,FALSE))</f>
        <v>Value Missing</v>
      </c>
      <c r="W111" s="21" t="s">
        <v>4078</v>
      </c>
      <c r="X111" s="18" t="str">
        <f>IF(ISBLANK(input_wld_az1_rack7_vmotion_cidr),"Value Missing",VLOOKUP(INT(RIGHT(input_wld_az1_rack7_vmotion_cidr,LEN(input_wld_az1_rack7_vmotion_cidr)-FIND("/",input_wld_az1_rack7_vmotion_cidr))),table_cidr_to_mask,2,FALSE))</f>
        <v>Value Missing</v>
      </c>
      <c r="Z111" s="21" t="s">
        <v>4085</v>
      </c>
      <c r="AA111" s="18" t="str">
        <f>IF(ISBLANK(input_wld_az1_rack8_vmotion_cidr),"Value Missing",VLOOKUP(INT(RIGHT(input_wld_az1_rack8_vmotion_cidr,LEN(input_wld_az1_rack8_vmotion_cidr)-FIND("/",input_wld_az1_rack8_vmotion_cidr))),table_cidr_to_mask,2,FALSE))</f>
        <v>Value Missing</v>
      </c>
      <c r="AD111"/>
      <c r="AE111"/>
    </row>
    <row r="112" spans="2:33" s="3" customFormat="1" ht="20" customHeight="1">
      <c r="B112" s="21" t="s">
        <v>4153</v>
      </c>
      <c r="C112" s="18" t="str">
        <f>IF(ISBLANK(input_mgmt_az1_vsan_cidr),"Value Missing",VLOOKUP(INT(RIGHT(input_mgmt_az1_vsan_cidr,LEN(input_mgmt_az1_vsan_cidr)-FIND("/",input_mgmt_az1_vsan_cidr))),table_cidr_to_mask,2,FALSE))</f>
        <v>Value Missing</v>
      </c>
      <c r="E112" s="21" t="s">
        <v>4043</v>
      </c>
      <c r="F112" s="18" t="str">
        <f>IF(ISBLANK(input_wld_az1_principal_storage_cidr),"Value Missing",VLOOKUP(INT(RIGHT(input_wld_az1_principal_storage_cidr,LEN(input_wld_az1_principal_storage_cidr)-FIND("/",input_wld_az1_principal_storage_cidr))),table_cidr_to_mask,2,FALSE))</f>
        <v>Value Missing</v>
      </c>
      <c r="H112" s="21" t="s">
        <v>3982</v>
      </c>
      <c r="I112" s="18" t="str">
        <f>IF(ISBLANK(input_wld_az1_rack2_principal_storage_cidr),"Value Missing",VLOOKUP(INT(RIGHT(input_wld_az1_rack2_principal_storage_cidr,LEN(input_wld_az1_rack2_principal_storage_cidr)-FIND("/",input_wld_az1_rack2_principal_storage_cidr))),table_cidr_to_mask,2,FALSE))</f>
        <v>Value Missing</v>
      </c>
      <c r="K112" s="21" t="s">
        <v>4051</v>
      </c>
      <c r="L112" s="18" t="str">
        <f>IF(ISBLANK(input_wld_az1_rack3_principal_storage_cidr),"Value Missing",VLOOKUP(INT(RIGHT(input_wld_az1_rack3_principal_storage_cidr,LEN(input_wld_az1_rack2_principal_storage_cidr)-FIND("/",input_wld_az1_rack3_principal_storage_cidr))),table_cidr_to_mask,2,FALSE))</f>
        <v>Value Missing</v>
      </c>
      <c r="N112" s="21" t="s">
        <v>4058</v>
      </c>
      <c r="O112" s="18" t="str">
        <f>IF(ISBLANK(input_wld_az1_rack4_principal_storage_cidr),"Value Missing",VLOOKUP(INT(RIGHT(input_wld_az1_rack4_principal_storage_cidr,LEN(input_wld_az1_rack4_principal_storage_cidr)-FIND("/",input_wld_az1_rack4_principal_storage_cidr))),table_cidr_to_mask,2,FALSE))</f>
        <v>Value Missing</v>
      </c>
      <c r="Q112" s="21" t="s">
        <v>4065</v>
      </c>
      <c r="R112" s="18" t="str">
        <f>IF(ISBLANK(input_wld_az1_rack5_principal_storage_cidr),"Value Missing",VLOOKUP(INT(RIGHT(input_wld_az1_rack5_principal_storage_cidr,LEN(input_wld_az1_rack5_principal_storage_cidr)-FIND("/",input_wld_az1_rack5_principal_storage_cidr))),table_cidr_to_mask,2,FALSE))</f>
        <v>Value Missing</v>
      </c>
      <c r="T112" s="21" t="s">
        <v>4072</v>
      </c>
      <c r="U112" s="18" t="str">
        <f>IF(ISBLANK(input_wld_az1_rack6_principal_storage_cidr),"Value Missing",VLOOKUP(INT(RIGHT(input_wld_az1_rack6_principal_storage_cidr,LEN(input_wld_az1_rack6_principal_storage_cidr)-FIND("/",input_wld_az1_rack6_principal_storage_cidr))),table_cidr_to_mask,2,FALSE))</f>
        <v>Value Missing</v>
      </c>
      <c r="W112" s="21" t="s">
        <v>4079</v>
      </c>
      <c r="X112" s="18" t="str">
        <f>IF(ISBLANK(input_wld_az1_rack7_principal_storage_cidr),"Value Missing",VLOOKUP(INT(RIGHT(input_wld_az1_rack7_principal_storage_cidr,LEN(input_wld_az1_rack7_principal_storage_cidr)-FIND("/",input_wld_az1_rack7_principal_storage_cidr))),table_cidr_to_mask,2,FALSE))</f>
        <v>Value Missing</v>
      </c>
      <c r="Z112" s="21" t="s">
        <v>4086</v>
      </c>
      <c r="AA112" s="18" t="str">
        <f>IF(ISBLANK(input_wld_az1_rack8_principal_storage_cidr),"Value Missing",VLOOKUP(INT(RIGHT(input_wld_az1_rack8_principal_storage_cidr,LEN(input_wld_az1_rack8_principal_storage_cidr)-FIND("/",input_wld_az1_rack8_principal_storage_cidr))),table_cidr_to_mask,2,FALSE))</f>
        <v>Value Missing</v>
      </c>
      <c r="AD112"/>
      <c r="AE112"/>
    </row>
    <row r="113" spans="2:32" s="3" customFormat="1" ht="20" customHeight="1">
      <c r="B113" s="21" t="s">
        <v>4154</v>
      </c>
      <c r="C113" s="18" t="str">
        <f>IF(ISBLANK(input_mgmt_az1_uplink01_cidr),"Value Missing",VLOOKUP(INT(RIGHT(input_mgmt_az1_uplink01_cidr,LEN(input_mgmt_az1_uplink01_cidr)-FIND("/",input_mgmt_az1_uplink01_cidr))),table_cidr_to_mask,2,FALSE))</f>
        <v>Value Missing</v>
      </c>
      <c r="E113" s="21" t="s">
        <v>4040</v>
      </c>
      <c r="F113" s="18" t="str">
        <f>IF(ISBLANK(input_wld_az1_uplink01_cidr),"Value Missing",VLOOKUP(INT(RIGHT(input_wld_az1_uplink01_cidr,LEN(input_wld_az1_uplink01_cidr)-FIND("/",input_wld_az1_uplink01_cidr))),table_cidr_to_mask,2,FALSE))</f>
        <v>Value Missing</v>
      </c>
      <c r="H113" s="21" t="s">
        <v>4046</v>
      </c>
      <c r="I113" s="18" t="str">
        <f>IF(ISBLANK(input_wld_az1_rack2_uplink01_cidr),"Value Missing",VLOOKUP(INT(RIGHT(input_wld_az1_rack2_uplink01_cidr,LEN(input_wld_az1_rack2_uplink01_cidr)-FIND("/",input_wld_az1_rack2_uplink01_cidr))),table_cidr_to_mask,2,FALSE))</f>
        <v>Value Missing</v>
      </c>
      <c r="K113" s="21" t="s">
        <v>4052</v>
      </c>
      <c r="L113" s="18" t="str">
        <f>IF(ISBLANK(input_wld_az1_rack3_uplink01_cidr),"Value Missing",VLOOKUP(INT(RIGHT(input_wld_az1_rack3_uplink01_cidr,LEN(input_wld_az1_rack3_uplink01_cidr)-FIND("/",input_wld_az1_rack3_uplink01_cidr))),table_cidr_to_mask,2,FALSE))</f>
        <v>Value Missing</v>
      </c>
      <c r="N113" s="21" t="s">
        <v>4059</v>
      </c>
      <c r="O113" s="18" t="str">
        <f>IF(ISBLANK(input_wld_az1_rack4_uplink01_cidr),"Value Missing",VLOOKUP(INT(RIGHT(input_wld_az1_rack4_uplink01_cidr,LEN(input_wld_az1_rack4_uplink01_cidr)-FIND("/",input_wld_az1_rack4_uplink01_cidr))),table_cidr_to_mask,2,FALSE))</f>
        <v>Value Missing</v>
      </c>
      <c r="Q113" s="21" t="s">
        <v>4066</v>
      </c>
      <c r="R113" s="18" t="str">
        <f>IF(ISBLANK(input_wld_az1_rack5_uplink01_cidr),"Value Missing",VLOOKUP(INT(RIGHT(input_wld_az1_rack5_uplink01_cidr,LEN(input_wld_az1_rack5_uplink01_cidr)-FIND("/",input_wld_az1_rack5_uplink01_cidr))),table_cidr_to_mask,2,FALSE))</f>
        <v>Value Missing</v>
      </c>
      <c r="T113" s="21" t="s">
        <v>4073</v>
      </c>
      <c r="U113" s="18" t="str">
        <f>IF(ISBLANK(input_wld_az1_rack6_uplink01_cidr),"Value Missing",VLOOKUP(INT(RIGHT(input_wld_az1_rack6_uplink01_cidr,LEN(input_wld_az1_rack6_uplink01_cidr)-FIND("/",input_wld_az1_rack6_uplink01_cidr))),table_cidr_to_mask,2,FALSE))</f>
        <v>Value Missing</v>
      </c>
      <c r="W113" s="21" t="s">
        <v>4080</v>
      </c>
      <c r="X113" s="18" t="str">
        <f>IF(ISBLANK(input_wld_az1_rack7_uplink01_cidr),"Value Missing",VLOOKUP(INT(RIGHT(input_wld_az1_rack7_uplink01_cidr,LEN(input_wld_az1_rack7_uplink01_cidr)-FIND("/",input_wld_az1_rack7_uplink01_cidr))),table_cidr_to_mask,2,FALSE))</f>
        <v>Value Missing</v>
      </c>
      <c r="Z113" s="21" t="s">
        <v>4087</v>
      </c>
      <c r="AA113" s="18" t="str">
        <f>IF(ISBLANK(input_wld_az1_rack8_uplink01_cidr),"Value Missing",VLOOKUP(INT(RIGHT(input_wld_az1_rack8_uplink01_cidr,LEN(input_wld_az1_rack8_uplink01_cidr)-FIND("/",input_wld_az1_rack8_uplink01_cidr))),table_cidr_to_mask,2,FALSE))</f>
        <v>Value Missing</v>
      </c>
      <c r="AD113"/>
      <c r="AE113"/>
    </row>
    <row r="114" spans="2:32" s="3" customFormat="1" ht="20" customHeight="1">
      <c r="B114" s="21" t="s">
        <v>4155</v>
      </c>
      <c r="C114" s="18" t="str">
        <f>IF(ISBLANK(input_mgmt_az1_uplink02_cidr),"Value Missing",VLOOKUP(INT(RIGHT(input_mgmt_az1_uplink02_cidr,LEN(input_mgmt_az1_uplink02_cidr)-FIND("/",input_mgmt_az1_uplink02_cidr))),table_cidr_to_mask,2,FALSE))</f>
        <v>Value Missing</v>
      </c>
      <c r="E114" s="21" t="s">
        <v>4041</v>
      </c>
      <c r="F114" s="18" t="str">
        <f>IF(ISBLANK(input_wld_az1_uplink02_cidr),"Value Missing",VLOOKUP(INT(RIGHT(input_wld_az1_uplink02_cidr,LEN(input_wld_az1_uplink02_cidr)-FIND("/",input_wld_az1_uplink02_cidr))),table_cidr_to_mask,2,FALSE))</f>
        <v>Value Missing</v>
      </c>
      <c r="H114" s="21" t="s">
        <v>4047</v>
      </c>
      <c r="I114" s="18" t="str">
        <f>IF(ISBLANK(input_wld_az1_rack2_uplink02_cidr),"Value Missing",VLOOKUP(INT(RIGHT(input_wld_az1_rack2_uplink02_cidr,LEN(input_wld_az1_rack2_uplink02_cidr)-FIND("/",input_wld_az1_rack2_uplink02_cidr))),table_cidr_to_mask,2,FALSE))</f>
        <v>Value Missing</v>
      </c>
      <c r="K114" s="21" t="s">
        <v>4053</v>
      </c>
      <c r="L114" s="18" t="str">
        <f>IF(ISBLANK(input_wld_az1_rack3_uplink02_cidr),"Value Missing",VLOOKUP(INT(RIGHT(input_wld_az1_rack3_uplink02_cidr,LEN(input_wld_az1_rack3_uplink02_cidr)-FIND("/",input_wld_az1_rack3_uplink02_cidr))),table_cidr_to_mask,2,FALSE))</f>
        <v>Value Missing</v>
      </c>
      <c r="N114" s="21" t="s">
        <v>4060</v>
      </c>
      <c r="O114" s="18" t="str">
        <f>IF(ISBLANK(input_wld_az1_rack4_uplink02_cidr),"Value Missing",VLOOKUP(INT(RIGHT(input_wld_az1_rack4_uplink02_cidr,LEN(input_wld_az1_rack4_uplink02_cidr)-FIND("/",input_wld_az1_rack4_uplink02_cidr))),table_cidr_to_mask,2,FALSE))</f>
        <v>Value Missing</v>
      </c>
      <c r="Q114" s="21" t="s">
        <v>4067</v>
      </c>
      <c r="R114" s="18" t="str">
        <f>IF(ISBLANK(input_wld_az1_rack5_uplink02_cidr),"Value Missing",VLOOKUP(INT(RIGHT(input_wld_az1_rack5_uplink02_cidr,LEN(input_wld_az1_rack5_uplink02_cidr)-FIND("/",input_wld_az1_rack5_uplink02_cidr))),table_cidr_to_mask,2,FALSE))</f>
        <v>Value Missing</v>
      </c>
      <c r="T114" s="21" t="s">
        <v>4074</v>
      </c>
      <c r="U114" s="18" t="str">
        <f>IF(ISBLANK(input_wld_az1_rack6_uplink02_cidr),"Value Missing",VLOOKUP(INT(RIGHT(input_wld_az1_rack6_uplink02_cidr,LEN(input_wld_az1_rack6_uplink02_cidr)-FIND("/",input_wld_az1_rack6_uplink02_cidr))),table_cidr_to_mask,2,FALSE))</f>
        <v>Value Missing</v>
      </c>
      <c r="W114" s="21" t="s">
        <v>4081</v>
      </c>
      <c r="X114" s="18" t="str">
        <f>IF(ISBLANK(input_wld_az1_rack7_uplink02_cidr),"Value Missing",VLOOKUP(INT(RIGHT(input_wld_az1_rack7_uplink02_cidr,LEN(input_wld_az1_rack7_uplink02_cidr)-FIND("/",input_wld_az1_rack7_uplink02_cidr))),table_cidr_to_mask,2,FALSE))</f>
        <v>Value Missing</v>
      </c>
      <c r="Z114" s="21" t="s">
        <v>4088</v>
      </c>
      <c r="AA114" s="18" t="str">
        <f>IF(ISBLANK(input_wld_az1_rack8_uplink02_cidr),"Value Missing",VLOOKUP(INT(RIGHT(input_wld_az1_rack8_uplink02_cidr,LEN(input_wld_az1_rack8_uplink02_cidr)-FIND("/",input_wld_az1_rack8_uplink02_cidr))),table_cidr_to_mask,2,FALSE))</f>
        <v>Value Missing</v>
      </c>
      <c r="AD114"/>
      <c r="AE114"/>
    </row>
    <row r="115" spans="2:32" s="3" customFormat="1" ht="20" customHeight="1">
      <c r="B115" s="21" t="s">
        <v>4156</v>
      </c>
      <c r="C115" s="18" t="str">
        <f>IF(ISBLANK(input_mgmt_az1_vrms_cidr),"Value Missing",VLOOKUP(INT(RIGHT(input_mgmt_az1_vrms_cidr,LEN(input_mgmt_az1_vrms_cidr)-FIND("/",input_mgmt_az1_vrms_cidr))),table_cidr_to_mask,2,FALSE))</f>
        <v>Value Missing</v>
      </c>
      <c r="E115" s="21" t="s">
        <v>4042</v>
      </c>
      <c r="F115" s="18" t="str">
        <f>IF(ISBLANK(input_wld_az1_vrms_cidr),"Value Missing",VLOOKUP(INT(RIGHT(input_wld_az1_vrms_cidr,LEN(input_wld_az1_vrms_cidr)-FIND("/",input_wld_az1_vrms_cidr))),table_cidr_to_mask,2,FALSE))</f>
        <v>Value Missing</v>
      </c>
      <c r="H115" s="21" t="s">
        <v>3983</v>
      </c>
      <c r="I115" s="18" t="str">
        <f>IF(ISBLANK(input_wld_az1_rack2_vrms_cidr),"Value Missing",VLOOKUP(INT(RIGHT(input_wld_az1_rack2_vrms_cidr,LEN(input_wld_az1_rack2_vrms_cidr)-FIND("/",input_wld_az1_rack2_vrms_cidr))),table_cidr_to_mask,2,FALSE))</f>
        <v>Value Missing</v>
      </c>
      <c r="K115" s="21" t="s">
        <v>4054</v>
      </c>
      <c r="L115" s="18" t="str">
        <f>IF(ISBLANK(input_wld_az1_rack3_vrms_cidr),"Value Missing",VLOOKUP(INT(RIGHT(input_wld_az1_rack3_vrms_cidr,LEN(input_wld_az1_rack3_vrms_cidr)-FIND("/",input_wld_az1_rack3_vrms_cidr))),table_cidr_to_mask,2,FALSE))</f>
        <v>Value Missing</v>
      </c>
      <c r="N115" s="21" t="s">
        <v>4061</v>
      </c>
      <c r="O115" s="18" t="str">
        <f>IF(ISBLANK(input_wld_az1_rack4_vrms_cidr),"Value Missing",VLOOKUP(INT(RIGHT(input_wld_az1_rack4_vrms_cidr,LEN(input_wld_az1_rack4_vrms_cidr)-FIND("/",input_wld_az1_rack4_vrms_cidr))),table_cidr_to_mask,2,FALSE))</f>
        <v>Value Missing</v>
      </c>
      <c r="Q115" s="21" t="s">
        <v>4068</v>
      </c>
      <c r="R115" s="18" t="str">
        <f>IF(ISBLANK(input_wld_az1_rack5_vrms_cidr),"Value Missing",VLOOKUP(INT(RIGHT(input_wld_az1_rack5_vrms_cidr,LEN(input_wld_az1_rack5_vrms_cidr)-FIND("/",input_wld_az1_rack5_vrms_cidr))),table_cidr_to_mask,2,FALSE))</f>
        <v>Value Missing</v>
      </c>
      <c r="T115" s="21" t="s">
        <v>4075</v>
      </c>
      <c r="U115" s="18" t="str">
        <f>IF(ISBLANK(input_wld_az1_rack6_vrms_cidr),"Value Missing",VLOOKUP(INT(RIGHT(input_wld_az1_rack6_vrms_cidr,LEN(input_wld_az1_rack6_vrms_cidr)-FIND("/",input_wld_az1_rack6_vrms_cidr))),table_cidr_to_mask,2,FALSE))</f>
        <v>Value Missing</v>
      </c>
      <c r="W115" s="21" t="s">
        <v>4082</v>
      </c>
      <c r="X115" s="18" t="str">
        <f>IF(ISBLANK(input_wld_az1_rack7_vrms_cidr),"Value Missing",VLOOKUP(INT(RIGHT(input_wld_az1_rack7_vrms_cidr,LEN(input_wld_az1_rack7_vrms_cidr)-FIND("/",input_wld_az1_rack7_vrms_cidr))),table_cidr_to_mask,2,FALSE))</f>
        <v>Value Missing</v>
      </c>
      <c r="Z115" s="21" t="s">
        <v>4089</v>
      </c>
      <c r="AA115" s="18" t="str">
        <f>IF(ISBLANK(input_wld_az1_rack8_vrms_cidr),"Value Missing",VLOOKUP(INT(RIGHT(input_wld_az1_rack8_vrms_cidr,LEN(input_wld_az1_rack8_vrms_cidr)-FIND("/",input_wld_az1_rack8_vrms_cidr))),table_cidr_to_mask,2,FALSE))</f>
        <v>Value Missing</v>
      </c>
      <c r="AD115"/>
      <c r="AE115"/>
      <c r="AF115"/>
    </row>
    <row r="116" spans="2:32" s="3" customFormat="1" ht="20" customHeight="1">
      <c r="F116" s="5"/>
      <c r="I116" s="5"/>
      <c r="AD116"/>
      <c r="AE116"/>
      <c r="AF116"/>
    </row>
    <row r="117" spans="2:32" s="3" customFormat="1" ht="20" customHeight="1">
      <c r="B117" s="501" t="s">
        <v>4113</v>
      </c>
      <c r="C117" s="502"/>
      <c r="E117" s="501" t="s">
        <v>4031</v>
      </c>
      <c r="F117" s="502"/>
      <c r="H117" s="501" t="s">
        <v>3872</v>
      </c>
      <c r="I117" s="502"/>
      <c r="K117" s="501" t="s">
        <v>3871</v>
      </c>
      <c r="L117" s="502"/>
      <c r="N117" s="501" t="s">
        <v>3870</v>
      </c>
      <c r="O117" s="502"/>
      <c r="Q117" s="501" t="s">
        <v>3869</v>
      </c>
      <c r="R117" s="502"/>
      <c r="T117" s="501" t="s">
        <v>3868</v>
      </c>
      <c r="U117" s="502"/>
      <c r="W117" s="501" t="s">
        <v>3867</v>
      </c>
      <c r="X117" s="502"/>
      <c r="Z117" s="501" t="s">
        <v>3866</v>
      </c>
      <c r="AA117" s="502"/>
      <c r="AD117"/>
      <c r="AE117"/>
      <c r="AF117"/>
    </row>
    <row r="118" spans="2:32" s="3" customFormat="1" ht="20" customHeight="1">
      <c r="B118" s="112" t="s">
        <v>735</v>
      </c>
      <c r="C118" s="113" t="s">
        <v>1230</v>
      </c>
      <c r="E118" s="112" t="s">
        <v>735</v>
      </c>
      <c r="F118" s="113" t="s">
        <v>555</v>
      </c>
      <c r="H118" s="112" t="s">
        <v>735</v>
      </c>
      <c r="I118" s="113" t="s">
        <v>555</v>
      </c>
      <c r="K118" s="112" t="s">
        <v>735</v>
      </c>
      <c r="L118" s="113" t="s">
        <v>555</v>
      </c>
      <c r="N118" s="112" t="s">
        <v>735</v>
      </c>
      <c r="O118" s="113" t="s">
        <v>555</v>
      </c>
      <c r="Q118" s="112" t="s">
        <v>735</v>
      </c>
      <c r="R118" s="113" t="s">
        <v>555</v>
      </c>
      <c r="T118" s="112" t="s">
        <v>735</v>
      </c>
      <c r="U118" s="113" t="s">
        <v>555</v>
      </c>
      <c r="W118" s="112" t="s">
        <v>735</v>
      </c>
      <c r="X118" s="113" t="s">
        <v>555</v>
      </c>
      <c r="Z118" s="112" t="s">
        <v>735</v>
      </c>
      <c r="AA118" s="113" t="s">
        <v>555</v>
      </c>
      <c r="AD118"/>
      <c r="AE118"/>
      <c r="AF118"/>
    </row>
    <row r="119" spans="2:32" s="3" customFormat="1" ht="20" customHeight="1">
      <c r="B119" s="21" t="s">
        <v>702</v>
      </c>
      <c r="C119" s="18"/>
      <c r="E119" s="21" t="s">
        <v>702</v>
      </c>
      <c r="F119" s="18" t="str">
        <f>IF(ISBLANK(input_parent_dns_zone),"Value Missing",input_parent_dns_zone)</f>
        <v>Value Missing</v>
      </c>
      <c r="H119" s="21" t="s">
        <v>702</v>
      </c>
      <c r="I119" s="18" t="str">
        <f>IF(ISBLANK(input_parent_dns_zone),"Value Missing",input_parent_dns_zone)</f>
        <v>Value Missing</v>
      </c>
      <c r="K119" s="21" t="s">
        <v>702</v>
      </c>
      <c r="L119" s="18" t="str">
        <f>IF(ISBLANK(input_parent_dns_zone),"Value Missing",input_parent_dns_zone)</f>
        <v>Value Missing</v>
      </c>
      <c r="N119" s="21" t="s">
        <v>702</v>
      </c>
      <c r="O119" s="18" t="str">
        <f>IF(ISBLANK(input_parent_dns_zone),"Value Missing",input_parent_dns_zone)</f>
        <v>Value Missing</v>
      </c>
      <c r="Q119" s="21" t="s">
        <v>702</v>
      </c>
      <c r="R119" s="18" t="str">
        <f>IF(ISBLANK(input_parent_dns_zone),"Value Missing",input_parent_dns_zone)</f>
        <v>Value Missing</v>
      </c>
      <c r="T119" s="21" t="s">
        <v>702</v>
      </c>
      <c r="U119" s="18" t="str">
        <f>IF(ISBLANK(input_parent_dns_zone),"Value Missing",input_parent_dns_zone)</f>
        <v>Value Missing</v>
      </c>
      <c r="W119" s="21" t="s">
        <v>702</v>
      </c>
      <c r="X119" s="18" t="str">
        <f>IF(ISBLANK(input_parent_dns_zone),"Value Missing",input_parent_dns_zone)</f>
        <v>Value Missing</v>
      </c>
      <c r="Z119" s="21" t="s">
        <v>702</v>
      </c>
      <c r="AA119" s="18" t="str">
        <f>IF(ISBLANK(input_parent_dns_zone),"Value Missing",input_parent_dns_zone)</f>
        <v>Value Missing</v>
      </c>
      <c r="AD119"/>
      <c r="AE119"/>
      <c r="AF119"/>
    </row>
    <row r="120" spans="2:32" s="3" customFormat="1" ht="20" customHeight="1">
      <c r="B120" s="21" t="s">
        <v>634</v>
      </c>
      <c r="C120" s="18"/>
      <c r="E120" s="21" t="s">
        <v>634</v>
      </c>
      <c r="F120" s="18" t="str">
        <f>IF(wld_host_dns_zone_chosen="multiple",IF(ISBLANK(input_wld_az1_child_dns_zone),"Value Missing",input_wld_az1_child_dns_zone),IF(ISBLANK(input_child_dns_zone),"Value Missing",input_child_dns_zone))</f>
        <v>Value Missing</v>
      </c>
      <c r="H120" s="21" t="s">
        <v>634</v>
      </c>
      <c r="I120" s="18" t="str">
        <f>IF(wld_host_dns_zone_chosen="multiple",IF(ISBLANK(input_wld_az1_rack2_child_dns_zone),"Value Missing",input_wld_az1_rack2_child_dns_zone),IF(ISBLANK(wld_az1_child_dns_zone),"Value Missing",wld_az1_child_dns_zone))</f>
        <v>Value Missing</v>
      </c>
      <c r="K120" s="21" t="s">
        <v>634</v>
      </c>
      <c r="L120" s="18" t="str">
        <f>IF(wld_host_dns_zone_chosen="multiple",IF(ISBLANK(input_wld_az1_rack3_child_dns_zone),"Value Missing",input_wld_az1_rack3_child_dns_zone),IF(ISBLANK(wld_az1_child_dns_zone),"Value Missing",wld_az1_child_dns_zone))</f>
        <v>Value Missing</v>
      </c>
      <c r="N120" s="21" t="s">
        <v>634</v>
      </c>
      <c r="O120" s="18" t="str">
        <f>IF(wld_host_dns_zone_chosen="multiple",IF(ISBLANK(input_wld_az1_rack4_child_dns_zone),"Value Missing",input_wld_az1_rack4_child_dns_zone),IF(ISBLANK(wld_az1_child_dns_zone),"Value Missing",wld_az1_child_dns_zone))</f>
        <v>Value Missing</v>
      </c>
      <c r="Q120" s="21" t="s">
        <v>634</v>
      </c>
      <c r="R120" s="18" t="str">
        <f>IF(wld_host_dns_zone_chosen="multiple",IF(ISBLANK(input_wld_az1_rack5_child_dns_zone),"Value Missing",input_wld_az1_rack5_child_dns_zone),IF(ISBLANK(wld_az1_child_dns_zone),"Value Missing",wld_az1_child_dns_zone))</f>
        <v>Value Missing</v>
      </c>
      <c r="T120" s="21" t="s">
        <v>634</v>
      </c>
      <c r="U120" s="18" t="str">
        <f>IF(wld_host_dns_zone_chosen="multiple",IF(ISBLANK(input_wld_az1_rack6_child_dns_zone),"Value Missing",input_wld_az1_rack6_child_dns_zone),IF(ISBLANK(wld_az1_child_dns_zone),"Value Missing",wld_az1_child_dns_zone))</f>
        <v>Value Missing</v>
      </c>
      <c r="W120" s="21" t="s">
        <v>634</v>
      </c>
      <c r="X120" s="18" t="str">
        <f>IF(wld_host_dns_zone_chosen="multiple",IF(ISBLANK(input_wld_az1_rack7_child_dns_zone),"Value Missing",input_wld_az1_rack7_child_dns_zone),IF(ISBLANK(wld_az1_child_dns_zone),"Value Missing",wld_az1_child_dns_zone))</f>
        <v>Value Missing</v>
      </c>
      <c r="Z120" s="21" t="s">
        <v>634</v>
      </c>
      <c r="AA120" s="18" t="str">
        <f>IF(wld_host_dns_zone_chosen="multiple",IF(ISBLANK(input_wld_az1_rack8_child_dns_zone),"Value Missing",input_wld_az1_rack8_child_dns_zone),IF(ISBLANK(wld_az1_child_dns_zone),"Value Missing",wld_az1_child_dns_zone))</f>
        <v>Value Missing</v>
      </c>
      <c r="AD120"/>
      <c r="AE120"/>
      <c r="AF120"/>
    </row>
    <row r="121" spans="2:32" s="3" customFormat="1" ht="20" customHeight="1">
      <c r="AD121"/>
      <c r="AE121"/>
      <c r="AF121"/>
    </row>
    <row r="122" spans="2:32" s="3" customFormat="1" ht="20" customHeight="1">
      <c r="B122" s="183" t="s">
        <v>4114</v>
      </c>
      <c r="C122" s="183"/>
      <c r="E122" s="183" t="s">
        <v>4032</v>
      </c>
      <c r="F122" s="183"/>
      <c r="H122" s="183" t="s">
        <v>3865</v>
      </c>
      <c r="I122" s="183"/>
      <c r="K122" s="183" t="s">
        <v>3864</v>
      </c>
      <c r="L122" s="183"/>
      <c r="N122" s="183" t="s">
        <v>3863</v>
      </c>
      <c r="O122" s="183"/>
      <c r="Q122" s="183" t="s">
        <v>3862</v>
      </c>
      <c r="R122" s="183"/>
      <c r="T122" s="183" t="s">
        <v>3861</v>
      </c>
      <c r="U122" s="183"/>
      <c r="W122" s="183" t="s">
        <v>3860</v>
      </c>
      <c r="X122" s="183"/>
      <c r="Z122" s="183" t="s">
        <v>3859</v>
      </c>
      <c r="AA122" s="183"/>
      <c r="AD122"/>
      <c r="AE122"/>
      <c r="AF122"/>
    </row>
    <row r="123" spans="2:32" s="3" customFormat="1" ht="20" customHeight="1">
      <c r="B123" s="112" t="s">
        <v>735</v>
      </c>
      <c r="C123" s="113" t="s">
        <v>1230</v>
      </c>
      <c r="E123" s="112" t="s">
        <v>735</v>
      </c>
      <c r="F123" s="113" t="s">
        <v>555</v>
      </c>
      <c r="H123" s="112" t="s">
        <v>735</v>
      </c>
      <c r="I123" s="113" t="s">
        <v>555</v>
      </c>
      <c r="K123" s="112" t="s">
        <v>735</v>
      </c>
      <c r="L123" s="113" t="s">
        <v>555</v>
      </c>
      <c r="N123" s="112" t="s">
        <v>735</v>
      </c>
      <c r="O123" s="113" t="s">
        <v>555</v>
      </c>
      <c r="Q123" s="112" t="s">
        <v>735</v>
      </c>
      <c r="R123" s="113" t="s">
        <v>555</v>
      </c>
      <c r="T123" s="112" t="s">
        <v>735</v>
      </c>
      <c r="U123" s="113" t="s">
        <v>555</v>
      </c>
      <c r="W123" s="112" t="s">
        <v>735</v>
      </c>
      <c r="X123" s="113" t="s">
        <v>555</v>
      </c>
      <c r="Z123" s="112" t="s">
        <v>735</v>
      </c>
      <c r="AA123" s="113" t="s">
        <v>555</v>
      </c>
      <c r="AD123"/>
      <c r="AE123"/>
      <c r="AF123"/>
    </row>
    <row r="124" spans="2:32" s="3" customFormat="1" ht="20" customHeight="1">
      <c r="B124" s="21" t="s">
        <v>1328</v>
      </c>
      <c r="C124" s="18" t="str">
        <f>IF(ISBLANK(input_mgmt_az1_host1_mgmt_ip),"Value Missing",input_mgmt_az1_host1_mgmt_ip)</f>
        <v>Value Missing</v>
      </c>
      <c r="E124" s="21" t="s">
        <v>1328</v>
      </c>
      <c r="F124" s="18" t="str">
        <f>IF(ISBLANK(input_wld_az1_host1_mgmt_ip),"Value Missing",input_wld_az1_host1_mgmt_ip)</f>
        <v>Value Missing</v>
      </c>
      <c r="H124" s="21" t="s">
        <v>1328</v>
      </c>
      <c r="I124" s="18" t="str">
        <f>IF(ISBLANK(input_wld_az1_rack2_host1_mgmt_ip),"Value Missing",input_wld_az1_rack2_host1_mgmt_ip)</f>
        <v>Value Missing</v>
      </c>
      <c r="K124" s="21" t="s">
        <v>1328</v>
      </c>
      <c r="L124" s="18" t="str">
        <f>IF(ISBLANK(input_wld_az1_rack3_host1_mgmt_ip),"Value Missing",input_wld_az1_rack3_host1_mgmt_ip)</f>
        <v>Value Missing</v>
      </c>
      <c r="N124" s="21" t="s">
        <v>1328</v>
      </c>
      <c r="O124" s="18" t="str">
        <f>IF(ISBLANK(input_wld_az1_rack4_host1_mgmt_ip),"Value Missing",input_wld_az1_rack4_host1_mgmt_ip)</f>
        <v>Value Missing</v>
      </c>
      <c r="Q124" s="21" t="s">
        <v>1328</v>
      </c>
      <c r="R124" s="18" t="str">
        <f>IF(ISBLANK(input_wld_az1_rack5_host1_mgmt_ip),"Value Missing",input_wld_az1_rack5_host1_mgmt_ip)</f>
        <v>Value Missing</v>
      </c>
      <c r="T124" s="21" t="s">
        <v>1328</v>
      </c>
      <c r="U124" s="18" t="str">
        <f>IF(ISBLANK(input_wld_az1_rack6_host1_mgmt_ip),"Value Missing",input_wld_az1_rack6_host1_mgmt_ip)</f>
        <v>Value Missing</v>
      </c>
      <c r="W124" s="21" t="s">
        <v>1328</v>
      </c>
      <c r="X124" s="18" t="str">
        <f>IF(ISBLANK(input_wld_az1_rack7_host1_mgmt_ip),"Value Missing",input_wld_az1_rack7_host1_mgmt_ip)</f>
        <v>Value Missing</v>
      </c>
      <c r="Z124" s="21" t="s">
        <v>1328</v>
      </c>
      <c r="AA124" s="18" t="str">
        <f>IF(ISBLANK(input_wld_az1_rack8_host1_mgmt_ip),"Value Missing",input_wld_az1_rack8_host1_mgmt_ip)</f>
        <v>Value Missing</v>
      </c>
      <c r="AD124"/>
      <c r="AE124"/>
      <c r="AF124"/>
    </row>
    <row r="125" spans="2:32" s="3" customFormat="1" ht="20" customHeight="1">
      <c r="B125" s="21" t="s">
        <v>1334</v>
      </c>
      <c r="C125" s="18" t="str">
        <f>IF(ISBLANK(input_mgmt_az1_host2_mgmt_ip),"Value Missing",input_mgmt_az1_host2_mgmt_ip)</f>
        <v>Value Missing</v>
      </c>
      <c r="E125" s="21" t="s">
        <v>1334</v>
      </c>
      <c r="F125" s="18" t="str">
        <f>IF(ISBLANK(input_wld_az1_host2_mgmt_ip),"Value Missing",input_wld_az1_host2_mgmt_ip)</f>
        <v>Value Missing</v>
      </c>
      <c r="H125" s="21" t="s">
        <v>1334</v>
      </c>
      <c r="I125" s="18" t="str">
        <f>IF(ISBLANK(input_wld_az1_rack2_host2_mgmt_ip),"Value Missing",input_wld_az1_rack2_host2_mgmt_ip)</f>
        <v>Value Missing</v>
      </c>
      <c r="K125" s="21" t="s">
        <v>1334</v>
      </c>
      <c r="L125" s="18" t="str">
        <f>IF(ISBLANK(input_wld_az1_rack3_host2_mgmt_ip),"Value Missing",input_wld_az1_rack3_host2_mgmt_ip)</f>
        <v>Value Missing</v>
      </c>
      <c r="N125" s="21" t="s">
        <v>1334</v>
      </c>
      <c r="O125" s="18" t="str">
        <f>IF(ISBLANK(input_wld_az1_rack4_host2_mgmt_ip),"Value Missing",input_wld_az1_rack4_host2_mgmt_ip)</f>
        <v>Value Missing</v>
      </c>
      <c r="Q125" s="21" t="s">
        <v>1334</v>
      </c>
      <c r="R125" s="18" t="str">
        <f>IF(ISBLANK(input_wld_az1_rack5_host2_mgmt_ip),"Value Missing",input_wld_az1_rack5_host2_mgmt_ip)</f>
        <v>Value Missing</v>
      </c>
      <c r="T125" s="21" t="s">
        <v>1334</v>
      </c>
      <c r="U125" s="18" t="str">
        <f>IF(ISBLANK(input_wld_az1_rack6_host2_mgmt_ip),"Value Missing",input_wld_az1_rack6_host2_mgmt_ip)</f>
        <v>Value Missing</v>
      </c>
      <c r="W125" s="21" t="s">
        <v>1334</v>
      </c>
      <c r="X125" s="18" t="str">
        <f>IF(ISBLANK(input_wld_az1_rack7_host2_mgmt_ip),"Value Missing",input_wld_az1_rack7_host2_mgmt_ip)</f>
        <v>Value Missing</v>
      </c>
      <c r="Z125" s="21" t="s">
        <v>1334</v>
      </c>
      <c r="AA125" s="18" t="str">
        <f>IF(ISBLANK(input_wld_az1_rack8_host2_mgmt_ip),"Value Missing",input_wld_az1_rack8_host2_mgmt_ip)</f>
        <v>Value Missing</v>
      </c>
      <c r="AD125"/>
      <c r="AE125"/>
      <c r="AF125"/>
    </row>
    <row r="126" spans="2:32" s="3" customFormat="1" ht="20" customHeight="1">
      <c r="B126" s="21" t="s">
        <v>1340</v>
      </c>
      <c r="C126" s="18" t="str">
        <f>IF(ISBLANK(input_mgmt_az1_host3_mgmt_ip),"Value Missing",input_mgmt_az1_host3_mgmt_ip)</f>
        <v>Value Missing</v>
      </c>
      <c r="E126" s="21" t="s">
        <v>1340</v>
      </c>
      <c r="F126" s="18" t="str">
        <f>IF(ISBLANK(input_wld_az1_host3_mgmt_ip),"Value Missing",input_wld_az1_host3_mgmt_ip)</f>
        <v>Value Missing</v>
      </c>
      <c r="H126" s="21" t="s">
        <v>1340</v>
      </c>
      <c r="I126" s="18" t="str">
        <f>IF(ISBLANK(input_wld_az1_rack2_host3_mgmt_ip),"Value Missing",input_wld_az1_rack2_host3_mgmt_ip)</f>
        <v>Value Missing</v>
      </c>
      <c r="K126" s="21" t="s">
        <v>1340</v>
      </c>
      <c r="L126" s="18" t="str">
        <f>IF(ISBLANK('Name &amp; IP Address Inputs - Rack'!F287),"Value Missing",'Name &amp; IP Address Inputs - Rack'!F287)</f>
        <v>Value Missing</v>
      </c>
      <c r="N126" s="21" t="s">
        <v>1340</v>
      </c>
      <c r="O126" s="18" t="str">
        <f>IF(ISBLANK(input_wld_az1_rack4_host3_mgmt_ip),"Value Missing",input_wld_az1_rack4_host3_mgmt_ip)</f>
        <v>Value Missing</v>
      </c>
      <c r="Q126" s="21" t="s">
        <v>1340</v>
      </c>
      <c r="R126" s="18" t="str">
        <f>IF(ISBLANK(input_wld_az1_rack5_host3_mgmt_ip),"Value Missing",input_wld_az1_rack5_host3_mgmt_ip)</f>
        <v>Value Missing</v>
      </c>
      <c r="T126" s="21" t="s">
        <v>1340</v>
      </c>
      <c r="U126" s="18" t="str">
        <f>IF(ISBLANK(input_wld_az1_rack6_host3_mgmt_ip),"Value Missing",input_wld_az1_rack6_host3_mgmt_ip)</f>
        <v>Value Missing</v>
      </c>
      <c r="W126" s="21" t="s">
        <v>1340</v>
      </c>
      <c r="X126" s="18" t="str">
        <f>IF(ISBLANK(input_wld_az1_rack7_host3_mgmt_ip),"Value Missing",input_wld_az1_rack7_host3_mgmt_ip)</f>
        <v>Value Missing</v>
      </c>
      <c r="Z126" s="21" t="s">
        <v>1340</v>
      </c>
      <c r="AA126" s="18" t="str">
        <f>IF(ISBLANK(input_wld_az1_rack8_host3_mgmt_ip),"Value Missing",input_wld_az1_rack8_host3_mgmt_ip)</f>
        <v>Value Missing</v>
      </c>
      <c r="AD126"/>
      <c r="AE126"/>
      <c r="AF126"/>
    </row>
    <row r="127" spans="2:32" s="3" customFormat="1" ht="20" customHeight="1">
      <c r="B127" s="21" t="s">
        <v>1345</v>
      </c>
      <c r="C127" s="18" t="str">
        <f>IF(ISBLANK(input_mgmt_az1_host4_mgmt_ip),"Value Missing",input_mgmt_az1_host4_mgmt_ip)</f>
        <v>Value Missing</v>
      </c>
      <c r="E127" s="21" t="s">
        <v>1345</v>
      </c>
      <c r="F127" s="18" t="str">
        <f>IF(ISBLANK(input_wld_az1_host4_mgmt_ip),"Value Missing",input_wld_az1_host4_mgmt_ip)</f>
        <v>Value Missing</v>
      </c>
      <c r="H127" s="21" t="s">
        <v>1345</v>
      </c>
      <c r="I127" s="18" t="str">
        <f>IF(ISBLANK(input_wld_az1_rack2_host4_mgmt_ip),"Value Missing",input_wld_az1_rack2_host4_mgmt_ip)</f>
        <v>Value Missing</v>
      </c>
      <c r="K127" s="21" t="s">
        <v>1345</v>
      </c>
      <c r="L127" s="18" t="str">
        <f>IF(ISBLANK(input_wld_az1_rack3_host4_mgmt_ip),"Value Missing",input_wld_az1_rack3_host4_mgmt_ip)</f>
        <v>Value Missing</v>
      </c>
      <c r="N127" s="21" t="s">
        <v>1345</v>
      </c>
      <c r="O127" s="18" t="str">
        <f>IF(ISBLANK(input_wld_az1_rack4_host4_mgmt_ip),"Value Missing",input_wld_az1_rack4_host4_mgmt_ip)</f>
        <v>Value Missing</v>
      </c>
      <c r="Q127" s="21" t="s">
        <v>1345</v>
      </c>
      <c r="R127" s="18" t="str">
        <f>IF(ISBLANK(input_wld_az1_rack5_host4_mgmt_ip),"Value Missing",input_wld_az1_rack5_host4_mgmt_ip)</f>
        <v>Value Missing</v>
      </c>
      <c r="T127" s="21" t="s">
        <v>1345</v>
      </c>
      <c r="U127" s="18" t="str">
        <f>IF(ISBLANK(input_wld_az1_rack6_host4_mgmt_ip),"Value Missing",input_wld_az1_rack6_host4_mgmt_ip)</f>
        <v>Value Missing</v>
      </c>
      <c r="W127" s="21" t="s">
        <v>1345</v>
      </c>
      <c r="X127" s="18" t="str">
        <f>IF(ISBLANK(input_wld_az1_rack7_host4_mgmt_ip),"Value Missing",input_wld_az1_rack7_host4_mgmt_ip)</f>
        <v>Value Missing</v>
      </c>
      <c r="Z127" s="21" t="s">
        <v>1345</v>
      </c>
      <c r="AA127" s="18" t="str">
        <f>IF(ISBLANK(input_wld_az1_rack8_host4_mgmt_ip),"Value Missing",input_wld_az1_rack8_host4_mgmt_ip)</f>
        <v>Value Missing</v>
      </c>
      <c r="AD127"/>
      <c r="AE127"/>
      <c r="AF127"/>
    </row>
    <row r="128" spans="2:32" s="3" customFormat="1" ht="20" customHeight="1">
      <c r="B128" s="21" t="s">
        <v>3794</v>
      </c>
      <c r="C128" s="18" t="str">
        <f>IF(ISBLANK(input_mgmt_az1_host5_mgmt_ip),"Value Missing",input_mgmt_az1_host5_mgmt_ip)</f>
        <v>Value Missing</v>
      </c>
      <c r="E128" s="21" t="s">
        <v>3794</v>
      </c>
      <c r="F128" s="18" t="str">
        <f>IF(ISBLANK(input_wld_az1_host5_mgmt_ip),"Value Missing",input_wld_az1_host5_mgmt_ip)</f>
        <v>Value Missing</v>
      </c>
      <c r="H128" s="21" t="s">
        <v>3794</v>
      </c>
      <c r="I128" s="18" t="str">
        <f>IF(ISBLANK(input_wld_az1_rack2_host5_mgmt_ip),"Value Missing",input_wld_az1_rack2_host5_mgmt_ip)</f>
        <v>Value Missing</v>
      </c>
      <c r="K128" s="21" t="s">
        <v>3794</v>
      </c>
      <c r="L128" s="18" t="str">
        <f>IF(ISBLANK('Name &amp; IP Address Inputs - Rack'!F289),"Value Missing",'Name &amp; IP Address Inputs - Rack'!F289)</f>
        <v>Value Missing</v>
      </c>
      <c r="N128" s="21" t="s">
        <v>3794</v>
      </c>
      <c r="O128" s="18" t="str">
        <f>IF(ISBLANK(input_wld_az1_rack4_host5_mgmt_ip),"Value Missing",input_wld_az1_rack4_host5_mgmt_ip)</f>
        <v>Value Missing</v>
      </c>
      <c r="Q128" s="21" t="s">
        <v>3794</v>
      </c>
      <c r="R128" s="18" t="str">
        <f>IF(ISBLANK(input_wld_az1_rack5_host5_mgmt_ip),"Value Missing",input_wld_az1_rack5_host5_mgmt_ip)</f>
        <v>Value Missing</v>
      </c>
      <c r="T128" s="21" t="s">
        <v>3794</v>
      </c>
      <c r="U128" s="18" t="str">
        <f>IF(ISBLANK(input_wld_az1_rack6_host5_mgmt_ip),"Value Missing",input_wld_az1_rack6_host5_mgmt_ip)</f>
        <v>Value Missing</v>
      </c>
      <c r="W128" s="21" t="s">
        <v>3794</v>
      </c>
      <c r="X128" s="18" t="str">
        <f>IF(ISBLANK(input_wld_az1_rack7_host5_mgmt_ip),"Value Missing",input_wld_az1_rack7_host5_mgmt_ip)</f>
        <v>Value Missing</v>
      </c>
      <c r="Z128" s="21" t="s">
        <v>3794</v>
      </c>
      <c r="AA128" s="18" t="str">
        <f>IF(ISBLANK(input_wld_az1_rack8_host5_mgmt_ip),"Value Missing",input_wld_az1_rack8_host5_mgmt_ip)</f>
        <v>Value Missing</v>
      </c>
      <c r="AD128"/>
      <c r="AE128"/>
      <c r="AF128"/>
    </row>
    <row r="129" spans="2:33" s="3" customFormat="1" ht="20" customHeight="1">
      <c r="B129" s="21" t="s">
        <v>3795</v>
      </c>
      <c r="C129" s="18" t="str">
        <f>IF(ISBLANK(input_mgmt_az1_host6_mgmt_ip),"Value Missing",input_mgmt_az1_host6_mgmt_ip)</f>
        <v>Value Missing</v>
      </c>
      <c r="E129" s="21" t="s">
        <v>3795</v>
      </c>
      <c r="F129" s="18" t="str">
        <f>IF(ISBLANK(input_wld_az1_host6_mgmt_ip),"Value Missing",input_wld_az1_host6_mgmt_ip)</f>
        <v>Value Missing</v>
      </c>
      <c r="H129" s="21" t="s">
        <v>3795</v>
      </c>
      <c r="I129" s="18" t="str">
        <f>IF(ISBLANK(input_wld_az1_rack2_host6_mgmt_ip),"Value Missing",input_wld_az1_rack2_host6_mgmt_ip)</f>
        <v>Value Missing</v>
      </c>
      <c r="K129" s="21" t="s">
        <v>3795</v>
      </c>
      <c r="L129" s="18" t="str">
        <f>IF(ISBLANK(input_wld_az1_rack3_host6_mgmt_ip),"Value Missing",input_wld_az1_rack3_host6_mgmt_ip)</f>
        <v>Value Missing</v>
      </c>
      <c r="N129" s="21" t="s">
        <v>3795</v>
      </c>
      <c r="O129" s="18" t="str">
        <f>IF(ISBLANK(input_wld_az1_rack4_host6_mgmt_ip),"Value Missing",input_wld_az1_rack4_host6_mgmt_ip)</f>
        <v>Value Missing</v>
      </c>
      <c r="Q129" s="21" t="s">
        <v>3795</v>
      </c>
      <c r="R129" s="18" t="str">
        <f>IF(ISBLANK(input_wld_az1_rack5_host6_mgmt_ip),"Value Missing",input_wld_az1_rack5_host6_mgmt_ip)</f>
        <v>Value Missing</v>
      </c>
      <c r="T129" s="21" t="s">
        <v>3795</v>
      </c>
      <c r="U129" s="18" t="str">
        <f>IF(ISBLANK(input_wld_az1_rack6_host6_mgmt_ip),"Value Missing",input_wld_az1_rack6_host6_mgmt_ip)</f>
        <v>Value Missing</v>
      </c>
      <c r="W129" s="21" t="s">
        <v>3795</v>
      </c>
      <c r="X129" s="18" t="str">
        <f>IF(ISBLANK(input_wld_az1_rack7_host6_mgmt_ip),"Value Missing",input_wld_az1_rack7_host6_mgmt_ip)</f>
        <v>Value Missing</v>
      </c>
      <c r="Z129" s="21" t="s">
        <v>3795</v>
      </c>
      <c r="AA129" s="18" t="str">
        <f>IF(ISBLANK(input_wld_az1_rack8_host6_mgmt_ip),"Value Missing",input_wld_az1_rack8_host6_mgmt_ip)</f>
        <v>Value Missing</v>
      </c>
      <c r="AD129"/>
      <c r="AE129"/>
      <c r="AF129"/>
    </row>
    <row r="130" spans="2:33" s="3" customFormat="1" ht="20" customHeight="1">
      <c r="B130" s="21" t="s">
        <v>3796</v>
      </c>
      <c r="C130" s="18" t="str">
        <f>IF(ISBLANK(input_mgmt_az1_host7_mgmt_ip),"Value Missing",input_mgmt_az1_host7_mgmt_ip)</f>
        <v>Value Missing</v>
      </c>
      <c r="E130" s="21" t="s">
        <v>3796</v>
      </c>
      <c r="F130" s="18" t="str">
        <f>IF(ISBLANK(input_wld_az1_host7_mgmt_ip),"Value Missing",input_wld_az1_host7_mgmt_ip)</f>
        <v>Value Missing</v>
      </c>
      <c r="H130" s="21" t="s">
        <v>3796</v>
      </c>
      <c r="I130" s="18" t="str">
        <f>IF(ISBLANK(input_wld_az1_rack2_host7_mgmt_ip),"Value Missing",input_wld_az1_rack2_host7_mgmt_ip)</f>
        <v>Value Missing</v>
      </c>
      <c r="K130" s="21" t="s">
        <v>3796</v>
      </c>
      <c r="L130" s="18" t="str">
        <f>IF(ISBLANK(input_wld_az1_rack3_host7_mgmt_ip),"Value Missing",input_wld_az1_rack3_host7_mgmt_ip)</f>
        <v>Value Missing</v>
      </c>
      <c r="N130" s="21" t="s">
        <v>3796</v>
      </c>
      <c r="O130" s="18" t="str">
        <f>IF(ISBLANK(input_wld_az1_rack4_host7_mgmt_ip),"Value Missing",input_wld_az1_rack4_host7_mgmt_ip)</f>
        <v>Value Missing</v>
      </c>
      <c r="Q130" s="21" t="s">
        <v>3796</v>
      </c>
      <c r="R130" s="18" t="str">
        <f>IF(ISBLANK(input_wld_az1_rack5_host7_mgmt_ip),"Value Missing",input_wld_az1_rack5_host7_mgmt_ip)</f>
        <v>Value Missing</v>
      </c>
      <c r="T130" s="21" t="s">
        <v>3796</v>
      </c>
      <c r="U130" s="18" t="str">
        <f>IF(ISBLANK(input_wld_az1_rack6_host7_mgmt_ip),"Value Missing",input_wld_az1_rack6_host7_mgmt_ip)</f>
        <v>Value Missing</v>
      </c>
      <c r="W130" s="21" t="s">
        <v>3796</v>
      </c>
      <c r="X130" s="18" t="str">
        <f>IF(ISBLANK(input_wld_az1_rack7_host7_mgmt_ip),"Value Missing",input_wld_az1_rack7_host7_mgmt_ip)</f>
        <v>Value Missing</v>
      </c>
      <c r="Z130" s="21" t="s">
        <v>3796</v>
      </c>
      <c r="AA130" s="18" t="str">
        <f>IF(ISBLANK('Name &amp; IP Address Inputs - Rack'!F590),"Value Missing",'Name &amp; IP Address Inputs - Rack'!F590)</f>
        <v>Value Missing</v>
      </c>
      <c r="AD130"/>
      <c r="AE130"/>
      <c r="AF130"/>
    </row>
    <row r="131" spans="2:33" s="3" customFormat="1" ht="20" customHeight="1">
      <c r="B131" s="21" t="s">
        <v>3797</v>
      </c>
      <c r="C131" s="18" t="str">
        <f>IF(ISBLANK(input_mgmt_az1_host8_mgmt_ip),"Value Missing",input_mgmt_az1_host8_mgmt_ip)</f>
        <v>Value Missing</v>
      </c>
      <c r="E131" s="21" t="s">
        <v>3797</v>
      </c>
      <c r="F131" s="18" t="str">
        <f>IF(ISBLANK(input_wld_az1_host8_mgmt_ip),"Value Missing",input_wld_az1_host8_mgmt_ip)</f>
        <v>Value Missing</v>
      </c>
      <c r="H131" s="21" t="s">
        <v>3797</v>
      </c>
      <c r="I131" s="18" t="str">
        <f>IF(ISBLANK(input_wld_az1_rack2_host8_mgmt_ip),"Value Missing",input_wld_az1_rack2_host8_mgmt_ip)</f>
        <v>Value Missing</v>
      </c>
      <c r="K131" s="21" t="s">
        <v>3797</v>
      </c>
      <c r="L131" s="18" t="str">
        <f>IF(ISBLANK(input_wld_az1_rack3_host8_mgmt_ip),"Value Missing",input_wld_az1_rack3_host8_mgmt_ip)</f>
        <v>Value Missing</v>
      </c>
      <c r="N131" s="21" t="s">
        <v>3797</v>
      </c>
      <c r="O131" s="18" t="str">
        <f>IF(ISBLANK(input_wld_az1_rack4_host8_mgmt_ip),"Value Missing",input_wld_az1_rack4_host8_mgmt_ip)</f>
        <v>Value Missing</v>
      </c>
      <c r="Q131" s="21" t="s">
        <v>3797</v>
      </c>
      <c r="R131" s="18" t="str">
        <f>IF(ISBLANK(input_wld_az1_rack5_host8_mgmt_ip),"Value Missing",input_wld_az1_rack5_host8_mgmt_ip)</f>
        <v>Value Missing</v>
      </c>
      <c r="T131" s="21" t="s">
        <v>3797</v>
      </c>
      <c r="U131" s="18" t="str">
        <f>IF(ISBLANK(input_wld_az1_rack6_host8_mgmt_ip),"Value Missing",input_wld_az1_rack6_host8_mgmt_ip)</f>
        <v>Value Missing</v>
      </c>
      <c r="W131" s="21" t="s">
        <v>3797</v>
      </c>
      <c r="X131" s="18" t="str">
        <f>IF(ISBLANK(input_wld_az1_rack7_host8_mgmt_ip),"Value Missing",input_wld_az1_rack7_host8_mgmt_ip)</f>
        <v>Value Missing</v>
      </c>
      <c r="Z131" s="21" t="s">
        <v>3797</v>
      </c>
      <c r="AA131" s="18" t="str">
        <f>IF(ISBLANK(input_wld_az1_rack8_host8_mgmt_ip),"Value Missing",input_wld_az1_rack8_host8_mgmt_ip)</f>
        <v>Value Missing</v>
      </c>
      <c r="AD131"/>
      <c r="AE131"/>
      <c r="AF131"/>
      <c r="AG131"/>
    </row>
    <row r="132" spans="2:33" s="3" customFormat="1" ht="20" customHeight="1">
      <c r="B132" s="21" t="s">
        <v>3798</v>
      </c>
      <c r="C132" s="18" t="str">
        <f>IF(ISBLANK(input_mgmt_az1_host9_mgmt_ip),"Value Missing",input_mgmt_az1_host9_mgmt_ip)</f>
        <v>Value Missing</v>
      </c>
      <c r="E132" s="21" t="s">
        <v>3798</v>
      </c>
      <c r="F132" s="18" t="str">
        <f>IF(ISBLANK(input_wld_az1_host9_mgmt_ip),"Value Missing",input_wld_az1_host9_mgmt_ip)</f>
        <v>Value Missing</v>
      </c>
      <c r="H132" s="21" t="s">
        <v>3798</v>
      </c>
      <c r="I132" s="18" t="str">
        <f>IF(ISBLANK(input_wld_az1_rack2_host9_mgmt_ip),"Value Missing",input_wld_az1_rack2_host9_mgmt_ip)</f>
        <v>Value Missing</v>
      </c>
      <c r="K132" s="21" t="s">
        <v>3798</v>
      </c>
      <c r="L132" s="18" t="str">
        <f>IF(ISBLANK(input_wld_az1_rack3_host9_mgmt_ip),"Value Missing",input_wld_az1_rack3_host9_mgmt_ip)</f>
        <v>Value Missing</v>
      </c>
      <c r="N132" s="21" t="s">
        <v>3798</v>
      </c>
      <c r="O132" s="18" t="str">
        <f>IF(ISBLANK(input_wld_az1_rack4_host9_mgmt_ip),"Value Missing",input_wld_az1_rack4_host9_mgmt_ip)</f>
        <v>Value Missing</v>
      </c>
      <c r="Q132" s="21" t="s">
        <v>3798</v>
      </c>
      <c r="R132" s="18" t="str">
        <f>IF(ISBLANK(input_wld_az1_rack5_host9_mgmt_ip),"Value Missing",input_wld_az1_rack5_host9_mgmt_ip)</f>
        <v>Value Missing</v>
      </c>
      <c r="T132" s="21" t="s">
        <v>3798</v>
      </c>
      <c r="U132" s="18" t="str">
        <f>IF(ISBLANK(input_wld_az1_rack6_host9_mgmt_ip),"Value Missing",input_wld_az1_rack6_host9_mgmt_ip)</f>
        <v>Value Missing</v>
      </c>
      <c r="W132" s="21" t="s">
        <v>3798</v>
      </c>
      <c r="X132" s="18" t="str">
        <f>IF(ISBLANK(input_wld_az1_rack7_host9_mgmt_ip),"Value Missing",input_wld_az1_rack7_host9_mgmt_ip)</f>
        <v>Value Missing</v>
      </c>
      <c r="Z132" s="21" t="s">
        <v>3798</v>
      </c>
      <c r="AA132" s="18" t="str">
        <f>IF(ISBLANK(input_wld_az1_rack8_host9_mgmt_ip),"Value Missing",input_wld_az1_rack8_host9_mgmt_ip)</f>
        <v>Value Missing</v>
      </c>
      <c r="AD132"/>
      <c r="AE132"/>
      <c r="AF132"/>
      <c r="AG132"/>
    </row>
    <row r="133" spans="2:33" s="3" customFormat="1" ht="20" customHeight="1">
      <c r="B133" s="21" t="s">
        <v>3799</v>
      </c>
      <c r="C133" s="18" t="str">
        <f>IF(ISBLANK(input_mgmt_az1_host10_mgmt_ip),"Value Missing",input_mgmt_az1_host10_mgmt_ip)</f>
        <v>Value Missing</v>
      </c>
      <c r="E133" s="21" t="s">
        <v>3799</v>
      </c>
      <c r="F133" s="18" t="str">
        <f>IF(ISBLANK(input_wld_az1_host10_mgmt_ip),"Value Missing",input_wld_az1_host10_mgmt_ip)</f>
        <v>Value Missing</v>
      </c>
      <c r="H133" s="21" t="s">
        <v>3799</v>
      </c>
      <c r="I133" s="18" t="str">
        <f>IF(ISBLANK(input_wld_az1_rack2_host10_mgmt_ip),"Value Missing",input_wld_az1_rack2_host10_mgmt_ip)</f>
        <v>Value Missing</v>
      </c>
      <c r="K133" s="21" t="s">
        <v>3799</v>
      </c>
      <c r="L133" s="18" t="str">
        <f>IF(ISBLANK(input_wld_az1_rack3_host10_mgmt_ip),"Value Missing",input_wld_az1_rack3_host10_mgmt_ip)</f>
        <v>Value Missing</v>
      </c>
      <c r="N133" s="21" t="s">
        <v>3799</v>
      </c>
      <c r="O133" s="18" t="str">
        <f>IF(ISBLANK(input_wld_az1_rack4_host10_mgmt_ip),"Value Missing",input_wld_az1_rack4_host10_mgmt_ip)</f>
        <v>Value Missing</v>
      </c>
      <c r="Q133" s="21" t="s">
        <v>3799</v>
      </c>
      <c r="R133" s="18" t="str">
        <f>IF(ISBLANK(input_wld_az1_rack5_host10_mgmt_ip),"Value Missing",input_wld_az1_rack5_host10_mgmt_ip)</f>
        <v>Value Missing</v>
      </c>
      <c r="T133" s="21" t="s">
        <v>3799</v>
      </c>
      <c r="U133" s="18" t="str">
        <f>IF(ISBLANK(input_wld_az1_rack6_host10_mgmt_ip),"Value Missing",input_wld_az1_rack6_host10_mgmt_ip)</f>
        <v>Value Missing</v>
      </c>
      <c r="W133" s="21" t="s">
        <v>3799</v>
      </c>
      <c r="X133" s="18" t="str">
        <f>IF(ISBLANK(input_wld_az1_rack7_host10_mgmt_ip),"Value Missing",input_wld_az1_rack7_host10_mgmt_ip)</f>
        <v>Value Missing</v>
      </c>
      <c r="Z133" s="21" t="s">
        <v>3799</v>
      </c>
      <c r="AA133" s="18" t="str">
        <f>IF(ISBLANK(input_wld_az1_rack8_host10_mgmt_ip),"Value Missing",input_wld_az1_rack8_host10_mgmt_ip)</f>
        <v>Value Missing</v>
      </c>
      <c r="AD133"/>
      <c r="AE133"/>
      <c r="AF133"/>
      <c r="AG133"/>
    </row>
    <row r="134" spans="2:33" s="3" customFormat="1" ht="20" customHeight="1">
      <c r="B134" s="21" t="s">
        <v>3800</v>
      </c>
      <c r="C134" s="18" t="str">
        <f>IF(ISBLANK(input_mgmt_az1_host11_mgmt_ip),"Value Missing",input_mgmt_az1_host11_mgmt_ip)</f>
        <v>Value Missing</v>
      </c>
      <c r="E134" s="21" t="s">
        <v>3800</v>
      </c>
      <c r="F134" s="18" t="str">
        <f>IF(ISBLANK(input_wld_az1_host11_mgmt_ip),"Value Missing",input_wld_az1_host11_mgmt_ip)</f>
        <v>Value Missing</v>
      </c>
      <c r="H134" s="21" t="s">
        <v>3800</v>
      </c>
      <c r="I134" s="18" t="str">
        <f>IF(ISBLANK(input_wld_az1_rack2_host11_mgmt_ip),"Value Missing",input_wld_az1_rack2_host11_mgmt_ip)</f>
        <v>Value Missing</v>
      </c>
      <c r="K134" s="21" t="s">
        <v>3800</v>
      </c>
      <c r="L134" s="18" t="str">
        <f>IF(ISBLANK(input_wld_az1_rack3_host11_mgmt_ip),"Value Missing",input_wld_az1_rack3_host11_mgmt_ip)</f>
        <v>Value Missing</v>
      </c>
      <c r="N134" s="21" t="s">
        <v>3800</v>
      </c>
      <c r="O134" s="18" t="str">
        <f>IF(ISBLANK(input_wld_az1_rack4_host11_mgmt_ip),"Value Missing",input_wld_az1_rack4_host11_mgmt_ip)</f>
        <v>Value Missing</v>
      </c>
      <c r="Q134" s="21" t="s">
        <v>3800</v>
      </c>
      <c r="R134" s="18" t="str">
        <f>IF(ISBLANK(input_wld_az1_rack5_host11_mgmt_ip),"Value Missing",input_wld_az1_rack5_host11_mgmt_ip)</f>
        <v>Value Missing</v>
      </c>
      <c r="T134" s="21" t="s">
        <v>3800</v>
      </c>
      <c r="U134" s="18" t="str">
        <f>IF(ISBLANK(input_wld_az1_rack6_host11_mgmt_ip),"Value Missing",input_wld_az1_rack6_host11_mgmt_ip)</f>
        <v>Value Missing</v>
      </c>
      <c r="W134" s="21" t="s">
        <v>3800</v>
      </c>
      <c r="X134" s="18" t="str">
        <f>IF(ISBLANK(input_wld_az1_rack7_host11_mgmt_ip),"Value Missing",input_wld_az1_rack7_host11_mgmt_ip)</f>
        <v>Value Missing</v>
      </c>
      <c r="Z134" s="21" t="s">
        <v>3800</v>
      </c>
      <c r="AA134" s="18" t="str">
        <f>IF(ISBLANK(input_wld_az1_rack8_host11_mgmt_ip),"Value Missing",input_wld_az1_rack8_host11_mgmt_ip)</f>
        <v>Value Missing</v>
      </c>
      <c r="AD134"/>
      <c r="AE134"/>
      <c r="AF134"/>
      <c r="AG134"/>
    </row>
    <row r="135" spans="2:33" s="3" customFormat="1" ht="20" customHeight="1">
      <c r="B135" s="21" t="s">
        <v>3801</v>
      </c>
      <c r="C135" s="18" t="str">
        <f>IF(ISBLANK(input_mgmt_az1_host12_mgmt_ip),"Value Missing",input_mgmt_az1_host12_mgmt_ip)</f>
        <v>Value Missing</v>
      </c>
      <c r="E135" s="21" t="s">
        <v>3801</v>
      </c>
      <c r="F135" s="18" t="str">
        <f>IF(ISBLANK(input_wld_az1_host12_mgmt_ip),"Value Missing",input_wld_az1_host12_mgmt_ip)</f>
        <v>Value Missing</v>
      </c>
      <c r="H135" s="21" t="s">
        <v>3801</v>
      </c>
      <c r="I135" s="18" t="str">
        <f>IF(ISBLANK(input_wld_az1_rack2_host12_mgmt_ip),"Value Missing",input_wld_az1_rack2_host12_mgmt_ip)</f>
        <v>Value Missing</v>
      </c>
      <c r="K135" s="21" t="s">
        <v>3801</v>
      </c>
      <c r="L135" s="18" t="str">
        <f>IF(ISBLANK(input_wld_az1_rack3_host12_mgmt_ip),"Value Missing",input_wld_az1_rack3_host12_mgmt_ip)</f>
        <v>Value Missing</v>
      </c>
      <c r="N135" s="21" t="s">
        <v>3801</v>
      </c>
      <c r="O135" s="18" t="str">
        <f>IF(ISBLANK(input_wld_az1_rack4_host12_mgmt_ip),"Value Missing",input_wld_az1_rack4_host12_mgmt_ip)</f>
        <v>Value Missing</v>
      </c>
      <c r="Q135" s="21" t="s">
        <v>3801</v>
      </c>
      <c r="R135" s="18" t="str">
        <f>IF(ISBLANK(input_wld_az1_rack5_host12_mgmt_ip),"Value Missing",input_wld_az1_rack5_host12_mgmt_ip)</f>
        <v>Value Missing</v>
      </c>
      <c r="T135" s="21" t="s">
        <v>3801</v>
      </c>
      <c r="U135" s="18" t="str">
        <f>IF(ISBLANK(input_wld_az1_rack6_host12_mgmt_ip),"Value Missing",input_wld_az1_rack6_host12_mgmt_ip)</f>
        <v>Value Missing</v>
      </c>
      <c r="W135" s="21" t="s">
        <v>3801</v>
      </c>
      <c r="X135" s="18" t="str">
        <f>IF(ISBLANK(input_wld_az1_rack7_host12_mgmt_ip),"Value Missing",input_wld_az1_rack7_host12_mgmt_ip)</f>
        <v>Value Missing</v>
      </c>
      <c r="Z135" s="21" t="s">
        <v>3801</v>
      </c>
      <c r="AA135" s="18" t="str">
        <f>IF(ISBLANK(input_wld_az1_rack8_host12_mgmt_ip),"Value Missing",input_wld_az1_rack8_host12_mgmt_ip)</f>
        <v>Value Missing</v>
      </c>
      <c r="AD135"/>
      <c r="AE135"/>
      <c r="AF135"/>
    </row>
    <row r="136" spans="2:33" s="3" customFormat="1" ht="20" customHeight="1">
      <c r="B136" s="21" t="s">
        <v>3802</v>
      </c>
      <c r="C136" s="18" t="str">
        <f>IF(ISBLANK(input_mgmt_az1_host13_mgmt_ip),"Value Missing",input_mgmt_az1_host13_mgmt_ip)</f>
        <v>Value Missing</v>
      </c>
      <c r="E136" s="21" t="s">
        <v>3802</v>
      </c>
      <c r="F136" s="18" t="str">
        <f>IF(ISBLANK(input_wld_az1_host13_mgmt_ip),"Value Missing",input_wld_az1_host13_mgmt_ip)</f>
        <v>Value Missing</v>
      </c>
      <c r="H136" s="21" t="s">
        <v>3802</v>
      </c>
      <c r="I136" s="18" t="str">
        <f>IF(ISBLANK(input_wld_az1_rack2_host13_mgmt_ip),"Value Missing",input_wld_az1_rack2_host13_mgmt_ip)</f>
        <v>Value Missing</v>
      </c>
      <c r="K136" s="21" t="s">
        <v>3802</v>
      </c>
      <c r="L136" s="18" t="str">
        <f>IF(ISBLANK(input_wld_az1_rack3_host13_mgmt_ip),"Value Missing",input_wld_az1_rack3_host13_mgmt_ip)</f>
        <v>Value Missing</v>
      </c>
      <c r="N136" s="21" t="s">
        <v>3802</v>
      </c>
      <c r="O136" s="18" t="str">
        <f>IF(ISBLANK(input_wld_az1_rack4_host13_mgmt_ip),"Value Missing",input_wld_az1_rack4_host13_mgmt_ip)</f>
        <v>Value Missing</v>
      </c>
      <c r="Q136" s="21" t="s">
        <v>3802</v>
      </c>
      <c r="R136" s="18" t="str">
        <f>IF(ISBLANK(input_wld_az1_rack5_host13_mgmt_ip),"Value Missing",input_wld_az1_rack5_host13_mgmt_ip)</f>
        <v>Value Missing</v>
      </c>
      <c r="T136" s="21" t="s">
        <v>3802</v>
      </c>
      <c r="U136" s="18" t="str">
        <f>IF(ISBLANK(input_wld_az1_rack6_host13_mgmt_ip),"Value Missing",input_wld_az1_rack6_host13_mgmt_ip)</f>
        <v>Value Missing</v>
      </c>
      <c r="W136" s="21" t="s">
        <v>3802</v>
      </c>
      <c r="X136" s="18" t="str">
        <f>IF(ISBLANK(input_wld_az1_rack7_host13_mgmt_ip),"Value Missing",input_wld_az1_rack7_host13_mgmt_ip)</f>
        <v>Value Missing</v>
      </c>
      <c r="Z136" s="21" t="s">
        <v>3802</v>
      </c>
      <c r="AA136" s="18" t="str">
        <f>IF(ISBLANK(input_wld_az1_rack8_host13_mgmt_ip),"Value Missing",input_wld_az1_rack8_host13_mgmt_ip)</f>
        <v>Value Missing</v>
      </c>
      <c r="AD136"/>
      <c r="AE136"/>
      <c r="AF136"/>
      <c r="AG136"/>
    </row>
    <row r="137" spans="2:33" s="3" customFormat="1" ht="20" customHeight="1">
      <c r="B137" s="21" t="s">
        <v>3803</v>
      </c>
      <c r="C137" s="18" t="str">
        <f>IF(ISBLANK(input_mgmt_az1_host14_mgmt_ip),"Value Missing",input_mgmt_az1_host14_mgmt_ip)</f>
        <v>Value Missing</v>
      </c>
      <c r="E137" s="21" t="s">
        <v>3803</v>
      </c>
      <c r="F137" s="18" t="str">
        <f>IF(ISBLANK(input_wld_az1_host14_mgmt_ip),"Value Missing",input_wld_az1_host14_mgmt_ip)</f>
        <v>Value Missing</v>
      </c>
      <c r="H137" s="21" t="s">
        <v>3803</v>
      </c>
      <c r="I137" s="18" t="str">
        <f>IF(ISBLANK(input_wld_az1_rack2_host14_mgmt_ip),"Value Missing",input_wld_az1_rack2_host14_mgmt_ip)</f>
        <v>Value Missing</v>
      </c>
      <c r="K137" s="21" t="s">
        <v>3803</v>
      </c>
      <c r="L137" s="18" t="str">
        <f>IF(ISBLANK(input_wld_az1_rack3_host14_mgmt_ip),"Value Missing",input_wld_az1_rack3_host14_mgmt_ip)</f>
        <v>Value Missing</v>
      </c>
      <c r="N137" s="21" t="s">
        <v>3803</v>
      </c>
      <c r="O137" s="18" t="str">
        <f>IF(ISBLANK(input_wld_az1_rack4_host14_mgmt_ip),"Value Missing",input_wld_az1_rack4_host14_mgmt_ip)</f>
        <v>Value Missing</v>
      </c>
      <c r="Q137" s="21" t="s">
        <v>3803</v>
      </c>
      <c r="R137" s="18" t="str">
        <f>IF(ISBLANK(input_wld_az1_rack5_host14_mgmt_ip),"Value Missing",input_wld_az1_rack5_host14_mgmt_ip)</f>
        <v>Value Missing</v>
      </c>
      <c r="T137" s="21" t="s">
        <v>3803</v>
      </c>
      <c r="U137" s="18" t="str">
        <f>IF(ISBLANK(input_wld_az1_rack6_host14_mgmt_ip),"Value Missing",input_wld_az1_rack6_host14_mgmt_ip)</f>
        <v>Value Missing</v>
      </c>
      <c r="W137" s="21" t="s">
        <v>3803</v>
      </c>
      <c r="X137" s="18" t="str">
        <f>IF(ISBLANK(input_wld_az1_rack7_host14_mgmt_ip),"Value Missing",input_wld_az1_rack7_host14_mgmt_ip)</f>
        <v>Value Missing</v>
      </c>
      <c r="Z137" s="21" t="s">
        <v>3803</v>
      </c>
      <c r="AA137" s="18" t="str">
        <f>IF(ISBLANK(input_wld_az1_rack8_host14_mgmt_ip),"Value Missing",input_wld_az1_rack8_host14_mgmt_ip)</f>
        <v>Value Missing</v>
      </c>
      <c r="AD137"/>
      <c r="AE137"/>
      <c r="AF137"/>
      <c r="AG137"/>
    </row>
    <row r="138" spans="2:33" s="3" customFormat="1" ht="20" customHeight="1">
      <c r="B138" s="21" t="s">
        <v>3804</v>
      </c>
      <c r="C138" s="18" t="str">
        <f>IF(ISBLANK(input_mgmt_az1_host15_mgmt_ip),"Value Missing",input_mgmt_az1_host15_mgmt_ip)</f>
        <v>Value Missing</v>
      </c>
      <c r="E138" s="21" t="s">
        <v>3804</v>
      </c>
      <c r="F138" s="18" t="str">
        <f>IF(ISBLANK(input_wld_az1_host15_mgmt_ip),"Value Missing",input_wld_az1_host15_mgmt_ip)</f>
        <v>Value Missing</v>
      </c>
      <c r="H138" s="21" t="s">
        <v>3804</v>
      </c>
      <c r="I138" s="18" t="str">
        <f>IF(ISBLANK(input_wld_az1_rack2_host15_mgmt_ip),"Value Missing",input_wld_az1_rack2_host15_mgmt_ip)</f>
        <v>Value Missing</v>
      </c>
      <c r="K138" s="21" t="s">
        <v>3804</v>
      </c>
      <c r="L138" s="18" t="str">
        <f>IF(ISBLANK(input_wld_az1_rack3_host15_mgmt_ip),"Value Missing",input_wld_az1_rack3_host15_mgmt_ip)</f>
        <v>Value Missing</v>
      </c>
      <c r="N138" s="21" t="s">
        <v>3804</v>
      </c>
      <c r="O138" s="18" t="str">
        <f>IF(ISBLANK(input_wld_az1_rack4_host15_mgmt_ip),"Value Missing",input_wld_az1_rack4_host15_mgmt_ip)</f>
        <v>Value Missing</v>
      </c>
      <c r="Q138" s="21" t="s">
        <v>3804</v>
      </c>
      <c r="R138" s="18" t="str">
        <f>IF(ISBLANK(input_wld_az1_rack5_host15_mgmt_ip),"Value Missing",input_wld_az1_rack5_host15_mgmt_ip)</f>
        <v>Value Missing</v>
      </c>
      <c r="T138" s="21" t="s">
        <v>3804</v>
      </c>
      <c r="U138" s="18" t="str">
        <f>IF(ISBLANK(input_wld_az1_rack6_host15_mgmt_ip),"Value Missing",input_wld_az1_rack6_host15_mgmt_ip)</f>
        <v>Value Missing</v>
      </c>
      <c r="W138" s="21" t="s">
        <v>3804</v>
      </c>
      <c r="X138" s="18" t="str">
        <f>IF(ISBLANK(input_wld_az1_rack7_host15_mgmt_ip),"Value Missing",input_wld_az1_rack7_host15_mgmt_ip)</f>
        <v>Value Missing</v>
      </c>
      <c r="Z138" s="21" t="s">
        <v>3804</v>
      </c>
      <c r="AA138" s="18" t="str">
        <f>IF(ISBLANK(input_wld_az1_rack8_host15_mgmt_ip),"Value Missing",input_wld_az1_rack8_host15_mgmt_ip)</f>
        <v>Value Missing</v>
      </c>
      <c r="AD138"/>
      <c r="AE138"/>
      <c r="AF138"/>
      <c r="AG138"/>
    </row>
    <row r="139" spans="2:33" s="3" customFormat="1" ht="20" customHeight="1">
      <c r="B139" s="21" t="s">
        <v>3805</v>
      </c>
      <c r="C139" s="18" t="str">
        <f>IF(ISBLANK(input_mgmt_az1_host16_mgmt_ip),"Value Missing",input_mgmt_az1_host16_mgmt_ip)</f>
        <v>Value Missing</v>
      </c>
      <c r="E139" s="21" t="s">
        <v>3805</v>
      </c>
      <c r="F139" s="18" t="str">
        <f>IF(ISBLANK(input_wld_az1_host16_mgmt_ip),"Value Missing",input_wld_az1_host16_mgmt_ip)</f>
        <v>Value Missing</v>
      </c>
      <c r="H139" s="21" t="s">
        <v>3805</v>
      </c>
      <c r="I139" s="18" t="str">
        <f>IF(ISBLANK(input_wld_az1_rack2_host16_mgmt_ip),"Value Missing",input_wld_az1_rack2_host16_mgmt_ip)</f>
        <v>Value Missing</v>
      </c>
      <c r="K139" s="21" t="s">
        <v>3805</v>
      </c>
      <c r="L139" s="18" t="str">
        <f>IF(ISBLANK(input_wld_az1_rack3_host16_mgmt_ip),"Value Missing",input_wld_az1_rack3_host16_mgmt_ip)</f>
        <v>Value Missing</v>
      </c>
      <c r="N139" s="21" t="s">
        <v>3805</v>
      </c>
      <c r="O139" s="18" t="str">
        <f>IF(ISBLANK(input_wld_az1_rack4_host16_mgmt_ip),"Value Missing",input_wld_az1_rack4_host16_mgmt_ip)</f>
        <v>Value Missing</v>
      </c>
      <c r="Q139" s="21" t="s">
        <v>3805</v>
      </c>
      <c r="R139" s="18" t="str">
        <f>IF(ISBLANK(input_wld_az1_rack5_host16_mgmt_ip),"Value Missing",input_wld_az1_rack5_host16_mgmt_ip)</f>
        <v>Value Missing</v>
      </c>
      <c r="T139" s="21" t="s">
        <v>3805</v>
      </c>
      <c r="U139" s="18" t="str">
        <f>IF(ISBLANK(input_wld_az1_rack6_host16_mgmt_ip),"Value Missing",input_wld_az1_rack6_host16_mgmt_ip)</f>
        <v>Value Missing</v>
      </c>
      <c r="W139" s="21" t="s">
        <v>3805</v>
      </c>
      <c r="X139" s="18" t="str">
        <f>IF(ISBLANK(input_wld_az1_rack7_host16_mgmt_ip),"Value Missing",input_wld_az1_rack7_host16_mgmt_ip)</f>
        <v>Value Missing</v>
      </c>
      <c r="Z139" s="21" t="s">
        <v>3805</v>
      </c>
      <c r="AA139" s="18" t="str">
        <f>IF(ISBLANK(input_wld_az1_rack8_host16_mgmt_ip),"Value Missing",input_wld_az1_rack8_host16_mgmt_ip)</f>
        <v>Value Missing</v>
      </c>
      <c r="AD139"/>
      <c r="AE139"/>
      <c r="AF139"/>
      <c r="AG139"/>
    </row>
    <row r="140" spans="2:33" s="3" customFormat="1" ht="20" customHeight="1">
      <c r="B140" s="21" t="s">
        <v>1331</v>
      </c>
      <c r="C140" s="18" t="str">
        <f>IF(ISBLANK(input_mgmt_az1_host1_vrms_ip),"Value Missing",input_mgmt_az1_host1_vrms_ip)</f>
        <v>Value Missing</v>
      </c>
      <c r="E140" s="21" t="s">
        <v>1331</v>
      </c>
      <c r="F140" s="18" t="str">
        <f>IF(ISBLANK(input_wld_az1_host1_vrms_ip),"Value Missing",input_wld_az1_host1_vrms_ip)</f>
        <v>Value Missing</v>
      </c>
      <c r="H140" s="21" t="s">
        <v>1331</v>
      </c>
      <c r="I140" s="18" t="str">
        <f>IF(ISBLANK(input_wld_az1_rack2_host1_vrms_ip),"Value Missing",input_wld_az1_rack2_host1_vrms_ip)</f>
        <v>Value Missing</v>
      </c>
      <c r="K140" s="21" t="s">
        <v>1331</v>
      </c>
      <c r="L140" s="18" t="str">
        <f>IF(ISBLANK(input_wld_az1_rack3_host1_vrms_ip),"Value Missing",input_wld_az1_rack3_host1_vrms_ip)</f>
        <v>Value Missing</v>
      </c>
      <c r="N140" s="21" t="s">
        <v>1331</v>
      </c>
      <c r="O140" s="18" t="str">
        <f>IF(ISBLANK(input_wld_az1_rack4_host1_vrms_ip),"Value Missing",input_wld_az1_rack4_host1_vrms_ip)</f>
        <v>Value Missing</v>
      </c>
      <c r="Q140" s="21" t="s">
        <v>1331</v>
      </c>
      <c r="R140" s="18" t="str">
        <f>IF(ISBLANK(input_wld_az1_rack5_host1_vrms_ip),"Value Missing",input_wld_az1_rack5_host1_vrms_ip)</f>
        <v>Value Missing</v>
      </c>
      <c r="T140" s="21" t="s">
        <v>1331</v>
      </c>
      <c r="U140" s="18" t="str">
        <f>IF(ISBLANK(input_wld_az1_rack6_host1_vrms_ip),"Value Missing",input_wld_az1_rack6_host1_vrms_ip)</f>
        <v>Value Missing</v>
      </c>
      <c r="W140" s="21" t="s">
        <v>1331</v>
      </c>
      <c r="X140" s="18" t="str">
        <f>IF(ISBLANK(input_wld_az1_rack7_host1_vrms_ip),"Value Missing",input_wld_az1_rack7_host1_vrms_ip)</f>
        <v>Value Missing</v>
      </c>
      <c r="Z140" s="21" t="s">
        <v>1331</v>
      </c>
      <c r="AA140" s="18" t="str">
        <f>IF(ISBLANK(input_wld_az1_rack8_host1_vrms_ip),"Value Missing",input_wld_az1_rack8_host1_vrms_ip)</f>
        <v>Value Missing</v>
      </c>
      <c r="AD140"/>
      <c r="AE140"/>
      <c r="AF140"/>
      <c r="AG140"/>
    </row>
    <row r="141" spans="2:33" s="3" customFormat="1" ht="20" customHeight="1">
      <c r="B141" s="21" t="s">
        <v>1337</v>
      </c>
      <c r="C141" s="18" t="str">
        <f>IF(ISBLANK(input_mgmt_az1_host2_vrms_ip),"Value Missing",input_mgmt_az1_host2_vrms_ip)</f>
        <v>Value Missing</v>
      </c>
      <c r="E141" s="21" t="s">
        <v>1337</v>
      </c>
      <c r="F141" s="18" t="str">
        <f>IF(ISBLANK(input_wld_az1_host2_vrms_ip),"Value Missing",input_wld_az1_host2_vrms_ip)</f>
        <v>Value Missing</v>
      </c>
      <c r="H141" s="21" t="s">
        <v>1337</v>
      </c>
      <c r="I141" s="18" t="str">
        <f>IF(ISBLANK(input_wld_az1_rack2_host2_vrms_ip),"Value Missing",input_wld_az1_rack2_host2_vrms_ip)</f>
        <v>Value Missing</v>
      </c>
      <c r="K141" s="21" t="s">
        <v>1337</v>
      </c>
      <c r="L141" s="18" t="str">
        <f>IF(ISBLANK(input_wld_az1_rack3_host2_vrms_ip),"Value Missing",input_wld_az1_rack3_host2_vrms_ip)</f>
        <v>Value Missing</v>
      </c>
      <c r="N141" s="21" t="s">
        <v>1337</v>
      </c>
      <c r="O141" s="18" t="str">
        <f>IF(ISBLANK(input_wld_az1_rack4_host2_vrms_ip),"Value Missing",input_wld_az1_rack4_host2_vrms_ip)</f>
        <v>Value Missing</v>
      </c>
      <c r="Q141" s="21" t="s">
        <v>1337</v>
      </c>
      <c r="R141" s="18" t="str">
        <f>IF(ISBLANK(input_wld_az1_rack5_host2_vrms_ip),"Value Missing",input_wld_az1_rack5_host2_vrms_ip)</f>
        <v>Value Missing</v>
      </c>
      <c r="T141" s="21" t="s">
        <v>1337</v>
      </c>
      <c r="U141" s="18" t="str">
        <f>IF(ISBLANK(input_wld_az1_rack6_host2_vrms_ip),"Value Missing",input_wld_az1_rack6_host2_vrms_ip)</f>
        <v>Value Missing</v>
      </c>
      <c r="W141" s="21" t="s">
        <v>1337</v>
      </c>
      <c r="X141" s="18" t="str">
        <f>IF(ISBLANK(input_wld_az1_rack7_host2_vrms_ip),"Value Missing",input_wld_az1_rack7_host2_vrms_ip)</f>
        <v>Value Missing</v>
      </c>
      <c r="Z141" s="21" t="s">
        <v>1337</v>
      </c>
      <c r="AA141" s="18" t="str">
        <f>IF(ISBLANK(input_wld_az1_rack8_host2_vrms_ip),"Value Missing",input_wld_az1_rack8_host2_vrms_ip)</f>
        <v>Value Missing</v>
      </c>
      <c r="AD141"/>
      <c r="AE141"/>
      <c r="AF141"/>
      <c r="AG141"/>
    </row>
    <row r="142" spans="2:33" s="3" customFormat="1" ht="20" customHeight="1">
      <c r="B142" s="21" t="s">
        <v>1342</v>
      </c>
      <c r="C142" s="18" t="str">
        <f>IF(ISBLANK(input_mgmt_az1_host3_vrms_ip),"Value Missing",input_mgmt_az1_host3_vrms_ip)</f>
        <v>Value Missing</v>
      </c>
      <c r="E142" s="21" t="s">
        <v>1342</v>
      </c>
      <c r="F142" s="18" t="str">
        <f>IF(ISBLANK(input_wld_az1_host3_vrms_ip),"Value Missing",input_wld_az1_host3_vrms_ip)</f>
        <v>Value Missing</v>
      </c>
      <c r="H142" s="21" t="s">
        <v>1342</v>
      </c>
      <c r="I142" s="18" t="str">
        <f>IF(ISBLANK(input_wld_az1_rack2_host3_vrms_ip),"Value Missing",input_wld_az1_rack2_host3_vrms_ip)</f>
        <v>Value Missing</v>
      </c>
      <c r="K142" s="21" t="s">
        <v>1342</v>
      </c>
      <c r="L142" s="18" t="str">
        <f>IF(ISBLANK(input_wld_az1_rack3_host3_vrms_ip),"Value Missing",input_wld_az1_rack3_host3_vrms_ip)</f>
        <v>Value Missing</v>
      </c>
      <c r="N142" s="21" t="s">
        <v>1342</v>
      </c>
      <c r="O142" s="18" t="str">
        <f>IF(ISBLANK(input_wld_az1_rack4_host3_vrms_ip),"Value Missing",input_wld_az1_rack4_host3_vrms_ip)</f>
        <v>Value Missing</v>
      </c>
      <c r="Q142" s="21" t="s">
        <v>1342</v>
      </c>
      <c r="R142" s="18" t="str">
        <f>IF(ISBLANK(input_wld_az1_rack5_host3_vrms_ip),"Value Missing",input_wld_az1_rack5_host3_vrms_ip)</f>
        <v>Value Missing</v>
      </c>
      <c r="T142" s="21" t="s">
        <v>1342</v>
      </c>
      <c r="U142" s="18" t="str">
        <f>IF(ISBLANK(input_wld_az1_rack6_host3_vrms_ip),"Value Missing",input_wld_az1_rack6_host3_vrms_ip)</f>
        <v>Value Missing</v>
      </c>
      <c r="W142" s="21" t="s">
        <v>1342</v>
      </c>
      <c r="X142" s="18" t="str">
        <f>IF(ISBLANK(input_wld_az1_rack7_host3_vrms_ip),"Value Missing",input_wld_az1_rack7_host3_vrms_ip)</f>
        <v>Value Missing</v>
      </c>
      <c r="Z142" s="21" t="s">
        <v>1342</v>
      </c>
      <c r="AA142" s="18" t="str">
        <f>IF(ISBLANK(input_wld_az1_rack8_host3_vrms_ip),"Value Missing",input_wld_az1_rack8_host3_vrms_ip)</f>
        <v>Value Missing</v>
      </c>
      <c r="AD142"/>
      <c r="AE142"/>
      <c r="AF142"/>
      <c r="AG142"/>
    </row>
    <row r="143" spans="2:33" s="3" customFormat="1" ht="20" customHeight="1">
      <c r="B143" s="21" t="s">
        <v>1348</v>
      </c>
      <c r="C143" s="18" t="str">
        <f>IF(ISBLANK(input_mgmt_az1_host4_vrms_ip),"Value Missing",input_mgmt_az1_host4_vrms_ip)</f>
        <v>Value Missing</v>
      </c>
      <c r="E143" s="21" t="s">
        <v>1348</v>
      </c>
      <c r="F143" s="18" t="str">
        <f>IF(ISBLANK(input_wld_az1_host4_vrms_ip),"Value Missing",input_wld_az1_host4_vrms_ip)</f>
        <v>Value Missing</v>
      </c>
      <c r="H143" s="21" t="s">
        <v>1348</v>
      </c>
      <c r="I143" s="18" t="str">
        <f>IF(ISBLANK(input_wld_az1_rack2_host4_vrms_ip),"Value Missing",input_wld_az1_rack2_host4_vrms_ip)</f>
        <v>Value Missing</v>
      </c>
      <c r="K143" s="21" t="s">
        <v>1348</v>
      </c>
      <c r="L143" s="18" t="str">
        <f>IF(ISBLANK(input_wld_az1_rack3_host4_vrms_ip),"Value Missing",input_wld_az1_rack3_host4_vrms_ip)</f>
        <v>Value Missing</v>
      </c>
      <c r="N143" s="21" t="s">
        <v>1348</v>
      </c>
      <c r="O143" s="18" t="str">
        <f>IF(ISBLANK(input_wld_az1_rack4_host4_vrms_ip),"Value Missing",input_wld_az1_rack4_host4_vrms_ip)</f>
        <v>Value Missing</v>
      </c>
      <c r="Q143" s="21" t="s">
        <v>1348</v>
      </c>
      <c r="R143" s="18" t="str">
        <f>IF(ISBLANK(input_wld_az1_rack5_host4_vrms_ip),"Value Missing",input_wld_az1_rack5_host4_vrms_ip)</f>
        <v>Value Missing</v>
      </c>
      <c r="T143" s="21" t="s">
        <v>1348</v>
      </c>
      <c r="U143" s="18" t="str">
        <f>IF(ISBLANK(input_wld_az1_rack6_host4_vrms_ip),"Value Missing",input_wld_az1_rack6_host4_vrms_ip)</f>
        <v>Value Missing</v>
      </c>
      <c r="W143" s="21" t="s">
        <v>1348</v>
      </c>
      <c r="X143" s="18" t="str">
        <f>IF(ISBLANK(input_wld_az1_rack7_host4_vrms_ip),"Value Missing",input_wld_az1_rack7_host4_vrms_ip)</f>
        <v>Value Missing</v>
      </c>
      <c r="Z143" s="21" t="s">
        <v>1348</v>
      </c>
      <c r="AA143" s="18" t="str">
        <f>IF(ISBLANK(input_wld_az1_rack8_host4_vrms_ip),"Value Missing",input_wld_az1_rack8_host4_vrms_ip)</f>
        <v>Value Missing</v>
      </c>
      <c r="AD143"/>
      <c r="AE143"/>
      <c r="AF143"/>
      <c r="AG143"/>
    </row>
    <row r="144" spans="2:33" s="3" customFormat="1" ht="20" customHeight="1">
      <c r="B144" s="21" t="s">
        <v>3806</v>
      </c>
      <c r="C144" s="18" t="str">
        <f>IF(ISBLANK(input_mgmt_az1_host5_vrms_ip),"Value Missing",input_mgmt_az1_host5_vrms_ip)</f>
        <v>Value Missing</v>
      </c>
      <c r="E144" s="21" t="s">
        <v>3806</v>
      </c>
      <c r="F144" s="18" t="str">
        <f>IF(ISBLANK(input_wld_az1_host5_vrms_ip),"Value Missing",input_wld_az1_host5_vrms_ip)</f>
        <v>Value Missing</v>
      </c>
      <c r="H144" s="21" t="s">
        <v>3806</v>
      </c>
      <c r="I144" s="18" t="str">
        <f>IF(ISBLANK(input_wld_az1_rack2_host5_vrms_ip),"Value Missing",input_wld_az1_rack2_host5_vrms_ip)</f>
        <v>Value Missing</v>
      </c>
      <c r="K144" s="21" t="s">
        <v>3806</v>
      </c>
      <c r="L144" s="18" t="str">
        <f>IF(ISBLANK(input_wld_az1_rack3_host5_vrms_ip),"Value Missing",input_wld_az1_rack3_host5_vrms_ip)</f>
        <v>Value Missing</v>
      </c>
      <c r="N144" s="21" t="s">
        <v>3806</v>
      </c>
      <c r="O144" s="18" t="str">
        <f>IF(ISBLANK(input_wld_az1_rack4_host5_vrms_ip),"Value Missing",input_wld_az1_rack4_host5_vrms_ip)</f>
        <v>Value Missing</v>
      </c>
      <c r="Q144" s="21" t="s">
        <v>3806</v>
      </c>
      <c r="R144" s="18" t="str">
        <f>IF(ISBLANK(input_wld_az1_rack5_host5_vrms_ip),"Value Missing",input_wld_az1_rack5_host5_vrms_ip)</f>
        <v>Value Missing</v>
      </c>
      <c r="T144" s="21" t="s">
        <v>3806</v>
      </c>
      <c r="U144" s="18" t="str">
        <f>IF(ISBLANK(input_wld_az1_rack6_host5_vrms_ip),"Value Missing",input_wld_az1_rack6_host5_vrms_ip)</f>
        <v>Value Missing</v>
      </c>
      <c r="W144" s="21" t="s">
        <v>3806</v>
      </c>
      <c r="X144" s="18" t="str">
        <f>IF(ISBLANK(input_wld_az1_rack7_host5_vrms_ip),"Value Missing",input_wld_az1_rack7_host5_vrms_ip)</f>
        <v>Value Missing</v>
      </c>
      <c r="Z144" s="21" t="s">
        <v>3806</v>
      </c>
      <c r="AA144" s="18" t="str">
        <f>IF(ISBLANK(input_wld_az1_rack8_host5_vrms_ip),"Value Missing",input_wld_az1_rack8_host5_vrms_ip)</f>
        <v>Value Missing</v>
      </c>
      <c r="AD144"/>
      <c r="AE144"/>
      <c r="AF144"/>
      <c r="AG144"/>
    </row>
    <row r="145" spans="2:34" s="3" customFormat="1" ht="20" customHeight="1">
      <c r="B145" s="21" t="s">
        <v>3807</v>
      </c>
      <c r="C145" s="18" t="str">
        <f>IF(ISBLANK(input_mgmt_az1_host6_vrms_ip),"Value Missing",input_mgmt_az1_host6_vrms_ip)</f>
        <v>Value Missing</v>
      </c>
      <c r="E145" s="21" t="s">
        <v>3807</v>
      </c>
      <c r="F145" s="18" t="str">
        <f>IF(ISBLANK(input_wld_az1_host6_vrms_ip),"Value Missing",input_wld_az1_host6_vrms_ip)</f>
        <v>Value Missing</v>
      </c>
      <c r="H145" s="21" t="s">
        <v>3807</v>
      </c>
      <c r="I145" s="18" t="str">
        <f>IF(ISBLANK(input_wld_az1_rack2_host6_vrms_ip),"Value Missing",input_wld_az1_rack2_host6_vrms_ip)</f>
        <v>Value Missing</v>
      </c>
      <c r="K145" s="21" t="s">
        <v>3807</v>
      </c>
      <c r="L145" s="18" t="str">
        <f>IF(ISBLANK(input_wld_az1_rack3_host6_vrms_ip),"Value Missing",input_wld_az1_rack3_host6_vrms_ip)</f>
        <v>Value Missing</v>
      </c>
      <c r="N145" s="21" t="s">
        <v>3807</v>
      </c>
      <c r="O145" s="18" t="str">
        <f>IF(ISBLANK(input_wld_az1_rack4_host6_vrms_ip),"Value Missing",input_wld_az1_rack4_host6_vrms_ip)</f>
        <v>Value Missing</v>
      </c>
      <c r="Q145" s="21" t="s">
        <v>3807</v>
      </c>
      <c r="R145" s="18" t="str">
        <f>IF(ISBLANK(input_wld_az1_rack5_host6_vrms_ip),"Value Missing",input_wld_az1_rack5_host6_vrms_ip)</f>
        <v>Value Missing</v>
      </c>
      <c r="T145" s="21" t="s">
        <v>3807</v>
      </c>
      <c r="U145" s="18" t="str">
        <f>IF(ISBLANK(input_wld_az1_rack6_host6_vrms_ip),"Value Missing",input_wld_az1_rack6_host6_vrms_ip)</f>
        <v>Value Missing</v>
      </c>
      <c r="W145" s="21" t="s">
        <v>3807</v>
      </c>
      <c r="X145" s="18" t="str">
        <f>IF(ISBLANK(input_wld_az1_rack7_host6_vrms_ip),"Value Missing",input_wld_az1_rack7_host6_vrms_ip)</f>
        <v>Value Missing</v>
      </c>
      <c r="Z145" s="21" t="s">
        <v>3807</v>
      </c>
      <c r="AA145" s="18" t="str">
        <f>IF(ISBLANK(input_wld_az1_rack8_host6_vrms_ip),"Value Missing",input_wld_az1_rack8_host6_vrms_ip)</f>
        <v>Value Missing</v>
      </c>
      <c r="AD145"/>
      <c r="AE145"/>
      <c r="AF145"/>
      <c r="AG145"/>
    </row>
    <row r="146" spans="2:34" s="3" customFormat="1" ht="20" customHeight="1">
      <c r="B146" s="21" t="s">
        <v>3808</v>
      </c>
      <c r="C146" s="18" t="str">
        <f>IF(ISBLANK(input_mgmt_az1_host7_vrms_ip),"Value Missing",input_mgmt_az1_host7_vrms_ip)</f>
        <v>Value Missing</v>
      </c>
      <c r="E146" s="21" t="s">
        <v>3808</v>
      </c>
      <c r="F146" s="18" t="str">
        <f>IF(ISBLANK(input_wld_az1_host7_vrms_ip),"Value Missing",input_wld_az1_host7_vrms_ip)</f>
        <v>Value Missing</v>
      </c>
      <c r="H146" s="21" t="s">
        <v>3808</v>
      </c>
      <c r="I146" s="18" t="str">
        <f>IF(ISBLANK(input_wld_az1_rack2_host7_vrms_ip),"Value Missing",input_wld_az1_rack2_host7_vrms_ip)</f>
        <v>Value Missing</v>
      </c>
      <c r="K146" s="21" t="s">
        <v>3808</v>
      </c>
      <c r="L146" s="18" t="str">
        <f>IF(ISBLANK(input_wld_az1_rack3_host7_vrms_ip),"Value Missing",input_wld_az1_rack3_host7_vrms_ip)</f>
        <v>Value Missing</v>
      </c>
      <c r="N146" s="21" t="s">
        <v>3808</v>
      </c>
      <c r="O146" s="18" t="str">
        <f>IF(ISBLANK(input_wld_az1_rack4_host7_vrms_ip),"Value Missing",input_wld_az1_rack4_host7_vrms_ip)</f>
        <v>Value Missing</v>
      </c>
      <c r="Q146" s="21" t="s">
        <v>3808</v>
      </c>
      <c r="R146" s="18" t="str">
        <f>IF(ISBLANK(input_wld_az1_rack5_host7_vrms_ip),"Value Missing",input_wld_az1_rack5_host7_vrms_ip)</f>
        <v>Value Missing</v>
      </c>
      <c r="T146" s="21" t="s">
        <v>3808</v>
      </c>
      <c r="U146" s="18" t="str">
        <f>IF(ISBLANK(input_wld_az1_rack6_host7_vrms_ip),"Value Missing",input_wld_az1_rack6_host7_vrms_ip)</f>
        <v>Value Missing</v>
      </c>
      <c r="W146" s="21" t="s">
        <v>3808</v>
      </c>
      <c r="X146" s="18" t="str">
        <f>IF(ISBLANK(input_wld_az1_rack7_host7_vrms_ip),"Value Missing",input_wld_az1_rack7_host7_vrms_ip)</f>
        <v>Value Missing</v>
      </c>
      <c r="Z146" s="21" t="s">
        <v>3808</v>
      </c>
      <c r="AA146" s="18" t="str">
        <f>IF(ISBLANK(input_wld_az1_rack8_host7_vrms_ip),"Value Missing",input_wld_az1_rack8_host7_vrms_ip)</f>
        <v>Value Missing</v>
      </c>
      <c r="AD146"/>
      <c r="AE146"/>
      <c r="AF146"/>
      <c r="AG146"/>
    </row>
    <row r="147" spans="2:34" s="3" customFormat="1" ht="20" customHeight="1">
      <c r="B147" s="21" t="s">
        <v>3809</v>
      </c>
      <c r="C147" s="18" t="str">
        <f>IF(ISBLANK(input_mgmt_az1_host8_vrms_ip),"Value Missing",input_mgmt_az1_host8_vrms_ip)</f>
        <v>Value Missing</v>
      </c>
      <c r="E147" s="21" t="s">
        <v>3809</v>
      </c>
      <c r="F147" s="18" t="str">
        <f>IF(ISBLANK(input_wld_az1_host8_vrms_ip),"Value Missing",input_wld_az1_host8_vrms_ip)</f>
        <v>Value Missing</v>
      </c>
      <c r="H147" s="21" t="s">
        <v>3809</v>
      </c>
      <c r="I147" s="18" t="str">
        <f>IF(ISBLANK(input_wld_az1_rack2_host8_vrms_ip),"Value Missing",input_wld_az1_rack2_host8_vrms_ip)</f>
        <v>Value Missing</v>
      </c>
      <c r="K147" s="21" t="s">
        <v>3809</v>
      </c>
      <c r="L147" s="18" t="str">
        <f>IF(ISBLANK(input_wld_az1_rack3_host8_vrms_ip),"Value Missing",input_wld_az1_rack3_host8_vrms_ip)</f>
        <v>Value Missing</v>
      </c>
      <c r="N147" s="21" t="s">
        <v>3809</v>
      </c>
      <c r="O147" s="18" t="str">
        <f>IF(ISBLANK(input_wld_az1_rack4_host8_vrms_ip),"Value Missing",input_wld_az1_rack4_host8_vrms_ip)</f>
        <v>Value Missing</v>
      </c>
      <c r="Q147" s="21" t="s">
        <v>3809</v>
      </c>
      <c r="R147" s="18" t="str">
        <f>IF(ISBLANK(input_wld_az1_rack5_host8_vrms_ip),"Value Missing",input_wld_az1_rack5_host8_vrms_ip)</f>
        <v>Value Missing</v>
      </c>
      <c r="T147" s="21" t="s">
        <v>3809</v>
      </c>
      <c r="U147" s="18" t="str">
        <f>IF(ISBLANK(input_wld_az1_rack6_host8_vrms_ip),"Value Missing",input_wld_az1_rack6_host8_vrms_ip)</f>
        <v>Value Missing</v>
      </c>
      <c r="W147" s="21" t="s">
        <v>3809</v>
      </c>
      <c r="X147" s="18" t="str">
        <f>IF(ISBLANK(input_wld_az1_rack7_host8_vrms_ip),"Value Missing",input_wld_az1_rack7_host8_vrms_ip)</f>
        <v>Value Missing</v>
      </c>
      <c r="Z147" s="21" t="s">
        <v>3809</v>
      </c>
      <c r="AA147" s="18" t="str">
        <f>IF(ISBLANK(input_wld_az1_rack8_host8_vrms_ip),"Value Missing",input_wld_az1_rack8_host8_vrms_ip)</f>
        <v>Value Missing</v>
      </c>
      <c r="AD147"/>
      <c r="AE147"/>
      <c r="AF147"/>
      <c r="AG147"/>
    </row>
    <row r="148" spans="2:34" s="3" customFormat="1" ht="20" customHeight="1">
      <c r="B148" s="21" t="s">
        <v>3810</v>
      </c>
      <c r="C148" s="18" t="str">
        <f>IF(ISBLANK(input_mgmt_az1_host9_vrms_ip),"Value Missing",input_mgmt_az1_host9_vrms_ip)</f>
        <v>Value Missing</v>
      </c>
      <c r="E148" s="21" t="s">
        <v>3810</v>
      </c>
      <c r="F148" s="18" t="str">
        <f>IF(ISBLANK(input_wld_az1_host9_vrms_ip),"Value Missing",input_wld_az1_host9_vrms_ip)</f>
        <v>Value Missing</v>
      </c>
      <c r="H148" s="21" t="s">
        <v>3810</v>
      </c>
      <c r="I148" s="18" t="str">
        <f>IF(ISBLANK(input_wld_az1_rack2_host9_vrms_ip),"Value Missing",input_wld_az1_rack2_host9_vrms_ip)</f>
        <v>Value Missing</v>
      </c>
      <c r="K148" s="21" t="s">
        <v>3810</v>
      </c>
      <c r="L148" s="18" t="str">
        <f>IF(ISBLANK(input_wld_az1_rack3_host9_vrms_ip),"Value Missing",input_wld_az1_rack3_host9_vrms_ip)</f>
        <v>Value Missing</v>
      </c>
      <c r="N148" s="21" t="s">
        <v>3810</v>
      </c>
      <c r="O148" s="18" t="str">
        <f>IF(ISBLANK(input_wld_az1_rack4_host9_vrms_ip),"Value Missing",input_wld_az1_rack4_host9_vrms_ip)</f>
        <v>Value Missing</v>
      </c>
      <c r="Q148" s="21" t="s">
        <v>3810</v>
      </c>
      <c r="R148" s="18" t="str">
        <f>IF(ISBLANK(input_wld_az1_rack5_host9_vrms_ip),"Value Missing",input_wld_az1_rack5_host9_vrms_ip)</f>
        <v>Value Missing</v>
      </c>
      <c r="T148" s="21" t="s">
        <v>3810</v>
      </c>
      <c r="U148" s="18" t="str">
        <f>IF(ISBLANK(input_wld_az1_rack6_host9_vrms_ip),"Value Missing",input_wld_az1_rack6_host9_vrms_ip)</f>
        <v>Value Missing</v>
      </c>
      <c r="W148" s="21" t="s">
        <v>3810</v>
      </c>
      <c r="X148" s="18" t="str">
        <f>IF(ISBLANK(input_wld_az1_rack7_host9_vrms_ip),"Value Missing",input_wld_az1_rack7_host9_vrms_ip)</f>
        <v>Value Missing</v>
      </c>
      <c r="Z148" s="21" t="s">
        <v>3810</v>
      </c>
      <c r="AA148" s="18" t="str">
        <f>IF(ISBLANK(input_wld_az1_rack8_host9_vrms_ip),"Value Missing",input_wld_az1_rack8_host9_vrms_ip)</f>
        <v>Value Missing</v>
      </c>
      <c r="AD148"/>
      <c r="AE148"/>
      <c r="AF148"/>
      <c r="AG148"/>
    </row>
    <row r="149" spans="2:34" s="3" customFormat="1" ht="20" customHeight="1">
      <c r="B149" s="21" t="s">
        <v>3811</v>
      </c>
      <c r="C149" s="18" t="str">
        <f>IF(ISBLANK(input_mgmt_az1_host10_vrms_ip),"Value Missing",input_mgmt_az1_host10_vrms_ip)</f>
        <v>Value Missing</v>
      </c>
      <c r="E149" s="21" t="s">
        <v>3811</v>
      </c>
      <c r="F149" s="18" t="str">
        <f>IF(ISBLANK(input_wld_az1_host10_vrms_ip),"Value Missing",input_wld_az1_host10_vrms_ip)</f>
        <v>Value Missing</v>
      </c>
      <c r="H149" s="21" t="s">
        <v>3811</v>
      </c>
      <c r="I149" s="18" t="str">
        <f>IF(ISBLANK(input_wld_az1_rack2_host10_vrms_ip),"Value Missing",input_wld_az1_rack2_host10_vrms_ip)</f>
        <v>Value Missing</v>
      </c>
      <c r="K149" s="21" t="s">
        <v>3811</v>
      </c>
      <c r="L149" s="18" t="str">
        <f>IF(ISBLANK(input_wld_az1_rack3_host10_vrms_ip),"Value Missing",input_wld_az1_rack3_host10_vrms_ip)</f>
        <v>Value Missing</v>
      </c>
      <c r="N149" s="21" t="s">
        <v>3811</v>
      </c>
      <c r="O149" s="18" t="str">
        <f>IF(ISBLANK(input_wld_az1_rack4_host10_vrms_ip),"Value Missing",input_wld_az1_rack4_host10_vrms_ip)</f>
        <v>Value Missing</v>
      </c>
      <c r="Q149" s="21" t="s">
        <v>3811</v>
      </c>
      <c r="R149" s="18" t="str">
        <f>IF(ISBLANK(input_wld_az1_rack5_host10_vrms_ip),"Value Missing",input_wld_az1_rack5_host10_vrms_ip)</f>
        <v>Value Missing</v>
      </c>
      <c r="T149" s="21" t="s">
        <v>3811</v>
      </c>
      <c r="U149" s="18" t="str">
        <f>IF(ISBLANK(input_wld_az1_rack6_host10_vrms_ip),"Value Missing",input_wld_az1_rack6_host10_vrms_ip)</f>
        <v>Value Missing</v>
      </c>
      <c r="W149" s="21" t="s">
        <v>3811</v>
      </c>
      <c r="X149" s="18" t="str">
        <f>IF(ISBLANK(input_wld_az1_rack7_host10_vrms_ip),"Value Missing",input_wld_az1_rack7_host10_vrms_ip)</f>
        <v>Value Missing</v>
      </c>
      <c r="Z149" s="21" t="s">
        <v>3811</v>
      </c>
      <c r="AA149" s="18" t="str">
        <f>IF(ISBLANK(input_wld_az1_rack8_host10_vrms_ip),"Value Missing",input_wld_az1_rack8_host10_vrms_ip)</f>
        <v>Value Missing</v>
      </c>
      <c r="AD149"/>
      <c r="AE149"/>
      <c r="AF149"/>
      <c r="AG149"/>
    </row>
    <row r="150" spans="2:34" s="3" customFormat="1" ht="20" customHeight="1">
      <c r="B150" s="21" t="s">
        <v>3812</v>
      </c>
      <c r="C150" s="18" t="str">
        <f>IF(ISBLANK(input_mgmt_az1_host11_vrms_ip),"Value Missing",input_mgmt_az1_host11_vrms_ip)</f>
        <v>Value Missing</v>
      </c>
      <c r="E150" s="21" t="s">
        <v>3812</v>
      </c>
      <c r="F150" s="18" t="str">
        <f>IF(ISBLANK(input_wld_az1_host11_vrms_ip),"Value Missing",input_wld_az1_host11_vrms_ip)</f>
        <v>Value Missing</v>
      </c>
      <c r="H150" s="21" t="s">
        <v>3812</v>
      </c>
      <c r="I150" s="18" t="str">
        <f>IF(ISBLANK(input_wld_az1_rack2_host11_vrms_ip),"Value Missing",input_wld_az1_rack2_host11_vrms_ip)</f>
        <v>Value Missing</v>
      </c>
      <c r="K150" s="21" t="s">
        <v>3812</v>
      </c>
      <c r="L150" s="18" t="str">
        <f>IF(ISBLANK(input_wld_az1_rack3_host11_vrms_ip),"Value Missing",input_wld_az1_rack3_host11_vrms_ip)</f>
        <v>Value Missing</v>
      </c>
      <c r="N150" s="21" t="s">
        <v>3812</v>
      </c>
      <c r="O150" s="18" t="str">
        <f>IF(ISBLANK(input_wld_az1_rack4_host11_vrms_ip),"Value Missing",input_wld_az1_rack4_host11_vrms_ip)</f>
        <v>Value Missing</v>
      </c>
      <c r="Q150" s="21" t="s">
        <v>3812</v>
      </c>
      <c r="R150" s="18" t="str">
        <f>IF(ISBLANK(input_wld_az1_rack5_host11_vrms_ip),"Value Missing",input_wld_az1_rack5_host11_vrms_ip)</f>
        <v>Value Missing</v>
      </c>
      <c r="T150" s="21" t="s">
        <v>3812</v>
      </c>
      <c r="U150" s="18" t="str">
        <f>IF(ISBLANK(input_wld_az1_rack6_host11_vrms_ip),"Value Missing",input_wld_az1_rack6_host11_vrms_ip)</f>
        <v>Value Missing</v>
      </c>
      <c r="W150" s="21" t="s">
        <v>3812</v>
      </c>
      <c r="X150" s="18" t="str">
        <f>IF(ISBLANK(input_wld_az1_rack7_host11_vrms_ip),"Value Missing",input_wld_az1_rack7_host11_vrms_ip)</f>
        <v>Value Missing</v>
      </c>
      <c r="Z150" s="21" t="s">
        <v>3812</v>
      </c>
      <c r="AA150" s="18" t="str">
        <f>IF(ISBLANK(input_wld_az1_rack8_host11_vrms_ip),"Value Missing",input_wld_az1_rack8_host11_vrms_ip)</f>
        <v>Value Missing</v>
      </c>
      <c r="AD150"/>
      <c r="AE150"/>
      <c r="AF150"/>
      <c r="AG150"/>
    </row>
    <row r="151" spans="2:34" s="3" customFormat="1" ht="20" customHeight="1">
      <c r="B151" s="21" t="s">
        <v>3813</v>
      </c>
      <c r="C151" s="18" t="str">
        <f>IF(ISBLANK(input_mgmt_az1_host12_vrms_ip),"Value Missing",input_mgmt_az1_host12_vrms_ip)</f>
        <v>Value Missing</v>
      </c>
      <c r="E151" s="21" t="s">
        <v>3813</v>
      </c>
      <c r="F151" s="18" t="str">
        <f>IF(ISBLANK(input_wld_az1_host12_vrms_ip),"Value Missing",input_wld_az1_host12_vrms_ip)</f>
        <v>Value Missing</v>
      </c>
      <c r="H151" s="21" t="s">
        <v>3813</v>
      </c>
      <c r="I151" s="18" t="str">
        <f>IF(ISBLANK(input_wld_az1_rack2_host12_vrms_ip),"Value Missing",input_wld_az1_rack2_host12_vrms_ip)</f>
        <v>Value Missing</v>
      </c>
      <c r="K151" s="21" t="s">
        <v>3813</v>
      </c>
      <c r="L151" s="18" t="str">
        <f>IF(ISBLANK(input_wld_az1_rack3_host12_vrms_ip),"Value Missing",input_wld_az1_rack3_host12_vrms_ip)</f>
        <v>Value Missing</v>
      </c>
      <c r="N151" s="21" t="s">
        <v>3813</v>
      </c>
      <c r="O151" s="18" t="str">
        <f>IF(ISBLANK(input_wld_az1_rack4_host12_vrms_ip),"Value Missing",input_wld_az1_rack4_host12_vrms_ip)</f>
        <v>Value Missing</v>
      </c>
      <c r="Q151" s="21" t="s">
        <v>3813</v>
      </c>
      <c r="R151" s="18" t="str">
        <f>IF(ISBLANK(input_wld_az1_rack5_host12_vrms_ip),"Value Missing",input_wld_az1_rack5_host12_vrms_ip)</f>
        <v>Value Missing</v>
      </c>
      <c r="T151" s="21" t="s">
        <v>3813</v>
      </c>
      <c r="U151" s="18" t="str">
        <f>IF(ISBLANK(input_wld_az1_rack6_host12_vrms_ip),"Value Missing",input_wld_az1_rack6_host12_vrms_ip)</f>
        <v>Value Missing</v>
      </c>
      <c r="W151" s="21" t="s">
        <v>3813</v>
      </c>
      <c r="X151" s="18" t="str">
        <f>IF(ISBLANK(input_wld_az1_rack7_host12_vrms_ip),"Value Missing",input_wld_az1_rack7_host12_vrms_ip)</f>
        <v>Value Missing</v>
      </c>
      <c r="Z151" s="21" t="s">
        <v>3813</v>
      </c>
      <c r="AA151" s="18" t="str">
        <f>IF(ISBLANK(input_wld_az1_rack8_host12_vrms_ip),"Value Missing",input_wld_az1_rack8_host12_vrms_ip)</f>
        <v>Value Missing</v>
      </c>
      <c r="AD151"/>
      <c r="AE151"/>
      <c r="AF151"/>
      <c r="AG151"/>
    </row>
    <row r="152" spans="2:34" s="3" customFormat="1" ht="20" customHeight="1">
      <c r="B152" s="21" t="s">
        <v>3814</v>
      </c>
      <c r="C152" s="18" t="str">
        <f>IF(ISBLANK(input_mgmt_az1_host13_vrms_ip),"Value Missing",input_mgmt_az1_host13_vrms_ip)</f>
        <v>Value Missing</v>
      </c>
      <c r="E152" s="21" t="s">
        <v>3814</v>
      </c>
      <c r="F152" s="18" t="str">
        <f>IF(ISBLANK(input_wld_az1_host13_vrms_ip),"Value Missing",input_wld_az1_host13_vrms_ip)</f>
        <v>Value Missing</v>
      </c>
      <c r="H152" s="21" t="s">
        <v>3814</v>
      </c>
      <c r="I152" s="18" t="str">
        <f>IF(ISBLANK(input_wld_az1_rack2_host13_vrms_ip),"Value Missing",input_wld_az1_rack2_host13_vrms_ip)</f>
        <v>Value Missing</v>
      </c>
      <c r="K152" s="21" t="s">
        <v>3814</v>
      </c>
      <c r="L152" s="18" t="str">
        <f>IF(ISBLANK(input_wld_az1_rack3_host13_vrms_ip),"Value Missing",input_wld_az1_rack3_host13_vrms_ip)</f>
        <v>Value Missing</v>
      </c>
      <c r="N152" s="21" t="s">
        <v>3814</v>
      </c>
      <c r="O152" s="18" t="str">
        <f>IF(ISBLANK(input_wld_az1_rack4_host13_vrms_ip),"Value Missing",input_wld_az1_rack4_host13_vrms_ip)</f>
        <v>Value Missing</v>
      </c>
      <c r="Q152" s="21" t="s">
        <v>3814</v>
      </c>
      <c r="R152" s="18" t="str">
        <f>IF(ISBLANK(input_wld_az1_rack5_host13_vrms_ip),"Value Missing",input_wld_az1_rack5_host13_vrms_ip)</f>
        <v>Value Missing</v>
      </c>
      <c r="T152" s="21" t="s">
        <v>3814</v>
      </c>
      <c r="U152" s="18" t="str">
        <f>IF(ISBLANK(input_wld_az1_rack6_host13_vrms_ip),"Value Missing",input_wld_az1_rack6_host13_vrms_ip)</f>
        <v>Value Missing</v>
      </c>
      <c r="W152" s="21" t="s">
        <v>3814</v>
      </c>
      <c r="X152" s="18" t="str">
        <f>IF(ISBLANK(input_wld_az1_rack7_host13_vrms_ip),"Value Missing",input_wld_az1_rack7_host13_vrms_ip)</f>
        <v>Value Missing</v>
      </c>
      <c r="Z152" s="21" t="s">
        <v>3814</v>
      </c>
      <c r="AA152" s="18" t="str">
        <f>IF(ISBLANK(input_wld_az1_rack8_host13_vrms_ip),"Value Missing",input_wld_az1_rack8_host13_vrms_ip)</f>
        <v>Value Missing</v>
      </c>
      <c r="AD152"/>
      <c r="AE152"/>
      <c r="AF152"/>
      <c r="AG152"/>
    </row>
    <row r="153" spans="2:34" s="3" customFormat="1" ht="20" customHeight="1">
      <c r="B153" s="21" t="s">
        <v>3815</v>
      </c>
      <c r="C153" s="18" t="str">
        <f>IF(ISBLANK(input_mgmt_az1_host14_vrms_ip),"Value Missing",input_mgmt_az1_host14_vrms_ip)</f>
        <v>Value Missing</v>
      </c>
      <c r="E153" s="21" t="s">
        <v>3815</v>
      </c>
      <c r="F153" s="18" t="str">
        <f>IF(ISBLANK(input_wld_az1_host14_vrms_ip),"Value Missing",input_wld_az1_host14_vrms_ip)</f>
        <v>Value Missing</v>
      </c>
      <c r="H153" s="21" t="s">
        <v>3815</v>
      </c>
      <c r="I153" s="18" t="str">
        <f>IF(ISBLANK(input_wld_az1_rack2_host14_vrms_ip),"Value Missing",input_wld_az1_rack2_host14_vrms_ip)</f>
        <v>Value Missing</v>
      </c>
      <c r="K153" s="21" t="s">
        <v>3815</v>
      </c>
      <c r="L153" s="18" t="str">
        <f>IF(ISBLANK(input_wld_az1_rack3_host14_vrms_ip),"Value Missing",input_wld_az1_rack3_host14_vrms_ip)</f>
        <v>Value Missing</v>
      </c>
      <c r="N153" s="21" t="s">
        <v>3815</v>
      </c>
      <c r="O153" s="18" t="str">
        <f>IF(ISBLANK(input_wld_az1_rack4_host14_vrms_ip),"Value Missing",input_wld_az1_rack4_host14_vrms_ip)</f>
        <v>Value Missing</v>
      </c>
      <c r="Q153" s="21" t="s">
        <v>3815</v>
      </c>
      <c r="R153" s="18" t="str">
        <f>IF(ISBLANK(input_wld_az1_rack5_host14_vrms_ip),"Value Missing",input_wld_az1_rack5_host14_vrms_ip)</f>
        <v>Value Missing</v>
      </c>
      <c r="T153" s="21" t="s">
        <v>3815</v>
      </c>
      <c r="U153" s="18" t="str">
        <f>IF(ISBLANK(input_wld_az1_rack6_host14_vrms_ip),"Value Missing",input_wld_az1_rack6_host14_vrms_ip)</f>
        <v>Value Missing</v>
      </c>
      <c r="W153" s="21" t="s">
        <v>3815</v>
      </c>
      <c r="X153" s="18" t="str">
        <f>IF(ISBLANK(input_wld_az1_rack7_host14_vrms_ip),"Value Missing",input_wld_az1_rack7_host14_vrms_ip)</f>
        <v>Value Missing</v>
      </c>
      <c r="Z153" s="21" t="s">
        <v>3815</v>
      </c>
      <c r="AA153" s="18" t="str">
        <f>IF(ISBLANK(input_wld_az1_rack8_host14_vrms_ip),"Value Missing",input_wld_az1_rack8_host14_vrms_ip)</f>
        <v>Value Missing</v>
      </c>
      <c r="AD153"/>
      <c r="AE153"/>
      <c r="AF153"/>
      <c r="AG153"/>
      <c r="AH153"/>
    </row>
    <row r="154" spans="2:34" s="3" customFormat="1" ht="20" customHeight="1">
      <c r="B154" s="21" t="s">
        <v>3816</v>
      </c>
      <c r="C154" s="18" t="str">
        <f>IF(ISBLANK(input_mgmt_az1_host15_vrms_ip),"Value Missing",input_mgmt_az1_host15_vrms_ip)</f>
        <v>Value Missing</v>
      </c>
      <c r="E154" s="21" t="s">
        <v>3816</v>
      </c>
      <c r="F154" s="18" t="str">
        <f>IF(ISBLANK(input_wld_az1_host15_vrms_ip),"Value Missing",input_wld_az1_host15_vrms_ip)</f>
        <v>Value Missing</v>
      </c>
      <c r="H154" s="21" t="s">
        <v>3816</v>
      </c>
      <c r="I154" s="18" t="str">
        <f>IF(ISBLANK(input_wld_az1_rack2_host15_vrms_ip),"Value Missing",input_wld_az1_rack2_host15_vrms_ip)</f>
        <v>Value Missing</v>
      </c>
      <c r="K154" s="21" t="s">
        <v>3816</v>
      </c>
      <c r="L154" s="18" t="str">
        <f>IF(ISBLANK(input_wld_az1_rack3_host15_vrms_ip),"Value Missing",input_wld_az1_rack3_host15_vrms_ip)</f>
        <v>Value Missing</v>
      </c>
      <c r="N154" s="21" t="s">
        <v>3816</v>
      </c>
      <c r="O154" s="18" t="str">
        <f>IF(ISBLANK(input_wld_az1_rack4_host15_vrms_ip),"Value Missing",input_wld_az1_rack4_host15_vrms_ip)</f>
        <v>Value Missing</v>
      </c>
      <c r="Q154" s="21" t="s">
        <v>3816</v>
      </c>
      <c r="R154" s="18" t="str">
        <f>IF(ISBLANK(input_wld_az1_rack5_host15_vrms_ip),"Value Missing",input_wld_az1_rack5_host15_vrms_ip)</f>
        <v>Value Missing</v>
      </c>
      <c r="T154" s="21" t="s">
        <v>3816</v>
      </c>
      <c r="U154" s="18" t="str">
        <f>IF(ISBLANK(input_wld_az1_rack6_host15_vrms_ip),"Value Missing",input_wld_az1_rack6_host15_vrms_ip)</f>
        <v>Value Missing</v>
      </c>
      <c r="W154" s="21" t="s">
        <v>3816</v>
      </c>
      <c r="X154" s="18" t="str">
        <f>IF(ISBLANK(input_wld_az1_rack7_host15_vrms_ip),"Value Missing",input_wld_az1_rack7_host15_vrms_ip)</f>
        <v>Value Missing</v>
      </c>
      <c r="Z154" s="21" t="s">
        <v>3816</v>
      </c>
      <c r="AA154" s="18" t="str">
        <f>IF(ISBLANK(input_wld_az1_rack8_host15_vrms_ip),"Value Missing",input_wld_az1_rack8_host15_vrms_ip)</f>
        <v>Value Missing</v>
      </c>
      <c r="AD154"/>
      <c r="AE154"/>
      <c r="AF154"/>
      <c r="AG154"/>
      <c r="AH154"/>
    </row>
    <row r="155" spans="2:34" s="3" customFormat="1" ht="20" customHeight="1">
      <c r="B155" s="21" t="s">
        <v>3817</v>
      </c>
      <c r="C155" s="18" t="str">
        <f>IF(ISBLANK(input_mgmt_az1_host16_vrms_ip),"Value Missing",input_mgmt_az1_host16_vrms_ip)</f>
        <v>Value Missing</v>
      </c>
      <c r="E155" s="21" t="s">
        <v>3817</v>
      </c>
      <c r="F155" s="18" t="str">
        <f>IF(ISBLANK(input_wld_az1_host16_vrms_ip),"Value Missing",input_wld_az1_host16_vrms_ip)</f>
        <v>Value Missing</v>
      </c>
      <c r="H155" s="21" t="s">
        <v>3817</v>
      </c>
      <c r="I155" s="18" t="str">
        <f>IF(ISBLANK(input_wld_az1_rack2_host16_vrms_ip),"Value Missing",input_wld_az1_rack2_host16_vrms_ip)</f>
        <v>Value Missing</v>
      </c>
      <c r="K155" s="21" t="s">
        <v>3817</v>
      </c>
      <c r="L155" s="18" t="str">
        <f>IF(ISBLANK(input_wld_az1_rack3_host16_vrms_ip),"Value Missing",input_wld_az1_rack3_host16_vrms_ip)</f>
        <v>Value Missing</v>
      </c>
      <c r="N155" s="21" t="s">
        <v>3817</v>
      </c>
      <c r="O155" s="18" t="str">
        <f>IF(ISBLANK(input_wld_az1_rack4_host16_vrms_ip),"Value Missing",input_wld_az1_rack4_host16_vrms_ip)</f>
        <v>Value Missing</v>
      </c>
      <c r="Q155" s="21" t="s">
        <v>3817</v>
      </c>
      <c r="R155" s="18" t="str">
        <f>IF(ISBLANK(input_wld_az1_rack5_host16_vrms_ip),"Value Missing",input_wld_az1_rack5_host16_vrms_ip)</f>
        <v>Value Missing</v>
      </c>
      <c r="T155" s="21" t="s">
        <v>3817</v>
      </c>
      <c r="U155" s="18" t="str">
        <f>IF(ISBLANK(input_wld_az1_rack6_host16_vrms_ip),"Value Missing",input_wld_az1_rack6_host16_vrms_ip)</f>
        <v>Value Missing</v>
      </c>
      <c r="W155" s="21" t="s">
        <v>3817</v>
      </c>
      <c r="X155" s="18" t="str">
        <f>IF(ISBLANK(input_wld_az1_rack7_host16_vrms_ip),"Value Missing",input_wld_az1_rack7_host16_vrms_ip)</f>
        <v>Value Missing</v>
      </c>
      <c r="Z155" s="21" t="s">
        <v>3817</v>
      </c>
      <c r="AA155" s="18" t="str">
        <f>IF(ISBLANK(input_wld_az1_rack8_host16_vrms_ip),"Value Missing",input_wld_az1_rack8_host16_vrms_ip)</f>
        <v>Value Missing</v>
      </c>
      <c r="AB155"/>
      <c r="AD155"/>
      <c r="AE155"/>
      <c r="AF155"/>
      <c r="AG155"/>
      <c r="AH155"/>
    </row>
    <row r="156" spans="2:34" s="3" customFormat="1" ht="20" customHeight="1">
      <c r="AB156"/>
      <c r="AC156"/>
      <c r="AD156"/>
      <c r="AE156"/>
      <c r="AF156"/>
      <c r="AG156"/>
      <c r="AH156"/>
    </row>
    <row r="157" spans="2:34" s="3" customFormat="1" ht="20" customHeight="1">
      <c r="B157" s="501" t="s">
        <v>4115</v>
      </c>
      <c r="C157" s="502"/>
      <c r="E157" s="501" t="s">
        <v>4033</v>
      </c>
      <c r="F157" s="502"/>
      <c r="H157" s="501" t="s">
        <v>3858</v>
      </c>
      <c r="I157" s="502"/>
      <c r="K157" s="501" t="s">
        <v>3857</v>
      </c>
      <c r="L157" s="502"/>
      <c r="N157" s="501" t="s">
        <v>3856</v>
      </c>
      <c r="O157" s="502"/>
      <c r="Q157" s="501" t="s">
        <v>3855</v>
      </c>
      <c r="R157" s="502"/>
      <c r="T157" s="501" t="s">
        <v>3854</v>
      </c>
      <c r="U157" s="502"/>
      <c r="W157" s="501" t="s">
        <v>3853</v>
      </c>
      <c r="X157" s="502"/>
      <c r="Z157" s="501" t="s">
        <v>3852</v>
      </c>
      <c r="AA157" s="502"/>
      <c r="AB157"/>
      <c r="AC157"/>
      <c r="AD157"/>
      <c r="AE157"/>
      <c r="AF157"/>
      <c r="AG157"/>
      <c r="AH157"/>
    </row>
    <row r="158" spans="2:34" s="3" customFormat="1" ht="20" customHeight="1">
      <c r="B158" s="112" t="s">
        <v>735</v>
      </c>
      <c r="C158" s="113" t="s">
        <v>1230</v>
      </c>
      <c r="E158" s="112" t="s">
        <v>735</v>
      </c>
      <c r="F158" s="113" t="s">
        <v>555</v>
      </c>
      <c r="H158" s="112" t="s">
        <v>735</v>
      </c>
      <c r="I158" s="113" t="s">
        <v>555</v>
      </c>
      <c r="K158" s="112" t="s">
        <v>735</v>
      </c>
      <c r="L158" s="113" t="s">
        <v>555</v>
      </c>
      <c r="N158" s="112" t="s">
        <v>735</v>
      </c>
      <c r="O158" s="113" t="s">
        <v>555</v>
      </c>
      <c r="Q158" s="112" t="s">
        <v>735</v>
      </c>
      <c r="R158" s="113" t="s">
        <v>555</v>
      </c>
      <c r="T158" s="112" t="s">
        <v>735</v>
      </c>
      <c r="U158" s="113" t="s">
        <v>555</v>
      </c>
      <c r="W158" s="112" t="s">
        <v>735</v>
      </c>
      <c r="X158" s="113" t="s">
        <v>555</v>
      </c>
      <c r="Z158" s="112" t="s">
        <v>735</v>
      </c>
      <c r="AA158" s="113" t="s">
        <v>555</v>
      </c>
      <c r="AB158"/>
      <c r="AC158"/>
      <c r="AD158"/>
      <c r="AE158"/>
      <c r="AF158"/>
      <c r="AG158"/>
      <c r="AH158"/>
    </row>
    <row r="159" spans="2:34" s="3" customFormat="1" ht="20" customHeight="1">
      <c r="B159" s="21" t="s">
        <v>1243</v>
      </c>
      <c r="C159" s="18" t="str">
        <f>IF(ISBLANK(input_mgmt_az1_host1_hostname),"Value Missing",input_mgmt_az1_host1_hostname)</f>
        <v>Value Missing</v>
      </c>
      <c r="E159" s="21" t="s">
        <v>1243</v>
      </c>
      <c r="F159" s="18" t="str">
        <f>IF(ISBLANK(input_wld_az1_host1_hostname),"Value Missing",input_wld_az1_host1_hostname)</f>
        <v>Value Missing</v>
      </c>
      <c r="H159" s="21" t="s">
        <v>1243</v>
      </c>
      <c r="I159" s="18" t="str">
        <f>IF(ISBLANK(input_wld_az1_rack2_host1_hostname),"Value Missing",input_wld_az1_rack2_host1_hostname)</f>
        <v>Value Missing</v>
      </c>
      <c r="K159" s="21" t="s">
        <v>1243</v>
      </c>
      <c r="L159" s="18" t="str">
        <f>IF(ISBLANK(input_wld_az1_rack3_host1_hostname),"Value Missing",input_wld_az1_rack3_host1_hostname)</f>
        <v>Value Missing</v>
      </c>
      <c r="N159" s="21" t="s">
        <v>1243</v>
      </c>
      <c r="O159" s="18" t="str">
        <f>IF(ISBLANK(input_wld_az1_rack4_host1_hostname),"Value Missing",input_wld_az1_rack4_host1_hostname)</f>
        <v>Value Missing</v>
      </c>
      <c r="Q159" s="21" t="s">
        <v>1243</v>
      </c>
      <c r="R159" s="18" t="str">
        <f>IF(ISBLANK(input_wld_az1_rack5_host1_hostname),"Value Missing",input_wld_az1_rack5_host1_hostname)</f>
        <v>Value Missing</v>
      </c>
      <c r="T159" s="21" t="s">
        <v>1243</v>
      </c>
      <c r="U159" s="18" t="str">
        <f>IF(ISBLANK(input_wld_az1_rack6_host1_hostname),"Value Missing",input_wld_az1_rack6_host1_hostname)</f>
        <v>Value Missing</v>
      </c>
      <c r="W159" s="21" t="s">
        <v>1243</v>
      </c>
      <c r="X159" s="18" t="str">
        <f>IF(ISBLANK(input_wld_az1_rack7_host1_hostname),"Value Missing",input_wld_az1_rack7_host1_hostname)</f>
        <v>Value Missing</v>
      </c>
      <c r="Z159" s="21" t="s">
        <v>1243</v>
      </c>
      <c r="AA159" s="18" t="str">
        <f>IF(ISBLANK(input_wld_az1_rack8_host1_hostname),"Value Missing",input_wld_az1_rack8_host1_hostname)</f>
        <v>Value Missing</v>
      </c>
      <c r="AB159"/>
      <c r="AC159"/>
      <c r="AD159"/>
      <c r="AE159"/>
      <c r="AF159"/>
      <c r="AG159"/>
      <c r="AH159"/>
    </row>
    <row r="160" spans="2:34" s="3" customFormat="1" ht="20" customHeight="1">
      <c r="B160" s="21" t="s">
        <v>1246</v>
      </c>
      <c r="C160" s="18" t="str">
        <f>IF(ISBLANK(input_mgmt_az1_host2_hostname),"Value Missing",input_mgmt_az1_host2_hostname)</f>
        <v>Value Missing</v>
      </c>
      <c r="E160" s="21" t="s">
        <v>1246</v>
      </c>
      <c r="F160" s="18" t="str">
        <f>IF(ISBLANK(input_wld_az1_host2_hostname),"Value Missing",input_wld_az1_host2_hostname)</f>
        <v>Value Missing</v>
      </c>
      <c r="H160" s="21" t="s">
        <v>1246</v>
      </c>
      <c r="I160" s="18" t="str">
        <f>IF(ISBLANK(input_wld_az1_rack2_host2_hostname),"Value Missing",input_wld_az1_rack2_host2_hostname)</f>
        <v>Value Missing</v>
      </c>
      <c r="K160" s="21" t="s">
        <v>1246</v>
      </c>
      <c r="L160" s="18" t="str">
        <f>IF(ISBLANK(input_wld_az1_rack3_host2_hostname),"Value Missing",input_wld_az1_rack3_host2_hostname)</f>
        <v>Value Missing</v>
      </c>
      <c r="N160" s="21" t="s">
        <v>1246</v>
      </c>
      <c r="O160" s="18" t="str">
        <f>IF(ISBLANK(input_wld_az1_rack4_host2_hostname),"Value Missing",input_wld_az1_rack4_host2_hostname)</f>
        <v>Value Missing</v>
      </c>
      <c r="Q160" s="21" t="s">
        <v>1246</v>
      </c>
      <c r="R160" s="18" t="str">
        <f>IF(ISBLANK(input_wld_az1_rack5_host2_hostname),"Value Missing",input_wld_az1_rack5_host2_hostname)</f>
        <v>Value Missing</v>
      </c>
      <c r="T160" s="21" t="s">
        <v>1246</v>
      </c>
      <c r="U160" s="18" t="str">
        <f>IF(ISBLANK(input_wld_az1_rack6_host2_hostname),"Value Missing",input_wld_az1_rack6_host2_hostname)</f>
        <v>Value Missing</v>
      </c>
      <c r="W160" s="21" t="s">
        <v>1246</v>
      </c>
      <c r="X160" s="18" t="str">
        <f>IF(ISBLANK(input_wld_az1_rack7_host2_hostname),"Value Missing",input_wld_az1_rack7_host2_hostname)</f>
        <v>Value Missing</v>
      </c>
      <c r="Z160" s="21" t="s">
        <v>1246</v>
      </c>
      <c r="AA160" s="18" t="str">
        <f>IF(ISBLANK(input_wld_az1_rack8_host2_hostname),"Value Missing",input_wld_az1_rack8_host2_hostname)</f>
        <v>Value Missing</v>
      </c>
      <c r="AB160"/>
      <c r="AC160"/>
      <c r="AD160"/>
      <c r="AE160"/>
      <c r="AF160"/>
      <c r="AG160"/>
      <c r="AH160"/>
    </row>
    <row r="161" spans="2:34" s="3" customFormat="1" ht="20" customHeight="1">
      <c r="B161" s="21" t="s">
        <v>1248</v>
      </c>
      <c r="C161" s="18" t="str">
        <f>IF(ISBLANK(input_mgmt_az1_host3_hostname),"Value Missing",input_mgmt_az1_host3_hostname)</f>
        <v>Value Missing</v>
      </c>
      <c r="E161" s="21" t="s">
        <v>1248</v>
      </c>
      <c r="F161" s="18" t="str">
        <f>IF(ISBLANK(input_wld_az1_host3_hostname),"Value Missing",input_wld_az1_host3_hostname)</f>
        <v>Value Missing</v>
      </c>
      <c r="H161" s="21" t="s">
        <v>1248</v>
      </c>
      <c r="I161" s="18" t="str">
        <f>IF(ISBLANK(input_wld_az1_rack2_host3_hostname),"Value Missing",input_wld_az1_rack2_host3_hostname)</f>
        <v>Value Missing</v>
      </c>
      <c r="K161" s="21" t="s">
        <v>1248</v>
      </c>
      <c r="L161" s="18" t="str">
        <f>IF(ISBLANK(input_wld_az1_rack3_host3_hostname),"Value Missing",input_wld_az1_rack3_host3_hostname)</f>
        <v>Value Missing</v>
      </c>
      <c r="N161" s="21" t="s">
        <v>1248</v>
      </c>
      <c r="O161" s="18" t="str">
        <f>IF(ISBLANK(input_wld_az1_rack4_host3_hostname),"Value Missing",input_wld_az1_rack4_host3_hostname)</f>
        <v>Value Missing</v>
      </c>
      <c r="Q161" s="21" t="s">
        <v>1248</v>
      </c>
      <c r="R161" s="18" t="str">
        <f>IF(ISBLANK(input_wld_az1_rack5_host3_hostname),"Value Missing",input_wld_az1_rack5_host3_hostname)</f>
        <v>Value Missing</v>
      </c>
      <c r="T161" s="21" t="s">
        <v>1248</v>
      </c>
      <c r="U161" s="18" t="str">
        <f>IF(ISBLANK(input_wld_az1_rack6_host3_hostname),"Value Missing",input_wld_az1_rack6_host3_hostname)</f>
        <v>Value Missing</v>
      </c>
      <c r="W161" s="21" t="s">
        <v>1248</v>
      </c>
      <c r="X161" s="18" t="str">
        <f>IF(ISBLANK(input_wld_az1_rack7_host3_hostname),"Value Missing",input_wld_az1_rack7_host3_hostname)</f>
        <v>Value Missing</v>
      </c>
      <c r="Z161" s="21" t="s">
        <v>1248</v>
      </c>
      <c r="AA161" s="18" t="str">
        <f>IF(ISBLANK(input_wld_az1_rack8_host3_hostname),"Value Missing",input_wld_az1_rack8_host3_hostname)</f>
        <v>Value Missing</v>
      </c>
      <c r="AB161"/>
      <c r="AC161"/>
      <c r="AD161"/>
      <c r="AE161"/>
      <c r="AF161"/>
      <c r="AG161"/>
      <c r="AH161"/>
    </row>
    <row r="162" spans="2:34" s="3" customFormat="1" ht="20" customHeight="1">
      <c r="B162" s="21" t="s">
        <v>1251</v>
      </c>
      <c r="C162" s="18" t="str">
        <f>IF(ISBLANK(input_mgmt_az1_host4_hostname),"Value Missing",input_mgmt_az1_host4_hostname)</f>
        <v>Value Missing</v>
      </c>
      <c r="E162" s="21" t="s">
        <v>1251</v>
      </c>
      <c r="F162" s="18" t="str">
        <f>IF(ISBLANK(input_wld_az1_host4_hostname),"Value Missing",input_wld_az1_host4_hostname)</f>
        <v>Value Missing</v>
      </c>
      <c r="H162" s="21" t="s">
        <v>1251</v>
      </c>
      <c r="I162" s="18" t="str">
        <f>IF(ISBLANK(input_wld_az1_rack2_host4_hostname),"Value Missing",input_wld_az1_rack2_host4_hostname)</f>
        <v>Value Missing</v>
      </c>
      <c r="K162" s="21" t="s">
        <v>1251</v>
      </c>
      <c r="L162" s="18" t="str">
        <f>IF(ISBLANK(input_wld_az1_rack3_host4_hostname),"Value Missing",input_wld_az1_rack3_host4_hostname)</f>
        <v>Value Missing</v>
      </c>
      <c r="N162" s="21" t="s">
        <v>1251</v>
      </c>
      <c r="O162" s="18" t="str">
        <f>IF(ISBLANK(input_wld_az1_rack4_host4_hostname),"Value Missing",input_wld_az1_rack4_host4_hostname)</f>
        <v>Value Missing</v>
      </c>
      <c r="Q162" s="21" t="s">
        <v>1251</v>
      </c>
      <c r="R162" s="18" t="str">
        <f>IF(ISBLANK(input_wld_az1_rack5_host4_hostname),"Value Missing",input_wld_az1_rack5_host4_hostname)</f>
        <v>Value Missing</v>
      </c>
      <c r="T162" s="21" t="s">
        <v>1251</v>
      </c>
      <c r="U162" s="18" t="str">
        <f>IF(ISBLANK(input_wld_az1_rack6_host4_hostname),"Value Missing",input_wld_az1_rack6_host4_hostname)</f>
        <v>Value Missing</v>
      </c>
      <c r="W162" s="21" t="s">
        <v>1251</v>
      </c>
      <c r="X162" s="18" t="str">
        <f>IF(ISBLANK(input_wld_az1_rack7_host4_hostname),"Value Missing",input_wld_az1_rack7_host4_hostname)</f>
        <v>Value Missing</v>
      </c>
      <c r="Z162" s="21" t="s">
        <v>1251</v>
      </c>
      <c r="AA162" s="18" t="str">
        <f>IF(ISBLANK(input_wld_az1_rack8_host4_hostname),"Value Missing",input_wld_az1_rack8_host4_hostname)</f>
        <v>Value Missing</v>
      </c>
      <c r="AB162"/>
      <c r="AC162"/>
      <c r="AD162"/>
      <c r="AE162"/>
      <c r="AF162"/>
      <c r="AG162"/>
      <c r="AH162"/>
    </row>
    <row r="163" spans="2:34" s="3" customFormat="1" ht="20" customHeight="1">
      <c r="B163" s="21" t="s">
        <v>3818</v>
      </c>
      <c r="C163" s="18" t="str">
        <f>IF(ISBLANK(input_mgmt_az1_host5_hostname),"Value Missing",input_mgmt_az1_host5_hostname)</f>
        <v>Value Missing</v>
      </c>
      <c r="E163" s="21" t="s">
        <v>3818</v>
      </c>
      <c r="F163" s="18" t="str">
        <f>IF(ISBLANK(input_wld_az1_host5_hostname),"Value Missing",input_wld_az1_host5_hostname)</f>
        <v>Value Missing</v>
      </c>
      <c r="H163" s="21" t="s">
        <v>3818</v>
      </c>
      <c r="I163" s="18" t="str">
        <f>IF(ISBLANK(input_wld_az1_rack2_host5_hostname),"Value Missing",input_wld_az1_rack2_host5_hostname)</f>
        <v>Value Missing</v>
      </c>
      <c r="K163" s="21" t="s">
        <v>3818</v>
      </c>
      <c r="L163" s="18" t="str">
        <f>IF(ISBLANK(input_wld_az1_rack3_host5_hostname),"Value Missing",input_wld_az1_rack3_host5_hostname)</f>
        <v>Value Missing</v>
      </c>
      <c r="N163" s="21" t="s">
        <v>3818</v>
      </c>
      <c r="O163" s="18" t="str">
        <f>IF(ISBLANK(input_wld_az1_rack4_host5_hostname),"Value Missing",input_wld_az1_rack4_host5_hostname)</f>
        <v>Value Missing</v>
      </c>
      <c r="Q163" s="21" t="s">
        <v>3818</v>
      </c>
      <c r="R163" s="18" t="str">
        <f>IF(ISBLANK(input_wld_az1_rack5_host5_hostname),"Value Missing",input_wld_az1_rack5_host5_hostname)</f>
        <v>Value Missing</v>
      </c>
      <c r="T163" s="21" t="s">
        <v>3818</v>
      </c>
      <c r="U163" s="18" t="str">
        <f>IF(ISBLANK(input_wld_az1_rack6_host5_hostname),"Value Missing",input_wld_az1_rack6_host5_hostname)</f>
        <v>Value Missing</v>
      </c>
      <c r="W163" s="21" t="s">
        <v>3818</v>
      </c>
      <c r="X163" s="18" t="str">
        <f>IF(ISBLANK(input_wld_az1_rack7_host5_hostname),"Value Missing",input_wld_az1_rack7_host5_hostname)</f>
        <v>Value Missing</v>
      </c>
      <c r="Z163" s="21" t="s">
        <v>3818</v>
      </c>
      <c r="AA163" s="18" t="str">
        <f>IF(ISBLANK(input_wld_az1_rack8_host5_hostname),"Value Missing",input_wld_az1_rack8_host5_hostname)</f>
        <v>Value Missing</v>
      </c>
      <c r="AB163"/>
      <c r="AC163"/>
      <c r="AD163"/>
      <c r="AE163"/>
      <c r="AF163"/>
      <c r="AG163"/>
      <c r="AH163"/>
    </row>
    <row r="164" spans="2:34" s="3" customFormat="1" ht="20" customHeight="1">
      <c r="B164" s="21" t="s">
        <v>3819</v>
      </c>
      <c r="C164" s="18" t="str">
        <f>IF(ISBLANK(input_mgmt_az1_host6_hostname),"Value Missing",input_mgmt_az1_host6_hostname)</f>
        <v>Value Missing</v>
      </c>
      <c r="E164" s="21" t="s">
        <v>3819</v>
      </c>
      <c r="F164" s="18" t="str">
        <f>IF(ISBLANK(input_wld_az1_host6_hostname),"Value Missing",input_wld_az1_host6_hostname)</f>
        <v>Value Missing</v>
      </c>
      <c r="H164" s="21" t="s">
        <v>3819</v>
      </c>
      <c r="I164" s="18" t="str">
        <f>IF(ISBLANK(input_wld_az1_rack2_host6_hostname),"Value Missing",input_wld_az1_rack2_host6_hostname)</f>
        <v>Value Missing</v>
      </c>
      <c r="K164" s="21" t="s">
        <v>3819</v>
      </c>
      <c r="L164" s="18" t="str">
        <f>IF(ISBLANK(input_wld_az1_rack3_host6_hostname),"Value Missing",input_wld_az1_rack3_host6_hostname)</f>
        <v>Value Missing</v>
      </c>
      <c r="N164" s="21" t="s">
        <v>3819</v>
      </c>
      <c r="O164" s="18" t="str">
        <f>IF(ISBLANK(input_wld_az1_rack4_host6_hostname),"Value Missing",input_wld_az1_rack4_host6_hostname)</f>
        <v>Value Missing</v>
      </c>
      <c r="Q164" s="21" t="s">
        <v>3819</v>
      </c>
      <c r="R164" s="18" t="str">
        <f>IF(ISBLANK(input_wld_az1_rack5_host6_hostname),"Value Missing",input_wld_az1_rack5_host6_hostname)</f>
        <v>Value Missing</v>
      </c>
      <c r="T164" s="21" t="s">
        <v>3819</v>
      </c>
      <c r="U164" s="18" t="str">
        <f>IF(ISBLANK(input_wld_az1_rack6_host6_hostname),"Value Missing",input_wld_az1_rack6_host6_hostname)</f>
        <v>Value Missing</v>
      </c>
      <c r="W164" s="21" t="s">
        <v>3819</v>
      </c>
      <c r="X164" s="18" t="str">
        <f>IF(ISBLANK(input_wld_az1_rack7_host6_hostname),"Value Missing",input_wld_az1_rack7_host6_hostname)</f>
        <v>Value Missing</v>
      </c>
      <c r="Z164" s="21" t="s">
        <v>3819</v>
      </c>
      <c r="AA164" s="18" t="str">
        <f>IF(ISBLANK(input_wld_az1_rack8_host6_hostname),"Value Missing",input_wld_az1_rack8_host6_hostname)</f>
        <v>Value Missing</v>
      </c>
      <c r="AB164"/>
      <c r="AC164"/>
      <c r="AD164"/>
      <c r="AE164"/>
      <c r="AF164"/>
      <c r="AG164"/>
      <c r="AH164"/>
    </row>
    <row r="165" spans="2:34" s="3" customFormat="1" ht="20" customHeight="1">
      <c r="B165" s="21" t="s">
        <v>3820</v>
      </c>
      <c r="C165" s="18" t="str">
        <f>IF(ISBLANK(input_mgmt_az1_host7_hostname),"Value Missing",input_mgmt_az1_host7_hostname)</f>
        <v>Value Missing</v>
      </c>
      <c r="E165" s="21" t="s">
        <v>3820</v>
      </c>
      <c r="F165" s="18" t="str">
        <f>IF(ISBLANK(input_wld_az1_host7_hostname),"Value Missing",input_wld_az1_host7_hostname)</f>
        <v>Value Missing</v>
      </c>
      <c r="H165" s="21" t="s">
        <v>3820</v>
      </c>
      <c r="I165" s="18" t="str">
        <f>IF(ISBLANK(input_wld_az1_rack2_host7_hostname),"Value Missing",input_wld_az1_rack2_host7_hostname)</f>
        <v>Value Missing</v>
      </c>
      <c r="K165" s="21" t="s">
        <v>3820</v>
      </c>
      <c r="L165" s="18" t="str">
        <f>IF(ISBLANK(input_wld_az1_rack3_host7_hostname),"Value Missing",input_wld_az1_rack3_host7_hostname)</f>
        <v>Value Missing</v>
      </c>
      <c r="N165" s="21" t="s">
        <v>3820</v>
      </c>
      <c r="O165" s="18" t="str">
        <f>IF(ISBLANK(input_wld_az1_rack4_host7_hostname),"Value Missing",input_wld_az1_rack4_host7_hostname)</f>
        <v>Value Missing</v>
      </c>
      <c r="Q165" s="21" t="s">
        <v>3820</v>
      </c>
      <c r="R165" s="18" t="str">
        <f>IF(ISBLANK(input_wld_az1_rack5_host7_hostname),"Value Missing",input_wld_az1_rack5_host7_hostname)</f>
        <v>Value Missing</v>
      </c>
      <c r="T165" s="21" t="s">
        <v>3820</v>
      </c>
      <c r="U165" s="18" t="str">
        <f>IF(ISBLANK(input_wld_az1_rack6_host7_hostname),"Value Missing",input_wld_az1_rack6_host7_hostname)</f>
        <v>Value Missing</v>
      </c>
      <c r="W165" s="21" t="s">
        <v>3820</v>
      </c>
      <c r="X165" s="18" t="str">
        <f>IF(ISBLANK(input_wld_az1_rack7_host7_hostname),"Value Missing",input_wld_az1_rack7_host7_hostname)</f>
        <v>Value Missing</v>
      </c>
      <c r="Z165" s="21" t="s">
        <v>3820</v>
      </c>
      <c r="AA165" s="18" t="str">
        <f>IF(ISBLANK(input_wld_az1_rack8_host7_hostname),"Value Missing",input_wld_az1_rack8_host7_hostname)</f>
        <v>Value Missing</v>
      </c>
      <c r="AB165"/>
      <c r="AC165"/>
      <c r="AD165"/>
      <c r="AE165"/>
      <c r="AF165"/>
      <c r="AG165"/>
      <c r="AH165"/>
    </row>
    <row r="166" spans="2:34" s="3" customFormat="1" ht="20" customHeight="1">
      <c r="B166" s="21" t="s">
        <v>3821</v>
      </c>
      <c r="C166" s="18" t="str">
        <f>IF(ISBLANK(input_mgmt_az1_host8_hostname),"Value Missing",input_mgmt_az1_host8_hostname)</f>
        <v>Value Missing</v>
      </c>
      <c r="E166" s="21" t="s">
        <v>3821</v>
      </c>
      <c r="F166" s="18" t="str">
        <f>IF(ISBLANK(input_wld_az1_host8_hostname),"Value Missing",input_wld_az1_host8_hostname)</f>
        <v>Value Missing</v>
      </c>
      <c r="H166" s="21" t="s">
        <v>3821</v>
      </c>
      <c r="I166" s="18" t="str">
        <f>IF(ISBLANK(input_wld_az1_rack2_host8_hostname),"Value Missing",input_wld_az1_rack2_host8_hostname)</f>
        <v>Value Missing</v>
      </c>
      <c r="K166" s="21" t="s">
        <v>3821</v>
      </c>
      <c r="L166" s="18" t="str">
        <f>IF(ISBLANK(input_wld_az1_rack3_host8_hostname),"Value Missing",input_wld_az1_rack3_host8_hostname)</f>
        <v>Value Missing</v>
      </c>
      <c r="N166" s="21" t="s">
        <v>3821</v>
      </c>
      <c r="O166" s="18" t="str">
        <f>IF(ISBLANK(input_wld_az1_rack4_host8_hostname),"Value Missing",input_wld_az1_rack4_host8_hostname)</f>
        <v>Value Missing</v>
      </c>
      <c r="Q166" s="21" t="s">
        <v>3821</v>
      </c>
      <c r="R166" s="18" t="str">
        <f>IF(ISBLANK(input_wld_az1_rack5_host8_hostname),"Value Missing",input_wld_az1_rack5_host8_hostname)</f>
        <v>Value Missing</v>
      </c>
      <c r="T166" s="21" t="s">
        <v>3821</v>
      </c>
      <c r="U166" s="18" t="str">
        <f>IF(ISBLANK(input_wld_az1_rack6_host8_hostname),"Value Missing",input_wld_az1_rack6_host8_hostname)</f>
        <v>Value Missing</v>
      </c>
      <c r="W166" s="21" t="s">
        <v>3821</v>
      </c>
      <c r="X166" s="18" t="str">
        <f>IF(ISBLANK(input_wld_az1_rack7_host8_hostname),"Value Missing",input_wld_az1_rack7_host8_hostname)</f>
        <v>Value Missing</v>
      </c>
      <c r="Z166" s="21" t="s">
        <v>3821</v>
      </c>
      <c r="AA166" s="18" t="str">
        <f>IF(ISBLANK(input_wld_az1_rack8_host8_hostname),"Value Missing",input_wld_az1_rack8_host8_hostname)</f>
        <v>Value Missing</v>
      </c>
      <c r="AB166"/>
      <c r="AC166"/>
      <c r="AD166"/>
      <c r="AE166"/>
      <c r="AF166"/>
      <c r="AG166"/>
      <c r="AH166"/>
    </row>
    <row r="167" spans="2:34" s="3" customFormat="1" ht="20" customHeight="1">
      <c r="B167" s="21" t="s">
        <v>3822</v>
      </c>
      <c r="C167" s="18" t="str">
        <f>IF(ISBLANK(input_mgmt_az1_host9_hostname),"Value Missing",input_mgmt_az1_host9_hostname)</f>
        <v>Value Missing</v>
      </c>
      <c r="E167" s="21" t="s">
        <v>3822</v>
      </c>
      <c r="F167" s="18" t="str">
        <f>IF(ISBLANK(input_wld_az1_host9_hostname),"Value Missing",input_wld_az1_host9_hostname)</f>
        <v>Value Missing</v>
      </c>
      <c r="H167" s="21" t="s">
        <v>3822</v>
      </c>
      <c r="I167" s="18" t="str">
        <f>IF(ISBLANK(input_wld_az1_rack2_host9_hostname),"Value Missing",input_wld_az1_rack2_host9_hostname)</f>
        <v>Value Missing</v>
      </c>
      <c r="K167" s="21" t="s">
        <v>3822</v>
      </c>
      <c r="L167" s="18" t="str">
        <f>IF(ISBLANK(input_wld_az1_rack3_host9_hostname),"Value Missing",input_wld_az1_rack3_host9_hostname)</f>
        <v>Value Missing</v>
      </c>
      <c r="N167" s="21" t="s">
        <v>3822</v>
      </c>
      <c r="O167" s="18" t="str">
        <f>IF(ISBLANK(input_wld_az1_rack4_host9_hostname),"Value Missing",input_wld_az1_rack4_host9_hostname)</f>
        <v>Value Missing</v>
      </c>
      <c r="Q167" s="21" t="s">
        <v>3822</v>
      </c>
      <c r="R167" s="18" t="str">
        <f>IF(ISBLANK(input_wld_az1_rack5_host9_hostname),"Value Missing",input_wld_az1_rack5_host9_hostname)</f>
        <v>Value Missing</v>
      </c>
      <c r="T167" s="21" t="s">
        <v>3822</v>
      </c>
      <c r="U167" s="18" t="str">
        <f>IF(ISBLANK(input_wld_az1_rack6_host9_hostname),"Value Missing",input_wld_az1_rack6_host9_hostname)</f>
        <v>Value Missing</v>
      </c>
      <c r="W167" s="21" t="s">
        <v>3822</v>
      </c>
      <c r="X167" s="18" t="str">
        <f>IF(ISBLANK(input_wld_az1_rack7_host9_hostname),"Value Missing",input_wld_az1_rack7_host9_hostname)</f>
        <v>Value Missing</v>
      </c>
      <c r="Z167" s="21" t="s">
        <v>3822</v>
      </c>
      <c r="AA167" s="18" t="str">
        <f>IF(ISBLANK(input_wld_az1_rack8_host9_hostname),"Value Missing",input_wld_az1_rack8_host9_hostname)</f>
        <v>Value Missing</v>
      </c>
      <c r="AB167"/>
      <c r="AC167"/>
      <c r="AD167"/>
      <c r="AE167"/>
      <c r="AF167"/>
      <c r="AG167"/>
      <c r="AH167"/>
    </row>
    <row r="168" spans="2:34" s="3" customFormat="1" ht="20" customHeight="1">
      <c r="B168" s="21" t="s">
        <v>3823</v>
      </c>
      <c r="C168" s="18" t="str">
        <f>IF(ISBLANK(input_mgmt_az1_host10_hostname),"Value Missing",input_mgmt_az1_host10_hostname)</f>
        <v>Value Missing</v>
      </c>
      <c r="E168" s="21" t="s">
        <v>3823</v>
      </c>
      <c r="F168" s="18" t="str">
        <f>IF(ISBLANK(input_wld_az1_host10_hostname),"Value Missing",input_wld_az1_host10_hostname)</f>
        <v>Value Missing</v>
      </c>
      <c r="H168" s="21" t="s">
        <v>3823</v>
      </c>
      <c r="I168" s="18" t="str">
        <f>IF(ISBLANK(input_wld_az1_rack2_host10_hostname),"Value Missing",input_wld_az1_rack2_host10_hostname)</f>
        <v>Value Missing</v>
      </c>
      <c r="K168" s="21" t="s">
        <v>3823</v>
      </c>
      <c r="L168" s="18" t="str">
        <f>IF(ISBLANK(input_wld_az1_rack3_host10_hostname),"Value Missing",input_wld_az1_rack3_host10_hostname)</f>
        <v>Value Missing</v>
      </c>
      <c r="N168" s="21" t="s">
        <v>3823</v>
      </c>
      <c r="O168" s="18" t="str">
        <f>IF(ISBLANK(input_wld_az1_rack4_host10_hostname),"Value Missing",input_wld_az1_rack4_host10_hostname)</f>
        <v>Value Missing</v>
      </c>
      <c r="Q168" s="21" t="s">
        <v>3823</v>
      </c>
      <c r="R168" s="18" t="str">
        <f>IF(ISBLANK(input_wld_az1_rack5_host10_hostname),"Value Missing",input_wld_az1_rack5_host10_hostname)</f>
        <v>Value Missing</v>
      </c>
      <c r="T168" s="21" t="s">
        <v>3823</v>
      </c>
      <c r="U168" s="18" t="str">
        <f>IF(ISBLANK(input_wld_az1_rack6_host10_hostname),"Value Missing",input_wld_az1_rack6_host10_hostname)</f>
        <v>Value Missing</v>
      </c>
      <c r="W168" s="21" t="s">
        <v>3823</v>
      </c>
      <c r="X168" s="18" t="str">
        <f>IF(ISBLANK(input_wld_az1_rack7_host10_hostname),"Value Missing",input_wld_az1_rack7_host10_hostname)</f>
        <v>Value Missing</v>
      </c>
      <c r="Z168" s="21" t="s">
        <v>3823</v>
      </c>
      <c r="AA168" s="18" t="str">
        <f>IF(ISBLANK(input_wld_az1_rack8_host10_hostname),"Value Missing",input_wld_az1_rack8_host10_hostname)</f>
        <v>Value Missing</v>
      </c>
      <c r="AB168"/>
      <c r="AC168"/>
      <c r="AD168"/>
      <c r="AE168"/>
      <c r="AF168"/>
      <c r="AG168"/>
      <c r="AH168"/>
    </row>
    <row r="169" spans="2:34" s="3" customFormat="1" ht="20" customHeight="1">
      <c r="B169" s="21" t="s">
        <v>3824</v>
      </c>
      <c r="C169" s="18" t="str">
        <f>IF(ISBLANK(input_mgmt_az1_host11_hostname),"Value Missing",input_mgmt_az1_host11_hostname)</f>
        <v>Value Missing</v>
      </c>
      <c r="E169" s="21" t="s">
        <v>3824</v>
      </c>
      <c r="F169" s="18" t="str">
        <f>IF(ISBLANK(input_wld_az1_host11_hostname),"Value Missing",input_wld_az1_host11_hostname)</f>
        <v>Value Missing</v>
      </c>
      <c r="H169" s="21" t="s">
        <v>3824</v>
      </c>
      <c r="I169" s="18" t="str">
        <f>IF(ISBLANK(input_wld_az1_rack2_host11_hostname),"Value Missing",input_wld_az1_rack2_host11_hostname)</f>
        <v>Value Missing</v>
      </c>
      <c r="K169" s="21" t="s">
        <v>3824</v>
      </c>
      <c r="L169" s="18" t="str">
        <f>IF(ISBLANK(input_wld_az1_rack3_host11_hostname),"Value Missing",input_wld_az1_rack3_host11_hostname)</f>
        <v>Value Missing</v>
      </c>
      <c r="N169" s="21" t="s">
        <v>3824</v>
      </c>
      <c r="O169" s="18" t="str">
        <f>IF(ISBLANK(input_wld_az1_rack4_host11_hostname),"Value Missing",input_wld_az1_rack4_host11_hostname)</f>
        <v>Value Missing</v>
      </c>
      <c r="Q169" s="21" t="s">
        <v>3824</v>
      </c>
      <c r="R169" s="18" t="str">
        <f>IF(ISBLANK(input_wld_az1_rack5_host11_hostname),"Value Missing",input_wld_az1_rack5_host11_hostname)</f>
        <v>Value Missing</v>
      </c>
      <c r="T169" s="21" t="s">
        <v>3824</v>
      </c>
      <c r="U169" s="18" t="str">
        <f>IF(ISBLANK(input_wld_az1_rack6_host11_hostname),"Value Missing",input_wld_az1_rack6_host11_hostname)</f>
        <v>Value Missing</v>
      </c>
      <c r="W169" s="21" t="s">
        <v>3824</v>
      </c>
      <c r="X169" s="18" t="str">
        <f>IF(ISBLANK(input_wld_az1_rack7_host11_hostname),"Value Missing",input_wld_az1_rack7_host11_hostname)</f>
        <v>Value Missing</v>
      </c>
      <c r="Z169" s="21" t="s">
        <v>3824</v>
      </c>
      <c r="AA169" s="18" t="str">
        <f>IF(ISBLANK(input_wld_az1_rack8_host11_hostname),"Value Missing",input_wld_az1_rack8_host11_hostname)</f>
        <v>Value Missing</v>
      </c>
      <c r="AB169"/>
      <c r="AC169"/>
      <c r="AD169"/>
      <c r="AE169"/>
      <c r="AF169"/>
      <c r="AG169"/>
      <c r="AH169"/>
    </row>
    <row r="170" spans="2:34" s="3" customFormat="1" ht="20" customHeight="1">
      <c r="B170" s="21" t="s">
        <v>3825</v>
      </c>
      <c r="C170" s="18" t="str">
        <f>IF(ISBLANK(input_mgmt_az1_host12_hostname),"Value Missing",input_mgmt_az1_host12_hostname)</f>
        <v>Value Missing</v>
      </c>
      <c r="E170" s="21" t="s">
        <v>3825</v>
      </c>
      <c r="F170" s="18" t="str">
        <f>IF(ISBLANK(input_wld_az1_host12_hostname),"Value Missing",input_wld_az1_host12_hostname)</f>
        <v>Value Missing</v>
      </c>
      <c r="H170" s="21" t="s">
        <v>3825</v>
      </c>
      <c r="I170" s="18" t="str">
        <f>IF(ISBLANK(input_wld_az1_rack2_host12_hostname),"Value Missing",input_wld_az1_rack2_host12_hostname)</f>
        <v>Value Missing</v>
      </c>
      <c r="K170" s="21" t="s">
        <v>3825</v>
      </c>
      <c r="L170" s="18" t="str">
        <f>IF(ISBLANK(input_wld_az1_rack3_host12_hostname),"Value Missing",input_wld_az1_rack3_host12_hostname)</f>
        <v>Value Missing</v>
      </c>
      <c r="N170" s="21" t="s">
        <v>3825</v>
      </c>
      <c r="O170" s="18" t="str">
        <f>IF(ISBLANK(input_wld_az1_rack4_host12_hostname),"Value Missing",input_wld_az1_rack4_host12_hostname)</f>
        <v>Value Missing</v>
      </c>
      <c r="Q170" s="21" t="s">
        <v>3825</v>
      </c>
      <c r="R170" s="18" t="str">
        <f>IF(ISBLANK(input_wld_az1_rack5_host12_hostname),"Value Missing",input_wld_az1_rack5_host12_hostname)</f>
        <v>Value Missing</v>
      </c>
      <c r="T170" s="21" t="s">
        <v>3825</v>
      </c>
      <c r="U170" s="18" t="str">
        <f>IF(ISBLANK(input_wld_az1_rack6_host12_hostname),"Value Missing",input_wld_az1_rack6_host12_hostname)</f>
        <v>Value Missing</v>
      </c>
      <c r="W170" s="21" t="s">
        <v>3825</v>
      </c>
      <c r="X170" s="18" t="str">
        <f>IF(ISBLANK(input_wld_az1_rack7_host12_hostname),"Value Missing",input_wld_az1_rack7_host12_hostname)</f>
        <v>Value Missing</v>
      </c>
      <c r="Z170" s="21" t="s">
        <v>3825</v>
      </c>
      <c r="AA170" s="18" t="str">
        <f>IF(ISBLANK(input_wld_az1_rack8_host12_hostname),"Value Missing",input_wld_az1_rack8_host12_hostname)</f>
        <v>Value Missing</v>
      </c>
      <c r="AB170"/>
      <c r="AC170"/>
      <c r="AD170"/>
      <c r="AE170"/>
      <c r="AF170"/>
      <c r="AG170"/>
      <c r="AH170"/>
    </row>
    <row r="171" spans="2:34" s="3" customFormat="1" ht="20" customHeight="1">
      <c r="B171" s="21" t="s">
        <v>3826</v>
      </c>
      <c r="C171" s="18" t="str">
        <f>IF(ISBLANK(input_mgmt_az1_host13_hostname),"Value Missing",input_mgmt_az1_host13_hostname)</f>
        <v>Value Missing</v>
      </c>
      <c r="E171" s="21" t="s">
        <v>3826</v>
      </c>
      <c r="F171" s="18" t="str">
        <f>IF(ISBLANK(input_wld_az1_host13_hostname),"Value Missing",input_wld_az1_host13_hostname)</f>
        <v>Value Missing</v>
      </c>
      <c r="H171" s="21" t="s">
        <v>3826</v>
      </c>
      <c r="I171" s="18" t="str">
        <f>IF(ISBLANK(input_wld_az1_rack2_host13_hostname),"Value Missing",input_wld_az1_rack2_host13_hostname)</f>
        <v>Value Missing</v>
      </c>
      <c r="K171" s="21" t="s">
        <v>3826</v>
      </c>
      <c r="L171" s="18" t="str">
        <f>IF(ISBLANK(input_wld_az1_rack3_host13_hostname),"Value Missing",input_wld_az1_rack3_host13_hostname)</f>
        <v>Value Missing</v>
      </c>
      <c r="N171" s="21" t="s">
        <v>3826</v>
      </c>
      <c r="O171" s="18" t="str">
        <f>IF(ISBLANK(input_wld_az1_rack4_host13_hostname),"Value Missing",input_wld_az1_rack4_host13_hostname)</f>
        <v>Value Missing</v>
      </c>
      <c r="Q171" s="21" t="s">
        <v>3826</v>
      </c>
      <c r="R171" s="18" t="str">
        <f>IF(ISBLANK(input_wld_az1_rack5_host13_hostname),"Value Missing",input_wld_az1_rack5_host13_hostname)</f>
        <v>Value Missing</v>
      </c>
      <c r="T171" s="21" t="s">
        <v>3826</v>
      </c>
      <c r="U171" s="18" t="str">
        <f>IF(ISBLANK(input_wld_az1_rack6_host13_hostname),"Value Missing",input_wld_az1_rack6_host13_hostname)</f>
        <v>Value Missing</v>
      </c>
      <c r="W171" s="21" t="s">
        <v>3826</v>
      </c>
      <c r="X171" s="18" t="str">
        <f>IF(ISBLANK(input_wld_az1_rack7_host13_hostname),"Value Missing",input_wld_az1_rack7_host13_hostname)</f>
        <v>Value Missing</v>
      </c>
      <c r="Z171" s="21" t="s">
        <v>3826</v>
      </c>
      <c r="AA171" s="18" t="str">
        <f>IF(ISBLANK(input_wld_az1_rack8_host13_hostname),"Value Missing",input_wld_az1_rack8_host13_hostname)</f>
        <v>Value Missing</v>
      </c>
      <c r="AB171"/>
      <c r="AC171"/>
      <c r="AD171"/>
      <c r="AE171"/>
      <c r="AF171"/>
      <c r="AG171"/>
      <c r="AH171"/>
    </row>
    <row r="172" spans="2:34" s="3" customFormat="1" ht="20" customHeight="1">
      <c r="B172" s="21" t="s">
        <v>3827</v>
      </c>
      <c r="C172" s="18" t="str">
        <f>IF(ISBLANK(input_mgmt_az1_host14_hostname),"Value Missing",input_mgmt_az1_host14_hostname)</f>
        <v>Value Missing</v>
      </c>
      <c r="E172" s="21" t="s">
        <v>3827</v>
      </c>
      <c r="F172" s="18" t="str">
        <f>IF(ISBLANK(input_wld_az1_host14_hostname),"Value Missing",input_wld_az1_host14_hostname)</f>
        <v>Value Missing</v>
      </c>
      <c r="H172" s="21" t="s">
        <v>3827</v>
      </c>
      <c r="I172" s="18" t="str">
        <f>IF(ISBLANK(input_wld_az1_rack2_host14_hostname),"Value Missing",input_wld_az1_rack2_host14_hostname)</f>
        <v>Value Missing</v>
      </c>
      <c r="K172" s="21" t="s">
        <v>3827</v>
      </c>
      <c r="L172" s="18" t="str">
        <f>IF(ISBLANK(input_wld_az1_rack3_host14_hostname),"Value Missing",input_wld_az1_rack3_host14_hostname)</f>
        <v>Value Missing</v>
      </c>
      <c r="N172" s="21" t="s">
        <v>3827</v>
      </c>
      <c r="O172" s="18" t="str">
        <f>IF(ISBLANK(input_wld_az1_rack4_host14_hostname),"Value Missing",input_wld_az1_rack4_host14_hostname)</f>
        <v>Value Missing</v>
      </c>
      <c r="Q172" s="21" t="s">
        <v>3827</v>
      </c>
      <c r="R172" s="18" t="str">
        <f>IF(ISBLANK(input_wld_az1_rack5_host14_hostname),"Value Missing",input_wld_az1_rack5_host14_hostname)</f>
        <v>Value Missing</v>
      </c>
      <c r="T172" s="21" t="s">
        <v>3827</v>
      </c>
      <c r="U172" s="18" t="str">
        <f>IF(ISBLANK(input_wld_az1_rack6_host14_hostname),"Value Missing",input_wld_az1_rack6_host14_hostname)</f>
        <v>Value Missing</v>
      </c>
      <c r="W172" s="21" t="s">
        <v>3827</v>
      </c>
      <c r="X172" s="18" t="str">
        <f>IF(ISBLANK(input_wld_az1_rack7_host14_hostname),"Value Missing",input_wld_az1_rack7_host14_hostname)</f>
        <v>Value Missing</v>
      </c>
      <c r="Z172" s="21" t="s">
        <v>3827</v>
      </c>
      <c r="AA172" s="18" t="str">
        <f>IF(ISBLANK(input_wld_az1_rack8_host14_hostname),"Value Missing",input_wld_az1_rack8_host14_hostname)</f>
        <v>Value Missing</v>
      </c>
      <c r="AB172"/>
      <c r="AC172"/>
      <c r="AD172"/>
      <c r="AE172"/>
      <c r="AF172"/>
      <c r="AG172"/>
      <c r="AH172"/>
    </row>
    <row r="173" spans="2:34" s="3" customFormat="1" ht="20" customHeight="1">
      <c r="B173" s="21" t="s">
        <v>3828</v>
      </c>
      <c r="C173" s="18" t="str">
        <f>IF(ISBLANK(input_mgmt_az1_host15_hostname),"Value Missing",input_mgmt_az1_host15_hostname)</f>
        <v>Value Missing</v>
      </c>
      <c r="E173" s="21" t="s">
        <v>3828</v>
      </c>
      <c r="F173" s="18" t="str">
        <f>IF(ISBLANK(input_wld_az1_host15_hostname),"Value Missing",input_wld_az1_host15_hostname)</f>
        <v>Value Missing</v>
      </c>
      <c r="H173" s="21" t="s">
        <v>3828</v>
      </c>
      <c r="I173" s="18" t="str">
        <f>IF(ISBLANK(input_wld_az1_rack2_host15_hostname),"Value Missing",input_wld_az1_rack2_host15_hostname)</f>
        <v>Value Missing</v>
      </c>
      <c r="K173" s="21" t="s">
        <v>3828</v>
      </c>
      <c r="L173" s="18" t="str">
        <f>IF(ISBLANK(input_wld_az1_rack3_host15_hostname),"Value Missing",input_wld_az1_rack3_host15_hostname)</f>
        <v>Value Missing</v>
      </c>
      <c r="N173" s="21" t="s">
        <v>3828</v>
      </c>
      <c r="O173" s="18" t="str">
        <f>IF(ISBLANK(input_wld_az1_rack4_host15_hostname),"Value Missing",input_wld_az1_rack4_host15_hostname)</f>
        <v>Value Missing</v>
      </c>
      <c r="Q173" s="21" t="s">
        <v>3828</v>
      </c>
      <c r="R173" s="18" t="str">
        <f>IF(ISBLANK(input_wld_az1_rack5_host15_hostname),"Value Missing",input_wld_az1_rack5_host15_hostname)</f>
        <v>Value Missing</v>
      </c>
      <c r="T173" s="21" t="s">
        <v>3828</v>
      </c>
      <c r="U173" s="18" t="str">
        <f>IF(ISBLANK(input_wld_az1_rack6_host15_hostname),"Value Missing",input_wld_az1_rack6_host15_hostname)</f>
        <v>Value Missing</v>
      </c>
      <c r="W173" s="21" t="s">
        <v>3828</v>
      </c>
      <c r="X173" s="18" t="str">
        <f>IF(ISBLANK(input_wld_az1_rack7_host15_hostname),"Value Missing",input_wld_az1_rack7_host15_hostname)</f>
        <v>Value Missing</v>
      </c>
      <c r="Z173" s="21" t="s">
        <v>3828</v>
      </c>
      <c r="AA173" s="18" t="str">
        <f>IF(ISBLANK(input_wld_az1_rack8_host15_hostname),"Value Missing",input_wld_az1_rack8_host15_hostname)</f>
        <v>Value Missing</v>
      </c>
      <c r="AB173"/>
      <c r="AC173"/>
      <c r="AD173"/>
      <c r="AE173"/>
      <c r="AF173"/>
      <c r="AG173"/>
      <c r="AH173"/>
    </row>
    <row r="174" spans="2:34" s="3" customFormat="1" ht="20" customHeight="1">
      <c r="B174" s="21" t="s">
        <v>3829</v>
      </c>
      <c r="C174" s="18" t="str">
        <f>IF(ISBLANK(input_mgmt_az1_host16_hostname),"Value Missing",input_mgmt_az1_host16_hostname)</f>
        <v>Value Missing</v>
      </c>
      <c r="E174" s="21" t="s">
        <v>3829</v>
      </c>
      <c r="F174" s="18" t="str">
        <f>IF(ISBLANK(input_wld_az1_host16_hostname),"Value Missing",input_wld_az1_host16_hostname)</f>
        <v>Value Missing</v>
      </c>
      <c r="H174" s="21" t="s">
        <v>3829</v>
      </c>
      <c r="I174" s="18" t="str">
        <f>IF(ISBLANK(input_wld_az1_rack2_host16_hostname),"Value Missing",input_wld_az1_rack2_host16_hostname)</f>
        <v>Value Missing</v>
      </c>
      <c r="K174" s="21" t="s">
        <v>3829</v>
      </c>
      <c r="L174" s="18" t="str">
        <f>IF(ISBLANK(input_wld_az1_rack3_host16_hostname),"Value Missing",input_wld_az1_rack3_host16_hostname)</f>
        <v>Value Missing</v>
      </c>
      <c r="N174" s="21" t="s">
        <v>3829</v>
      </c>
      <c r="O174" s="18" t="str">
        <f>IF(ISBLANK(input_wld_az1_rack4_host16_hostname),"Value Missing",input_wld_az1_rack4_host16_hostname)</f>
        <v>Value Missing</v>
      </c>
      <c r="Q174" s="21" t="s">
        <v>3829</v>
      </c>
      <c r="R174" s="18" t="str">
        <f>IF(ISBLANK(input_wld_az1_rack5_host16_hostname),"Value Missing",input_wld_az1_rack5_host16_hostname)</f>
        <v>Value Missing</v>
      </c>
      <c r="T174" s="21" t="s">
        <v>3829</v>
      </c>
      <c r="U174" s="18" t="str">
        <f>IF(ISBLANK(input_wld_az1_rack6_host16_hostname),"Value Missing",input_wld_az1_rack6_host16_hostname)</f>
        <v>Value Missing</v>
      </c>
      <c r="W174" s="21" t="s">
        <v>3829</v>
      </c>
      <c r="X174" s="18" t="str">
        <f>IF(ISBLANK(input_wld_az1_rack7_host16_hostname),"Value Missing",input_wld_az1_rack7_host16_hostname)</f>
        <v>Value Missing</v>
      </c>
      <c r="Z174" s="21" t="s">
        <v>3829</v>
      </c>
      <c r="AA174" s="18" t="str">
        <f>IF(ISBLANK(input_wld_az1_rack8_host16_hostname),"Value Missing",input_wld_az1_rack8_host16_hostname)</f>
        <v>Value Missing</v>
      </c>
      <c r="AB174"/>
      <c r="AC174"/>
      <c r="AD174"/>
      <c r="AE174"/>
      <c r="AF174"/>
      <c r="AG174"/>
      <c r="AH174"/>
    </row>
    <row r="175" spans="2:34" s="3" customFormat="1" ht="20" customHeight="1">
      <c r="AB175"/>
      <c r="AC175"/>
      <c r="AD175"/>
      <c r="AE175"/>
      <c r="AF175"/>
      <c r="AG175"/>
      <c r="AH175"/>
    </row>
    <row r="176" spans="2:34" s="3" customFormat="1" ht="20" customHeight="1">
      <c r="B176" s="184" t="s">
        <v>4116</v>
      </c>
      <c r="C176" s="187"/>
      <c r="E176" s="184" t="s">
        <v>4034</v>
      </c>
      <c r="F176" s="187"/>
      <c r="H176" s="184" t="s">
        <v>3851</v>
      </c>
      <c r="I176" s="187"/>
      <c r="K176" s="184" t="s">
        <v>3850</v>
      </c>
      <c r="L176" s="187"/>
      <c r="N176" s="184" t="s">
        <v>3849</v>
      </c>
      <c r="O176" s="187"/>
      <c r="Q176" s="184" t="s">
        <v>3848</v>
      </c>
      <c r="R176" s="187"/>
      <c r="T176" s="184" t="s">
        <v>3847</v>
      </c>
      <c r="U176" s="187"/>
      <c r="W176" s="184" t="s">
        <v>3846</v>
      </c>
      <c r="X176" s="187"/>
      <c r="Z176" s="184" t="s">
        <v>3845</v>
      </c>
      <c r="AA176" s="187"/>
      <c r="AB176"/>
      <c r="AC176"/>
      <c r="AD176"/>
      <c r="AE176"/>
      <c r="AF176"/>
      <c r="AG176"/>
      <c r="AH176"/>
    </row>
    <row r="177" spans="2:34" s="3" customFormat="1" ht="20" customHeight="1">
      <c r="B177" s="112" t="s">
        <v>735</v>
      </c>
      <c r="C177" s="113" t="s">
        <v>1230</v>
      </c>
      <c r="E177" s="112" t="s">
        <v>735</v>
      </c>
      <c r="F177" s="113" t="s">
        <v>555</v>
      </c>
      <c r="H177" s="112" t="s">
        <v>735</v>
      </c>
      <c r="I177" s="113" t="s">
        <v>555</v>
      </c>
      <c r="K177" s="112" t="s">
        <v>735</v>
      </c>
      <c r="L177" s="113" t="s">
        <v>555</v>
      </c>
      <c r="N177" s="112" t="s">
        <v>735</v>
      </c>
      <c r="O177" s="113" t="s">
        <v>555</v>
      </c>
      <c r="Q177" s="112" t="s">
        <v>735</v>
      </c>
      <c r="R177" s="113" t="s">
        <v>555</v>
      </c>
      <c r="T177" s="112" t="s">
        <v>735</v>
      </c>
      <c r="U177" s="113" t="s">
        <v>555</v>
      </c>
      <c r="W177" s="112" t="s">
        <v>735</v>
      </c>
      <c r="X177" s="113" t="s">
        <v>555</v>
      </c>
      <c r="Z177" s="112" t="s">
        <v>735</v>
      </c>
      <c r="AA177" s="113" t="s">
        <v>555</v>
      </c>
      <c r="AB177"/>
      <c r="AC177"/>
      <c r="AD177"/>
      <c r="AE177"/>
      <c r="AF177"/>
      <c r="AG177"/>
      <c r="AH177"/>
    </row>
    <row r="178" spans="2:34" s="3" customFormat="1" ht="20" customHeight="1">
      <c r="B178" s="21" t="s">
        <v>1243</v>
      </c>
      <c r="C178" s="18" t="str">
        <f>(CONCATENATE(mgmt_az1_host1_hostname,".",(IF(ISBLANK(input_child_dns_zone),"Value Missing",input_child_dns_zone))))</f>
        <v>Value Missing.Value Missing</v>
      </c>
      <c r="E178" s="21" t="s">
        <v>1243</v>
      </c>
      <c r="F178" s="18" t="str">
        <f>(CONCATENATE(wld_az1_host1_hostname,".",(IF(ISBLANK(wld_az1_child_dns_zone),"Value Missing",wld_az1_child_dns_zone))))</f>
        <v>Value Missing.Value Missing</v>
      </c>
      <c r="H178" s="21" t="s">
        <v>1243</v>
      </c>
      <c r="I178" s="18" t="str">
        <f>(CONCATENATE(wld_az1_rack2_host1_hostname,".",(IF(ISBLANK(wld_az1_rack2_child_dns_zone),"Value Missing",wld_az1_rack2_child_dns_zone))))</f>
        <v>Value Missing.Value Missing</v>
      </c>
      <c r="K178" s="21" t="s">
        <v>1243</v>
      </c>
      <c r="L178" s="18" t="str">
        <f>(CONCATENATE(wld_az1_rack3_host1_hostname,".",(IF(ISBLANK(wld_az1_rack3_child_dns_zone),"Value Missing",wld_az1_rack3_child_dns_zone))))</f>
        <v>Value Missing.Value Missing</v>
      </c>
      <c r="N178" s="21" t="s">
        <v>1243</v>
      </c>
      <c r="O178" s="18" t="str">
        <f>(CONCATENATE(wld_az1_rack4_host1_hostname,".",(IF(ISBLANK(wld_az1_rack4_child_dns_zone),"Value Missing",wld_az1_rack4_child_dns_zone))))</f>
        <v>Value Missing.Value Missing</v>
      </c>
      <c r="Q178" s="21" t="s">
        <v>1243</v>
      </c>
      <c r="R178" s="18" t="str">
        <f>(CONCATENATE(wld_az1_rack5_host1_hostname,".",(IF(ISBLANK(wld_az1_rack5_child_dns_zone),"Value Missing",wld_az1_rack5_child_dns_zone))))</f>
        <v>Value Missing.Value Missing</v>
      </c>
      <c r="T178" s="21" t="s">
        <v>1243</v>
      </c>
      <c r="U178" s="18" t="str">
        <f>(CONCATENATE(wld_az1_rack6_host1_hostname,".",(IF(ISBLANK(wld_az1_rack6_child_dns_zone),"Value Missing",wld_az1_rack6_child_dns_zone))))</f>
        <v>Value Missing.Value Missing</v>
      </c>
      <c r="W178" s="21" t="s">
        <v>1243</v>
      </c>
      <c r="X178" s="18" t="str">
        <f>(CONCATENATE(wld_az1_rack7_host1_hostname,".",(IF(ISBLANK(wld_az1_rack7_child_dns_zone),"Value Missing",wld_az1_rack7_child_dns_zone))))</f>
        <v>Value Missing.Value Missing</v>
      </c>
      <c r="Z178" s="21" t="s">
        <v>1243</v>
      </c>
      <c r="AA178" s="18" t="str">
        <f>(CONCATENATE(wld_az1_rack8_host1_hostname,".",(IF(ISBLANK(wld_az1_rack8_child_dns_zone),"Value Missing",wld_az1_rack8_child_dns_zone))))</f>
        <v>Value Missing.Value Missing</v>
      </c>
      <c r="AB178"/>
      <c r="AC178"/>
      <c r="AD178"/>
      <c r="AE178"/>
      <c r="AF178"/>
      <c r="AG178"/>
      <c r="AH178"/>
    </row>
    <row r="179" spans="2:34" s="3" customFormat="1" ht="20" customHeight="1">
      <c r="B179" s="21" t="s">
        <v>1246</v>
      </c>
      <c r="C179" s="18" t="str">
        <f>(CONCATENATE(mgmt_az1_host2_hostname,".",(IF(ISBLANK(input_child_dns_zone),"Value Missing",input_child_dns_zone))))</f>
        <v>Value Missing.Value Missing</v>
      </c>
      <c r="E179" s="21" t="s">
        <v>1246</v>
      </c>
      <c r="F179" s="18" t="str" cm="1">
        <f t="array" ref="F179">(CONCATENATE(wld_az1_host2_hostname,".",(IF(ISBLANK(wld_az1_child_dns_zone),"Value Missing",wld_az1_child_dns_zone))))</f>
        <v>Value Missing.Value Missing</v>
      </c>
      <c r="H179" s="21" t="s">
        <v>1246</v>
      </c>
      <c r="I179" s="18" t="str">
        <f>(CONCATENATE(wld_az1_rack2_host2_hostname,".",(IF(ISBLANK(wld_az1_rack2_child_dns_zone),"Value Missing",wld_az1_rack2_child_dns_zone))))</f>
        <v>Value Missing.Value Missing</v>
      </c>
      <c r="K179" s="21" t="s">
        <v>1246</v>
      </c>
      <c r="L179" s="18" t="str">
        <f>(CONCATENATE(wld_az1_rack3_host2_hostname,".",(IF(ISBLANK(wld_az1_rack3_child_dns_zone),"Value Missing",wld_az1_rack3_child_dns_zone))))</f>
        <v>Value Missing.Value Missing</v>
      </c>
      <c r="N179" s="21" t="s">
        <v>1246</v>
      </c>
      <c r="O179" s="18" t="str">
        <f>(CONCATENATE(wld_az1_rack4_host2_hostname,".",(IF(ISBLANK(wld_az1_rack4_child_dns_zone),"Value Missing",wld_az1_rack4_child_dns_zone))))</f>
        <v>Value Missing.Value Missing</v>
      </c>
      <c r="Q179" s="21" t="s">
        <v>1246</v>
      </c>
      <c r="R179" s="18" t="str">
        <f>(CONCATENATE(wld_az1_rack5_host2_hostname,".",(IF(ISBLANK(wld_az1_rack5_child_dns_zone),"Value Missing",wld_az1_rack5_child_dns_zone))))</f>
        <v>Value Missing.Value Missing</v>
      </c>
      <c r="T179" s="21" t="s">
        <v>1246</v>
      </c>
      <c r="U179" s="18" t="str">
        <f>(CONCATENATE(wld_az1_rack6_host2_hostname,".",(IF(ISBLANK(wld_az1_rack6_child_dns_zone),"Value Missing",wld_az1_rack6_child_dns_zone))))</f>
        <v>Value Missing.Value Missing</v>
      </c>
      <c r="W179" s="21" t="s">
        <v>1246</v>
      </c>
      <c r="X179" s="18" t="str">
        <f>(CONCATENATE(wld_az1_rack7_host2_hostname,".",(IF(ISBLANK(wld_az1_rack7_child_dns_zone),"Value Missing",wld_az1_rack7_child_dns_zone))))</f>
        <v>Value Missing.Value Missing</v>
      </c>
      <c r="Z179" s="21" t="s">
        <v>1246</v>
      </c>
      <c r="AA179" s="18" t="str">
        <f>(CONCATENATE(wld_az1_rack8_host2_hostname,".",(IF(ISBLANK(wld_az1_rack8_child_dns_zone),"Value Missing",wld_az1_rack8_child_dns_zone))))</f>
        <v>Value Missing.Value Missing</v>
      </c>
      <c r="AB179"/>
      <c r="AC179"/>
      <c r="AD179"/>
      <c r="AE179"/>
      <c r="AF179"/>
      <c r="AG179"/>
      <c r="AH179"/>
    </row>
    <row r="180" spans="2:34" s="3" customFormat="1" ht="20" customHeight="1">
      <c r="B180" s="21" t="s">
        <v>1248</v>
      </c>
      <c r="C180" s="18" t="str">
        <f>(CONCATENATE(mgmt_az1_host3_hostname,".",(IF(ISBLANK(input_child_dns_zone),"Value Missing",input_child_dns_zone))))</f>
        <v>Value Missing.Value Missing</v>
      </c>
      <c r="E180" s="21" t="s">
        <v>1248</v>
      </c>
      <c r="F180" s="18" t="str" cm="1">
        <f t="array" ref="F180">(CONCATENATE(wld_az1_host3_hostname,".",(IF(ISBLANK(wld_az1_child_dns_zone),"Value Missing",wld_az1_child_dns_zone))))</f>
        <v>Value Missing.Value Missing</v>
      </c>
      <c r="H180" s="21" t="s">
        <v>1248</v>
      </c>
      <c r="I180" s="18" t="str">
        <f>(CONCATENATE(wld_az1_rack2_host3_hostname,".",(IF(ISBLANK(wld_az1_rack2_child_dns_zone),"Value Missing",wld_az1_rack2_child_dns_zone))))</f>
        <v>Value Missing.Value Missing</v>
      </c>
      <c r="K180" s="21" t="s">
        <v>1248</v>
      </c>
      <c r="L180" s="18" t="str">
        <f>(CONCATENATE(wld_az1_rack3_host3_hostname,".",(IF(ISBLANK(wld_az1_rack3_child_dns_zone),"Value Missing",wld_az1_rack3_child_dns_zone))))</f>
        <v>Value Missing.Value Missing</v>
      </c>
      <c r="N180" s="21" t="s">
        <v>1248</v>
      </c>
      <c r="O180" s="18" t="str">
        <f>(CONCATENATE(wld_az1_rack4_host3_hostname,".",(IF(ISBLANK(wld_az1_rack4_child_dns_zone),"Value Missing",wld_az1_rack4_child_dns_zone))))</f>
        <v>Value Missing.Value Missing</v>
      </c>
      <c r="Q180" s="21" t="s">
        <v>1248</v>
      </c>
      <c r="R180" s="18" t="str">
        <f>(CONCATENATE(wld_az1_rack5_host3_hostname,".",(IF(ISBLANK(wld_az1_rack5_child_dns_zone),"Value Missing",wld_az1_rack5_child_dns_zone))))</f>
        <v>Value Missing.Value Missing</v>
      </c>
      <c r="T180" s="21" t="s">
        <v>1248</v>
      </c>
      <c r="U180" s="18" t="str">
        <f>(CONCATENATE(wld_az1_rack6_host3_hostname,".",(IF(ISBLANK(wld_az1_rack6_child_dns_zone),"Value Missing",wld_az1_rack6_child_dns_zone))))</f>
        <v>Value Missing.Value Missing</v>
      </c>
      <c r="W180" s="21" t="s">
        <v>1248</v>
      </c>
      <c r="X180" s="18" t="str">
        <f>(CONCATENATE(wld_az1_rack7_host3_hostname,".",(IF(ISBLANK(wld_az1_rack7_child_dns_zone),"Value Missing",wld_az1_rack7_child_dns_zone))))</f>
        <v>Value Missing.Value Missing</v>
      </c>
      <c r="Z180" s="21" t="s">
        <v>1248</v>
      </c>
      <c r="AA180" s="18" t="str">
        <f>(CONCATENATE(wld_az1_rack8_host3_hostname,".",(IF(ISBLANK(wld_az1_rack8_child_dns_zone),"Value Missing",wld_az1_rack8_child_dns_zone))))</f>
        <v>Value Missing.Value Missing</v>
      </c>
      <c r="AB180"/>
      <c r="AC180"/>
      <c r="AD180"/>
      <c r="AE180"/>
      <c r="AF180"/>
      <c r="AG180"/>
      <c r="AH180"/>
    </row>
    <row r="181" spans="2:34" s="3" customFormat="1" ht="20" customHeight="1">
      <c r="B181" s="21" t="s">
        <v>1251</v>
      </c>
      <c r="C181" s="18" t="str">
        <f>(CONCATENATE(mgmt_az1_host4_hostname,".",(IF(ISBLANK(input_child_dns_zone),"Value Missing",input_child_dns_zone))))</f>
        <v>Value Missing.Value Missing</v>
      </c>
      <c r="E181" s="21" t="s">
        <v>1251</v>
      </c>
      <c r="F181" s="18" t="str" cm="1">
        <f t="array" ref="F181">(CONCATENATE(wld_az1_host4_hostname,".",(IF(ISBLANK(wld_az1_child_dns_zone),"Value Missing",wld_az1_child_dns_zone))))</f>
        <v>Value Missing.Value Missing</v>
      </c>
      <c r="H181" s="21" t="s">
        <v>1251</v>
      </c>
      <c r="I181" s="18" t="str">
        <f>(CONCATENATE(wld_az1_rack2_host4_hostname,".",(IF(ISBLANK(wld_az1_rack2_child_dns_zone),"Value Missing",wld_az1_rack2_child_dns_zone))))</f>
        <v>Value Missing.Value Missing</v>
      </c>
      <c r="K181" s="21" t="s">
        <v>1251</v>
      </c>
      <c r="L181" s="18" t="str">
        <f>(CONCATENATE(wld_az1_rack3_host4_hostname,".",(IF(ISBLANK(wld_az1_rack3_child_dns_zone),"Value Missing",wld_az1_rack3_child_dns_zone))))</f>
        <v>Value Missing.Value Missing</v>
      </c>
      <c r="N181" s="21" t="s">
        <v>1251</v>
      </c>
      <c r="O181" s="18" t="str">
        <f>(CONCATENATE(wld_az1_rack4_host4_hostname,".",(IF(ISBLANK(wld_az1_rack4_child_dns_zone),"Value Missing",wld_az1_rack4_child_dns_zone))))</f>
        <v>Value Missing.Value Missing</v>
      </c>
      <c r="Q181" s="21" t="s">
        <v>1251</v>
      </c>
      <c r="R181" s="18" t="str">
        <f>(CONCATENATE(wld_az1_rack5_host4_hostname,".",(IF(ISBLANK(wld_az1_rack5_child_dns_zone),"Value Missing",wld_az1_rack5_child_dns_zone))))</f>
        <v>Value Missing.Value Missing</v>
      </c>
      <c r="T181" s="21" t="s">
        <v>1251</v>
      </c>
      <c r="U181" s="18" t="str">
        <f>(CONCATENATE(wld_az1_rack6_host4_hostname,".",(IF(ISBLANK(wld_az1_rack6_child_dns_zone),"Value Missing",wld_az1_rack6_child_dns_zone))))</f>
        <v>Value Missing.Value Missing</v>
      </c>
      <c r="W181" s="21" t="s">
        <v>1251</v>
      </c>
      <c r="X181" s="18" t="str">
        <f>(CONCATENATE(wld_az1_rack7_host4_hostname,".",(IF(ISBLANK(wld_az1_rack7_child_dns_zone),"Value Missing",wld_az1_rack7_child_dns_zone))))</f>
        <v>Value Missing.Value Missing</v>
      </c>
      <c r="Z181" s="21" t="s">
        <v>1251</v>
      </c>
      <c r="AA181" s="18" t="str">
        <f>(CONCATENATE(wld_az1_rack8_host4_hostname,".",(IF(ISBLANK(wld_az1_rack8_child_dns_zone),"Value Missing",wld_az1_rack8_child_dns_zone))))</f>
        <v>Value Missing.Value Missing</v>
      </c>
      <c r="AB181"/>
      <c r="AC181"/>
      <c r="AD181"/>
      <c r="AE181"/>
      <c r="AF181"/>
      <c r="AG181"/>
      <c r="AH181"/>
    </row>
    <row r="182" spans="2:34" s="3" customFormat="1" ht="20" customHeight="1">
      <c r="B182" s="21" t="s">
        <v>3818</v>
      </c>
      <c r="C182" s="18" t="str">
        <f>(CONCATENATE(mgmt_az1_host5_hostname,".",(IF(ISBLANK(input_child_dns_zone),"Value Missing",input_child_dns_zone))))</f>
        <v>Value Missing.Value Missing</v>
      </c>
      <c r="E182" s="21" t="s">
        <v>3818</v>
      </c>
      <c r="F182" s="18" t="str" cm="1">
        <f t="array" ref="F182">(CONCATENATE(wld_az1_host5_hostname,".",(IF(ISBLANK(wld_az1_child_dns_zone),"Value Missing",wld_az1_child_dns_zone))))</f>
        <v>Value Missing.Value Missing</v>
      </c>
      <c r="H182" s="21" t="s">
        <v>3818</v>
      </c>
      <c r="I182" s="18" t="str">
        <f>(CONCATENATE(wld_az1_rack2_host5_hostname,".",(IF(ISBLANK(wld_az1_rack2_child_dns_zone),"Value Missing",wld_az1_rack2_child_dns_zone))))</f>
        <v>Value Missing.Value Missing</v>
      </c>
      <c r="K182" s="21" t="s">
        <v>3818</v>
      </c>
      <c r="L182" s="18" t="str">
        <f>(CONCATENATE(wld_az1_rack3_host5_hostname,".",(IF(ISBLANK(wld_az1_rack3_child_dns_zone),"Value Missing",wld_az1_rack3_child_dns_zone))))</f>
        <v>Value Missing.Value Missing</v>
      </c>
      <c r="N182" s="21" t="s">
        <v>3818</v>
      </c>
      <c r="O182" s="18" t="str">
        <f>(CONCATENATE(wld_az1_rack4_host5_hostname,".",(IF(ISBLANK(wld_az1_rack4_child_dns_zone),"Value Missing",wld_az1_rack4_child_dns_zone))))</f>
        <v>Value Missing.Value Missing</v>
      </c>
      <c r="Q182" s="21" t="s">
        <v>3818</v>
      </c>
      <c r="R182" s="18" t="str">
        <f>(CONCATENATE(wld_az1_rack5_host5_hostname,".",(IF(ISBLANK(wld_az1_rack5_child_dns_zone),"Value Missing",wld_az1_rack5_child_dns_zone))))</f>
        <v>Value Missing.Value Missing</v>
      </c>
      <c r="T182" s="21" t="s">
        <v>3818</v>
      </c>
      <c r="U182" s="18" t="str">
        <f>(CONCATENATE(wld_az1_rack6_host5_hostname,".",(IF(ISBLANK(wld_az1_rack6_child_dns_zone),"Value Missing",wld_az1_rack6_child_dns_zone))))</f>
        <v>Value Missing.Value Missing</v>
      </c>
      <c r="W182" s="21" t="s">
        <v>3818</v>
      </c>
      <c r="X182" s="18" t="str">
        <f>(CONCATENATE(wld_az1_rack7_host5_hostname,".",(IF(ISBLANK(wld_az1_rack7_child_dns_zone),"Value Missing",wld_az1_rack7_child_dns_zone))))</f>
        <v>Value Missing.Value Missing</v>
      </c>
      <c r="Z182" s="21" t="s">
        <v>3818</v>
      </c>
      <c r="AA182" s="18" t="str">
        <f>(CONCATENATE(wld_az1_rack8_host5_hostname,".",(IF(ISBLANK(wld_az1_rack8_child_dns_zone),"Value Missing",wld_az1_rack8_child_dns_zone))))</f>
        <v>Value Missing.Value Missing</v>
      </c>
      <c r="AB182"/>
      <c r="AC182"/>
      <c r="AD182"/>
      <c r="AE182"/>
      <c r="AF182"/>
      <c r="AG182"/>
      <c r="AH182"/>
    </row>
    <row r="183" spans="2:34" s="3" customFormat="1" ht="20" customHeight="1">
      <c r="B183" s="21" t="s">
        <v>3819</v>
      </c>
      <c r="C183" s="18" t="str">
        <f>(CONCATENATE(mgmt_az1_host6_hostname,".",(IF(ISBLANK(input_child_dns_zone),"Value Missing",input_child_dns_zone))))</f>
        <v>Value Missing.Value Missing</v>
      </c>
      <c r="E183" s="21" t="s">
        <v>3819</v>
      </c>
      <c r="F183" s="18" t="str" cm="1">
        <f t="array" ref="F183">(CONCATENATE(wld_az1_host6_hostname,".",(IF(ISBLANK(wld_az1_child_dns_zone),"Value Missing",wld_az1_child_dns_zone))))</f>
        <v>Value Missing.Value Missing</v>
      </c>
      <c r="H183" s="21" t="s">
        <v>3819</v>
      </c>
      <c r="I183" s="18" t="str">
        <f>(CONCATENATE(wld_az1_rack2_host6_hostname,".",(IF(ISBLANK(wld_az1_rack2_child_dns_zone),"Value Missing",wld_az1_rack2_child_dns_zone))))</f>
        <v>Value Missing.Value Missing</v>
      </c>
      <c r="K183" s="21" t="s">
        <v>3819</v>
      </c>
      <c r="L183" s="18" t="str">
        <f>(CONCATENATE(wld_az1_rack3_host6_hostname,".",(IF(ISBLANK(wld_az1_rack3_child_dns_zone),"Value Missing",wld_az1_rack3_child_dns_zone))))</f>
        <v>Value Missing.Value Missing</v>
      </c>
      <c r="N183" s="21" t="s">
        <v>3819</v>
      </c>
      <c r="O183" s="18" t="str">
        <f>(CONCATENATE(wld_az1_rack4_host6_hostname,".",(IF(ISBLANK(wld_az1_rack4_child_dns_zone),"Value Missing",wld_az1_rack4_child_dns_zone))))</f>
        <v>Value Missing.Value Missing</v>
      </c>
      <c r="Q183" s="21" t="s">
        <v>3819</v>
      </c>
      <c r="R183" s="18" t="str">
        <f>(CONCATENATE(wld_az1_rack5_host6_hostname,".",(IF(ISBLANK(wld_az1_rack5_child_dns_zone),"Value Missing",wld_az1_rack5_child_dns_zone))))</f>
        <v>Value Missing.Value Missing</v>
      </c>
      <c r="T183" s="21" t="s">
        <v>3819</v>
      </c>
      <c r="U183" s="18" t="str">
        <f>(CONCATENATE(wld_az1_rack6_host6_hostname,".",(IF(ISBLANK(wld_az1_rack6_child_dns_zone),"Value Missing",wld_az1_rack6_child_dns_zone))))</f>
        <v>Value Missing.Value Missing</v>
      </c>
      <c r="W183" s="21" t="s">
        <v>3819</v>
      </c>
      <c r="X183" s="18" t="str">
        <f>(CONCATENATE(wld_az1_rack7_host6_hostname,".",(IF(ISBLANK(wld_az1_rack7_child_dns_zone),"Value Missing",wld_az1_rack7_child_dns_zone))))</f>
        <v>Value Missing.Value Missing</v>
      </c>
      <c r="Z183" s="21" t="s">
        <v>3819</v>
      </c>
      <c r="AA183" s="18" t="str">
        <f>(CONCATENATE(wld_az1_rack8_host6_hostname,".",(IF(ISBLANK(wld_az1_rack8_child_dns_zone),"Value Missing",wld_az1_rack8_child_dns_zone))))</f>
        <v>Value Missing.Value Missing</v>
      </c>
      <c r="AB183"/>
      <c r="AC183"/>
      <c r="AD183"/>
      <c r="AE183"/>
      <c r="AF183"/>
      <c r="AG183"/>
      <c r="AH183"/>
    </row>
    <row r="184" spans="2:34" s="3" customFormat="1" ht="20" customHeight="1">
      <c r="B184" s="21" t="s">
        <v>3820</v>
      </c>
      <c r="C184" s="18" t="str">
        <f>(CONCATENATE(mgmt_az1_host7_hostname,".",(IF(ISBLANK(input_child_dns_zone),"Value Missing",input_child_dns_zone))))</f>
        <v>Value Missing.Value Missing</v>
      </c>
      <c r="E184" s="21" t="s">
        <v>3820</v>
      </c>
      <c r="F184" s="18" t="str" cm="1">
        <f t="array" ref="F184">(CONCATENATE(wld_az1_host7_hostname,".",(IF(ISBLANK(wld_az1_child_dns_zone),"Value Missing",wld_az1_child_dns_zone))))</f>
        <v>Value Missing.Value Missing</v>
      </c>
      <c r="H184" s="21" t="s">
        <v>3820</v>
      </c>
      <c r="I184" s="18" t="str">
        <f>(CONCATENATE(wld_az1_rack2_host7_hostname,".",(IF(ISBLANK(wld_az1_rack2_child_dns_zone),"Value Missing",wld_az1_rack2_child_dns_zone))))</f>
        <v>Value Missing.Value Missing</v>
      </c>
      <c r="K184" s="21" t="s">
        <v>3820</v>
      </c>
      <c r="L184" s="18" t="str">
        <f>(CONCATENATE(wld_az1_rack3_host7_hostname,".",(IF(ISBLANK(wld_az1_rack3_child_dns_zone),"Value Missing",wld_az1_rack3_child_dns_zone))))</f>
        <v>Value Missing.Value Missing</v>
      </c>
      <c r="N184" s="21" t="s">
        <v>3820</v>
      </c>
      <c r="O184" s="18" t="str">
        <f>(CONCATENATE(wld_az1_rack4_host7_hostname,".",(IF(ISBLANK(wld_az1_rack4_child_dns_zone),"Value Missing",wld_az1_rack4_child_dns_zone))))</f>
        <v>Value Missing.Value Missing</v>
      </c>
      <c r="Q184" s="21" t="s">
        <v>3820</v>
      </c>
      <c r="R184" s="18" t="str">
        <f>(CONCATENATE(wld_az1_rack5_host7_hostname,".",(IF(ISBLANK(wld_az1_rack5_child_dns_zone),"Value Missing",wld_az1_rack5_child_dns_zone))))</f>
        <v>Value Missing.Value Missing</v>
      </c>
      <c r="T184" s="21" t="s">
        <v>3820</v>
      </c>
      <c r="U184" s="18" t="str">
        <f>(CONCATENATE(wld_az1_rack6_host7_hostname,".",(IF(ISBLANK(wld_az1_rack6_child_dns_zone),"Value Missing",wld_az1_rack6_child_dns_zone))))</f>
        <v>Value Missing.Value Missing</v>
      </c>
      <c r="W184" s="21" t="s">
        <v>3820</v>
      </c>
      <c r="X184" s="18" t="str">
        <f>(CONCATENATE(wld_az1_rack7_host7_hostname,".",(IF(ISBLANK(wld_az1_rack7_child_dns_zone),"Value Missing",wld_az1_rack7_child_dns_zone))))</f>
        <v>Value Missing.Value Missing</v>
      </c>
      <c r="Z184" s="21" t="s">
        <v>3820</v>
      </c>
      <c r="AA184" s="18" t="str">
        <f>(CONCATENATE(wld_az1_rack8_host7_hostname,".",(IF(ISBLANK(wld_az1_rack8_child_dns_zone),"Value Missing",wld_az1_rack8_child_dns_zone))))</f>
        <v>Value Missing.Value Missing</v>
      </c>
      <c r="AB184"/>
      <c r="AC184"/>
      <c r="AD184"/>
      <c r="AE184"/>
      <c r="AF184"/>
      <c r="AG184"/>
      <c r="AH184"/>
    </row>
    <row r="185" spans="2:34" s="3" customFormat="1" ht="20" customHeight="1">
      <c r="B185" s="21" t="s">
        <v>3821</v>
      </c>
      <c r="C185" s="18" t="str">
        <f>(CONCATENATE(mgmt_az1_host8_hostname,".",(IF(ISBLANK(input_child_dns_zone),"Value Missing",input_child_dns_zone))))</f>
        <v>Value Missing.Value Missing</v>
      </c>
      <c r="E185" s="21" t="s">
        <v>3821</v>
      </c>
      <c r="F185" s="18" t="str" cm="1">
        <f t="array" ref="F185">(CONCATENATE(wld_az1_host8_hostname,".",(IF(ISBLANK(wld_az1_child_dns_zone),"Value Missing",wld_az1_child_dns_zone))))</f>
        <v>Value Missing.Value Missing</v>
      </c>
      <c r="H185" s="21" t="s">
        <v>3821</v>
      </c>
      <c r="I185" s="18" t="str">
        <f>(CONCATENATE(wld_az1_rack2_host8_hostname,".",(IF(ISBLANK(wld_az1_rack2_child_dns_zone),"Value Missing",wld_az1_rack2_child_dns_zone))))</f>
        <v>Value Missing.Value Missing</v>
      </c>
      <c r="K185" s="21" t="s">
        <v>3821</v>
      </c>
      <c r="L185" s="18" t="str">
        <f>(CONCATENATE(wld_az1_rack3_host8_hostname,".",(IF(ISBLANK(wld_az1_rack3_child_dns_zone),"Value Missing",wld_az1_rack3_child_dns_zone))))</f>
        <v>Value Missing.Value Missing</v>
      </c>
      <c r="N185" s="21" t="s">
        <v>3821</v>
      </c>
      <c r="O185" s="18" t="str">
        <f>(CONCATENATE(wld_az1_rack4_host8_hostname,".",(IF(ISBLANK(wld_az1_rack4_child_dns_zone),"Value Missing",wld_az1_rack4_child_dns_zone))))</f>
        <v>Value Missing.Value Missing</v>
      </c>
      <c r="Q185" s="21" t="s">
        <v>3821</v>
      </c>
      <c r="R185" s="18" t="str">
        <f>(CONCATENATE(wld_az1_rack5_host8_hostname,".",(IF(ISBLANK(wld_az1_rack5_child_dns_zone),"Value Missing",wld_az1_rack5_child_dns_zone))))</f>
        <v>Value Missing.Value Missing</v>
      </c>
      <c r="T185" s="21" t="s">
        <v>3821</v>
      </c>
      <c r="U185" s="18" t="str">
        <f>(CONCATENATE(wld_az1_rack6_host8_hostname,".",(IF(ISBLANK(wld_az1_rack6_child_dns_zone),"Value Missing",wld_az1_rack6_child_dns_zone))))</f>
        <v>Value Missing.Value Missing</v>
      </c>
      <c r="W185" s="21" t="s">
        <v>3821</v>
      </c>
      <c r="X185" s="18" t="str">
        <f>(CONCATENATE(wld_az1_rack7_host8_hostname,".",(IF(ISBLANK(wld_az1_rack7_child_dns_zone),"Value Missing",wld_az1_rack7_child_dns_zone))))</f>
        <v>Value Missing.Value Missing</v>
      </c>
      <c r="Z185" s="21" t="s">
        <v>3821</v>
      </c>
      <c r="AA185" s="18" t="str">
        <f>(CONCATENATE(wld_az1_rack8_host8_hostname,".",(IF(ISBLANK(wld_az1_rack8_child_dns_zone),"Value Missing",wld_az1_rack8_child_dns_zone))))</f>
        <v>Value Missing.Value Missing</v>
      </c>
      <c r="AB185"/>
      <c r="AC185"/>
      <c r="AD185"/>
      <c r="AE185"/>
      <c r="AF185"/>
      <c r="AG185"/>
      <c r="AH185"/>
    </row>
    <row r="186" spans="2:34" ht="20" customHeight="1">
      <c r="B186" s="21" t="s">
        <v>3822</v>
      </c>
      <c r="C186" s="18" t="str">
        <f>(CONCATENATE(mgmt_az1_host9_hostname,".",(IF(ISBLANK(input_child_dns_zone),"Value Missing",input_child_dns_zone))))</f>
        <v>Value Missing.Value Missing</v>
      </c>
      <c r="E186" s="21" t="s">
        <v>3822</v>
      </c>
      <c r="F186" s="18" t="str" cm="1">
        <f t="array" ref="F186">(CONCATENATE(wld_az1_host9_hostname,".",(IF(ISBLANK(wld_az1_child_dns_zone),"Value Missing",wld_az1_child_dns_zone))))</f>
        <v>Value Missing.Value Missing</v>
      </c>
      <c r="H186" s="21" t="s">
        <v>3822</v>
      </c>
      <c r="I186" s="18" t="str">
        <f>(CONCATENATE(wld_az1_rack2_host9_hostname,".",(IF(ISBLANK(wld_az1_rack2_child_dns_zone),"Value Missing",wld_az1_rack2_child_dns_zone))))</f>
        <v>Value Missing.Value Missing</v>
      </c>
      <c r="K186" s="21" t="s">
        <v>3822</v>
      </c>
      <c r="L186" s="18" t="str">
        <f>(CONCATENATE(wld_az1_rack3_host9_hostname,".",(IF(ISBLANK(wld_az1_rack3_child_dns_zone),"Value Missing",wld_az1_rack3_child_dns_zone))))</f>
        <v>Value Missing.Value Missing</v>
      </c>
      <c r="N186" s="21" t="s">
        <v>3822</v>
      </c>
      <c r="O186" s="18" t="str">
        <f>(CONCATENATE(wld_az1_rack4_host9_hostname,".",(IF(ISBLANK(wld_az1_rack4_child_dns_zone),"Value Missing",wld_az1_rack4_child_dns_zone))))</f>
        <v>Value Missing.Value Missing</v>
      </c>
      <c r="Q186" s="21" t="s">
        <v>3822</v>
      </c>
      <c r="R186" s="18" t="str">
        <f>(CONCATENATE(wld_az1_rack5_host9_hostname,".",(IF(ISBLANK(wld_az1_rack5_child_dns_zone),"Value Missing",wld_az1_rack5_child_dns_zone))))</f>
        <v>Value Missing.Value Missing</v>
      </c>
      <c r="T186" s="21" t="s">
        <v>3822</v>
      </c>
      <c r="U186" s="18" t="str">
        <f>(CONCATENATE(wld_az1_rack6_host9_hostname,".",(IF(ISBLANK(wld_az1_rack6_child_dns_zone),"Value Missing",wld_az1_rack6_child_dns_zone))))</f>
        <v>Value Missing.Value Missing</v>
      </c>
      <c r="W186" s="21" t="s">
        <v>3822</v>
      </c>
      <c r="X186" s="18" t="str">
        <f>(CONCATENATE(wld_az1_rack7_host9_hostname,".",(IF(ISBLANK(wld_az1_rack7_child_dns_zone),"Value Missing",wld_az1_rack7_child_dns_zone))))</f>
        <v>Value Missing.Value Missing</v>
      </c>
      <c r="Z186" s="21" t="s">
        <v>3822</v>
      </c>
      <c r="AA186" s="18" t="str">
        <f>(CONCATENATE(wld_az1_rack8_host9_hostname,".",(IF(ISBLANK(wld_az1_rack8_child_dns_zone),"Value Missing",wld_az1_rack8_child_dns_zone))))</f>
        <v>Value Missing.Value Missing</v>
      </c>
    </row>
    <row r="187" spans="2:34" ht="20" customHeight="1">
      <c r="B187" s="21" t="s">
        <v>3823</v>
      </c>
      <c r="C187" s="18" t="str">
        <f>(CONCATENATE(mgmt_az1_host10_hostname,".",(IF(ISBLANK(input_child_dns_zone),"Value Missing",input_child_dns_zone))))</f>
        <v>Value Missing.Value Missing</v>
      </c>
      <c r="E187" s="21" t="s">
        <v>3823</v>
      </c>
      <c r="F187" s="18" t="str" cm="1">
        <f t="array" ref="F187">(CONCATENATE(wld_az1_host10_hostname,".",(IF(ISBLANK(wld_az1_child_dns_zone),"Value Missing",wld_az1_child_dns_zone))))</f>
        <v>Value Missing.Value Missing</v>
      </c>
      <c r="H187" s="21" t="s">
        <v>3823</v>
      </c>
      <c r="I187" s="18" t="str">
        <f>(CONCATENATE(wld_az1_rack2_host10_hostname,".",(IF(ISBLANK(wld_az1_rack2_child_dns_zone),"Value Missing",wld_az1_rack2_child_dns_zone))))</f>
        <v>Value Missing.Value Missing</v>
      </c>
      <c r="K187" s="21" t="s">
        <v>3823</v>
      </c>
      <c r="L187" s="18" t="str">
        <f>(CONCATENATE(wld_az1_rack3_host10_hostname,".",(IF(ISBLANK(wld_az1_rack3_child_dns_zone),"Value Missing",wld_az1_rack3_child_dns_zone))))</f>
        <v>Value Missing.Value Missing</v>
      </c>
      <c r="N187" s="21" t="s">
        <v>3823</v>
      </c>
      <c r="O187" s="18" t="str">
        <f>(CONCATENATE(wld_az1_rack4_host10_hostname,".",(IF(ISBLANK(wld_az1_rack4_child_dns_zone),"Value Missing",wld_az1_rack4_child_dns_zone))))</f>
        <v>Value Missing.Value Missing</v>
      </c>
      <c r="Q187" s="21" t="s">
        <v>3823</v>
      </c>
      <c r="R187" s="18" t="str">
        <f>(CONCATENATE(wld_az1_rack5_host10_hostname,".",(IF(ISBLANK(wld_az1_rack5_child_dns_zone),"Value Missing",wld_az1_rack5_child_dns_zone))))</f>
        <v>Value Missing.Value Missing</v>
      </c>
      <c r="T187" s="21" t="s">
        <v>3823</v>
      </c>
      <c r="U187" s="18" t="str">
        <f>(CONCATENATE(wld_az1_rack6_host10_hostname,".",(IF(ISBLANK(wld_az1_rack6_child_dns_zone),"Value Missing",wld_az1_rack6_child_dns_zone))))</f>
        <v>Value Missing.Value Missing</v>
      </c>
      <c r="W187" s="21" t="s">
        <v>3823</v>
      </c>
      <c r="X187" s="18" t="str">
        <f>(CONCATENATE(wld_az1_rack7_host10_hostname,".",(IF(ISBLANK(wld_az1_rack7_child_dns_zone),"Value Missing",wld_az1_rack7_child_dns_zone))))</f>
        <v>Value Missing.Value Missing</v>
      </c>
      <c r="Z187" s="21" t="s">
        <v>3823</v>
      </c>
      <c r="AA187" s="18" t="str">
        <f>(CONCATENATE(wld_az1_rack8_host10_hostname,".",(IF(ISBLANK(wld_az1_rack8_child_dns_zone),"Value Missing",wld_az1_rack8_child_dns_zone))))</f>
        <v>Value Missing.Value Missing</v>
      </c>
    </row>
    <row r="188" spans="2:34" ht="20" customHeight="1">
      <c r="B188" s="21" t="s">
        <v>3824</v>
      </c>
      <c r="C188" s="18" t="str">
        <f>(CONCATENATE(mgmt_az1_host11_hostname,".",(IF(ISBLANK(input_child_dns_zone),"Value Missing",input_child_dns_zone))))</f>
        <v>Value Missing.Value Missing</v>
      </c>
      <c r="E188" s="21" t="s">
        <v>3824</v>
      </c>
      <c r="F188" s="18" t="str" cm="1">
        <f t="array" ref="F188">(CONCATENATE(wld_az1_host11_hostname,".",(IF(ISBLANK(wld_az1_child_dns_zone),"Value Missing",wld_az1_child_dns_zone))))</f>
        <v>Value Missing.Value Missing</v>
      </c>
      <c r="H188" s="21" t="s">
        <v>3824</v>
      </c>
      <c r="I188" s="18" t="str">
        <f>(CONCATENATE(wld_az1_rack2_host11_hostname,".",(IF(ISBLANK(wld_az1_rack2_child_dns_zone),"Value Missing",wld_az1_rack2_child_dns_zone))))</f>
        <v>Value Missing.Value Missing</v>
      </c>
      <c r="K188" s="21" t="s">
        <v>3824</v>
      </c>
      <c r="L188" s="18" t="str">
        <f>(CONCATENATE(wld_az1_rack3_host11_hostname,".",(IF(ISBLANK(wld_az1_rack3_child_dns_zone),"Value Missing",wld_az1_rack3_child_dns_zone))))</f>
        <v>Value Missing.Value Missing</v>
      </c>
      <c r="N188" s="21" t="s">
        <v>3824</v>
      </c>
      <c r="O188" s="18" t="str">
        <f>(CONCATENATE(wld_az1_rack4_host11_hostname,".",(IF(ISBLANK(wld_az1_rack4_child_dns_zone),"Value Missing",wld_az1_rack4_child_dns_zone))))</f>
        <v>Value Missing.Value Missing</v>
      </c>
      <c r="Q188" s="21" t="s">
        <v>3824</v>
      </c>
      <c r="R188" s="18" t="str">
        <f>(CONCATENATE(wld_az1_rack5_host11_hostname,".",(IF(ISBLANK(wld_az1_rack5_child_dns_zone),"Value Missing",wld_az1_rack5_child_dns_zone))))</f>
        <v>Value Missing.Value Missing</v>
      </c>
      <c r="T188" s="21" t="s">
        <v>3824</v>
      </c>
      <c r="U188" s="18" t="str">
        <f>(CONCATENATE(wld_az1_rack6_host11_hostname,".",(IF(ISBLANK(wld_az1_rack6_child_dns_zone),"Value Missing",wld_az1_rack6_child_dns_zone))))</f>
        <v>Value Missing.Value Missing</v>
      </c>
      <c r="W188" s="21" t="s">
        <v>3824</v>
      </c>
      <c r="X188" s="18" t="str">
        <f>(CONCATENATE(wld_az1_rack7_host11_hostname,".",(IF(ISBLANK(wld_az1_rack7_child_dns_zone),"Value Missing",wld_az1_rack7_child_dns_zone))))</f>
        <v>Value Missing.Value Missing</v>
      </c>
      <c r="Z188" s="21" t="s">
        <v>3824</v>
      </c>
      <c r="AA188" s="18" t="str">
        <f>(CONCATENATE(wld_az1_rack8_host11_hostname,".",(IF(ISBLANK(wld_az1_rack8_child_dns_zone),"Value Missing",wld_az1_rack8_child_dns_zone))))</f>
        <v>Value Missing.Value Missing</v>
      </c>
    </row>
    <row r="189" spans="2:34" ht="20" customHeight="1">
      <c r="B189" s="21" t="s">
        <v>3825</v>
      </c>
      <c r="C189" s="18" t="str">
        <f>(CONCATENATE(mgmt_az1_host12_hostname,".",(IF(ISBLANK(input_child_dns_zone),"Value Missing",input_child_dns_zone))))</f>
        <v>Value Missing.Value Missing</v>
      </c>
      <c r="E189" s="21" t="s">
        <v>3825</v>
      </c>
      <c r="F189" s="18" t="str" cm="1">
        <f t="array" ref="F189">(CONCATENATE(wld_az1_host12_hostname,".",(IF(ISBLANK(wld_az1_child_dns_zone),"Value Missing",wld_az1_child_dns_zone))))</f>
        <v>Value Missing.Value Missing</v>
      </c>
      <c r="H189" s="21" t="s">
        <v>3825</v>
      </c>
      <c r="I189" s="18" t="str">
        <f>(CONCATENATE(wld_az1_rack2_host12_hostname,".",(IF(ISBLANK(wld_az1_rack2_child_dns_zone),"Value Missing",wld_az1_rack2_child_dns_zone))))</f>
        <v>Value Missing.Value Missing</v>
      </c>
      <c r="K189" s="21" t="s">
        <v>3825</v>
      </c>
      <c r="L189" s="18" t="str">
        <f>(CONCATENATE(wld_az1_rack3_host12_hostname,".",(IF(ISBLANK(wld_az1_rack3_child_dns_zone),"Value Missing",wld_az1_rack3_child_dns_zone))))</f>
        <v>Value Missing.Value Missing</v>
      </c>
      <c r="N189" s="21" t="s">
        <v>3825</v>
      </c>
      <c r="O189" s="18" t="str">
        <f>(CONCATENATE(wld_az1_rack4_host12_hostname,".",(IF(ISBLANK(wld_az1_rack4_child_dns_zone),"Value Missing",wld_az1_rack4_child_dns_zone))))</f>
        <v>Value Missing.Value Missing</v>
      </c>
      <c r="Q189" s="21" t="s">
        <v>3825</v>
      </c>
      <c r="R189" s="18" t="str">
        <f>(CONCATENATE(wld_az1_rack5_host12_hostname,".",(IF(ISBLANK(wld_az1_rack5_child_dns_zone),"Value Missing",wld_az1_rack5_child_dns_zone))))</f>
        <v>Value Missing.Value Missing</v>
      </c>
      <c r="T189" s="21" t="s">
        <v>3825</v>
      </c>
      <c r="U189" s="18" t="str">
        <f>(CONCATENATE(wld_az1_rack6_host12_hostname,".",(IF(ISBLANK(wld_az1_rack6_child_dns_zone),"Value Missing",wld_az1_rack6_child_dns_zone))))</f>
        <v>Value Missing.Value Missing</v>
      </c>
      <c r="W189" s="21" t="s">
        <v>3825</v>
      </c>
      <c r="X189" s="18" t="str">
        <f>(CONCATENATE(wld_az1_rack7_host12_hostname,".",(IF(ISBLANK(wld_az1_rack7_child_dns_zone),"Value Missing",wld_az1_rack7_child_dns_zone))))</f>
        <v>Value Missing.Value Missing</v>
      </c>
      <c r="Z189" s="21" t="s">
        <v>3825</v>
      </c>
      <c r="AA189" s="18" t="str">
        <f>(CONCATENATE(wld_az1_rack8_host12_hostname,".",(IF(ISBLANK(wld_az1_rack8_child_dns_zone),"Value Missing",wld_az1_rack8_child_dns_zone))))</f>
        <v>Value Missing.Value Missing</v>
      </c>
    </row>
    <row r="190" spans="2:34" ht="20" customHeight="1">
      <c r="B190" s="21" t="s">
        <v>3826</v>
      </c>
      <c r="C190" s="18" t="str">
        <f>(CONCATENATE(mgmt_az1_host13_hostname,".",(IF(ISBLANK(input_child_dns_zone),"Value Missing",input_child_dns_zone))))</f>
        <v>Value Missing.Value Missing</v>
      </c>
      <c r="E190" s="21" t="s">
        <v>3826</v>
      </c>
      <c r="F190" s="18" t="str" cm="1">
        <f t="array" ref="F190">(CONCATENATE(wld_az1_host13_hostname,".",(IF(ISBLANK(wld_az1_child_dns_zone),"Value Missing",wld_az1_child_dns_zone))))</f>
        <v>Value Missing.Value Missing</v>
      </c>
      <c r="H190" s="21" t="s">
        <v>3826</v>
      </c>
      <c r="I190" s="18" t="str">
        <f>(CONCATENATE(wld_az1_rack2_host13_hostname,".",(IF(ISBLANK(wld_az1_rack2_child_dns_zone),"Value Missing",wld_az1_rack2_child_dns_zone))))</f>
        <v>Value Missing.Value Missing</v>
      </c>
      <c r="K190" s="21" t="s">
        <v>3826</v>
      </c>
      <c r="L190" s="18" t="str">
        <f>(CONCATENATE(wld_az1_rack3_host13_hostname,".",(IF(ISBLANK(wld_az1_rack3_child_dns_zone),"Value Missing",wld_az1_rack3_child_dns_zone))))</f>
        <v>Value Missing.Value Missing</v>
      </c>
      <c r="N190" s="21" t="s">
        <v>3826</v>
      </c>
      <c r="O190" s="18" t="str">
        <f>(CONCATENATE(wld_az1_rack4_host13_hostname,".",(IF(ISBLANK(wld_az1_rack4_child_dns_zone),"Value Missing",wld_az1_rack4_child_dns_zone))))</f>
        <v>Value Missing.Value Missing</v>
      </c>
      <c r="Q190" s="21" t="s">
        <v>3826</v>
      </c>
      <c r="R190" s="18" t="str">
        <f>(CONCATENATE(wld_az1_rack5_host13_hostname,".",(IF(ISBLANK(wld_az1_rack5_child_dns_zone),"Value Missing",wld_az1_rack5_child_dns_zone))))</f>
        <v>Value Missing.Value Missing</v>
      </c>
      <c r="T190" s="21" t="s">
        <v>3826</v>
      </c>
      <c r="U190" s="18" t="str">
        <f>(CONCATENATE(wld_az1_rack6_host13_hostname,".",(IF(ISBLANK(wld_az1_rack6_child_dns_zone),"Value Missing",wld_az1_rack6_child_dns_zone))))</f>
        <v>Value Missing.Value Missing</v>
      </c>
      <c r="W190" s="21" t="s">
        <v>3826</v>
      </c>
      <c r="X190" s="18" t="str">
        <f>(CONCATENATE(wld_az1_rack7_host13_hostname,".",(IF(ISBLANK(wld_az1_rack7_child_dns_zone),"Value Missing",wld_az1_rack7_child_dns_zone))))</f>
        <v>Value Missing.Value Missing</v>
      </c>
      <c r="Z190" s="21" t="s">
        <v>3826</v>
      </c>
      <c r="AA190" s="18" t="str">
        <f>(CONCATENATE(wld_az1_rack8_host13_hostname,".",(IF(ISBLANK(wld_az1_rack8_child_dns_zone),"Value Missing",wld_az1_rack8_child_dns_zone))))</f>
        <v>Value Missing.Value Missing</v>
      </c>
    </row>
    <row r="191" spans="2:34" ht="20" customHeight="1">
      <c r="B191" s="21" t="s">
        <v>3827</v>
      </c>
      <c r="C191" s="18" t="str">
        <f>(CONCATENATE(mgmt_az1_host14_hostname,".",(IF(ISBLANK(input_child_dns_zone),"Value Missing",input_child_dns_zone))))</f>
        <v>Value Missing.Value Missing</v>
      </c>
      <c r="E191" s="21" t="s">
        <v>3827</v>
      </c>
      <c r="F191" s="18" t="str" cm="1">
        <f t="array" ref="F191">(CONCATENATE(wld_az1_host14_hostname,".",(IF(ISBLANK(wld_az1_child_dns_zone),"Value Missing",wld_az1_child_dns_zone))))</f>
        <v>Value Missing.Value Missing</v>
      </c>
      <c r="H191" s="21" t="s">
        <v>3827</v>
      </c>
      <c r="I191" s="18" t="str">
        <f>(CONCATENATE(wld_az1_rack2_host14_hostname,".",(IF(ISBLANK(wld_az1_rack2_child_dns_zone),"Value Missing",wld_az1_rack2_child_dns_zone))))</f>
        <v>Value Missing.Value Missing</v>
      </c>
      <c r="K191" s="21" t="s">
        <v>3827</v>
      </c>
      <c r="L191" s="18" t="str">
        <f>(CONCATENATE(wld_az1_rack3_host14_hostname,".",(IF(ISBLANK(wld_az1_rack3_child_dns_zone),"Value Missing",wld_az1_rack3_child_dns_zone))))</f>
        <v>Value Missing.Value Missing</v>
      </c>
      <c r="N191" s="21" t="s">
        <v>3827</v>
      </c>
      <c r="O191" s="18" t="str">
        <f>(CONCATENATE(wld_az1_rack4_host14_hostname,".",(IF(ISBLANK(wld_az1_rack4_child_dns_zone),"Value Missing",wld_az1_rack4_child_dns_zone))))</f>
        <v>Value Missing.Value Missing</v>
      </c>
      <c r="Q191" s="21" t="s">
        <v>3827</v>
      </c>
      <c r="R191" s="18" t="str">
        <f>(CONCATENATE(wld_az1_rack5_host14_hostname,".",(IF(ISBLANK(wld_az1_rack5_child_dns_zone),"Value Missing",wld_az1_rack5_child_dns_zone))))</f>
        <v>Value Missing.Value Missing</v>
      </c>
      <c r="T191" s="21" t="s">
        <v>3827</v>
      </c>
      <c r="U191" s="18" t="str">
        <f>(CONCATENATE(wld_az1_rack6_host14_hostname,".",(IF(ISBLANK(wld_az1_rack6_child_dns_zone),"Value Missing",wld_az1_rack6_child_dns_zone))))</f>
        <v>Value Missing.Value Missing</v>
      </c>
      <c r="W191" s="21" t="s">
        <v>3827</v>
      </c>
      <c r="X191" s="18" t="str">
        <f>(CONCATENATE(wld_az1_rack7_host14_hostname,".",(IF(ISBLANK(wld_az1_rack7_child_dns_zone),"Value Missing",wld_az1_rack7_child_dns_zone))))</f>
        <v>Value Missing.Value Missing</v>
      </c>
      <c r="Z191" s="21" t="s">
        <v>3827</v>
      </c>
      <c r="AA191" s="18" t="str">
        <f>(CONCATENATE(wld_az1_rack8_host14_hostname,".",(IF(ISBLANK(wld_az1_rack8_child_dns_zone),"Value Missing",wld_az1_rack8_child_dns_zone))))</f>
        <v>Value Missing.Value Missing</v>
      </c>
    </row>
    <row r="192" spans="2:34" ht="20" customHeight="1">
      <c r="B192" s="21" t="s">
        <v>3828</v>
      </c>
      <c r="C192" s="18" t="str">
        <f>(CONCATENATE(mgmt_az1_host15_hostname,".",(IF(ISBLANK(input_child_dns_zone),"Value Missing",input_child_dns_zone))))</f>
        <v>Value Missing.Value Missing</v>
      </c>
      <c r="E192" s="21" t="s">
        <v>3828</v>
      </c>
      <c r="F192" s="18" t="str" cm="1">
        <f t="array" ref="F192">(CONCATENATE(wld_az1_host15_hostname,".",(IF(ISBLANK(wld_az1_child_dns_zone),"Value Missing",wld_az1_child_dns_zone))))</f>
        <v>Value Missing.Value Missing</v>
      </c>
      <c r="H192" s="21" t="s">
        <v>3828</v>
      </c>
      <c r="I192" s="18" t="str">
        <f>(CONCATENATE(wld_az1_rack2_host15_hostname,".",(IF(ISBLANK(wld_az1_rack2_child_dns_zone),"Value Missing",wld_az1_rack2_child_dns_zone))))</f>
        <v>Value Missing.Value Missing</v>
      </c>
      <c r="K192" s="21" t="s">
        <v>3828</v>
      </c>
      <c r="L192" s="18" t="str">
        <f>(CONCATENATE(wld_az1_rack3_host15_hostname,".",(IF(ISBLANK(wld_az1_rack3_child_dns_zone),"Value Missing",wld_az1_rack3_child_dns_zone))))</f>
        <v>Value Missing.Value Missing</v>
      </c>
      <c r="N192" s="21" t="s">
        <v>3828</v>
      </c>
      <c r="O192" s="18" t="str">
        <f>(CONCATENATE(wld_az1_rack4_host15_hostname,".",(IF(ISBLANK(wld_az1_rack4_child_dns_zone),"Value Missing",wld_az1_rack4_child_dns_zone))))</f>
        <v>Value Missing.Value Missing</v>
      </c>
      <c r="Q192" s="21" t="s">
        <v>3828</v>
      </c>
      <c r="R192" s="18" t="str">
        <f>(CONCATENATE(wld_az1_rack5_host15_hostname,".",(IF(ISBLANK(wld_az1_rack5_child_dns_zone),"Value Missing",wld_az1_rack5_child_dns_zone))))</f>
        <v>Value Missing.Value Missing</v>
      </c>
      <c r="T192" s="21" t="s">
        <v>3828</v>
      </c>
      <c r="U192" s="18" t="str">
        <f>(CONCATENATE(wld_az1_rack6_host15_hostname,".",(IF(ISBLANK(wld_az1_rack6_child_dns_zone),"Value Missing",wld_az1_rack6_child_dns_zone))))</f>
        <v>Value Missing.Value Missing</v>
      </c>
      <c r="W192" s="21" t="s">
        <v>3828</v>
      </c>
      <c r="X192" s="18" t="str">
        <f>(CONCATENATE(wld_az1_rack7_host15_hostname,".",(IF(ISBLANK(wld_az1_rack7_child_dns_zone),"Value Missing",wld_az1_rack7_child_dns_zone))))</f>
        <v>Value Missing.Value Missing</v>
      </c>
      <c r="Z192" s="21" t="s">
        <v>3828</v>
      </c>
      <c r="AA192" s="18" t="str">
        <f>(CONCATENATE(wld_az1_rack8_host15_hostname,".",(IF(ISBLANK(wld_az1_rack8_child_dns_zone),"Value Missing",wld_az1_rack8_child_dns_zone))))</f>
        <v>Value Missing.Value Missing</v>
      </c>
    </row>
    <row r="193" spans="2:27" ht="20" customHeight="1">
      <c r="B193" s="21" t="s">
        <v>3829</v>
      </c>
      <c r="C193" s="18" t="str">
        <f>(CONCATENATE(mgmt_az1_host16_hostname,".",(IF(ISBLANK(input_child_dns_zone),"Value Missing",input_child_dns_zone))))</f>
        <v>Value Missing.Value Missing</v>
      </c>
      <c r="E193" s="21" t="s">
        <v>3829</v>
      </c>
      <c r="F193" s="18" t="str" cm="1">
        <f t="array" ref="F193">(CONCATENATE(wld_az1_host16_hostname,".",(IF(ISBLANK(wld_az1_child_dns_zone),"Value Missing",wld_az1_child_dns_zone))))</f>
        <v>Value Missing.Value Missing</v>
      </c>
      <c r="H193" s="21" t="s">
        <v>3829</v>
      </c>
      <c r="I193" s="18" t="str">
        <f>(CONCATENATE(wld_az1_rack2_host16_hostname,".",(IF(ISBLANK(wld_az1_rack2_child_dns_zone),"Value Missing",wld_az1_rack2_child_dns_zone))))</f>
        <v>Value Missing.Value Missing</v>
      </c>
      <c r="K193" s="21" t="s">
        <v>3829</v>
      </c>
      <c r="L193" s="18" t="str">
        <f>(CONCATENATE(wld_az1_rack3_host16_hostname,".",(IF(ISBLANK(wld_az1_rack3_child_dns_zone),"Value Missing",wld_az1_rack3_child_dns_zone))))</f>
        <v>Value Missing.Value Missing</v>
      </c>
      <c r="N193" s="21" t="s">
        <v>3829</v>
      </c>
      <c r="O193" s="18" t="str">
        <f>(CONCATENATE(wld_az1_rack4_host16_hostname,".",(IF(ISBLANK(wld_az1_rack4_child_dns_zone),"Value Missing",wld_az1_rack4_child_dns_zone))))</f>
        <v>Value Missing.Value Missing</v>
      </c>
      <c r="Q193" s="21" t="s">
        <v>3829</v>
      </c>
      <c r="R193" s="18" t="str">
        <f>(CONCATENATE(wld_az1_rack5_host16_hostname,".",(IF(ISBLANK(wld_az1_rack5_child_dns_zone),"Value Missing",wld_az1_rack5_child_dns_zone))))</f>
        <v>Value Missing.Value Missing</v>
      </c>
      <c r="T193" s="21" t="s">
        <v>3829</v>
      </c>
      <c r="U193" s="18" t="str">
        <f>(CONCATENATE(wld_az1_rack6_host16_hostname,".",(IF(ISBLANK(wld_az1_rack6_child_dns_zone),"Value Missing",wld_az1_rack6_child_dns_zone))))</f>
        <v>Value Missing.Value Missing</v>
      </c>
      <c r="W193" s="21" t="s">
        <v>3829</v>
      </c>
      <c r="X193" s="18" t="str">
        <f>(CONCATENATE(wld_az1_rack7_host16_hostname,".",(IF(ISBLANK(wld_az1_rack7_child_dns_zone),"Value Missing",wld_az1_rack7_child_dns_zone))))</f>
        <v>Value Missing.Value Missing</v>
      </c>
      <c r="Z193" s="21" t="s">
        <v>3829</v>
      </c>
      <c r="AA193" s="18" t="str">
        <f>(CONCATENATE(wld_az1_rack8_host16_hostname,".",(IF(ISBLANK(wld_az1_rack8_child_dns_zone),"Value Missing",wld_az1_rack8_child_dns_zone))))</f>
        <v>Value Missing.Value Missing</v>
      </c>
    </row>
    <row r="194" spans="2:27" ht="20" customHeight="1">
      <c r="E194" s="3"/>
      <c r="F194" s="3"/>
      <c r="H194" s="3"/>
      <c r="I194" s="3"/>
      <c r="K194" s="3"/>
      <c r="L194" s="3"/>
      <c r="N194" s="3"/>
      <c r="O194" s="3"/>
      <c r="Q194" s="3"/>
      <c r="R194" s="3"/>
      <c r="T194" s="3"/>
      <c r="U194" s="3"/>
      <c r="W194" s="3"/>
      <c r="X194" s="3"/>
      <c r="Z194" s="3"/>
      <c r="AA194" s="3"/>
    </row>
    <row r="195" spans="2:27" ht="20" customHeight="1">
      <c r="B195" s="184" t="s">
        <v>4117</v>
      </c>
      <c r="C195" s="187"/>
      <c r="E195" s="184" t="s">
        <v>4035</v>
      </c>
      <c r="F195" s="187"/>
      <c r="H195" s="184" t="s">
        <v>3948</v>
      </c>
      <c r="I195" s="187"/>
      <c r="K195" s="184" t="s">
        <v>3955</v>
      </c>
      <c r="L195" s="187"/>
      <c r="N195" s="184" t="s">
        <v>3956</v>
      </c>
      <c r="O195" s="187"/>
      <c r="Q195" s="184" t="s">
        <v>3957</v>
      </c>
      <c r="R195" s="187"/>
      <c r="T195" s="184" t="s">
        <v>3958</v>
      </c>
      <c r="U195" s="187"/>
      <c r="W195" s="184" t="s">
        <v>3959</v>
      </c>
      <c r="X195" s="187"/>
      <c r="Z195" s="184" t="s">
        <v>3960</v>
      </c>
      <c r="AA195" s="187"/>
    </row>
    <row r="196" spans="2:27" ht="20" customHeight="1">
      <c r="B196" s="21" t="s">
        <v>3949</v>
      </c>
      <c r="C196" s="18" t="str">
        <f>IF(ISBLANK('Name &amp; IP Address Inputs - Rack'!D43),"Value Missing",'Name &amp; IP Address Inputs - Rack'!D43)</f>
        <v>Value Missing</v>
      </c>
      <c r="E196" s="21" t="s">
        <v>3949</v>
      </c>
      <c r="F196" s="18" t="str">
        <f>IF(ISBLANK(input_wld_az1_en1_hostname),"Value Missing",input_wld_az1_en1_hostname)</f>
        <v>Value Missing</v>
      </c>
      <c r="H196" s="21" t="s">
        <v>3949</v>
      </c>
      <c r="I196" s="18" t="str">
        <f>IF(ISBLANK(input_wld_az1_rack2_en1_hostname),"Value Missing",input_wld_az1_rack2_en1_hostname)</f>
        <v>Value Missing</v>
      </c>
      <c r="K196" s="21" t="s">
        <v>3949</v>
      </c>
      <c r="L196" s="18" t="str">
        <f>IF(ISBLANK(input_wld_az1_rack3_en1_hostname),"Value Missing",input_wld_az1_rack3_en1_hostname)</f>
        <v>Value Missing</v>
      </c>
      <c r="N196" s="21" t="s">
        <v>3949</v>
      </c>
      <c r="O196" s="18" t="str">
        <f>IF(ISBLANK(input_wld_az1_rack4_en1_hostname),"Value Missing",input_wld_az1_rack4_en1_hostname)</f>
        <v>Value Missing</v>
      </c>
      <c r="Q196" s="21" t="s">
        <v>3949</v>
      </c>
      <c r="R196" s="18" t="str">
        <f>IF(ISBLANK(input_wld_az1_rack5_en1_hostname),"Value Missing",input_wld_az1_rack5_en1_hostname)</f>
        <v>Value Missing</v>
      </c>
      <c r="T196" s="21" t="s">
        <v>3949</v>
      </c>
      <c r="U196" s="18" t="str">
        <f>IF(ISBLANK(input_wld_az1_rack6_en1_hostname),"Value Missing",input_wld_az1_rack6_en1_hostname)</f>
        <v>Value Missing</v>
      </c>
      <c r="W196" s="21" t="s">
        <v>3949</v>
      </c>
      <c r="X196" s="18" t="str">
        <f>IF(ISBLANK(input_wld_az1_rack7_en1_hostname),"Value Missing",input_wld_az1_rack7_en1_hostname)</f>
        <v>Value Missing</v>
      </c>
      <c r="Z196" s="21" t="s">
        <v>3949</v>
      </c>
      <c r="AA196" s="18" t="str">
        <f>IF(ISBLANK(input_wld_az1_rack8_en1_hostname),"Value Missing",input_wld_az1_rack8_en1_hostname)</f>
        <v>Value Missing</v>
      </c>
    </row>
    <row r="197" spans="2:27" ht="20" customHeight="1">
      <c r="B197" s="21" t="s">
        <v>3961</v>
      </c>
      <c r="C197" s="18" t="str">
        <f>CONCATENATE(IF(ISBLANK(input_mgmt_az1_en1_hostname),"Value Missing",input_mgmt_az1_en1_hostname),".",(IF(ISBLANK(input_child_dns_zone),"Value Missing",input_child_dns_zone)))</f>
        <v>Value Missing.Value Missing</v>
      </c>
      <c r="E197" s="21" t="s">
        <v>3961</v>
      </c>
      <c r="F197" s="18" t="str">
        <f>CONCATENATE(IF(ISBLANK(input_wld_az1_en1_hostname),"Value Missing",input_wld_az1_en1_hostname),".",(IF(ISBLANK(wld_az1_child_dns_zone),"Value Missing",wld_az1_child_dns_zone)))</f>
        <v>Value Missing.Value Missing</v>
      </c>
      <c r="H197" s="21" t="s">
        <v>3961</v>
      </c>
      <c r="I197" s="18" t="str">
        <f>CONCATENATE(IF(ISBLANK(input_wld_az1_rack2_en1_hostname),"Value Missing",input_wld_az1_rack2_en1_hostname),".",(IF(ISBLANK(wld_az1_rack2_child_dns_zone),"Value Missing",wld_az1_rack2_child_dns_zone)))</f>
        <v>Value Missing.Value Missing</v>
      </c>
      <c r="K197" s="21" t="s">
        <v>3961</v>
      </c>
      <c r="L197" s="18" t="str">
        <f>CONCATENATE(IF(ISBLANK(input_wld_az1_rack3_en1_hostname),"Value Missing",input_wld_az1_rack3_en1_hostname),".",(IF(ISBLANK(wld_az1_rack3_child_dns_zone),"Value Missing",wld_az1_rack3_child_dns_zone)))</f>
        <v>Value Missing.Value Missing</v>
      </c>
      <c r="N197" s="21" t="s">
        <v>3961</v>
      </c>
      <c r="O197" s="18" t="str">
        <f>CONCATENATE(IF(ISBLANK(input_wld_az1_rack4_en1_hostname),"Value Missing",input_wld_az1_rack4_en1_hostname),".",(IF(ISBLANK(wld_az1_rack4_child_dns_zone),"Value Missing",wld_az1_rack4_child_dns_zone)))</f>
        <v>Value Missing.Value Missing</v>
      </c>
      <c r="Q197" s="21" t="s">
        <v>3961</v>
      </c>
      <c r="R197" s="18" t="str">
        <f>CONCATENATE(IF(ISBLANK(input_wld_az1_rack5_en1_hostname),"Value Missing",input_wld_az1_rack5_en1_hostname),".",(IF(ISBLANK(wld_az1_rack5_child_dns_zone),"Value Missing",wld_az1_rack5_child_dns_zone)))</f>
        <v>Value Missing.Value Missing</v>
      </c>
      <c r="T197" s="21" t="s">
        <v>3961</v>
      </c>
      <c r="U197" s="18" t="str">
        <f>CONCATENATE(IF(ISBLANK(input_wld_az1_rack6_en1_hostname),"Value Missing",input_wld_az1_rack6_en1_hostname),".",(IF(ISBLANK(wld_az1_rack6_child_dns_zone),"Value Missing",wld_az1_rack6_child_dns_zone)))</f>
        <v>Value Missing.Value Missing</v>
      </c>
      <c r="W197" s="21" t="s">
        <v>3961</v>
      </c>
      <c r="X197" s="18" t="str">
        <f>CONCATENATE(IF(ISBLANK(input_wld_az1_rack7_en1_hostname),"Value Missing",input_wld_az1_rack7_en1_hostname),".",(IF(ISBLANK(wld_az1_rack7_child_dns_zone),"Value Missing",wld_az1_rack7_child_dns_zone)))</f>
        <v>Value Missing.Value Missing</v>
      </c>
      <c r="Z197" s="21" t="s">
        <v>3961</v>
      </c>
      <c r="AA197" s="18" t="str">
        <f>CONCATENATE(IF(ISBLANK(input_wld_az1_rack8_en1_hostname),"Value Missing",input_wld_az1_rack8_en1_hostname),".",(IF(ISBLANK(wld_az1_rack8_child_dns_zone),"Value Missing",wld_az1_rack8_child_dns_zone)))</f>
        <v>Value Missing.Value Missing</v>
      </c>
    </row>
    <row r="198" spans="2:27" ht="20" customHeight="1">
      <c r="B198" s="21" t="s">
        <v>3950</v>
      </c>
      <c r="C198" s="18" t="str">
        <f>IF(ISBLANK('Name &amp; IP Address Inputs - Rack'!F43),"Value Missing",'Name &amp; IP Address Inputs - Rack'!F43)</f>
        <v>Value Missing</v>
      </c>
      <c r="E198" s="21" t="s">
        <v>3950</v>
      </c>
      <c r="F198" s="18" t="str">
        <f>IF(ISBLANK('Name &amp; IP Address Inputs - Rack'!F148),"Value Missing",'Name &amp; IP Address Inputs - Rack'!F148)</f>
        <v>Value Missing</v>
      </c>
      <c r="H198" s="21" t="s">
        <v>3950</v>
      </c>
      <c r="I198" s="18" t="str">
        <f>IF(ISBLANK(input_wld_az1_rack2_en1_mgmt_ip),"Value Missing",input_wld_az1_rack2_en1_mgmt_ip)</f>
        <v>Value Missing</v>
      </c>
      <c r="K198" s="21" t="s">
        <v>3950</v>
      </c>
      <c r="L198" s="18" t="str">
        <f>IF(ISBLANK(input_wld_az1_rack3_en1_mgmt_ip),"Value Missing",input_wld_az1_rack3_en1_mgmt_ip)</f>
        <v>Value Missing</v>
      </c>
      <c r="N198" s="21" t="s">
        <v>3950</v>
      </c>
      <c r="O198" s="18" t="str">
        <f>IF(ISBLANK(input_wld_az1_rack4_en1_mgmt_ip),"Value Missing",input_wld_az1_rack4_en1_mgmt_ip)</f>
        <v>Value Missing</v>
      </c>
      <c r="Q198" s="21" t="s">
        <v>3950</v>
      </c>
      <c r="R198" s="18" t="str">
        <f>IF(ISBLANK(input_wld_az1_rack5_en1_mgmt_ip),"Value Missing",input_wld_az1_rack5_en1_mgmt_ip)</f>
        <v>Value Missing</v>
      </c>
      <c r="T198" s="21" t="s">
        <v>3950</v>
      </c>
      <c r="U198" s="18" t="str">
        <f>IF(ISBLANK(input_wld_az1_rack6_en1_mgmt_ip),"Value Missing",input_wld_az1_rack6_en1_mgmt_ip)</f>
        <v>Value Missing</v>
      </c>
      <c r="W198" s="21" t="s">
        <v>3950</v>
      </c>
      <c r="X198" s="18" t="str">
        <f>IF(ISBLANK(input_wld_az1_rack7_en1_mgmt_ip),"Value Missing",input_wld_az1_rack7_en1_mgmt_ip)</f>
        <v>Value Missing</v>
      </c>
      <c r="Z198" s="21" t="s">
        <v>3950</v>
      </c>
      <c r="AA198" s="18" t="str">
        <f>IF(ISBLANK(input_wld_az1_rack8_en1_mgmt_ip),"Value Missing",input_wld_az1_rack8_en1_mgmt_ip)</f>
        <v>Value Missing</v>
      </c>
    </row>
    <row r="199" spans="2:27" ht="20" customHeight="1">
      <c r="B199" s="21" t="s">
        <v>3951</v>
      </c>
      <c r="C199" s="18" t="str">
        <f>IF(ISBLANK('Name &amp; IP Address Inputs - Rack'!F44),"Value Missing",'Name &amp; IP Address Inputs - Rack'!F44)</f>
        <v>Value Missing</v>
      </c>
      <c r="E199" s="21" t="s">
        <v>3951</v>
      </c>
      <c r="F199" s="18" t="str">
        <f>IF(ISBLANK('Name &amp; IP Address Inputs - Rack'!F149),"Value Missing",'Name &amp; IP Address Inputs - Rack'!F149)</f>
        <v>Value Missing</v>
      </c>
      <c r="H199" s="21" t="s">
        <v>3951</v>
      </c>
      <c r="I199" s="18" t="str">
        <f>IF(ISBLANK(input_wld_az1_rack2_en1_uplink01_interface_ip),"Value Missing",input_wld_az1_rack2_en1_uplink01_interface_ip)</f>
        <v>Value Missing</v>
      </c>
      <c r="K199" s="21" t="s">
        <v>3951</v>
      </c>
      <c r="L199" s="18" t="str">
        <f>IF(ISBLANK(input_wld_az1_rack3_en1_uplink01_interface_ip),"Value Missing",input_wld_az1_rack3_en1_uplink01_interface_ip)</f>
        <v>Value Missing</v>
      </c>
      <c r="N199" s="21" t="s">
        <v>3951</v>
      </c>
      <c r="O199" s="18" t="str">
        <f>IF(ISBLANK(input_wld_az1_rack4_en1_uplink01_interface_ip),"Value Missing",input_wld_az1_rack4_en1_uplink01_interface_ip)</f>
        <v>Value Missing</v>
      </c>
      <c r="Q199" s="21" t="s">
        <v>3951</v>
      </c>
      <c r="R199" s="18" t="str">
        <f>IF(ISBLANK(input_wld_az1_rack5_en1_uplink01_interface_ip),"Value Missing",input_wld_az1_rack5_en1_uplink01_interface_ip)</f>
        <v>Value Missing</v>
      </c>
      <c r="T199" s="21" t="s">
        <v>3951</v>
      </c>
      <c r="U199" s="18" t="str">
        <f>IF(ISBLANK(input_wld_az1_rack6_en1_uplink01_interface_ip),"Value Missing",input_wld_az1_rack6_en1_uplink01_interface_ip)</f>
        <v>Value Missing</v>
      </c>
      <c r="W199" s="21" t="s">
        <v>3951</v>
      </c>
      <c r="X199" s="18" t="str">
        <f>IF(ISBLANK(input_wld_az1_rack7_en1_uplink01_interface_ip),"Value Missing",input_wld_az1_rack7_en1_uplink01_interface_ip)</f>
        <v>Value Missing</v>
      </c>
      <c r="Z199" s="21" t="s">
        <v>3951</v>
      </c>
      <c r="AA199" s="18" t="str">
        <f>IF(ISBLANK(input_wld_az1_rack8_en1_uplink01_interface_ip),"Value Missing",input_wld_az1_rack8_en1_uplink01_interface_ip)</f>
        <v>Value Missing</v>
      </c>
    </row>
    <row r="200" spans="2:27" ht="20" customHeight="1">
      <c r="B200" s="21" t="s">
        <v>3952</v>
      </c>
      <c r="C200" s="18" t="str">
        <f>IF(ISBLANK('Name &amp; IP Address Inputs - Rack'!F45),"Value Missing",'Name &amp; IP Address Inputs - Rack'!F45)</f>
        <v>Value Missing</v>
      </c>
      <c r="E200" s="21" t="s">
        <v>3952</v>
      </c>
      <c r="F200" s="18" t="str">
        <f>IF(ISBLANK('Name &amp; IP Address Inputs - Rack'!F150),"Value Missing",'Name &amp; IP Address Inputs - Rack'!F150)</f>
        <v>Value Missing</v>
      </c>
      <c r="H200" s="21" t="s">
        <v>3952</v>
      </c>
      <c r="I200" s="18" t="str">
        <f>IF(ISBLANK(input_wld_az1_rack2_en1_uplink02_interface_ip),"Value Missing",input_wld_az1_rack2_en1_uplink02_interface_ip)</f>
        <v>Value Missing</v>
      </c>
      <c r="K200" s="21" t="s">
        <v>3952</v>
      </c>
      <c r="L200" s="18" t="str">
        <f>IF(ISBLANK(input_wld_az1_rack3_en1_uplink02_interface_ip),"Value Missing",input_wld_az1_rack3_en1_uplink02_interface_ip)</f>
        <v>Value Missing</v>
      </c>
      <c r="N200" s="21" t="s">
        <v>3952</v>
      </c>
      <c r="O200" s="18" t="str">
        <f>IF(ISBLANK(input_wld_az1_rack4_en1_uplink02_interface_ip),"Value Missing",input_wld_az1_rack4_en1_uplink02_interface_ip)</f>
        <v>Value Missing</v>
      </c>
      <c r="Q200" s="21" t="s">
        <v>3952</v>
      </c>
      <c r="R200" s="18" t="str">
        <f>IF(ISBLANK(input_wld_az1_rack5_en1_uplink02_interface_ip),"Value Missing",input_wld_az1_rack5_en1_uplink02_interface_ip)</f>
        <v>Value Missing</v>
      </c>
      <c r="T200" s="21" t="s">
        <v>3952</v>
      </c>
      <c r="U200" s="18" t="str">
        <f>IF(ISBLANK(input_wld_az1_rack6_en1_uplink02_interface_ip),"Value Missing",input_wld_az1_rack6_en1_uplink02_interface_ip)</f>
        <v>Value Missing</v>
      </c>
      <c r="W200" s="21" t="s">
        <v>3952</v>
      </c>
      <c r="X200" s="18" t="str">
        <f>IF(ISBLANK(input_wld_az1_rack7_en1_uplink02_interface_ip),"Value Missing",input_wld_az1_rack7_en1_uplink02_interface_ip)</f>
        <v>Value Missing</v>
      </c>
      <c r="Z200" s="21" t="s">
        <v>3952</v>
      </c>
      <c r="AA200" s="18" t="str">
        <f>IF(ISBLANK(input_wld_az1_rack8_en1_uplink02_interface_ip),"Value Missing",input_wld_az1_rack8_en1_uplink02_interface_ip)</f>
        <v>Value Missing</v>
      </c>
    </row>
    <row r="201" spans="2:27" ht="20" customHeight="1">
      <c r="B201" s="21" t="s">
        <v>3953</v>
      </c>
      <c r="C201" s="18" t="str">
        <f>IF(ISBLANK('Name &amp; IP Address Inputs - Rack'!F46),"Value Missing",'Name &amp; IP Address Inputs - Rack'!F46)</f>
        <v>Value Missing</v>
      </c>
      <c r="E201" s="21" t="s">
        <v>3953</v>
      </c>
      <c r="F201" s="18" t="str">
        <f>IF(ISBLANK('Name &amp; IP Address Inputs - Rack'!F151),"Value Missing",'Name &amp; IP Address Inputs - Rack'!F151)</f>
        <v>Value Missing</v>
      </c>
      <c r="H201" s="21" t="s">
        <v>3953</v>
      </c>
      <c r="I201" s="18"/>
      <c r="K201" s="21" t="s">
        <v>3953</v>
      </c>
      <c r="L201" s="18"/>
      <c r="N201" s="21" t="s">
        <v>3953</v>
      </c>
      <c r="O201" s="18"/>
      <c r="Q201" s="21" t="s">
        <v>3953</v>
      </c>
      <c r="R201" s="18"/>
      <c r="T201" s="21" t="s">
        <v>3953</v>
      </c>
      <c r="U201" s="18"/>
      <c r="W201" s="21" t="s">
        <v>3953</v>
      </c>
      <c r="X201" s="18"/>
      <c r="Z201" s="21" t="s">
        <v>3953</v>
      </c>
      <c r="AA201" s="18"/>
    </row>
    <row r="202" spans="2:27" ht="20" customHeight="1">
      <c r="B202" s="21" t="s">
        <v>3954</v>
      </c>
      <c r="C202" s="18" t="str">
        <f>IF(ISBLANK('Name &amp; IP Address Inputs - Rack'!F47),"Value Missing",'Name &amp; IP Address Inputs - Rack'!F47)</f>
        <v>Value Missing</v>
      </c>
      <c r="E202" s="21" t="s">
        <v>3954</v>
      </c>
      <c r="F202" s="18" t="str">
        <f>IF(ISBLANK('Name &amp; IP Address Inputs - Rack'!F152),"Value Missing",'Name &amp; IP Address Inputs - Rack'!F152)</f>
        <v>Value Missing</v>
      </c>
      <c r="H202" s="21" t="s">
        <v>3954</v>
      </c>
      <c r="I202" s="18"/>
      <c r="K202" s="21" t="s">
        <v>3954</v>
      </c>
      <c r="L202" s="18"/>
      <c r="N202" s="21" t="s">
        <v>3954</v>
      </c>
      <c r="O202" s="18"/>
      <c r="Q202" s="21" t="s">
        <v>3954</v>
      </c>
      <c r="R202" s="18"/>
      <c r="T202" s="21" t="s">
        <v>3954</v>
      </c>
      <c r="U202" s="18"/>
      <c r="W202" s="21" t="s">
        <v>3954</v>
      </c>
      <c r="X202" s="18"/>
      <c r="Z202" s="21" t="s">
        <v>3954</v>
      </c>
      <c r="AA202" s="18"/>
    </row>
    <row r="203" spans="2:27" ht="20" customHeight="1">
      <c r="B203" s="27"/>
      <c r="E203" s="27"/>
      <c r="F203" s="27"/>
      <c r="H203" s="27"/>
      <c r="I203" s="27"/>
      <c r="K203" s="27"/>
      <c r="L203" s="27"/>
      <c r="N203" s="27"/>
      <c r="O203" s="27"/>
      <c r="Q203" s="27"/>
      <c r="R203" s="27"/>
      <c r="T203" s="27"/>
      <c r="U203" s="27"/>
      <c r="W203" s="27"/>
      <c r="X203" s="27"/>
      <c r="Z203" s="27"/>
      <c r="AA203" s="27"/>
    </row>
    <row r="204" spans="2:27" ht="20" customHeight="1">
      <c r="B204" s="184" t="s">
        <v>4161</v>
      </c>
      <c r="C204" s="187"/>
      <c r="E204" s="184" t="s">
        <v>4160</v>
      </c>
      <c r="F204" s="187"/>
      <c r="H204" s="184" t="s">
        <v>3948</v>
      </c>
      <c r="I204" s="187"/>
      <c r="K204" s="184" t="s">
        <v>3955</v>
      </c>
      <c r="L204" s="187"/>
      <c r="N204" s="184" t="s">
        <v>3956</v>
      </c>
      <c r="O204" s="187"/>
      <c r="Q204" s="184" t="s">
        <v>3957</v>
      </c>
      <c r="R204" s="187"/>
      <c r="T204" s="184" t="s">
        <v>3958</v>
      </c>
      <c r="U204" s="187"/>
      <c r="W204" s="184" t="s">
        <v>3959</v>
      </c>
      <c r="X204" s="187"/>
      <c r="Z204" s="184" t="s">
        <v>3960</v>
      </c>
      <c r="AA204" s="187"/>
    </row>
    <row r="205" spans="2:27" ht="20" customHeight="1">
      <c r="B205" s="21" t="s">
        <v>3949</v>
      </c>
      <c r="C205" s="18" t="str">
        <f>IF(ISBLANK('Name &amp; IP Address Inputs - Rack'!D48),"Value Missing",'Name &amp; IP Address Inputs - Rack'!D48)</f>
        <v>Value Missing</v>
      </c>
      <c r="E205" s="21" t="s">
        <v>3949</v>
      </c>
      <c r="F205" s="18" t="str">
        <f>IF(ISBLANK(input_wld_az1_en2_hostname),"Value Missing",input_wld_az1_en2_hostname)</f>
        <v>Value Missing</v>
      </c>
      <c r="H205" s="21" t="s">
        <v>3949</v>
      </c>
      <c r="I205" s="18" t="str">
        <f>IF(ISBLANK(input_wld_az1_rack2_en2_hostname),"Value Missing",input_wld_az1_rack2_en2_hostname)</f>
        <v>Value Missing</v>
      </c>
      <c r="K205" s="21" t="s">
        <v>3949</v>
      </c>
      <c r="L205" s="18" t="str">
        <f>IF(ISBLANK(input_wld_az1_rack3_en2_hostname),"Value Missing",input_wld_az1_rack3_en2_hostname)</f>
        <v>Value Missing</v>
      </c>
      <c r="N205" s="21" t="s">
        <v>3949</v>
      </c>
      <c r="O205" s="18" t="str">
        <f>IF(ISBLANK(input_wld_az1_rack4_en2_hostname),"Value Missing",input_wld_az1_rack4_en2_hostname)</f>
        <v>Value Missing</v>
      </c>
      <c r="Q205" s="21" t="s">
        <v>3949</v>
      </c>
      <c r="R205" s="18" t="str">
        <f>IF(ISBLANK(input_wld_az1_rack5_en2_hostname),"Value Missing",input_wld_az1_rack5_en2_hostname)</f>
        <v>Value Missing</v>
      </c>
      <c r="T205" s="21" t="s">
        <v>3949</v>
      </c>
      <c r="U205" s="18" t="str">
        <f>IF(ISBLANK(input_wld_az1_rack6_en2_hostname),"Value Missing",input_wld_az1_rack6_en2_hostname)</f>
        <v>Value Missing</v>
      </c>
      <c r="W205" s="21" t="s">
        <v>3949</v>
      </c>
      <c r="X205" s="18" t="str">
        <f>IF(ISBLANK(input_wld_az1_rack7_en2_hostname),"Value Missing",input_wld_az1_rack7_en2_hostname)</f>
        <v>Value Missing</v>
      </c>
      <c r="Z205" s="21" t="s">
        <v>3949</v>
      </c>
      <c r="AA205" s="18" t="str">
        <f>IF(ISBLANK(input_wld_az1_rack8_en2_hostname),"Value Missing",input_wld_az1_rack8_en2_hostname)</f>
        <v>Value Missing</v>
      </c>
    </row>
    <row r="206" spans="2:27" ht="20" customHeight="1">
      <c r="B206" s="21" t="s">
        <v>3961</v>
      </c>
      <c r="C206" s="18" t="str">
        <f>CONCATENATE(IF(ISBLANK(input_mgmt_az1_en2_hostname),"Value Missing",input_mgmt_az1_en2_hostname),".",(IF(ISBLANK(input_child_dns_zone),"Value Missing",input_child_dns_zone)))</f>
        <v>Value Missing.Value Missing</v>
      </c>
      <c r="E206" s="21" t="s">
        <v>3961</v>
      </c>
      <c r="F206" s="18" t="str">
        <f>CONCATENATE(IF(ISBLANK(input_wld_az1_en2_hostname),"Value Missing",input_wld_az1_en2_hostname),".",(IF(ISBLANK(wld_az1_child_dns_zone),"Value Missing",wld_az1_child_dns_zone)))</f>
        <v>Value Missing.Value Missing</v>
      </c>
      <c r="H206" s="21" t="s">
        <v>3961</v>
      </c>
      <c r="I206" s="18" t="str">
        <f>CONCATENATE(IF(ISBLANK(input_wld_az1_rack2_en2_hostname),"Value Missing",input_wld_az1_rack2_en2_hostname),".",(IF(ISBLANK(wld_az1_rack2_child_dns_zone),"Value Missing",wld_az1_rack2_child_dns_zone)))</f>
        <v>Value Missing.Value Missing</v>
      </c>
      <c r="K206" s="21" t="s">
        <v>3961</v>
      </c>
      <c r="L206" s="18" t="str">
        <f>CONCATENATE(IF(ISBLANK(input_wld_az1_rack3_en2_hostname),"Value Missing",input_wld_az1_rack3_en2_hostname),".",(IF(ISBLANK(wld_az1_rack3_child_dns_zone),"Value Missing",wld_az1_rack3_child_dns_zone)))</f>
        <v>Value Missing.Value Missing</v>
      </c>
      <c r="N206" s="21" t="s">
        <v>3961</v>
      </c>
      <c r="O206" s="18" t="str">
        <f>CONCATENATE(IF(ISBLANK(input_wld_az1_rack4_en2_hostname),"Value Missing",input_wld_az1_rack4_en2_hostname),".",(IF(ISBLANK(wld_az1_rack4_child_dns_zone),"Value Missing",wld_az1_rack4_child_dns_zone)))</f>
        <v>Value Missing.Value Missing</v>
      </c>
      <c r="Q206" s="21" t="s">
        <v>3961</v>
      </c>
      <c r="R206" s="18" t="str">
        <f>CONCATENATE(IF(ISBLANK(input_wld_az1_rack5_en2_hostname),"Value Missing",input_wld_az1_rack5_en2_hostname),".",(IF(ISBLANK(wld_az1_rack5_child_dns_zone),"Value Missing",wld_az1_rack5_child_dns_zone)))</f>
        <v>Value Missing.Value Missing</v>
      </c>
      <c r="T206" s="21" t="s">
        <v>3961</v>
      </c>
      <c r="U206" s="18" t="str">
        <f>CONCATENATE(IF(ISBLANK(input_wld_az1_rack6_en2_hostname),"Value Missing",input_wld_az1_rack6_en2_hostname),".",(IF(ISBLANK(wld_az1_rack6_child_dns_zone),"Value Missing",wld_az1_rack6_child_dns_zone)))</f>
        <v>Value Missing.Value Missing</v>
      </c>
      <c r="W206" s="21" t="s">
        <v>3961</v>
      </c>
      <c r="X206" s="18" t="str">
        <f>CONCATENATE(IF(ISBLANK(input_wld_az1_rack7_en2_hostname),"Value Missing",input_wld_az1_rack7_en2_hostname),".",(IF(ISBLANK(wld_az1_rack7_child_dns_zone),"Value Missing",wld_az1_rack7_child_dns_zone)))</f>
        <v>Value Missing.Value Missing</v>
      </c>
      <c r="Z206" s="21" t="s">
        <v>3961</v>
      </c>
      <c r="AA206" s="18" t="str">
        <f>CONCATENATE(IF(ISBLANK(input_wld_az1_rack8_en2_hostname),"Value Missing",input_wld_az1_rack8_en2_hostname),".",(IF(ISBLANK(wld_az1_rack8_child_dns_zone),"Value Missing",wld_az1_rack8_child_dns_zone)))</f>
        <v>Value Missing.Value Missing</v>
      </c>
    </row>
    <row r="207" spans="2:27" ht="20" customHeight="1">
      <c r="B207" s="21" t="s">
        <v>3950</v>
      </c>
      <c r="C207" s="18" t="str">
        <f>IF(ISBLANK('Name &amp; IP Address Inputs - Rack'!F48),"Value Missing",'Name &amp; IP Address Inputs - Rack'!F48)</f>
        <v>Value Missing</v>
      </c>
      <c r="E207" s="21" t="s">
        <v>3950</v>
      </c>
      <c r="F207" s="18" t="str">
        <f>IF(ISBLANK('Name &amp; IP Address Inputs - Rack'!F153),"Value Missing",'Name &amp; IP Address Inputs - Rack'!F153)</f>
        <v>Value Missing</v>
      </c>
      <c r="H207" s="21" t="s">
        <v>3950</v>
      </c>
      <c r="I207" s="18" t="str">
        <f>IF(ISBLANK(input_wld_az1_rack2_en2_mgmt_ip),"Value Missing",input_wld_az1_rack2_en2_mgmt_ip)</f>
        <v>Value Missing</v>
      </c>
      <c r="K207" s="21" t="s">
        <v>3950</v>
      </c>
      <c r="L207" s="18" t="str">
        <f>IF(ISBLANK(input_wld_az1_rack3_en2_mgmt_ip),"Value Missing",input_wld_az1_rack3_en2_mgmt_ip)</f>
        <v>Value Missing</v>
      </c>
      <c r="N207" s="21" t="s">
        <v>3950</v>
      </c>
      <c r="O207" s="18" t="str">
        <f>IF(ISBLANK(input_wld_az1_rack4_en2_mgmt_ip),"Value Missing",input_wld_az1_rack4_en2_mgmt_ip)</f>
        <v>Value Missing</v>
      </c>
      <c r="Q207" s="21" t="s">
        <v>3950</v>
      </c>
      <c r="R207" s="18" t="str">
        <f>IF(ISBLANK(input_wld_az1_rack5_en2_mgmt_ip),"Value Missing",input_wld_az1_rack5_en2_mgmt_ip)</f>
        <v>Value Missing</v>
      </c>
      <c r="T207" s="21" t="s">
        <v>3950</v>
      </c>
      <c r="U207" s="18" t="str">
        <f>IF(ISBLANK(input_wld_az1_rack6_en2_mgmt_ip),"Value Missing",input_wld_az1_rack6_en2_mgmt_ip)</f>
        <v>Value Missing</v>
      </c>
      <c r="W207" s="21" t="s">
        <v>3950</v>
      </c>
      <c r="X207" s="18" t="str">
        <f>IF(ISBLANK(input_wld_az1_rack7_en2_mgmt_ip),"Value Missing",input_wld_az1_rack7_en2_mgmt_ip)</f>
        <v>Value Missing</v>
      </c>
      <c r="Z207" s="21" t="s">
        <v>3950</v>
      </c>
      <c r="AA207" s="18" t="str">
        <f>IF(ISBLANK(input_wld_az1_rack8_en2_mgmt_ip),"Value Missing",input_wld_az1_rack8_en2_mgmt_ip)</f>
        <v>Value Missing</v>
      </c>
    </row>
    <row r="208" spans="2:27" ht="20" customHeight="1">
      <c r="B208" s="21" t="s">
        <v>3951</v>
      </c>
      <c r="C208" s="18" t="str">
        <f>IF(ISBLANK('Name &amp; IP Address Inputs - Rack'!F49),"Value Missing",'Name &amp; IP Address Inputs - Rack'!F49)</f>
        <v>Value Missing</v>
      </c>
      <c r="E208" s="21" t="s">
        <v>3951</v>
      </c>
      <c r="F208" s="18" t="str">
        <f>IF(ISBLANK('Name &amp; IP Address Inputs - Rack'!F154),"Value Missing",'Name &amp; IP Address Inputs - Rack'!F154)</f>
        <v>Value Missing</v>
      </c>
      <c r="H208" s="21" t="s">
        <v>3951</v>
      </c>
      <c r="I208" s="18" t="str">
        <f>IF(ISBLANK(input_wld_az1_rack2_en2_uplink01_interface_ip),"Value Missing",input_wld_az1_rack2_en2_uplink01_interface_ip)</f>
        <v>Value Missing</v>
      </c>
      <c r="K208" s="21" t="s">
        <v>3951</v>
      </c>
      <c r="L208" s="18" t="str">
        <f>IF(ISBLANK(input_wld_az1_rack3_en2_uplink01_interface_ip),"Value Missing",input_wld_az1_rack3_en2_uplink01_interface_ip)</f>
        <v>Value Missing</v>
      </c>
      <c r="N208" s="21" t="s">
        <v>3951</v>
      </c>
      <c r="O208" s="18" t="str">
        <f>IF(ISBLANK(input_wld_az1_rack4_en2_uplink01_interface_ip),"Value Missing",input_wld_az1_rack4_en2_uplink01_interface_ip)</f>
        <v>Value Missing</v>
      </c>
      <c r="Q208" s="21" t="s">
        <v>3951</v>
      </c>
      <c r="R208" s="18" t="str">
        <f>IF(ISBLANK(input_wld_az1_rack5_en2_uplink01_interface_ip),"Value Missing",input_wld_az1_rack5_en2_uplink01_interface_ip)</f>
        <v>Value Missing</v>
      </c>
      <c r="T208" s="21" t="s">
        <v>3951</v>
      </c>
      <c r="U208" s="18" t="str">
        <f>IF(ISBLANK(input_wld_az1_rack6_en2_uplink01_interface_ip),"Value Missing",input_wld_az1_rack6_en2_uplink01_interface_ip)</f>
        <v>Value Missing</v>
      </c>
      <c r="W208" s="21" t="s">
        <v>3951</v>
      </c>
      <c r="X208" s="18" t="str">
        <f>IF(ISBLANK(input_wld_az1_rack7_en2_uplink01_interface_ip),"Value Missing",input_wld_az1_rack7_en2_uplink01_interface_ip)</f>
        <v>Value Missing</v>
      </c>
      <c r="Z208" s="21" t="s">
        <v>3951</v>
      </c>
      <c r="AA208" s="18" t="str">
        <f>IF(ISBLANK(input_wld_az1_rack8_en2_uplink01_interface_ip),"Value Missing",input_wld_az1_rack8_en2_uplink01_interface_ip)</f>
        <v>Value Missing</v>
      </c>
    </row>
    <row r="209" spans="2:27" ht="20" customHeight="1">
      <c r="B209" s="21" t="s">
        <v>3952</v>
      </c>
      <c r="C209" s="18" t="str">
        <f>IF(ISBLANK('Name &amp; IP Address Inputs - Rack'!F50),"Value Missing",'Name &amp; IP Address Inputs - Rack'!F50)</f>
        <v>Value Missing</v>
      </c>
      <c r="E209" s="21" t="s">
        <v>3952</v>
      </c>
      <c r="F209" s="18" t="str">
        <f>IF(ISBLANK('Name &amp; IP Address Inputs - Rack'!F155),"Value Missing",'Name &amp; IP Address Inputs - Rack'!F155)</f>
        <v>Value Missing</v>
      </c>
      <c r="H209" s="21" t="s">
        <v>3952</v>
      </c>
      <c r="I209" s="18" t="str">
        <f>IF(ISBLANK(input_wld_az1_rack2_en2_uplink02_interface_ip),"Value Missing",input_wld_az1_rack2_en2_uplink02_interface_ip)</f>
        <v>Value Missing</v>
      </c>
      <c r="K209" s="21" t="s">
        <v>3952</v>
      </c>
      <c r="L209" s="18" t="str">
        <f>IF(ISBLANK(input_wld_az1_rack3_en2_uplink02_interface_ip),"Value Missing",input_wld_az1_rack3_en2_uplink02_interface_ip)</f>
        <v>Value Missing</v>
      </c>
      <c r="N209" s="21" t="s">
        <v>3952</v>
      </c>
      <c r="O209" s="18" t="str">
        <f>IF(ISBLANK(input_wld_az1_rack4_en2_uplink02_interface_ip),"Value Missing",input_wld_az1_rack4_en2_uplink02_interface_ip)</f>
        <v>Value Missing</v>
      </c>
      <c r="Q209" s="21" t="s">
        <v>3952</v>
      </c>
      <c r="R209" s="18" t="str">
        <f>IF(ISBLANK(input_wld_az1_rack5_en2_uplink02_interface_ip),"Value Missing",input_wld_az1_rack5_en2_uplink02_interface_ip)</f>
        <v>Value Missing</v>
      </c>
      <c r="T209" s="21" t="s">
        <v>3952</v>
      </c>
      <c r="U209" s="18" t="str">
        <f>IF(ISBLANK(input_wld_az1_rack6_en2_uplink02_interface_ip),"Value Missing",input_wld_az1_rack6_en2_uplink02_interface_ip)</f>
        <v>Value Missing</v>
      </c>
      <c r="W209" s="21" t="s">
        <v>3952</v>
      </c>
      <c r="X209" s="18" t="str">
        <f>IF(ISBLANK(input_wld_az1_rack7_en2_uplink02_interface_ip),"Value Missing",input_wld_az1_rack7_en2_uplink02_interface_ip)</f>
        <v>Value Missing</v>
      </c>
      <c r="Z209" s="21" t="s">
        <v>3952</v>
      </c>
      <c r="AA209" s="18" t="str">
        <f>IF(ISBLANK(input_wld_az1_rack8_en2_uplink02_interface_ip),"Value Missing",input_wld_az1_rack8_en2_uplink02_interface_ip)</f>
        <v>Value Missing</v>
      </c>
    </row>
    <row r="210" spans="2:27" ht="20" customHeight="1">
      <c r="B210" s="21" t="s">
        <v>3953</v>
      </c>
      <c r="C210" s="18" t="str">
        <f>IF(ISBLANK('Name &amp; IP Address Inputs - Rack'!F51),"Value Missing",'Name &amp; IP Address Inputs - Rack'!F51)</f>
        <v>Value Missing</v>
      </c>
      <c r="E210" s="21" t="s">
        <v>3953</v>
      </c>
      <c r="F210" s="18" t="str">
        <f>IF(ISBLANK('Name &amp; IP Address Inputs - Rack'!F156),"Value Missing",'Name &amp; IP Address Inputs - Rack'!F156)</f>
        <v>Value Missing</v>
      </c>
      <c r="H210" s="21" t="s">
        <v>3953</v>
      </c>
      <c r="I210" s="18"/>
      <c r="K210" s="21" t="s">
        <v>3953</v>
      </c>
      <c r="L210" s="18"/>
      <c r="N210" s="21" t="s">
        <v>3953</v>
      </c>
      <c r="O210" s="18"/>
      <c r="Q210" s="21" t="s">
        <v>3953</v>
      </c>
      <c r="R210" s="18"/>
      <c r="T210" s="21" t="s">
        <v>3953</v>
      </c>
      <c r="U210" s="18"/>
      <c r="W210" s="21" t="s">
        <v>3953</v>
      </c>
      <c r="X210" s="18"/>
      <c r="Z210" s="21" t="s">
        <v>3953</v>
      </c>
      <c r="AA210" s="18"/>
    </row>
    <row r="211" spans="2:27" ht="20" customHeight="1">
      <c r="B211" s="21" t="s">
        <v>3954</v>
      </c>
      <c r="C211" s="18" t="str">
        <f>IF(ISBLANK('Name &amp; IP Address Inputs - Rack'!F52),"Value Missing",'Name &amp; IP Address Inputs - Rack'!F52)</f>
        <v>Value Missing</v>
      </c>
      <c r="E211" s="21" t="s">
        <v>3954</v>
      </c>
      <c r="F211" s="18" t="str">
        <f>IF(ISBLANK('Name &amp; IP Address Inputs - Rack'!F157),"Value Missing",'Name &amp; IP Address Inputs - Rack'!F157)</f>
        <v>Value Missing</v>
      </c>
      <c r="H211" s="21" t="s">
        <v>3954</v>
      </c>
      <c r="I211" s="18"/>
      <c r="K211" s="21" t="s">
        <v>3954</v>
      </c>
      <c r="L211" s="18"/>
      <c r="N211" s="21" t="s">
        <v>3954</v>
      </c>
      <c r="O211" s="18"/>
      <c r="Q211" s="21" t="s">
        <v>3954</v>
      </c>
      <c r="R211" s="18"/>
      <c r="T211" s="21" t="s">
        <v>3954</v>
      </c>
      <c r="U211" s="18"/>
      <c r="W211" s="21" t="s">
        <v>3954</v>
      </c>
      <c r="X211" s="18"/>
      <c r="Z211" s="21" t="s">
        <v>3954</v>
      </c>
      <c r="AA211" s="18"/>
    </row>
    <row r="213" spans="2:27" ht="20" customHeight="1">
      <c r="B213" s="184" t="s">
        <v>4118</v>
      </c>
      <c r="C213" s="187"/>
      <c r="E213" s="184" t="s">
        <v>4036</v>
      </c>
      <c r="F213" s="187"/>
      <c r="H213" s="184" t="s">
        <v>3837</v>
      </c>
      <c r="I213" s="187"/>
      <c r="K213" s="184" t="s">
        <v>3836</v>
      </c>
      <c r="L213" s="187"/>
      <c r="N213" s="184" t="s">
        <v>3835</v>
      </c>
      <c r="O213" s="187"/>
      <c r="Q213" s="184" t="s">
        <v>3834</v>
      </c>
      <c r="R213" s="187"/>
      <c r="T213" s="184" t="s">
        <v>3833</v>
      </c>
      <c r="U213" s="187"/>
      <c r="W213" s="184" t="s">
        <v>3832</v>
      </c>
      <c r="X213" s="187"/>
      <c r="Z213" s="184" t="s">
        <v>3831</v>
      </c>
      <c r="AA213" s="187"/>
    </row>
    <row r="214" spans="2:27" ht="20" customHeight="1">
      <c r="B214" s="112" t="s">
        <v>735</v>
      </c>
      <c r="C214" s="113" t="s">
        <v>1230</v>
      </c>
      <c r="E214" s="112" t="s">
        <v>735</v>
      </c>
      <c r="F214" s="113" t="s">
        <v>555</v>
      </c>
      <c r="H214" s="112" t="s">
        <v>735</v>
      </c>
      <c r="I214" s="113" t="s">
        <v>555</v>
      </c>
      <c r="K214" s="112" t="s">
        <v>735</v>
      </c>
      <c r="L214" s="113" t="s">
        <v>555</v>
      </c>
      <c r="N214" s="112" t="s">
        <v>735</v>
      </c>
      <c r="O214" s="113" t="s">
        <v>555</v>
      </c>
      <c r="Q214" s="112" t="s">
        <v>735</v>
      </c>
      <c r="R214" s="113" t="s">
        <v>555</v>
      </c>
      <c r="T214" s="112" t="s">
        <v>735</v>
      </c>
      <c r="U214" s="113" t="s">
        <v>555</v>
      </c>
      <c r="W214" s="112" t="s">
        <v>735</v>
      </c>
      <c r="X214" s="113" t="s">
        <v>555</v>
      </c>
      <c r="Z214" s="112" t="s">
        <v>735</v>
      </c>
      <c r="AA214" s="113" t="s">
        <v>555</v>
      </c>
    </row>
    <row r="215" spans="2:27" ht="20" customHeight="1">
      <c r="B215" s="21" t="s">
        <v>1243</v>
      </c>
      <c r="C215" s="18" t="s">
        <v>4162</v>
      </c>
      <c r="E215" s="21" t="s">
        <v>1243</v>
      </c>
      <c r="F215" s="18" t="str">
        <f>IF(ISBLANK(input_wld_az1_host1_function),"Value Missing",input_wld_az1_host1_function)</f>
        <v>Value Missing</v>
      </c>
      <c r="G215" s="27"/>
      <c r="H215" s="21" t="s">
        <v>1243</v>
      </c>
      <c r="I215" s="18" t="str">
        <f>IF(ISBLANK(input_wld_az1_rack2_host1_function),"Value Missing",input_wld_az1_rack2_host1_function)</f>
        <v>Value Missing</v>
      </c>
      <c r="K215" s="21" t="s">
        <v>1243</v>
      </c>
      <c r="L215" s="18" t="str">
        <f>IF(ISBLANK(input_wld_az1_rack3_host1_function),"Value Missing",input_wld_az1_rack3_host1_function)</f>
        <v>Value Missing</v>
      </c>
      <c r="N215" s="21" t="s">
        <v>1243</v>
      </c>
      <c r="O215" s="18" t="str">
        <f>IF(ISBLANK(input_wld_az1_rack4_host1_function),"Value Missing",input_wld_az1_rack4_host1_function)</f>
        <v>Value Missing</v>
      </c>
      <c r="Q215" s="21" t="s">
        <v>1243</v>
      </c>
      <c r="R215" s="18" t="str">
        <f>IF(ISBLANK(input_wld_az1_rack5_host1_function),"Value Missing",input_wld_az1_rack5_host1_function)</f>
        <v>Value Missing</v>
      </c>
      <c r="T215" s="21" t="s">
        <v>1243</v>
      </c>
      <c r="U215" s="18" t="str">
        <f>IF(ISBLANK(input_wld_az1_rack6_host1_function),"Value Missing",input_wld_az1_rack6_host1_function)</f>
        <v>Value Missing</v>
      </c>
      <c r="W215" s="21" t="s">
        <v>1243</v>
      </c>
      <c r="X215" s="18" t="str">
        <f>IF(ISBLANK(input_wld_az1_rack7_host1_function),"Value Missing",input_wld_az1_rack7_host1_function)</f>
        <v>Value Missing</v>
      </c>
      <c r="Z215" s="21" t="s">
        <v>1243</v>
      </c>
      <c r="AA215" s="18" t="str">
        <f>IF(ISBLANK(input_wld_az1_rack8_host1_function),"Value Missing",input_wld_az1_rack8_host1_function)</f>
        <v>Value Missing</v>
      </c>
    </row>
    <row r="216" spans="2:27" ht="20" customHeight="1">
      <c r="B216" s="21" t="s">
        <v>1246</v>
      </c>
      <c r="C216" s="18" t="s">
        <v>4162</v>
      </c>
      <c r="E216" s="21" t="s">
        <v>1246</v>
      </c>
      <c r="F216" s="18" t="str">
        <f>IF(ISBLANK(input_wld_az1_host2_function),"Value Missing",input_wld_az1_host2_function)</f>
        <v>Value Missing</v>
      </c>
      <c r="G216" s="27"/>
      <c r="H216" s="21" t="s">
        <v>1246</v>
      </c>
      <c r="I216" s="18" t="str">
        <f>IF(ISBLANK(input_wld_az1_rack2_host2_function),"Value Missing",input_wld_az1_rack2_host2_function)</f>
        <v>Value Missing</v>
      </c>
      <c r="K216" s="21" t="s">
        <v>1246</v>
      </c>
      <c r="L216" s="18" t="str">
        <f>IF(ISBLANK(input_wld_az1_rack3_host2_function),"Value Missing",input_wld_az1_rack3_host2_function)</f>
        <v>Value Missing</v>
      </c>
      <c r="N216" s="21" t="s">
        <v>1246</v>
      </c>
      <c r="O216" s="18" t="str">
        <f>IF(ISBLANK(input_wld_az1_rack4_host2_function),"Value Missing",input_wld_az1_rack4_host2_function)</f>
        <v>Value Missing</v>
      </c>
      <c r="Q216" s="21" t="s">
        <v>1246</v>
      </c>
      <c r="R216" s="18" t="str">
        <f>IF(ISBLANK(input_wld_az1_rack5_host2_function),"Value Missing",input_wld_az1_rack5_host2_function)</f>
        <v>Value Missing</v>
      </c>
      <c r="T216" s="21" t="s">
        <v>1246</v>
      </c>
      <c r="U216" s="18" t="str">
        <f>IF(ISBLANK(input_wld_az1_rack6_host2_function),"Value Missing",input_wld_az1_rack6_host2_function)</f>
        <v>Value Missing</v>
      </c>
      <c r="W216" s="21" t="s">
        <v>1246</v>
      </c>
      <c r="X216" s="18" t="str">
        <f>IF(ISBLANK(input_wld_az1_rack7_host2_function),"Value Missing",input_wld_az1_rack7_host2_function)</f>
        <v>Value Missing</v>
      </c>
      <c r="Z216" s="21" t="s">
        <v>1246</v>
      </c>
      <c r="AA216" s="18" t="str">
        <f>IF(ISBLANK(input_wld_az1_rack8_host2_function),"Value Missing",input_wld_az1_rack8_host2_function)</f>
        <v>Value Missing</v>
      </c>
    </row>
    <row r="217" spans="2:27" ht="20" customHeight="1">
      <c r="B217" s="21" t="s">
        <v>1248</v>
      </c>
      <c r="C217" s="18" t="s">
        <v>4162</v>
      </c>
      <c r="E217" s="21" t="s">
        <v>1248</v>
      </c>
      <c r="F217" s="18" t="str">
        <f>IF(ISBLANK(input_wld_az1_host3_function),"Value Missing",input_wld_az1_host3_function)</f>
        <v>Value Missing</v>
      </c>
      <c r="G217" s="27"/>
      <c r="H217" s="21" t="s">
        <v>1248</v>
      </c>
      <c r="I217" s="18" t="str">
        <f>IF(ISBLANK(input_wld_az1_rack2_host3_function),"Value Missing",input_wld_az1_rack2_host3_function)</f>
        <v>Value Missing</v>
      </c>
      <c r="K217" s="21" t="s">
        <v>1248</v>
      </c>
      <c r="L217" s="18" t="str">
        <f>IF(ISBLANK(input_wld_az1_rack3_host3_function),"Value Missing",input_wld_az1_rack3_host3_function)</f>
        <v>Value Missing</v>
      </c>
      <c r="N217" s="21" t="s">
        <v>1248</v>
      </c>
      <c r="O217" s="18" t="str">
        <f>IF(ISBLANK(input_wld_az1_rack4_host3_function),"Value Missing",input_wld_az1_rack4_host3_function)</f>
        <v>Value Missing</v>
      </c>
      <c r="Q217" s="21" t="s">
        <v>1248</v>
      </c>
      <c r="R217" s="18" t="str">
        <f>IF(ISBLANK(input_wld_az1_rack5_host3_function),"Value Missing",input_wld_az1_rack5_host3_function)</f>
        <v>Value Missing</v>
      </c>
      <c r="T217" s="21" t="s">
        <v>1248</v>
      </c>
      <c r="U217" s="18" t="str">
        <f>IF(ISBLANK(input_wld_az1_rack6_host3_function),"Value Missing",input_wld_az1_rack6_host3_function)</f>
        <v>Value Missing</v>
      </c>
      <c r="W217" s="21" t="s">
        <v>1248</v>
      </c>
      <c r="X217" s="18" t="str">
        <f>IF(ISBLANK(input_wld_az1_rack7_host3_function),"Value Missing",input_wld_az1_rack7_host3_function)</f>
        <v>Value Missing</v>
      </c>
      <c r="Z217" s="21" t="s">
        <v>1248</v>
      </c>
      <c r="AA217" s="18" t="str">
        <f>IF(ISBLANK(input_wld_az1_rack8_host3_function),"Value Missing",input_wld_az1_rack8_host3_function)</f>
        <v>Value Missing</v>
      </c>
    </row>
    <row r="218" spans="2:27" ht="20" customHeight="1">
      <c r="B218" s="21" t="s">
        <v>1251</v>
      </c>
      <c r="C218" s="18" t="s">
        <v>4162</v>
      </c>
      <c r="E218" s="21" t="s">
        <v>1251</v>
      </c>
      <c r="F218" s="18" t="str">
        <f>IF(ISBLANK(input_wld_az1_host4_function),"Value Missing",input_wld_az1_host4_function)</f>
        <v>Value Missing</v>
      </c>
      <c r="G218" s="27"/>
      <c r="H218" s="21" t="s">
        <v>1251</v>
      </c>
      <c r="I218" s="18" t="str">
        <f>IF(ISBLANK(input_wld_az1_rack2_host4_function),"Value Missing",input_wld_az1_rack2_host4_function)</f>
        <v>Value Missing</v>
      </c>
      <c r="K218" s="21" t="s">
        <v>1251</v>
      </c>
      <c r="L218" s="18" t="str">
        <f>IF(ISBLANK(input_wld_az1_rack3_host4_function),"Value Missing",input_wld_az1_rack3_host4_function)</f>
        <v>Value Missing</v>
      </c>
      <c r="N218" s="21" t="s">
        <v>1251</v>
      </c>
      <c r="O218" s="18" t="str">
        <f>IF(ISBLANK(input_wld_az1_rack4_host4_function),"Value Missing",input_wld_az1_rack4_host4_function)</f>
        <v>Value Missing</v>
      </c>
      <c r="Q218" s="21" t="s">
        <v>1251</v>
      </c>
      <c r="R218" s="18" t="str">
        <f>IF(ISBLANK(input_wld_az1_rack5_host4_function),"Value Missing",input_wld_az1_rack5_host4_function)</f>
        <v>Value Missing</v>
      </c>
      <c r="T218" s="21" t="s">
        <v>1251</v>
      </c>
      <c r="U218" s="18" t="str">
        <f>IF(ISBLANK(input_wld_az1_rack6_host4_function),"Value Missing",input_wld_az1_rack6_host4_function)</f>
        <v>Value Missing</v>
      </c>
      <c r="W218" s="21" t="s">
        <v>1251</v>
      </c>
      <c r="X218" s="18" t="str">
        <f>IF(ISBLANK(input_wld_az1_rack7_host4_function),"Value Missing",input_wld_az1_rack7_host4_function)</f>
        <v>Value Missing</v>
      </c>
      <c r="Z218" s="21" t="s">
        <v>1251</v>
      </c>
      <c r="AA218" s="18" t="str">
        <f>IF(ISBLANK(input_wld_az1_rack8_host4_function),"Value Missing",input_wld_az1_rack8_host4_function)</f>
        <v>Value Missing</v>
      </c>
    </row>
    <row r="219" spans="2:27" ht="20" customHeight="1">
      <c r="B219" s="21" t="s">
        <v>3818</v>
      </c>
      <c r="C219" s="18" t="s">
        <v>4162</v>
      </c>
      <c r="E219" s="21" t="s">
        <v>3818</v>
      </c>
      <c r="F219" s="18" t="str">
        <f>IF(ISBLANK(input_wld_az1_host5_function),"Value Missing",input_wld_az1_host5_function)</f>
        <v>Value Missing</v>
      </c>
      <c r="G219" s="27"/>
      <c r="H219" s="21" t="s">
        <v>3818</v>
      </c>
      <c r="I219" s="18" t="str">
        <f>IF(ISBLANK(input_wld_az1_rack2_host5_function),"Value Missing",input_wld_az1_rack2_host5_function)</f>
        <v>Value Missing</v>
      </c>
      <c r="K219" s="21" t="s">
        <v>3818</v>
      </c>
      <c r="L219" s="18" t="str">
        <f>IF(ISBLANK(input_wld_az1_rack3_host5_function),"Value Missing",input_wld_az1_rack3_host5_function)</f>
        <v>Value Missing</v>
      </c>
      <c r="N219" s="21" t="s">
        <v>3818</v>
      </c>
      <c r="O219" s="18" t="str">
        <f>IF(ISBLANK(input_wld_az1_rack4_host5_function),"Value Missing",input_wld_az1_rack4_host5_function)</f>
        <v>Value Missing</v>
      </c>
      <c r="Q219" s="21" t="s">
        <v>3818</v>
      </c>
      <c r="R219" s="18" t="str">
        <f>IF(ISBLANK(input_wld_az1_rack5_host5_function),"Value Missing",input_wld_az1_rack5_host5_function)</f>
        <v>Value Missing</v>
      </c>
      <c r="T219" s="21" t="s">
        <v>3818</v>
      </c>
      <c r="U219" s="18" t="str">
        <f>IF(ISBLANK(input_wld_az1_rack6_host5_function),"Value Missing",input_wld_az1_rack6_host5_function)</f>
        <v>Value Missing</v>
      </c>
      <c r="W219" s="21" t="s">
        <v>3818</v>
      </c>
      <c r="X219" s="18" t="str">
        <f>IF(ISBLANK(input_wld_az1_rack7_host5_function),"Value Missing",input_wld_az1_rack7_host5_function)</f>
        <v>Value Missing</v>
      </c>
      <c r="Z219" s="21" t="s">
        <v>3818</v>
      </c>
      <c r="AA219" s="18" t="str">
        <f>IF(ISBLANK(input_wld_az1_rack8_host5_function),"Value Missing",input_wld_az1_rack8_host5_function)</f>
        <v>Value Missing</v>
      </c>
    </row>
    <row r="220" spans="2:27" ht="20" customHeight="1">
      <c r="B220" s="21" t="s">
        <v>3819</v>
      </c>
      <c r="C220" s="18" t="s">
        <v>4162</v>
      </c>
      <c r="E220" s="21" t="s">
        <v>3819</v>
      </c>
      <c r="F220" s="18" t="str">
        <f>IF(ISBLANK(input_wld_az1_host6_function),"Value Missing",input_wld_az1_host6_function)</f>
        <v>Value Missing</v>
      </c>
      <c r="G220" s="27"/>
      <c r="H220" s="21" t="s">
        <v>3819</v>
      </c>
      <c r="I220" s="18" t="str">
        <f>IF(ISBLANK(input_wld_az1_rack2_host6_function),"Value Missing",input_wld_az1_rack2_host6_function)</f>
        <v>Value Missing</v>
      </c>
      <c r="K220" s="21" t="s">
        <v>3819</v>
      </c>
      <c r="L220" s="18" t="str">
        <f>IF(ISBLANK(input_wld_az1_rack3_host6_function),"Value Missing",input_wld_az1_rack3_host6_function)</f>
        <v>Value Missing</v>
      </c>
      <c r="N220" s="21" t="s">
        <v>3819</v>
      </c>
      <c r="O220" s="18" t="str">
        <f>IF(ISBLANK(input_wld_az1_rack4_host6_function),"Value Missing",input_wld_az1_rack4_host6_function)</f>
        <v>Value Missing</v>
      </c>
      <c r="Q220" s="21" t="s">
        <v>3819</v>
      </c>
      <c r="R220" s="18" t="str">
        <f>IF(ISBLANK(input_wld_az1_rack5_host6_function),"Value Missing",input_wld_az1_rack5_host6_function)</f>
        <v>Value Missing</v>
      </c>
      <c r="T220" s="21" t="s">
        <v>3819</v>
      </c>
      <c r="U220" s="18" t="str">
        <f>IF(ISBLANK(input_wld_az1_rack6_host6_function),"Value Missing",input_wld_az1_rack6_host6_function)</f>
        <v>Value Missing</v>
      </c>
      <c r="W220" s="21" t="s">
        <v>3819</v>
      </c>
      <c r="X220" s="18" t="str">
        <f>IF(ISBLANK(input_wld_az1_rack7_host6_function),"Value Missing",input_wld_az1_rack7_host6_function)</f>
        <v>Value Missing</v>
      </c>
      <c r="Z220" s="21" t="s">
        <v>3819</v>
      </c>
      <c r="AA220" s="18" t="str">
        <f>IF(ISBLANK(input_wld_az1_rack8_host6_function),"Value Missing",input_wld_az1_rack8_host6_function)</f>
        <v>Value Missing</v>
      </c>
    </row>
    <row r="221" spans="2:27" ht="20" customHeight="1">
      <c r="B221" s="21" t="s">
        <v>3820</v>
      </c>
      <c r="C221" s="18" t="s">
        <v>4162</v>
      </c>
      <c r="E221" s="21" t="s">
        <v>3820</v>
      </c>
      <c r="F221" s="18" t="str">
        <f>IF(ISBLANK(input_wld_az1_host7_function),"Value Missing",input_wld_az1_host7_function)</f>
        <v>Value Missing</v>
      </c>
      <c r="G221" s="27"/>
      <c r="H221" s="21" t="s">
        <v>3820</v>
      </c>
      <c r="I221" s="18" t="str">
        <f>IF(ISBLANK(input_wld_az1_rack2_host7_function),"Value Missing",input_wld_az1_rack2_host7_function)</f>
        <v>Value Missing</v>
      </c>
      <c r="K221" s="21" t="s">
        <v>3820</v>
      </c>
      <c r="L221" s="18" t="str">
        <f>IF(ISBLANK(input_wld_az1_rack3_host7_function),"Value Missing",input_wld_az1_rack3_host7_function)</f>
        <v>Value Missing</v>
      </c>
      <c r="N221" s="21" t="s">
        <v>3820</v>
      </c>
      <c r="O221" s="18" t="str">
        <f>IF(ISBLANK(input_wld_az1_rack4_host7_function),"Value Missing",input_wld_az1_rack4_host7_function)</f>
        <v>Value Missing</v>
      </c>
      <c r="Q221" s="21" t="s">
        <v>3820</v>
      </c>
      <c r="R221" s="18" t="str">
        <f>IF(ISBLANK(input_wld_az1_rack5_host7_function),"Value Missing",input_wld_az1_rack5_host7_function)</f>
        <v>Value Missing</v>
      </c>
      <c r="T221" s="21" t="s">
        <v>3820</v>
      </c>
      <c r="U221" s="18" t="str">
        <f>IF(ISBLANK(input_wld_az1_rack6_host7_function),"Value Missing",input_wld_az1_rack6_host7_function)</f>
        <v>Value Missing</v>
      </c>
      <c r="W221" s="21" t="s">
        <v>3820</v>
      </c>
      <c r="X221" s="18" t="str">
        <f>IF(ISBLANK(input_wld_az1_rack7_host7_function),"Value Missing",input_wld_az1_rack7_host7_function)</f>
        <v>Value Missing</v>
      </c>
      <c r="Z221" s="21" t="s">
        <v>3820</v>
      </c>
      <c r="AA221" s="18" t="str">
        <f>IF(ISBLANK(input_wld_az1_rack8_host7_function),"Value Missing",input_wld_az1_rack8_host7_function)</f>
        <v>Value Missing</v>
      </c>
    </row>
    <row r="222" spans="2:27" ht="20" customHeight="1">
      <c r="B222" s="21" t="s">
        <v>3821</v>
      </c>
      <c r="C222" s="18" t="s">
        <v>4162</v>
      </c>
      <c r="E222" s="21" t="s">
        <v>3821</v>
      </c>
      <c r="F222" s="18" t="str">
        <f>IF(ISBLANK(input_wld_az1_host8_function),"Value Missing",input_wld_az1_host8_function)</f>
        <v>Value Missing</v>
      </c>
      <c r="G222" s="27"/>
      <c r="H222" s="21" t="s">
        <v>3821</v>
      </c>
      <c r="I222" s="18" t="str">
        <f>IF(ISBLANK(input_wld_az1_rack2_host8_function),"Value Missing",input_wld_az1_rack2_host8_function)</f>
        <v>Value Missing</v>
      </c>
      <c r="K222" s="21" t="s">
        <v>3821</v>
      </c>
      <c r="L222" s="18" t="str">
        <f>IF(ISBLANK(input_wld_az1_rack3_host8_function),"Value Missing",input_wld_az1_rack3_host8_function)</f>
        <v>Value Missing</v>
      </c>
      <c r="N222" s="21" t="s">
        <v>3821</v>
      </c>
      <c r="O222" s="18" t="str">
        <f>IF(ISBLANK(input_wld_az1_rack4_host8_function),"Value Missing",input_wld_az1_rack4_host8_function)</f>
        <v>Value Missing</v>
      </c>
      <c r="Q222" s="21" t="s">
        <v>3821</v>
      </c>
      <c r="R222" s="18" t="str">
        <f>IF(ISBLANK(input_wld_az1_rack5_host8_function),"Value Missing",input_wld_az1_rack5_host8_function)</f>
        <v>Value Missing</v>
      </c>
      <c r="T222" s="21" t="s">
        <v>3821</v>
      </c>
      <c r="U222" s="18" t="str">
        <f>IF(ISBLANK(input_wld_az1_rack6_host8_function),"Value Missing",input_wld_az1_rack6_host8_function)</f>
        <v>Value Missing</v>
      </c>
      <c r="W222" s="21" t="s">
        <v>3821</v>
      </c>
      <c r="X222" s="18" t="str">
        <f>IF(ISBLANK(input_wld_az1_rack7_host8_function),"Value Missing",input_wld_az1_rack7_host8_function)</f>
        <v>Value Missing</v>
      </c>
      <c r="Z222" s="21" t="s">
        <v>3821</v>
      </c>
      <c r="AA222" s="18" t="str">
        <f>IF(ISBLANK(input_wld_az1_rack8_host8_function),"Value Missing",input_wld_az1_rack8_host8_function)</f>
        <v>Value Missing</v>
      </c>
    </row>
    <row r="223" spans="2:27" ht="20" customHeight="1">
      <c r="B223" s="21" t="s">
        <v>3822</v>
      </c>
      <c r="C223" s="18" t="s">
        <v>4162</v>
      </c>
      <c r="E223" s="21" t="s">
        <v>3822</v>
      </c>
      <c r="F223" s="18" t="str">
        <f>IF(ISBLANK(input_wld_az1_host9_function),"Value Missing",input_wld_az1_host9_function)</f>
        <v>Value Missing</v>
      </c>
      <c r="G223" s="27"/>
      <c r="H223" s="21" t="s">
        <v>3822</v>
      </c>
      <c r="I223" s="18" t="str">
        <f>IF(ISBLANK(input_wld_az1_rack2_host9_function),"Value Missing",input_wld_az1_rack2_host9_function)</f>
        <v>Value Missing</v>
      </c>
      <c r="K223" s="21" t="s">
        <v>3822</v>
      </c>
      <c r="L223" s="18" t="str">
        <f>IF(ISBLANK(input_wld_az1_rack3_host9_function),"Value Missing",input_wld_az1_rack3_host9_function)</f>
        <v>Value Missing</v>
      </c>
      <c r="N223" s="21" t="s">
        <v>3822</v>
      </c>
      <c r="O223" s="18" t="str">
        <f>IF(ISBLANK(input_wld_az1_rack4_host9_function),"Value Missing",input_wld_az1_rack4_host9_function)</f>
        <v>Value Missing</v>
      </c>
      <c r="Q223" s="21" t="s">
        <v>3822</v>
      </c>
      <c r="R223" s="18" t="str">
        <f>IF(ISBLANK(input_wld_az1_rack5_host9_function),"Value Missing",input_wld_az1_rack5_host9_function)</f>
        <v>Value Missing</v>
      </c>
      <c r="T223" s="21" t="s">
        <v>3822</v>
      </c>
      <c r="U223" s="18" t="str">
        <f>IF(ISBLANK(input_wld_az1_rack6_host9_function),"Value Missing",input_wld_az1_rack6_host9_function)</f>
        <v>Value Missing</v>
      </c>
      <c r="W223" s="21" t="s">
        <v>3822</v>
      </c>
      <c r="X223" s="18" t="str">
        <f>IF(ISBLANK(input_wld_az1_rack7_host9_function),"Value Missing",input_wld_az1_rack7_host9_function)</f>
        <v>Value Missing</v>
      </c>
      <c r="Z223" s="21" t="s">
        <v>3822</v>
      </c>
      <c r="AA223" s="18" t="str">
        <f>IF(ISBLANK(input_wld_az1_rack8_host9_function),"Value Missing",input_wld_az1_rack8_host9_function)</f>
        <v>Value Missing</v>
      </c>
    </row>
    <row r="224" spans="2:27" ht="20" customHeight="1">
      <c r="B224" s="21" t="s">
        <v>3823</v>
      </c>
      <c r="C224" s="18" t="s">
        <v>4162</v>
      </c>
      <c r="E224" s="21" t="s">
        <v>3823</v>
      </c>
      <c r="F224" s="18" t="str">
        <f>IF(ISBLANK(input_wld_az1_host10_function),"Value Missing",input_wld_az1_host10_function)</f>
        <v>Value Missing</v>
      </c>
      <c r="G224" s="27"/>
      <c r="H224" s="21" t="s">
        <v>3823</v>
      </c>
      <c r="I224" s="18" t="str">
        <f>IF(ISBLANK(input_wld_az1_rack2_host10_function),"Value Missing",input_wld_az1_rack2_host10_function)</f>
        <v>Value Missing</v>
      </c>
      <c r="K224" s="21" t="s">
        <v>3823</v>
      </c>
      <c r="L224" s="18" t="str">
        <f>IF(ISBLANK(input_wld_az1_rack3_host10_function),"Value Missing",input_wld_az1_rack3_host10_function)</f>
        <v>Value Missing</v>
      </c>
      <c r="N224" s="21" t="s">
        <v>3823</v>
      </c>
      <c r="O224" s="18" t="str">
        <f>IF(ISBLANK(input_wld_az1_rack4_host10_function),"Value Missing",input_wld_az1_rack4_host10_function)</f>
        <v>Value Missing</v>
      </c>
      <c r="Q224" s="21" t="s">
        <v>3823</v>
      </c>
      <c r="R224" s="18" t="str">
        <f>IF(ISBLANK(input_wld_az1_rack5_host10_function),"Value Missing",input_wld_az1_rack5_host10_function)</f>
        <v>Value Missing</v>
      </c>
      <c r="T224" s="21" t="s">
        <v>3823</v>
      </c>
      <c r="U224" s="18" t="str">
        <f>IF(ISBLANK(input_wld_az1_rack6_host10_function),"Value Missing",input_wld_az1_rack6_host10_function)</f>
        <v>Value Missing</v>
      </c>
      <c r="W224" s="21" t="s">
        <v>3823</v>
      </c>
      <c r="X224" s="18" t="str">
        <f>IF(ISBLANK(input_wld_az1_rack7_host10_function),"Value Missing",input_wld_az1_rack7_host10_function)</f>
        <v>Value Missing</v>
      </c>
      <c r="Z224" s="21" t="s">
        <v>3823</v>
      </c>
      <c r="AA224" s="18" t="str">
        <f>IF(ISBLANK(input_wld_az1_rack8_host10_function),"Value Missing",input_wld_az1_rack8_host10_function)</f>
        <v>Value Missing</v>
      </c>
    </row>
    <row r="225" spans="2:27" ht="20" customHeight="1">
      <c r="B225" s="21" t="s">
        <v>3824</v>
      </c>
      <c r="C225" s="18" t="s">
        <v>4162</v>
      </c>
      <c r="E225" s="21" t="s">
        <v>3824</v>
      </c>
      <c r="F225" s="18" t="str">
        <f>IF(ISBLANK(input_wld_az1_host11_function),"Value Missing",input_wld_az1_host11_function)</f>
        <v>Value Missing</v>
      </c>
      <c r="G225" s="27"/>
      <c r="H225" s="21" t="s">
        <v>3824</v>
      </c>
      <c r="I225" s="18" t="str">
        <f>IF(ISBLANK(input_wld_az1_rack2_host11_function),"Value Missing",input_wld_az1_rack2_host11_function)</f>
        <v>Value Missing</v>
      </c>
      <c r="K225" s="21" t="s">
        <v>3824</v>
      </c>
      <c r="L225" s="18" t="str">
        <f>IF(ISBLANK(input_wld_az1_rack3_host11_function),"Value Missing",input_wld_az1_rack3_host11_function)</f>
        <v>Value Missing</v>
      </c>
      <c r="N225" s="21" t="s">
        <v>3824</v>
      </c>
      <c r="O225" s="18" t="str">
        <f>IF(ISBLANK(input_wld_az1_rack4_host11_function),"Value Missing",input_wld_az1_rack4_host11_function)</f>
        <v>Value Missing</v>
      </c>
      <c r="Q225" s="21" t="s">
        <v>3824</v>
      </c>
      <c r="R225" s="18" t="str">
        <f>IF(ISBLANK(input_wld_az1_rack5_host11_function),"Value Missing",input_wld_az1_rack5_host11_function)</f>
        <v>Value Missing</v>
      </c>
      <c r="T225" s="21" t="s">
        <v>3824</v>
      </c>
      <c r="U225" s="18" t="str">
        <f>IF(ISBLANK(input_wld_az1_rack6_host11_function),"Value Missing",input_wld_az1_rack6_host11_function)</f>
        <v>Value Missing</v>
      </c>
      <c r="W225" s="21" t="s">
        <v>3824</v>
      </c>
      <c r="X225" s="18" t="str">
        <f>IF(ISBLANK(input_wld_az1_rack7_host11_function),"Value Missing",input_wld_az1_rack7_host11_function)</f>
        <v>Value Missing</v>
      </c>
      <c r="Z225" s="21" t="s">
        <v>3824</v>
      </c>
      <c r="AA225" s="18" t="str">
        <f>IF(ISBLANK(input_wld_az1_rack8_host11_function),"Value Missing",input_wld_az1_rack8_host11_function)</f>
        <v>Value Missing</v>
      </c>
    </row>
    <row r="226" spans="2:27" ht="20" customHeight="1">
      <c r="B226" s="21" t="s">
        <v>3825</v>
      </c>
      <c r="C226" s="18" t="s">
        <v>4162</v>
      </c>
      <c r="E226" s="21" t="s">
        <v>3825</v>
      </c>
      <c r="F226" s="18" t="str">
        <f>IF(ISBLANK(input_wld_az1_host12_function),"Value Missing",input_wld_az1_host12_function)</f>
        <v>Value Missing</v>
      </c>
      <c r="G226" s="27"/>
      <c r="H226" s="21" t="s">
        <v>3825</v>
      </c>
      <c r="I226" s="18" t="str">
        <f>IF(ISBLANK(input_wld_az1_rack2_host12_function),"Value Missing",input_wld_az1_rack2_host12_function)</f>
        <v>Value Missing</v>
      </c>
      <c r="K226" s="21" t="s">
        <v>3825</v>
      </c>
      <c r="L226" s="18" t="str">
        <f>IF(ISBLANK(input_wld_az1_rack3_host12_function),"Value Missing",input_wld_az1_rack3_host12_function)</f>
        <v>Value Missing</v>
      </c>
      <c r="N226" s="21" t="s">
        <v>3825</v>
      </c>
      <c r="O226" s="18" t="str">
        <f>IF(ISBLANK(input_wld_az1_rack4_host12_function),"Value Missing",input_wld_az1_rack4_host12_function)</f>
        <v>Value Missing</v>
      </c>
      <c r="Q226" s="21" t="s">
        <v>3825</v>
      </c>
      <c r="R226" s="18" t="str">
        <f>IF(ISBLANK(input_wld_az1_rack5_host12_function),"Value Missing",input_wld_az1_rack5_host12_function)</f>
        <v>Value Missing</v>
      </c>
      <c r="T226" s="21" t="s">
        <v>3825</v>
      </c>
      <c r="U226" s="18" t="str">
        <f>IF(ISBLANK(input_wld_az1_rack6_host12_function),"Value Missing",input_wld_az1_rack6_host12_function)</f>
        <v>Value Missing</v>
      </c>
      <c r="W226" s="21" t="s">
        <v>3825</v>
      </c>
      <c r="X226" s="18" t="str">
        <f>IF(ISBLANK(input_wld_az1_rack7_host12_function),"Value Missing",input_wld_az1_rack7_host12_function)</f>
        <v>Value Missing</v>
      </c>
      <c r="Z226" s="21" t="s">
        <v>3825</v>
      </c>
      <c r="AA226" s="18" t="str">
        <f>IF(ISBLANK(input_wld_az1_rack8_host12_function),"Value Missing",input_wld_az1_rack8_host12_function)</f>
        <v>Value Missing</v>
      </c>
    </row>
    <row r="227" spans="2:27" ht="20" customHeight="1">
      <c r="B227" s="21" t="s">
        <v>3826</v>
      </c>
      <c r="C227" s="18" t="s">
        <v>4162</v>
      </c>
      <c r="E227" s="21" t="s">
        <v>3826</v>
      </c>
      <c r="F227" s="18" t="str">
        <f>IF(ISBLANK(input_wld_az1_host13_function),"Value Missing",input_wld_az1_host13_function)</f>
        <v>Value Missing</v>
      </c>
      <c r="G227" s="27"/>
      <c r="H227" s="21" t="s">
        <v>3826</v>
      </c>
      <c r="I227" s="18" t="str">
        <f>IF(ISBLANK(input_wld_az1_rack2_host13_function),"Value Missing",input_wld_az1_rack2_host13_function)</f>
        <v>Value Missing</v>
      </c>
      <c r="K227" s="21" t="s">
        <v>3826</v>
      </c>
      <c r="L227" s="18" t="str">
        <f>IF(ISBLANK(input_wld_az1_rack3_host13_function),"Value Missing",input_wld_az1_rack3_host13_function)</f>
        <v>Value Missing</v>
      </c>
      <c r="N227" s="21" t="s">
        <v>3826</v>
      </c>
      <c r="O227" s="18" t="str">
        <f>IF(ISBLANK(input_wld_az1_rack4_host13_function),"Value Missing",input_wld_az1_rack4_host13_function)</f>
        <v>Value Missing</v>
      </c>
      <c r="Q227" s="21" t="s">
        <v>3826</v>
      </c>
      <c r="R227" s="18" t="str">
        <f>IF(ISBLANK(input_wld_az1_rack5_host13_function),"Value Missing",input_wld_az1_rack5_host13_function)</f>
        <v>Value Missing</v>
      </c>
      <c r="T227" s="21" t="s">
        <v>3826</v>
      </c>
      <c r="U227" s="18" t="str">
        <f>IF(ISBLANK(input_wld_az1_rack6_host13_function),"Value Missing",input_wld_az1_rack6_host13_function)</f>
        <v>Value Missing</v>
      </c>
      <c r="W227" s="21" t="s">
        <v>3826</v>
      </c>
      <c r="X227" s="18" t="str">
        <f>IF(ISBLANK(input_wld_az1_rack7_host13_function),"Value Missing",input_wld_az1_rack7_host13_function)</f>
        <v>Value Missing</v>
      </c>
      <c r="Z227" s="21" t="s">
        <v>3826</v>
      </c>
      <c r="AA227" s="18" t="str">
        <f>IF(ISBLANK(input_wld_az1_rack8_host13_function),"Value Missing",input_wld_az1_rack8_host13_function)</f>
        <v>Value Missing</v>
      </c>
    </row>
    <row r="228" spans="2:27" ht="20" customHeight="1">
      <c r="B228" s="21" t="s">
        <v>3827</v>
      </c>
      <c r="C228" s="18" t="s">
        <v>4162</v>
      </c>
      <c r="E228" s="21" t="s">
        <v>3827</v>
      </c>
      <c r="F228" s="18" t="str">
        <f>IF(ISBLANK(input_wld_az1_host14_function),"Value Missing",input_wld_az1_host14_function)</f>
        <v>Value Missing</v>
      </c>
      <c r="G228" s="27"/>
      <c r="H228" s="21" t="s">
        <v>3827</v>
      </c>
      <c r="I228" s="18" t="str">
        <f>IF(ISBLANK(input_wld_az1_rack2_host14_function),"Value Missing",input_wld_az1_rack2_host14_function)</f>
        <v>Value Missing</v>
      </c>
      <c r="K228" s="21" t="s">
        <v>3827</v>
      </c>
      <c r="L228" s="18" t="str">
        <f>IF(ISBLANK(input_wld_az1_rack3_host14_function),"Value Missing",input_wld_az1_rack3_host14_function)</f>
        <v>Value Missing</v>
      </c>
      <c r="N228" s="21" t="s">
        <v>3827</v>
      </c>
      <c r="O228" s="18" t="str">
        <f>IF(ISBLANK(input_wld_az1_rack4_host14_function),"Value Missing",input_wld_az1_rack4_host14_function)</f>
        <v>Value Missing</v>
      </c>
      <c r="Q228" s="21" t="s">
        <v>3827</v>
      </c>
      <c r="R228" s="18" t="str">
        <f>IF(ISBLANK(input_wld_az1_rack5_host14_function),"Value Missing",input_wld_az1_rack5_host14_function)</f>
        <v>Value Missing</v>
      </c>
      <c r="T228" s="21" t="s">
        <v>3827</v>
      </c>
      <c r="U228" s="18" t="str">
        <f>IF(ISBLANK(input_wld_az1_rack6_host14_function),"Value Missing",input_wld_az1_rack6_host14_function)</f>
        <v>Value Missing</v>
      </c>
      <c r="W228" s="21" t="s">
        <v>3827</v>
      </c>
      <c r="X228" s="18" t="str">
        <f>IF(ISBLANK(input_wld_az1_rack7_host14_function),"Value Missing",input_wld_az1_rack7_host14_function)</f>
        <v>Value Missing</v>
      </c>
      <c r="Z228" s="21" t="s">
        <v>3827</v>
      </c>
      <c r="AA228" s="18" t="str">
        <f>IF(ISBLANK(input_wld_az1_rack8_host13_function),"Value Missing",input_wld_az1_rack8_host14_function)</f>
        <v>Value Missing</v>
      </c>
    </row>
    <row r="229" spans="2:27" ht="20" customHeight="1">
      <c r="B229" s="21" t="s">
        <v>3828</v>
      </c>
      <c r="C229" s="18" t="s">
        <v>4162</v>
      </c>
      <c r="E229" s="21" t="s">
        <v>3828</v>
      </c>
      <c r="F229" s="18" t="str">
        <f>IF(ISBLANK(input_wld_az1_host15_function),"Value Missing",input_wld_az1_host15_function)</f>
        <v>Value Missing</v>
      </c>
      <c r="G229" s="27"/>
      <c r="H229" s="21" t="s">
        <v>3828</v>
      </c>
      <c r="I229" s="18" t="str">
        <f>IF(ISBLANK(input_wld_az1_rack2_host15_function),"Value Missing",input_wld_az1_rack2_host15_function)</f>
        <v>Value Missing</v>
      </c>
      <c r="K229" s="21" t="s">
        <v>3828</v>
      </c>
      <c r="L229" s="18" t="str">
        <f>IF(ISBLANK(input_wld_az1_rack3_host15_function),"Value Missing",input_wld_az1_rack3_host15_function)</f>
        <v>Value Missing</v>
      </c>
      <c r="N229" s="21" t="s">
        <v>3828</v>
      </c>
      <c r="O229" s="18" t="str">
        <f>IF(ISBLANK(input_wld_az1_rack4_host15_function),"Value Missing",input_wld_az1_rack4_host15_function)</f>
        <v>Value Missing</v>
      </c>
      <c r="Q229" s="21" t="s">
        <v>3828</v>
      </c>
      <c r="R229" s="18" t="str">
        <f>IF(ISBLANK(input_wld_az1_rack5_host15_function),"Value Missing",input_wld_az1_rack5_host15_function)</f>
        <v>Value Missing</v>
      </c>
      <c r="T229" s="21" t="s">
        <v>3828</v>
      </c>
      <c r="U229" s="18" t="str">
        <f>IF(ISBLANK(input_wld_az1_rack6_host15_function),"Value Missing",input_wld_az1_rack6_host15_function)</f>
        <v>Value Missing</v>
      </c>
      <c r="W229" s="21" t="s">
        <v>3828</v>
      </c>
      <c r="X229" s="18" t="str">
        <f>IF(ISBLANK(input_wld_az1_rack7_host15_function),"Value Missing",input_wld_az1_rack7_host15_function)</f>
        <v>Value Missing</v>
      </c>
      <c r="Z229" s="21" t="s">
        <v>3828</v>
      </c>
      <c r="AA229" s="18" t="str">
        <f>IF(ISBLANK(input_wld_az1_rack8_host15_function),"Value Missing",input_wld_az1_rack8_host15_function)</f>
        <v>Value Missing</v>
      </c>
    </row>
    <row r="230" spans="2:27" ht="20" customHeight="1">
      <c r="B230" s="21" t="s">
        <v>3829</v>
      </c>
      <c r="C230" s="18" t="s">
        <v>4162</v>
      </c>
      <c r="E230" s="21" t="s">
        <v>3829</v>
      </c>
      <c r="F230" s="18" t="str">
        <f>IF(ISBLANK(input_wld_az1_host16_function),"Value Missing",input_wld_az1_host16_function)</f>
        <v>Value Missing</v>
      </c>
      <c r="G230" s="27"/>
      <c r="H230" s="21" t="s">
        <v>3829</v>
      </c>
      <c r="I230" s="18" t="str">
        <f>IF(ISBLANK(input_wld_az1_rack2_host16_function),"Value Missing",input_wld_az1_rack2_host16_function)</f>
        <v>Value Missing</v>
      </c>
      <c r="K230" s="21" t="s">
        <v>3829</v>
      </c>
      <c r="L230" s="18" t="str">
        <f>IF(ISBLANK(input_wld_az1_rack3_host16_function),"Value Missing",input_wld_az1_rack3_host16_function)</f>
        <v>Value Missing</v>
      </c>
      <c r="N230" s="21" t="s">
        <v>3829</v>
      </c>
      <c r="O230" s="18" t="str">
        <f>IF(ISBLANK(input_wld_az1_rack4_host16_function),"Value Missing",input_wld_az1_rack4_host16_function)</f>
        <v>Value Missing</v>
      </c>
      <c r="Q230" s="21" t="s">
        <v>3829</v>
      </c>
      <c r="R230" s="18" t="str">
        <f>IF(ISBLANK(input_wld_az1_rack5_host16_function),"Value Missing",input_wld_az1_rack5_host16_function)</f>
        <v>Value Missing</v>
      </c>
      <c r="T230" s="21" t="s">
        <v>3829</v>
      </c>
      <c r="U230" s="18" t="str">
        <f>IF(ISBLANK(input_wld_az1_rack6_host16_function),"Value Missing",input_wld_az1_rack6_host16_function)</f>
        <v>Value Missing</v>
      </c>
      <c r="W230" s="21" t="s">
        <v>3829</v>
      </c>
      <c r="X230" s="18" t="str">
        <f>IF(ISBLANK(input_wld_az1_rack7_host16_function),"Value Missing",input_wld_az1_rack7_host16_function)</f>
        <v>Value Missing</v>
      </c>
      <c r="Z230" s="21" t="s">
        <v>3829</v>
      </c>
      <c r="AA230" s="18" t="str">
        <f>IF(ISBLANK(input_wld_az1_rack8_host16_function),"Value Missing",input_wld_az1_rack8_host16_function)</f>
        <v>Value Missing</v>
      </c>
    </row>
    <row r="231" spans="2:27" ht="20" customHeight="1">
      <c r="B231" s="21" t="s">
        <v>3830</v>
      </c>
      <c r="C231" s="18" t="s">
        <v>452</v>
      </c>
      <c r="E231" s="21" t="s">
        <v>3830</v>
      </c>
      <c r="F231" s="185">
        <f>COUNTIF(F215:F230,"EDGE")</f>
        <v>0</v>
      </c>
      <c r="G231" s="27"/>
      <c r="H231" s="21" t="s">
        <v>3830</v>
      </c>
      <c r="I231" s="185">
        <f>COUNTIF(I215:I230,"EDGE")</f>
        <v>0</v>
      </c>
      <c r="K231" s="21" t="s">
        <v>3830</v>
      </c>
      <c r="L231" s="185">
        <f>COUNTIF(L215:L230,"EDGE")</f>
        <v>0</v>
      </c>
      <c r="N231" s="52" t="s">
        <v>3830</v>
      </c>
      <c r="O231" s="186">
        <f>COUNTIF(O215:O230,"EDGE")</f>
        <v>0</v>
      </c>
      <c r="Q231" s="21" t="s">
        <v>3830</v>
      </c>
      <c r="R231" s="185">
        <f>COUNTIF(R215:R230,"EDGE")</f>
        <v>0</v>
      </c>
      <c r="T231" s="21" t="s">
        <v>3830</v>
      </c>
      <c r="U231" s="185">
        <f>COUNTIF(U215:U230,"EDGE")</f>
        <v>0</v>
      </c>
      <c r="W231" s="21" t="s">
        <v>3830</v>
      </c>
      <c r="X231" s="185">
        <f>COUNTIF(X215:X230,"EDGE")</f>
        <v>0</v>
      </c>
      <c r="Z231" s="21" t="s">
        <v>3830</v>
      </c>
      <c r="AA231" s="185">
        <f>COUNTIF(AA215:AA230,"EDGE")</f>
        <v>0</v>
      </c>
    </row>
    <row r="232" spans="2:27" ht="20" customHeight="1">
      <c r="G232" s="27"/>
    </row>
    <row r="233" spans="2:27" ht="20" customHeight="1">
      <c r="B233" s="184" t="s">
        <v>4143</v>
      </c>
      <c r="C233" s="188"/>
      <c r="E233" s="184" t="s">
        <v>4121</v>
      </c>
      <c r="F233" s="188"/>
      <c r="G233" s="27"/>
      <c r="K233" s="184" t="s">
        <v>4342</v>
      </c>
      <c r="L233" s="184"/>
      <c r="N233" s="184" t="s">
        <v>4343</v>
      </c>
      <c r="O233" s="184"/>
    </row>
    <row r="234" spans="2:27" ht="20" customHeight="1">
      <c r="B234" s="112" t="s">
        <v>735</v>
      </c>
      <c r="C234" s="113" t="s">
        <v>4142</v>
      </c>
      <c r="E234" s="112" t="s">
        <v>735</v>
      </c>
      <c r="F234" s="113" t="s">
        <v>4142</v>
      </c>
      <c r="K234" s="21" t="s">
        <v>1847</v>
      </c>
      <c r="L234" s="22" t="str">
        <f>IF(wld_multirack_result="Excluded",wld_az1_en1_fqdn,IF(wld_dedicated_edge_cluster_chosen_first=1,wld_az1_en1_fqdn,IF(wld_dedicated_edge_cluster_chosen_first=2,wld_az1_rack2_en1_fqdn,IF(wld_dedicated_edge_cluster_chosen_first=3,wld_az1_rack3_en1_fqdn,IF(wld_dedicated_edge_cluster_chosen_first=4,wld_az1_rack4_en1_fqdn,IF(wld_dedicated_edge_cluster_chosen_first=5,wld_az1_rack5_en1_fqdn,IF(wld_dedicated_edge_cluster_chosen_first=6,wld_az1_rack6_en1_fqdn,IF(wld_dedicated_edge_cluster_chosen_first=7,wld_az1_rack7_en1_fqdn,IF(wld_dedicated_edge_cluster_chosen_first=8,wld_az1_rack8_en1_fqdn,"")))))))))</f>
        <v>Value Missing.Value Missing</v>
      </c>
      <c r="N234" s="21" t="s">
        <v>1864</v>
      </c>
      <c r="O234" s="22" t="str">
        <f>IF(wld_multirack_result="Excluded",wld_az1_en1_fqdn,IF(wld_dedicated_edge_cluster_chosen_second=1,wld_az1_en1_fqdn,IF(wld_dedicated_edge_cluster_chosen_second=2,wld_az1_rack2_en1_fqdn,IF(wld_dedicated_edge_cluster_chosen_second=3,wld_az1_rack3_en1_fqdn,IF(wld_dedicated_edge_cluster_chosen_second=4,wld_az1_rack4_en1_fqdn,IF(wld_dedicated_edge_cluster_chosen_second=5,wld_az1_rack5_en1_fqdn,IF(wld_dedicated_edge_cluster_chosen_second=6,wld_az1_rack6_en1_fqdn,IF(wld_dedicated_edge_cluster_chosen_second=7,wld_az1_rack7_en1_fqdn,IF(wld_dedicated_edge_cluster_chosen_second=8,wld_az1_rack8_en1_fqdn,"")))))))))</f>
        <v>Value Missing.Value Missing</v>
      </c>
    </row>
    <row r="235" spans="2:27" ht="20" customHeight="1">
      <c r="B235" s="21" t="s">
        <v>3184</v>
      </c>
      <c r="C235" s="18" t="s">
        <v>452</v>
      </c>
      <c r="E235" s="21" t="s">
        <v>3184</v>
      </c>
      <c r="F235" s="18" t="s">
        <v>452</v>
      </c>
      <c r="K235" s="21" t="s">
        <v>1848</v>
      </c>
      <c r="L235" s="22" t="str">
        <f>IF(wld_multirack_result="Excluded",IF(OR((wld_az1_en1_mgmt_ip="Value Missing"),(wld_az1_edge_overlay_cidr="Value Missing")),"Value Missing",wld_az1_en1_mgmt_ip&amp;"/"&amp;INT(RIGHT(wld_az1_edge_overlay_cidr,LEN(wld_az1_edge_overlay_cidr)-FIND("/",wld_az1_edge_overlay_cidr)))),IF(wld_dedicated_edge_cluster_chosen_first=1,IF(OR((wld_az1_en1_mgmt_ip="Value Missing"),(wld_az1_edge_overlay_cidr="Value Missing")),"Value Missing",wld_az1_en1_mgmt_ip&amp;"/"&amp;INT(RIGHT(wld_az1_edge_overlay_cidr,LEN(wld_az1_edge_overlay_cidr)-FIND("/",wld_az1_edge_overlay_cidr)))),IF(wld_dedicated_edge_cluster_chosen_first=2,IF(OR((wld_az1_rack2_en1_mgmt_ip="Value Missing"),(wld_az1_rack2_edge_overlay_cidr="Value Missing")),"Value Missing",wld_az1_rack2_en1_mgmt_ip&amp;"/"&amp;INT(RIGHT(wld_az1_rack2_edge_overlay_cidr,LEN(wld_az1_rack2_edge_overlay_cidr)-FIND("/",wld_az1_rack2_edge_overlay_cidr)))),IF(wld_dedicated_edge_cluster_chosen_first=3,IF(OR((wld_az1_rack3_en1_mgmt_ip="Value Missing"),(wld_az1_rack3_edge_overlay_cidr="Value Missing")),"Value Missing",wld_az1_rack3_en1_mgmt_ip&amp;"/"&amp;INT(RIGHT(wld_az1_rack3_edge_overlay_cidr,LEN(wld_az1_rack3_edge_overlay_cidr)-FIND("/",wld_az1_rack3_edge_overlay_cidr)))),IF(wld_dedicated_edge_cluster_chosen_first=4,IF(OR((wld_az1_rack4_en1_mgmt_ip="Value Missing"),(wld_az1_rack4_edge_overlay_cidr="Value Missing")),"Value Missing",wld_az1_rack4_en1_mgmt_ip&amp;"/"&amp;INT(RIGHT(wld_az1_rack4_edge_overlay_cidr,LEN(wld_az1_rack4_edge_overlay_cidr)-FIND("/",wld_az1_rack4_edge_overlay_cidr)))),IF(wld_dedicated_edge_cluster_chosen_first=5,IF(OR((wld_az1_rack5_en1_mgmt_ip="Value Missing"),(wld_az1_rack5_edge_overlay_cidr="Value Missing")),"Value Missing",wld_az1_rack5_en1_edge_overlay_interface_ip_1_ip&amp;"/"&amp;INT(RIGHT(wld_az1_rack5_edge_overlay_cidr,LEN(wld_az1_rack5_edge_overlay_cidr)-FIND("/",wld_az1_rack5_edge_overlay_cidr)))),IF(wld_dedicated_edge_cluster_chosen_first=6,IF(OR((wld_az1_rack6_en1_mgmt_ip="Value Missing"),(wld_az1_rack6_edge_overlay_cidr="Value Missing")),"Value Missing",wld_az1_rack6_en1_mgmt_ip&amp;"/"&amp;INT(RIGHT(wld_az1_rack6_edge_overlay_cidr,LEN(wld_az1_rack6_edge_overlay_cidr)-FIND("/",wld_az1_rack6_edge_overlay_cidr)))),IF(wld_dedicated_edge_cluster_chosen_first=7,IF(OR((wld_az1_rack7_en1_mgmt_ip="Value Missing"),(wld_az1_rack7_edge_overlay_cidr="Value Missing")),"Value Missing",wld_az1_rack7_en1_mgmt_ip&amp;"/"&amp;INT(RIGHT(wld_az1_rack7_edge_overlay_cidr,LEN(wld_az1_rack7_edge_overlay_cidr)-FIND("/",wld_az1_rack7_edge_overlay_cidr)))),IF(wld_dedicated_edge_cluster_chosen_first=8,IF(OR((wld_az1_rack8_en1_mgmt_ip="Value Missing"),(wld_az1_rack8_edge_overlay_cidr="Value Missing")),"Value Missing",wld_az1_rack8_en1_mgmt_ip&amp;"/"&amp;INT(RIGHT(wld_az1_rack8_edge_overlay_cidr,LEN(wld_az1_rack8_edge_overlay_cidr)-FIND("/",wld_az1_rack8_edge_overlay_cidr)))),"")))))))))</f>
        <v>Value Missing</v>
      </c>
      <c r="N235" s="21" t="s">
        <v>1865</v>
      </c>
      <c r="O235" s="22" t="str">
        <f>IF(wld_multirack_result="Excluded",IF(OR((wld_az1_en1_mgmt_ip="Value Missing"),(wld_az1_edge_overlay_cidr="Value Missing")),"Value Missing",wld_az1_en1_mgmt_ip&amp;"/"&amp;INT(RIGHT(wld_az1_edge_overlay_cidr,LEN(wld_az1_edge_overlay_cidr)-FIND("/",wld_az1_edge_overlay_cidr)))),IF(wld_dedicated_edge_cluster_chosen_second=1,IF(OR((wld_az1_en1_mgmt_ip="Value Missing"),(wld_az1_edge_overlay_cidr="Value Missing")),"Value Missing",wld_az1_en1_mgmt_ip&amp;"/"&amp;INT(RIGHT(wld_az1_edge_overlay_cidr,LEN(wld_az1_edge_overlay_cidr)-FIND("/",wld_az1_edge_overlay_cidr)))),IF(wld_dedicated_edge_cluster_chosen_second=2,IF(OR((wld_az1_rack2_en1_mgmt_ip="Value Missing"),(wld_az1_rack2_edge_overlay_cidr="Value Missing")),"Value Missing",wld_az1_rack2_en1_mgmt_ip&amp;"/"&amp;INT(RIGHT(wld_az1_rack2_edge_overlay_cidr,LEN(wld_az1_rack2_edge_overlay_cidr)-FIND("/",wld_az1_rack2_edge_overlay_cidr)))),IF(wld_dedicated_edge_cluster_chosen_second=3,IF(OR((wld_az1_rack3_en1_mgmt_ip="Value Missing"),(wld_az1_rack3_edge_overlay_cidr="Value Missing")),"Value Missing",wld_az1_rack3_en1_mgmt_ip&amp;"/"&amp;INT(RIGHT(wld_az1_rack3_edge_overlay_cidr,LEN(wld_az1_rack3_edge_overlay_cidr)-FIND("/",wld_az1_rack3_edge_overlay_cidr)))),IF(wld_dedicated_edge_cluster_chosen_second=4,IF(OR((wld_az1_rack4_en1_mgmt_ip="Value Missing"),(wld_az1_rack4_edge_overlay_cidr="Value Missing")),"Value Missing",wld_az1_rack4_en1_mgmt_ip&amp;"/"&amp;INT(RIGHT(wld_az1_rack4_edge_overlay_cidr,LEN(wld_az1_rack4_edge_overlay_cidr)-FIND("/",wld_az1_rack4_edge_overlay_cidr)))),IF(wld_dedicated_edge_cluster_chosen_second=5,IF(OR((wld_az1_rack5_en1_mgmt_ip="Value Missing"),(wld_az1_rack5_edge_overlay_cidr="Value Missing")),"Value Missing",wld_az1_rack5_en1_mgmt_ip&amp;"/"&amp;INT(RIGHT(wld_az1_rack5_edge_overlay_cidr,LEN(wld_az1_rack5_edge_overlay_cidr)-FIND("/",wld_az1_rack5_edge_overlay_cidr)))),IF(wld_dedicated_edge_cluster_chosen_second=6,IF(OR((wld_az1_rack6_en1_mgmt_ip="Value Missing"),(wld_az1_rack6_edge_overlay_cidr="Value Missing")),"Value Missing",wld_az1_rack6_en1_mgmt_ip&amp;"/"&amp;INT(RIGHT(wld_az1_rack6_edge_overlay_cidr,LEN(wld_az1_rack6_edge_overlay_cidr)-FIND("/",wld_az1_rack6_edge_overlay_cidr)))),IF(wld_dedicated_edge_cluster_chosen_second=7,IF(OR((wld_az1_rack7_en1_mgmt_ip="Value Missing"),(wld_az1_rack7_edge_overlay_cidr="Value Missing")),"Value Missing",wld_az1_rack7_en1_mgmt_ip&amp;"/"&amp;INT(RIGHT(wld_az1_rack7_edge_overlay_cidr,LEN(wld_az1_rack7_edge_overlay_cidr)-FIND("/",wld_az1_rack7_edge_overlay_cidr)))),IF(wld_dedicated_edge_cluster_chosen_second=8,IF(OR((wld_az1_rack8_en1_mgmt_ip="Value Missing"),(wld_az1_rack8_edge_overlay_cidr="Value Missing")),"Value Missing",wld_az1_rack8_en1_mgmt_ip&amp;"/"&amp;INT(RIGHT(wld_az1_rack8_edge_overlay_cidr,LEN(wld_az1_rack8_edge_overlay_cidr)-FIND("/",wld_az1_rack8_edge_overlay_cidr)))),"")))))))))</f>
        <v>Value Missing</v>
      </c>
    </row>
    <row r="236" spans="2:27" ht="20" customHeight="1">
      <c r="B236" s="21" t="s">
        <v>3185</v>
      </c>
      <c r="C236" s="18" t="str">
        <f>IF(ISBLANK('Network Inputs - Rack'!D37),"Value Missing",'Network Inputs - Rack'!D37)</f>
        <v>Value Missing</v>
      </c>
      <c r="E236" s="21" t="s">
        <v>3185</v>
      </c>
      <c r="F236" s="18" t="str">
        <f>IF(ISBLANK('Network Inputs - Rack'!D93),"Value Missing",'Network Inputs - Rack'!D93)</f>
        <v>Value Missing</v>
      </c>
      <c r="K236" s="21" t="s">
        <v>1849</v>
      </c>
      <c r="L236" s="22" t="str">
        <f>IF(wld_multirack_result="Excluded",wld_az1_mgmt_vm_gateway_ip,IF(wld_dedicated_edge_cluster_chosen_first=1,wld_az1_mgmt_vm_gateway_ip,IF(wld_dedicated_edge_cluster_chosen_first=2,wld_az1_rack2_mgmt_vm_gateway_ip,IF(wld_dedicated_edge_cluster_chosen_first=3,wld_az1_rack3_mgmt_vm_gateway_ip,IF(wld_dedicated_edge_cluster_chosen_first=4,wld_az1_rack4_mgmt_vm_gateway_ip,IF(wld_dedicated_edge_cluster_chosen_first=5,wld_az1_rack5_mgmt_vm_gateway_ip,IF(wld_dedicated_edge_cluster_chosen_first=6,wld_az1_rack6_mgmt_vm_gateway_ip,IF(wld_dedicated_edge_cluster_chosen_first=7,wld_az1_rack7_mgmt_vm_gateway_ip,IF(wld_dedicated_edge_cluster_chosen_first=8,wld_az1_rack8_mgmt_vm_gateway_ip,"")))))))))</f>
        <v>Value Missing</v>
      </c>
      <c r="N236" s="21" t="s">
        <v>1866</v>
      </c>
      <c r="O236" s="22" t="str">
        <f>IF(wld_multirack_result="Excluded",wld_az1_mgmt_vm_gateway_ip,IF(wld_dedicated_edge_cluster_chosen_second=1,wld_az1_mgmt_vm_gateway_ip,IF(wld_dedicated_edge_cluster_chosen_second=2,wld_az1_rack2_mgmt_vm_gateway_ip,IF(wld_dedicated_edge_cluster_chosen_second=3,wld_az1_rack3_mgmt_vm_gateway_ip,IF(wld_dedicated_edge_cluster_chosen_second=4,wld_az1_rack4_mgmt_vm_gateway_ip,IF(wld_dedicated_edge_cluster_chosen_second=5,wld_az1_rack5_mgmt_vm_gateway_ip,IF(wld_dedicated_edge_cluster_chosen_second=6,wld_az1_rack6_mgmt_vm_gateway_ip,IF(wld_dedicated_edge_cluster_chosen_second=7,wld_az1_rack7_mgmt_vm_gateway_ip,IF(wld_dedicated_edge_cluster_chosen_second=8,wld_az1_rack8_mgmt_vm_gateway_ip,"")))))))))</f>
        <v>Value Missing</v>
      </c>
    </row>
    <row r="237" spans="2:27" ht="20" customHeight="1">
      <c r="B237" s="21" t="s">
        <v>540</v>
      </c>
      <c r="C237" s="18" t="str">
        <f>IF(ISBLANK('Network Inputs - Rack'!D38),"Value Missing",'Network Inputs - Rack'!D38)</f>
        <v>Value Missing</v>
      </c>
      <c r="E237" s="21" t="s">
        <v>540</v>
      </c>
      <c r="F237" s="18" t="str">
        <f>IF(ISBLANK('Network Inputs - Rack'!D94),"Value Missing",'Network Inputs - Rack'!D94)</f>
        <v>Value Missing</v>
      </c>
      <c r="K237" s="21" t="s">
        <v>4344</v>
      </c>
      <c r="L237" s="22" t="str">
        <f>IF(wld_multirack_result="Excluded",wld_az1_mgmt_vm_vlan,IF(wld_dedicated_edge_cluster_chosen_first=1,wld_az1_mgmt_vm_vlan,IF(wld_dedicated_edge_cluster_chosen_first=2,wld_az1_rack2_mgmt_vm_vlan,IF(wld_dedicated_edge_cluster_chosen_first=3,wld_az1_rack3_mgmt_vm_vlan,IF(wld_dedicated_edge_cluster_chosen_first=4,wld_az1_rack4_mgmt_vm_vlan,IF(wld_dedicated_edge_cluster_chosen_first=5,wld_az1_rack5_mgmt_vm_vlan,IF(wld_dedicated_edge_cluster_chosen_first=6,wld_az1_rack6_mgmt_vm_vlan,IF(wld_dedicated_edge_cluster_chosen_first=7,wld_az1_rack7_mgmt_vm_vlan,IF(wld_dedicated_edge_cluster_chosen_first=8,wld_az1_rack8_mgmt_vm_vlan,"")))))))))</f>
        <v>Value Missing</v>
      </c>
      <c r="N237" s="55" t="s">
        <v>4345</v>
      </c>
      <c r="O237" s="22" t="str">
        <f>IF(wld_multirack_result="Excluded",wld_az1_mgmt_vm_vlan,IF(wld_dedicated_edge_cluster_chosen_second=1,wld_az1_mgmt_vm_vlan,IF(wld_dedicated_edge_cluster_chosen_second=2,wld_az1_rack2_mgmt_vm_vlan,IF(wld_dedicated_edge_cluster_chosen_second=3,wld_az1_rack3_mgmt_vm_vlan,IF(wld_dedicated_edge_cluster_chosen_second=4,wld_az1_rack4_mgmt_vm_vlan,IF(wld_dedicated_edge_cluster_chosen_second=5,wld_az1_rack5_mgmt_vm_vlan,IF(wld_dedicated_edge_cluster_chosen_second=6,wld_az1_rack6_mgmt_vm_vlan,IF(wld_dedicated_edge_cluster_chosen_second=7,wld_az1_rack7_mgmt_vm_vlan,IF(wld_dedicated_edge_cluster_chosen_second=8,wld_az1_rack8_mgmt_vm_vlan,"")))))))))</f>
        <v>Value Missing</v>
      </c>
    </row>
    <row r="238" spans="2:27" ht="20" customHeight="1">
      <c r="B238" s="52" t="str">
        <f>"Principal Storage Network ("&amp;wld_principal_storage_chosen&amp;")"</f>
        <v>Principal Storage Network (vSAN-ESA)</v>
      </c>
      <c r="C238" s="18" t="str">
        <f>IF(ISBLANK('Network Inputs - Rack'!D39),"Value Missing",'Network Inputs - Rack'!D39)</f>
        <v>Value Missing</v>
      </c>
      <c r="E238" s="52" t="str">
        <f>"Principal Storage Network ("&amp;wld_principal_storage_chosen&amp;")"</f>
        <v>Principal Storage Network (vSAN-ESA)</v>
      </c>
      <c r="F238" s="18" t="str">
        <f>IF(ISBLANK('Network Inputs - Rack'!D95),"Value Missing",'Network Inputs - Rack'!D95)</f>
        <v>Value Missing</v>
      </c>
      <c r="K238" s="21" t="s">
        <v>1852</v>
      </c>
      <c r="L238" s="22" t="str">
        <f>IF(wld_multirack_result="Excluded",wld_az1_edge_overlay_gateway_ip,IF(wld_dedicated_edge_cluster_chosen_first=1,wld_az1_edge_overlay_gateway_ip,IF(wld_dedicated_edge_cluster_chosen_first=2,wld_az1_rack2_edge_overlay_gateway_ip,IF(wld_dedicated_edge_cluster_chosen_first=3,wld_az1_rack3_edge_overlay_gateway_ip,IF(wld_dedicated_edge_cluster_chosen_first=4,wld_az1_rack4_edge_overlay_gateway_ip,IF(wld_dedicated_edge_cluster_chosen_first=5,wld_az1_rack5_edge_overlay_gateway_ip,IF(wld_dedicated_edge_cluster_chosen_first=6,wld_az1_rack6_edge_overlay_gateway_ip,IF(wld_dedicated_edge_cluster_chosen_first=7,wld_az1_rack7_edge_overlay_gateway_ip,IF(wld_dedicated_edge_cluster_chosen_first=8,wld_az1_rack8_edge_overlay_gateway_ip,"")))))))))</f>
        <v>Value Missing</v>
      </c>
      <c r="N238" s="21" t="s">
        <v>1869</v>
      </c>
      <c r="O238" s="22" t="str">
        <f>IF(wld_multirack_result="Excluded",wld_az1_edge_overlay_gateway_ip,IF(wld_dedicated_edge_cluster_chosen_second=1,wld_az1_edge_overlay_gateway_ip,IF(wld_dedicated_edge_cluster_chosen_second=2,wld_az1_rack2_edge_overlay_gateway_ip,IF(wld_dedicated_edge_cluster_chosen_second=3,wld_az1_rack3_edge_overlay_gateway_ip,IF(wld_dedicated_edge_cluster_chosen_second=4,wld_az1_rack4_edge_overlay_gateway_ip,IF(wld_dedicated_edge_cluster_chosen_second=5,wld_az1_rack5_edge_overlay_gateway_ip,IF(wld_dedicated_edge_cluster_chosen_second=6,wld_az1_rack6_edge_overlay_gateway_ip,IF(wld_dedicated_edge_cluster_chosen_second=7,wld_az1_rack7_edge_overlay_gateway_ip,IF(wld_dedicated_edge_cluster_chosen_second=8,wld_az1_rack8_edge_overlay_gateway_ip,"")))))))))</f>
        <v>Value Missing</v>
      </c>
    </row>
    <row r="239" spans="2:27" ht="20" customHeight="1">
      <c r="B239" s="21" t="s">
        <v>543</v>
      </c>
      <c r="C239" s="18" t="str">
        <f>IF(ISBLANK('Network Inputs - Rack'!D40),"Value Missing",'Network Inputs - Rack'!D40)</f>
        <v>Value Missing</v>
      </c>
      <c r="E239" s="21" t="s">
        <v>543</v>
      </c>
      <c r="F239" s="18" t="str">
        <f>IF(ISBLANK('Network Inputs - Rack'!D96),"Value Missing",'Network Inputs - Rack'!D96)</f>
        <v>Value Missing</v>
      </c>
      <c r="K239" s="21" t="s">
        <v>1853</v>
      </c>
      <c r="L239" s="22" t="str">
        <f>IF(wld_multirack_result="Excluded",wld_az1_edge_overlay_vlan,IF(wld_dedicated_edge_cluster_chosen_first=1,wld_az1_edge_overlay_vlan,IF(wld_dedicated_edge_cluster_chosen_first=2,wld_az1_rack2_edge_overlay_vlan,IF(wld_dedicated_edge_cluster_chosen_first=3,wld_az1_rack3_edge_overlay_vlan,IF(wld_dedicated_edge_cluster_chosen_first=4,wld_az1_rack4_edge_overlay_vlan,IF(wld_dedicated_edge_cluster_chosen_first=5,wld_az1_rack5_edge_overlay_vlan,IF(wld_dedicated_edge_cluster_chosen_first=6,wld_az1_rack6_edge_overlay_vlan,IF(wld_dedicated_edge_cluster_chosen_first=7,wld_az1_rack7_edge_overlay_vlan,IF(wld_dedicated_edge_cluster_chosen_first=8,wld_az1_rack8_edge_overlay_vlan,"")))))))))</f>
        <v>Value Missing</v>
      </c>
      <c r="N239" s="21" t="s">
        <v>1870</v>
      </c>
      <c r="O239" s="22" t="str">
        <f>IF(wld_multirack_result="Excluded",wld_az1_edge_overlay_vlan,IF(wld_dedicated_edge_cluster_chosen_second=1,wld_az1_edge_overlay_vlan,IF(wld_dedicated_edge_cluster_chosen_second=2,wld_az1_rack2_edge_overlay_vlan,IF(wld_dedicated_edge_cluster_chosen_second=3,wld_az1_rack3_edge_overlay_vlan,IF(wld_dedicated_edge_cluster_chosen_second=4,wld_az1_rack4_edge_overlay_vlan,IF(wld_dedicated_edge_cluster_chosen_second=5,wld_az1_rack5_edge_overlay_vlan,IF(wld_dedicated_edge_cluster_chosen_second=6,wld_az1_rack6_edge_overlay_vlan,IF(wld_dedicated_edge_cluster_chosen_second=7,wld_az1_rack7_edge_overlay_vlan,IF(wld_dedicated_edge_cluster_chosen_second=8,wld_az1_rack8_edge_overlay_vlan,"")))))))))</f>
        <v>Value Missing</v>
      </c>
    </row>
    <row r="240" spans="2:27" ht="20" customHeight="1">
      <c r="B240" s="21" t="s">
        <v>566</v>
      </c>
      <c r="C240" s="18" t="s">
        <v>452</v>
      </c>
      <c r="E240" s="21" t="s">
        <v>566</v>
      </c>
      <c r="F240" s="18" t="str">
        <f>IF(ISBLANK('Network Inputs - Rack'!D97),"Value Missing",'Network Inputs - Rack'!D97)</f>
        <v>Value Missing</v>
      </c>
      <c r="K240" s="21" t="s">
        <v>1857</v>
      </c>
      <c r="L240" s="22" t="str">
        <f>IF(wld_multirack_result="Excluded",wld_az1_uplink01_vlan,IF(wld_dedicated_edge_cluster_chosen_first=1,wld_az1_uplink01_vlan,IF(wld_dedicated_edge_cluster_chosen_first=2,wld_az1_rack2_uplink01_vlan,IF(wld_dedicated_edge_cluster_chosen_first=3,wld_az1_rack3_uplink01_vlan,IF(wld_dedicated_edge_cluster_chosen_first=4,wld_az1_rack4_uplink01_vlan,IF(wld_dedicated_edge_cluster_chosen_first=5,wld_az1_rack5_uplink01_vlan,IF(wld_dedicated_edge_cluster_chosen_first=6,wld_az1_rack6_uplink01_vlan,IF(wld_dedicated_edge_cluster_chosen_first=7,wld_az1_rack7_uplink01_vlan,IF(wld_dedicated_edge_cluster_chosen_first=8,wld_az1_rack8_uplink01_vlan,"")))))))))</f>
        <v>Value Missing</v>
      </c>
      <c r="N240" s="52" t="s">
        <v>1873</v>
      </c>
      <c r="O240" s="22" t="str">
        <f>IF(wld_multirack_result="Excluded",wld_az1_uplink01_vlan,IF(wld_dedicated_edge_cluster_chosen_second=1,wld_az1_uplink01_vlan,IF(wld_dedicated_edge_cluster_chosen_second=2,wld_az1_rack2_uplink01_vlan,IF(wld_dedicated_edge_cluster_chosen_second=3,wld_az1_rack3_uplink01_vlan,IF(wld_dedicated_edge_cluster_chosen_second=4,wld_az1_rack4_uplink01_vlan,IF(wld_dedicated_edge_cluster_chosen_second=5,wld_az1_rack5_uplink01_vlan,IF(wld_dedicated_edge_cluster_chosen_second=6,wld_az1_rack6_uplink01_vlan,IF(wld_dedicated_edge_cluster_chosen_second=7,wld_az1_rack7_uplink01_vlan,IF(wld_dedicated_edge_cluster_chosen_second=8,wld_az1_rack8_uplink01_vlan,"")))))))))</f>
        <v>Value Missing</v>
      </c>
    </row>
    <row r="241" spans="2:15" ht="20" customHeight="1">
      <c r="B241" s="21" t="s">
        <v>544</v>
      </c>
      <c r="C241" s="18" t="str">
        <f>IF(ISBLANK(input_mgmt_az1_uplink01_vlan),"Value Missing",input_mgmt_az1_uplink01_vlan)</f>
        <v>Value Missing</v>
      </c>
      <c r="E241" s="21" t="s">
        <v>544</v>
      </c>
      <c r="F241" s="18" t="str">
        <f>IF(ISBLANK(input_wld_az1_uplink01_vlan),"Value Missing",input_wld_az1_uplink01_vlan)</f>
        <v>Value Missing</v>
      </c>
      <c r="K241" s="21" t="s">
        <v>1858</v>
      </c>
      <c r="L241" s="22" t="str">
        <f>IF(wld_multirack_result="Excluded",IF(OR((wld_az1_en1_uplink01_interface_ip="Value Missing"),(wld_az1_uplink01_cidr="Value Missing")),"Value Missing",wld_az1_en1_uplink01_interface_ip&amp;"/"&amp;INT(RIGHT(wld_az1_uplink01_cidr,LEN(wld_az1_uplink01_cidr)-FIND("/",wld_az1_uplink01_cidr)))),IF(wld_dedicated_edge_cluster_chosen_first=1,IF(OR((wld_az1_en1_uplink01_interface_ip="Value Missing"),(wld_az1_uplink01_cidr="Value Missing")),"Value Missing",wld_az1_en1_uplink01_interface_ip&amp;"/"&amp;INT(RIGHT(wld_az1_uplink01_cidr,LEN(wld_az1_uplink01_cidr)-FIND("/",wld_az1_uplink01_cidr)))),IF(wld_dedicated_edge_cluster_chosen_first=2,IF(OR((wld_az1_rack2_en1_uplink01_interface_ip="Value Missing"),(wld_az1_rack2_uplink01_cidr="Value Missing")),"Value Missing",wld_az1_rack2_en1_uplink01_interface_ip&amp;"/"&amp;INT(RIGHT(wld_az1_rack2_uplink01_cidr,LEN(wld_az1_rack2_uplink01_cidr)-FIND("/",wld_az1_rack2_uplink01_cidr)))),IF(wld_dedicated_edge_cluster_chosen_first=3,IF(OR((wld_az1_rack3_en1_uplink01_interface_ip="Value Missing"),(wld_az1_rack3_uplink01_cidr="Value Missing")),"Value Missing",wld_az1_rack3_en1_uplink01_interface_ip&amp;"/"&amp;INT(RIGHT(wld_az1_rack3_uplink01_cidr,LEN(wld_az1_rack3_uplink01_cidr)-FIND("/",wld_az1_rack3_uplink01_cidr)))),IF(wld_dedicated_edge_cluster_chosen_first=4,IF(OR((wld_az1_rack4_en1_uplink01_interface_ip="Value Missing"),(wld_az1_rack4_uplink01_cidr="Value Missing")),"Value Missing",wld_az1_rack4_en1_uplink01_interface_ip&amp;"/"&amp;INT(RIGHT(wld_az1_rack4_uplink01_cidr,LEN(wld_az1_rack4_uplink01_cidr)-FIND("/",wld_az1_rack4_uplink01_cidr)))),IF(wld_dedicated_edge_cluster_chosen_first=5,IF(OR((wld_az1_rack5_en1_uplink01_interface_ip="Value Missing"),(wld_az1_rack5_uplink01_cidr="Value Missing")),"Value Missing",wld_az1_rack5_en1_uplink01_interface_ip&amp;"/"&amp;INT(RIGHT(wld_az1_rack5_uplink01_cidr,LEN(wld_az1_rack5_uplink01_cidr)-FIND("/",wld_az1_rack5_uplink01_cidr)))),IF(wld_dedicated_edge_cluster_chosen_first=6,IF(OR((wld_az1_rack6_en1_uplink01_interface_ip="Value Missing"),(wld_az1_rack6_uplink01_cidr="Value Missing")),"Value Missing",wld_az1_rack6_en1_uplink01_interface_ip&amp;"/"&amp;INT(RIGHT(wld_az1_rack6_uplink01_cidr,LEN(wld_az1_rack6_uplink01_cidr)-FIND("/",wld_az1_rack6_uplink01_cidr)))),IF(wld_dedicated_edge_cluster_chosen_first=7,IF(OR((wld_az1_rack7_en1_uplink01_interface_ip="Value Missing"),(wld_az1_rack7_uplink01_cidr="Value Missing")),"Value Missing",wld_az1_rack7_en1_uplink01_interface_ip&amp;"/"&amp;INT(RIGHT(wld_az1_rack7_uplink01_cidr,LEN(wld_az1_rack7_uplink01_cidr)-FIND("/",wld_az1_rack7_uplink01_cidr)))),IF(wld_dedicated_edge_cluster_chosen_first=8,IF(OR((wld_az1_rack8_en1_uplink01_interface_ip="Value Missing"),(wld_az1_rack8_uplink01_cidr="Value Missing")),"Value Missing",wld_az1_rack8_en1_uplink01_interface_ip&amp;"/"&amp;INT(RIGHT(wld_az1_rack8_uplink01_cidr,LEN(wld_az1_rack8_uplink01_cidr)-FIND("/",wld_az1_rack8_uplink01_cidr)))),"")))))))))</f>
        <v>Value Missing</v>
      </c>
      <c r="N241" s="55" t="s">
        <v>1874</v>
      </c>
      <c r="O241" s="22" t="str">
        <f>IF(wld_multirack_result="Excluded",IF(OR((wld_az1_en1_uplink01_interface_ip="Value Missing"),(wld_az1_uplink01_cidr="Value Missing")),"Value Missing",wld_az1_en1_uplink01_interface_ip&amp;"/"&amp;INT(RIGHT(wld_az1_uplink01_cidr,LEN(wld_az1_uplink01_cidr)-FIND("/",wld_az1_uplink01_cidr)))),IF(wld_dedicated_edge_cluster_chosen_second=1,IF(OR((wld_az1_en1_uplink01_interface_ip="Value Missing"),(wld_az1_uplink01_cidr="Value Missing")),"Value Missing",wld_az1_en1_uplink01_interface_ip&amp;"/"&amp;INT(RIGHT(wld_az1_uplink01_cidr,LEN(wld_az1_uplink01_cidr)-FIND("/",wld_az1_uplink01_cidr)))),IF(wld_dedicated_edge_cluster_chosen_second=2,IF(OR((wld_az1_rack2_en1_uplink01_interface_ip="Value Missing"),(wld_az1_rack2_uplink01_cidr="Value Missing")),"Value Missing",wld_az1_rack2_en1_uplink01_interface_ip&amp;"/"&amp;INT(RIGHT(wld_az1_rack2_uplink01_cidr,LEN(wld_az1_rack2_uplink01_cidr)-FIND("/",wld_az1_rack2_uplink01_cidr)))),IF(wld_dedicated_edge_cluster_chosen_second=3,IF(OR((wld_az1_rack3_en1_uplink01_interface_ip="Value Missing"),(wld_az1_rack3_uplink01_cidr="Value Missing")),"Value Missing",wld_az1_rack3_en1_uplink01_interface_ip&amp;"/"&amp;INT(RIGHT(wld_az1_rack3_uplink01_cidr,LEN(wld_az1_rack3_uplink01_cidr)-FIND("/",wld_az1_rack3_uplink01_cidr)))),IF(wld_dedicated_edge_cluster_chosen_second=4,IF(OR((wld_az1_rack4_en1_uplink01_interface_ip="Value Missing"),(wld_az1_rack4_uplink01_cidr="Value Missing")),"Value Missing",wld_az1_rack4_en1_uplink01_interface_ip&amp;"/"&amp;INT(RIGHT(wld_az1_rack4_uplink01_cidr,LEN(wld_az1_rack4_uplink01_cidr)-FIND("/",wld_az1_rack4_uplink01_cidr)))),IF(wld_dedicated_edge_cluster_chosen_second=5,IF(OR((wld_az1_rack5_en1_uplink01_interface_ip="Value Missing"),(wld_az1_rack5_uplink01_cidr="Value Missing")),"Value Missing",wld_az1_rack5_en1_uplink01_interface_ip&amp;"/"&amp;INT(RIGHT(wld_az1_rack5_uplink01_cidr,LEN(wld_az1_rack5_uplink01_cidr)-FIND("/",wld_az1_rack5_uplink01_cidr)))),IF(wld_dedicated_edge_cluster_chosen_second=6,IF(OR((wld_az1_rack6_en1_uplink01_interface_ip="Value Missing"),(wld_az1_rack6_uplink01_cidr="Value Missing")),"Value Missing",wld_az1_rack6_en1_uplink01_interface_ip&amp;"/"&amp;INT(RIGHT(wld_az1_rack6_uplink01_cidr,LEN(wld_az1_rack6_uplink01_cidr)-FIND("/",wld_az1_rack6_uplink01_cidr)))),IF(wld_dedicated_edge_cluster_chosen_second=7,IF(OR((wld_az1_rack7_en1_uplink01_interface_ip="Value Missing"),(wld_az1_rack7_uplink01_cidr="Value Missing")),"Value Missing",wld_az1_rack7_en1_uplink01_interface_ip&amp;"/"&amp;INT(RIGHT(wld_az1_rack7_uplink01_cidr,LEN(wld_az1_rack7_uplink01_cidr)-FIND("/",wld_az1_rack7_uplink01_cidr)))),IF(wld_dedicated_edge_cluster_chosen_second=8,IF(OR((wld_az1_rack8_en1_uplink01_interface_ip="Value Missing"),(wld_az1_rack8_uplink01_cidr="Value Missing")),"Value Missing",wld_az1_rack8_en1_uplink01_interface_ip&amp;"/"&amp;INT(RIGHT(wld_az1_rack8_uplink01_cidr,LEN(wld_az1_rack8_uplink01_cidr)-FIND("/",wld_az1_rack8_uplink01_cidr)))),"")))))))))</f>
        <v>Value Missing</v>
      </c>
    </row>
    <row r="242" spans="2:15" ht="20" customHeight="1">
      <c r="B242" s="21" t="s">
        <v>545</v>
      </c>
      <c r="C242" s="18" t="str">
        <f>IF(ISBLANK(input_mgmt_az1_uplink02_vlan),"Value Missing",input_mgmt_az1_uplink02_vlan)</f>
        <v>Value Missing</v>
      </c>
      <c r="E242" s="21" t="s">
        <v>545</v>
      </c>
      <c r="F242" s="18" t="str">
        <f>IF(ISBLANK(input_wld_az1_uplink02_vlan),"Value Missing",input_wld_az1_uplink02_vlan)</f>
        <v>Value Missing</v>
      </c>
      <c r="K242" s="21" t="s">
        <v>1859</v>
      </c>
      <c r="L242" s="22" t="str">
        <f>IF(wld_multirack_result="Excluded",IF(OR((wld_az1_tor1_peer_ip="Value Missing"),(wld_az1_uplink01_cidr="Value Missing")),"Value Missing",wld_az1_tor1_peer_ip&amp;"/"&amp;INT(RIGHT(wld_az1_uplink01_cidr,LEN(wld_az1_uplink01_cidr)-FIND("/",wld_az1_uplink01_cidr)))),IF(wld_dedicated_edge_cluster_chosen_first=1,IF(OR((wld_az1_tor1_peer_ip="Value Missing"),(wld_az1_uplink01_cidr="Value Missing")),"Value Missing",wld_az1_tor1_peer_ip&amp;"/"&amp;INT(RIGHT(wld_az1_uplink01_cidr,LEN(wld_az1_uplink01_cidr)-FIND("/",wld_az1_uplink01_cidr)))),IF(wld_dedicated_edge_cluster_chosen_first=2,IF(OR((wld_az1_rack2_tor1_peer_ip="Value Missing"),(wld_az1_rack2_uplink01_cidr="Value Missing")),"Value Missing",wld_az1_rack2_tor1_peer_ip&amp;"/"&amp;INT(RIGHT(wld_az1_rack2_uplink01_cidr,LEN(wld_az1_rack2_uplink01_cidr)-FIND("/",wld_az1_rack2_uplink01_cidr)))),IF(wld_dedicated_edge_cluster_chosen_first=3,IF(OR((wld_az1_rack3_tor1_peer_ip="Value Missing"),(wld_az1_rack3_uplink01_cidr="Value Missing")),"Value Missing",wld_az1_rack3_tor1_peer_ip&amp;"/"&amp;INT(RIGHT(wld_az1_rack3_uplink01_cidr,LEN(wld_az1_rack3_uplink01_cidr)-FIND("/",wld_az1_rack3_uplink01_cidr)))),IF(wld_dedicated_edge_cluster_chosen_first=4,IF(OR((wld_az1_rack4_tor1_peer_ip="Value Missing"),(wld_az1_rack4_uplink01_cidr="Value Missing")),"Value Missing",wld_az1_rack4_tor1_peer_ip&amp;"/"&amp;INT(RIGHT(wld_az1_rack4_uplink01_cidr,LEN(wld_az1_rack4_uplink01_cidr)-FIND("/",wld_az1_rack4_uplink01_cidr)))),IF(wld_dedicated_edge_cluster_chosen_first=5,IF(OR((wld_az1_rack5_tor1_peer_ip="Value Missing"),(wld_az1_rack5_uplink01_cidr="Value Missing")),"Value Missing",wld_az1_rack5_tor1_peer_ip&amp;"/"&amp;INT(RIGHT(wld_az1_rack5_uplink01_cidr,LEN(wld_az1_rack5_uplink01_cidr)-FIND("/",wld_az1_rack5_uplink01_cidr)))),IF(wld_dedicated_edge_cluster_chosen_first=6,IF(OR((wld_az1_rack6_tor1_peer_ip="Value Missing"),(wld_az1_rack6_uplink01_cidr="Value Missing")),"Value Missing",wld_az1_rack6_tor1_peer_ip&amp;"/"&amp;INT(RIGHT(wld_az1_rack6_uplink01_cidr,LEN(wld_az1_rack6_uplink01_cidr)-FIND("/",wld_az1_rack6_uplink01_cidr)))),IF(wld_dedicated_edge_cluster_chosen_first=7,IF(OR((wld_az1_rack7_tor1_peer_ip="Value Missing"),(wld_az1_rack7_uplink01_cidr="Value Missing")),"Value Missing",wld_az1_rack7_tor1_peer_ip&amp;"/"&amp;INT(RIGHT(wld_az1_rack7_uplink01_cidr,LEN(wld_az1_rack7_uplink01_cidr)-FIND("/",wld_az1_rack7_uplink01_cidr)))),IF(wld_dedicated_edge_cluster_chosen_first=8,IF(OR((wld_az1_rack8_tor1_peer_ip="Value Missing"),(wld_az1_rack8_uplink01_cidr="Value Missing")),"Value Missing",wld_az1_rack8_tor1_peer_ip&amp;"/"&amp;INT(RIGHT(wld_az1_rack8_uplink01_cidr,LEN(wld_az1_rack8_uplink01_cidr)-FIND("/",wld_az1_rack8_uplink01_cidr)))),"")))))))))</f>
        <v>Value Missing</v>
      </c>
      <c r="N242" s="55" t="s">
        <v>1875</v>
      </c>
      <c r="O242" s="22" t="str">
        <f>IF(wld_multirack_result="Excluded",IF(OR((wld_az1_tor1_peer_ip="Value Missing"),(wld_az1_uplink01_cidr="Value Missing")),"Value Missing",wld_az1_tor1_peer_ip&amp;"/"&amp;INT(RIGHT(wld_az1_uplink01_cidr,LEN(wld_az1_uplink01_cidr)-FIND("/",wld_az1_uplink01_cidr)))),IF(wld_dedicated_edge_cluster_chosen_second=1,IF(OR((wld_az1_tor1_peer_ip="Value Missing"),(wld_az1_uplink01_cidr="Value Missing")),"Value Missing",wld_az1_tor1_peer_ip&amp;"/"&amp;INT(RIGHT(wld_az1_uplink01_cidr,LEN(wld_az1_uplink01_cidr)-FIND("/",wld_az1_uplink01_cidr)))),IF(wld_dedicated_edge_cluster_chosen_second=2,IF(OR((wld_az1_rack2_tor1_peer_ip="Value Missing"),(wld_az1_rack2_uplink01_cidr="Value Missing")),"Value Missing",wld_az1_rack2_tor1_peer_ip&amp;"/"&amp;INT(RIGHT(wld_az1_rack2_uplink01_cidr,LEN(wld_az1_rack2_uplink01_cidr)-FIND("/",wld_az1_rack2_uplink01_cidr)))),IF(wld_dedicated_edge_cluster_chosen_second=3,IF(OR((wld_az1_rack3_tor1_peer_ip="Value Missing"),(wld_az1_rack3_uplink01_cidr="Value Missing")),"Value Missing",wld_az1_rack3_tor1_peer_ip&amp;"/"&amp;INT(RIGHT(wld_az1_rack3_uplink01_cidr,LEN(wld_az1_rack3_uplink01_cidr)-FIND("/",wld_az1_rack3_uplink01_cidr)))),IF(wld_dedicated_edge_cluster_chosen_second=4,IF(OR((wld_az1_rack4_tor1_peer_ip="Value Missing"),(wld_az1_rack4_uplink01_cidr="Value Missing")),"Value Missing",wld_az1_rack4_tor1_peer_ip&amp;"/"&amp;INT(RIGHT(wld_az1_rack4_uplink01_cidr,LEN(wld_az1_rack4_uplink01_cidr)-FIND("/",wld_az1_rack4_uplink01_cidr)))),IF(wld_dedicated_edge_cluster_chosen_second=5,IF(OR((wld_az1_rack5_tor1_peer_ip="Value Missing"),(wld_az1_rack5_uplink01_cidr="Value Missing")),"Value Missing",wld_az1_rack5_tor1_peer_ip&amp;"/"&amp;INT(RIGHT(wld_az1_rack5_uplink01_cidr,LEN(wld_az1_rack5_uplink01_cidr)-FIND("/",wld_az1_rack5_uplink01_cidr)))),IF(wld_dedicated_edge_cluster_chosen_second=6,IF(OR((wld_az1_rack6_tor1_peer_ip="Value Missing"),(wld_az1_rack6_uplink01_cidr="Value Missing")),"Value Missing",wld_az1_rack6_tor1_peer_ip&amp;"/"&amp;INT(RIGHT(wld_az1_rack6_uplink01_cidr,LEN(wld_az1_rack6_uplink01_cidr)-FIND("/",wld_az1_rack6_uplink01_cidr)))),IF(wld_dedicated_edge_cluster_chosen_second=7,IF(OR((wld_az1_rack7_tor1_peer_ip="Value Missing"),(wld_az1_rack7_uplink01_cidr="Value Missing")),"Value Missing",wld_az1_rack7_tor1_peer_ip&amp;"/"&amp;INT(RIGHT(wld_az1_rack7_uplink01_cidr,LEN(wld_az1_rack7_uplink01_cidr)-FIND("/",wld_az1_rack7_uplink01_cidr)))),IF(wld_dedicated_edge_cluster_chosen_second=8,IF(OR((wld_az1_rack8_tor1_peer_ip="Value Missing"),(wld_az1_rack8_uplink01_cidr="Value Missing")),"Value Missing",wld_az1_rack8_tor1_peer_ip&amp;"/"&amp;INT(RIGHT(wld_az1_rack8_uplink01_cidr,LEN(wld_az1_rack8_uplink01_cidr)-FIND("/",wld_az1_rack8_uplink01_cidr)))),"")))))))))</f>
        <v>Value Missing</v>
      </c>
    </row>
    <row r="243" spans="2:15" ht="20" customHeight="1">
      <c r="B243" s="21" t="s">
        <v>546</v>
      </c>
      <c r="C243" s="18" t="str">
        <f>IF(ISBLANK(input_mgmt_az1_edge_overlay_vlan),"Value Missing",input_mgmt_az1_edge_overlay_vlan)</f>
        <v>Value Missing</v>
      </c>
      <c r="E243" s="21" t="s">
        <v>546</v>
      </c>
      <c r="F243" s="18" t="str">
        <f>IF(ISBLANK(input_wld_az1_edge_overlay_vlan),"Value Missing",input_wld_az1_edge_overlay_vlan)</f>
        <v>Value Missing</v>
      </c>
      <c r="K243" s="21" t="s">
        <v>4362</v>
      </c>
      <c r="L243" s="22" t="str">
        <f>IF(wld_multirack_result="Excluded",wld_az1_tor1_peer_asn,IF(wld_dedicated_edge_cluster_chosen_first=1,wld_az1_tor1_peer_asn,IF(wld_dedicated_edge_cluster_chosen_first=2,wld_az1_rack2_tor1_peer_asn,IF(wld_dedicated_edge_cluster_chosen_first=3,wld_az1_rack3_tor1_peer_asn,IF(wld_dedicated_edge_cluster_chosen_first=4,wld_az1_rack4_tor1_peer_asn,IF(wld_dedicated_edge_cluster_chosen_first=5,wld_az1_rack5_tor1_peer_asn,IF(wld_dedicated_edge_cluster_chosen_first=6,wld_az1_rack6_tor1_peer_asn,IF(wld_dedicated_edge_cluster_chosen_first=7,wld_az1_rack7_tor1_peer_asn,IF(wld_dedicated_edge_cluster_chosen_first=8,wld_az1_rack8_tor1_peer_asn,"")))))))))</f>
        <v>Value Missing</v>
      </c>
      <c r="N243" s="55" t="s">
        <v>1876</v>
      </c>
      <c r="O243" s="22" t="str">
        <f>IF(wld_multirack_result="Excluded",wld_az1_tor1_peer_asn,IF(wld_dedicated_edge_cluster_chosen_second=1,wld_az1_tor1_peer_asn,IF(wld_dedicated_edge_cluster_chosen_second=2,wld_az1_rack2_tor1_peer_asn,IF(wld_dedicated_edge_cluster_chosen_second=3,wld_az1_rack3_tor1_peer_asn,IF(wld_dedicated_edge_cluster_chosen_second=4,wld_az1_rack4_tor1_peer_asn,IF(wld_dedicated_edge_cluster_chosen_second=5,wld_az1_rack5_tor1_peer_asn,IF(wld_dedicated_edge_cluster_chosen_second=6,wld_az1_rack6_tor1_peer_asn,IF(wld_dedicated_edge_cluster_chosen_second=7,wld_az1_rack7_tor1_peer_asn,IF(wld_dedicated_edge_cluster_chosen_second=8,wld_az1_rack8_tor1_peer_asn,"")))))))))</f>
        <v>Value Missing</v>
      </c>
    </row>
    <row r="244" spans="2:15" ht="20" customHeight="1">
      <c r="B244" s="21" t="s">
        <v>547</v>
      </c>
      <c r="C244" s="18" t="str">
        <f>IF(ISBLANK(input_mgmt_az1_rtep_overlay_vlan),"Value Missing",input_mgmt_az1_rtep_overlay_vlan)</f>
        <v>Value Missing</v>
      </c>
      <c r="E244" s="21" t="s">
        <v>547</v>
      </c>
      <c r="F244" s="18" t="str">
        <f>IF(ISBLANK(input_wld_az1_rtep_overlay_vlan),"Value Missing",input_wld_az1_rtep_overlay_vlan)</f>
        <v>Value Missing</v>
      </c>
      <c r="K244" s="21" t="s">
        <v>4363</v>
      </c>
      <c r="L244" s="22" t="str">
        <f>IF(wld_multirack_result="Excluded",wld_az1_tor1_peer_bgp_password,IF(wld_dedicated_edge_cluster_chosen_first=1,wld_az1_tor1_peer_bgp_password,IF(wld_dedicated_edge_cluster_chosen_first=2,wld_az1_rack2_tor1_peer_bgp_password,IF(wld_dedicated_edge_cluster_chosen_first=3,wld_az1_rack3_tor1_peer_bgp_password,IF(wld_dedicated_edge_cluster_chosen_first=4,wld_az1_rack4_tor1_peer_bgp_password,IF(wld_dedicated_edge_cluster_chosen_first=5,wld_az1_rack5_tor1_peer_bgp_password,IF(wld_dedicated_edge_cluster_chosen_first=6,wld_az1_rack6_tor1_peer_bgp_password,IF(wld_dedicated_edge_cluster_chosen_first=7,wld_az1_rack7_tor1_peer_bgp_password,IF(wld_dedicated_edge_cluster_chosen_first=8,wld_az1_rack8_tor1_peer_bgp_password,"")))))))))</f>
        <v>Value Missing</v>
      </c>
      <c r="N244" s="55" t="s">
        <v>4366</v>
      </c>
      <c r="O244" s="22" t="str">
        <f>IF(wld_multirack_result="Excluded",wld_az1_tor1_peer_bgp_password,IF(wld_dedicated_edge_cluster_chosen_second=1,wld_az1_tor1_peer_bgp_password,IF(wld_dedicated_edge_cluster_chosen_second=2,wld_az1_rack2_tor1_peer_bgp_password,IF(wld_dedicated_edge_cluster_chosen_second=3,wld_az1_rack3_tor1_peer_bgp_password,IF(wld_dedicated_edge_cluster_chosen_second=4,wld_az1_rack4_tor1_peer_bgp_password,IF(wld_dedicated_edge_cluster_chosen_second=5,wld_az1_rack5_tor1_peer_bgp_password,IF(wld_dedicated_edge_cluster_chosen_second=6,wld_az1_rack6_tor1_peer_bgp_password,IF(wld_dedicated_edge_cluster_chosen_second=7,wld_az1_rack7_tor1_peer_bgp_password,IF(wld_dedicated_edge_cluster_chosen_second=8,wld_az1_rack8_tor1_peer_bgp_password,"")))))))))</f>
        <v>Value Missing</v>
      </c>
    </row>
    <row r="245" spans="2:15" ht="20" customHeight="1">
      <c r="B245" s="21" t="s">
        <v>548</v>
      </c>
      <c r="C245" s="18" t="str">
        <f>IF(ISBLANK(input_mgmt_az1_vrms_vlan),"Value Missing",input_mgmt_az1_vrms_vlan)</f>
        <v>Value Missing</v>
      </c>
      <c r="E245" s="21" t="s">
        <v>548</v>
      </c>
      <c r="F245" s="18" t="str">
        <f>IF(ISBLANK(input_wld_az1_vrms_vlan),"Value Missing",input_wld_az1_vrms_vlan)</f>
        <v>Value Missing</v>
      </c>
      <c r="K245" s="21" t="s">
        <v>1862</v>
      </c>
      <c r="L245" s="22" t="str">
        <f>IF(wld_multirack_result="Excluded",wld_az1_uplink02_vlan,IF(wld_dedicated_edge_cluster_chosen_first=1,wld_az1_uplink02_vlan,IF(wld_dedicated_edge_cluster_chosen_first=2,wld_az1_rack2_uplink02_vlan,IF(wld_dedicated_edge_cluster_chosen_first=3,wld_az1_rack3_uplink02_vlan,IF(wld_dedicated_edge_cluster_chosen_first=4,wld_az1_rack4_uplink02_vlan,IF(wld_dedicated_edge_cluster_chosen_first=5,wld_az1_rack5_uplink02_vlan,IF(wld_dedicated_edge_cluster_chosen_first=6,wld_az1_rack6_uplink02_vlan,IF(wld_dedicated_edge_cluster_chosen_first=7,wld_az1_rack7_uplink02_vlan,IF(wld_dedicated_edge_cluster_chosen_first=8,wld_az1_rack8_uplink02_vlan,"")))))))))</f>
        <v>Value Missing</v>
      </c>
      <c r="N245" s="55" t="s">
        <v>1878</v>
      </c>
      <c r="O245" s="22" t="str">
        <f>IF(wld_multirack_result="Excluded",wld_az1_uplink02_vlan,IF(wld_dedicated_edge_cluster_chosen_second=1,wld_az1_uplink02_vlan,IF(wld_dedicated_edge_cluster_chosen_second=2,wld_az1_rack2_uplink02_vlan,IF(wld_dedicated_edge_cluster_chosen_second=3,wld_az1_rack3_uplink02_vlan,IF(wld_dedicated_edge_cluster_chosen_second=4,wld_az1_rack4_uplink02_vlan,IF(wld_dedicated_edge_cluster_chosen_second=5,wld_az1_rack5_uplink02_vlan,IF(wld_dedicated_edge_cluster_chosen_second=6,wld_az1_rack6_uplink02_vlan,IF(wld_dedicated_edge_cluster_chosen_second=7,wld_az1_rack7_uplink02_vlan,IF(wld_dedicated_edge_cluster_chosen_second=8,wld_az1_rack8_uplink02_vlan,"")))))))))</f>
        <v>Value Missing</v>
      </c>
    </row>
    <row r="246" spans="2:15" ht="20" customHeight="1">
      <c r="B246" s="3"/>
      <c r="C246" s="3"/>
      <c r="K246" s="21" t="s">
        <v>1863</v>
      </c>
      <c r="L246" s="22" t="str">
        <f>IF(wld_multirack_result="Excluded",IF(OR((wld_az1_en1_uplink02_interface_ip="Value Missing"),(wld_az1_uplink02_cidr="Value Missing")),"Value Missing",wld_az1_en1_uplink02_interface_ip&amp;"/"&amp;INT(RIGHT(wld_az1_uplink02_cidr,LEN(wld_az1_uplink02_cidr)-FIND("/",wld_az1_uplink02_cidr)))),IF(wld_dedicated_edge_cluster_chosen_first=1,IF(OR((wld_az1_en1_uplink02_interface_ip="Value Missing"),(wld_az1_uplink02_cidr="Value Missing")),"Value Missing",wld_az1_en1_uplink02_interface_ip&amp;"/"&amp;INT(RIGHT(wld_az1_uplink02_cidr,LEN(wld_az1_uplink02_cidr)-FIND("/",wld_az1_uplink02_cidr)))),IF(wld_dedicated_edge_cluster_chosen_first=2,IF(OR((wld_az1_rack2_en1_uplink02_interface_ip="Value Missing"),(wld_az1_rack2_uplink02_cidr="Value Missing")),"Value Missing",wld_az1_rack2_en1_uplink02_interface_ip&amp;"/"&amp;INT(RIGHT(wld_az1_rack2_uplink02_cidr,LEN(wld_az1_rack2_uplink02_cidr)-FIND("/",wld_az1_rack2_uplink02_cidr)))),IF(wld_dedicated_edge_cluster_chosen_first=3,IF(OR((wld_az1_rack3_en1_uplink02_interface_ip="Value Missing"),(wld_az1_rack3_uplink02_cidr="Value Missing")),"Value Missing",wld_az1_rack3_en1_uplink02_interface_ip&amp;"/"&amp;INT(RIGHT(wld_az1_rack3_uplink02_cidr,LEN(wld_az1_rack3_uplink02_cidr)-FIND("/",wld_az1_rack3_uplink02_cidr)))),IF(wld_dedicated_edge_cluster_chosen_first=4,IF(OR((wld_az1_rack4_en1_uplink02_interface_ip="Value Missing"),(wld_az1_rack4_uplink02_cidr="Value Missing")),"Value Missing",wld_az1_rack4_en1_uplink02_interface_ip&amp;"/"&amp;INT(RIGHT(wld_az1_rack4_uplink02_cidr,LEN(wld_az1_rack4_uplink02_cidr)-FIND("/",wld_az1_rack4_uplink02_cidr)))),IF(wld_dedicated_edge_cluster_chosen_first=5,IF(OR((wld_az1_rack5_en1_uplink02_interface_ip="Value Missing"),(wld_az1_rack5_uplink02_cidr="Value Missing")),"Value Missing",wld_az1_rack5_en1_uplink02_interface_ip&amp;"/"&amp;INT(RIGHT(wld_az1_rack5_uplink02_cidr,LEN(wld_az1_rack5_uplink02_cidr)-FIND("/",wld_az1_rack5_uplink02_cidr)))),IF(wld_dedicated_edge_cluster_chosen_first=6,IF(OR((wld_az1_rack6_en1_uplink02_interface_ip="Value Missing"),(wld_az1_rack6_uplink02_cidr="Value Missing")),"Value Missing",wld_az1_rack6_en1_uplink02_interface_ip&amp;"/"&amp;INT(RIGHT(wld_az1_rack6_uplink02_cidr,LEN(wld_az1_rack6_uplink02_cidr)-FIND("/",wld_az1_rack6_uplink02_cidr)))),IF(wld_dedicated_edge_cluster_chosen_first=7,IF(OR((wld_az1_rack7_en1_uplink02_interface_ip="Value Missing"),(wld_az1_rack7_uplink02_cidr="Value Missing")),"Value Missing",wld_az1_rack7_en1_uplink02_interface_ip&amp;"/"&amp;INT(RIGHT(wld_az1_rack7_uplink02_cidr,LEN(wld_az1_rack7_uplink02_cidr)-FIND("/",wld_az1_rack7_uplink02_cidr)))),IF(wld_dedicated_edge_cluster_chosen_first=8,IF(OR((wld_az1_rack8_en1_uplink02_interface_ip="Value Missing"),(wld_az1_rack8_uplink02_cidr="Value Missing")),"Value Missing",wld_az1_rack8_en1_uplink02_interface_ip&amp;"/"&amp;INT(RIGHT(wld_az1_rack8_uplink02_cidr,LEN(wld_az1_rack8_uplink02_cidr)-FIND("/",wld_az1_rack8_uplink02_cidr)))),"")))))))))</f>
        <v>Value Missing</v>
      </c>
      <c r="N246" s="55" t="s">
        <v>1879</v>
      </c>
      <c r="O246" s="22" t="str">
        <f>IF(wld_multirack_result="Excluded",IF(OR((wld_az1_en1_uplink02_interface_ip="Value Missing"),(wld_az1_uplink02_cidr="Value Missing")),"Value Missing",wld_az1_en1_uplink02_interface_ip&amp;"/"&amp;INT(RIGHT(wld_az1_uplink02_cidr,LEN(wld_az1_uplink02_cidr)-FIND("/",wld_az1_uplink02_cidr)))),IF(wld_dedicated_edge_cluster_chosen_second=1,IF(OR((wld_az1_en1_uplink02_interface_ip="Value Missing"),(wld_az1_uplink02_cidr="Value Missing")),"Value Missing",wld_az1_en1_uplink02_interface_ip&amp;"/"&amp;INT(RIGHT(wld_az1_uplink02_cidr,LEN(wld_az1_uplink02_cidr)-FIND("/",wld_az1_uplink02_cidr)))),IF(wld_dedicated_edge_cluster_chosen_second=2,IF(OR((wld_az1_rack2_en1_uplink02_interface_ip="Value Missing"),(wld_az1_rack2_uplink02_cidr="Value Missing")),"Value Missing",wld_az1_rack2_en1_uplink02_interface_ip&amp;"/"&amp;INT(RIGHT(wld_az1_rack2_uplink02_cidr,LEN(wld_az1_rack2_uplink02_cidr)-FIND("/",wld_az1_rack2_uplink02_cidr)))),IF(wld_dedicated_edge_cluster_chosen_second=3,IF(OR((wld_az1_rack3_en1_uplink02_interface_ip="Value Missing"),(wld_az1_rack3_uplink02_cidr="Value Missing")),"Value Missing",wld_az1_rack3_en1_uplink02_interface_ip&amp;"/"&amp;INT(RIGHT(wld_az1_rack3_uplink02_cidr,LEN(wld_az1_rack3_uplink02_cidr)-FIND("/",wld_az1_rack3_uplink02_cidr)))),IF(wld_dedicated_edge_cluster_chosen_second=4,IF(OR((wld_az1_rack4_en1_uplink02_interface_ip="Value Missing"),(wld_az1_rack4_uplink02_cidr="Value Missing")),"Value Missing",wld_az1_rack4_en1_uplink02_interface_ip&amp;"/"&amp;INT(RIGHT(wld_az1_rack4_uplink02_cidr,LEN(wld_az1_rack4_uplink02_cidr)-FIND("/",wld_az1_rack4_uplink02_cidr)))),IF(wld_dedicated_edge_cluster_chosen_second=5,IF(OR((wld_az1_rack5_en1_uplink02_interface_ip="Value Missing"),(wld_az1_rack5_uplink02_cidr="Value Missing")),"Value Missing",wld_az1_rack5_en1_uplink02_interface_ip&amp;"/"&amp;INT(RIGHT(wld_az1_rack5_uplink02_cidr,LEN(wld_az1_rack5_uplink02_cidr)-FIND("/",wld_az1_rack5_uplink02_cidr)))),IF(wld_dedicated_edge_cluster_chosen_second=6,IF(OR((wld_az1_rack6_en1_uplink02_interface_ip="Value Missing"),(wld_az1_rack6_uplink02_cidr="Value Missing")),"Value Missing",wld_az1_rack6_en1_uplink02_interface_ip&amp;"/"&amp;INT(RIGHT(wld_az1_rack6_uplink02_cidr,LEN(wld_az1_rack6_uplink02_cidr)-FIND("/",wld_az1_rack6_uplink02_cidr)))),IF(wld_dedicated_edge_cluster_chosen_second=7,IF(OR((wld_az1_rack7_en1_uplink02_interface_ip="Value Missing"),(wld_az1_rack7_uplink02_cidr="Value Missing")),"Value Missing",wld_az1_rack7_en1_uplink02_interface_ip&amp;"/"&amp;INT(RIGHT(wld_az1_rack7_uplink02_cidr,LEN(wld_az1_rack7_uplink02_cidr)-FIND("/",wld_az1_rack7_uplink02_cidr)))),IF(wld_dedicated_edge_cluster_chosen_second=8,IF(OR((wld_az1_rack8_en1_uplink02_interface_ip="Value Missing"),(wld_az1_rack8_uplink02_cidr="Value Missing")),"Value Missing",wld_az1_rack8_en1_uplink02_interface_ip&amp;"/"&amp;INT(RIGHT(wld_az1_rack8_uplink02_cidr,LEN(wld_az1_rack8_uplink02_cidr)-FIND("/",wld_az1_rack8_uplink02_cidr)))),"")))))))))</f>
        <v>Value Missing</v>
      </c>
    </row>
    <row r="247" spans="2:15" ht="20" customHeight="1">
      <c r="B247" s="184" t="s">
        <v>4122</v>
      </c>
      <c r="C247" s="188"/>
      <c r="E247" s="184" t="s">
        <v>4145</v>
      </c>
      <c r="F247" s="188"/>
      <c r="K247" s="21" t="s">
        <v>1859</v>
      </c>
      <c r="L247" s="22" t="str">
        <f>IF(wld_multirack_result="Excluded",IF(OR((wld_az1_tor2_peer_ip="Value Missing"),(wld_az1_uplink01_cidr="Value Missing")),"Value Missing",wld_az1_tor2_peer_ip&amp;"/"&amp;INT(RIGHT(wld_az1_uplink01_cidr,LEN(wld_az1_uplink01_cidr)-FIND("/",wld_az1_uplink01_cidr)))),IF(wld_dedicated_edge_cluster_chosen_first=1,IF(OR((wld_az1_tor2_peer_ip="Value Missing"),(wld_az1_uplink01_cidr="Value Missing")),"Value Missing",wld_az1_tor2_peer_ip&amp;"/"&amp;INT(RIGHT(wld_az1_uplink01_cidr,LEN(wld_az1_uplink01_cidr)-FIND("/",wld_az1_uplink01_cidr)))),IF(wld_dedicated_edge_cluster_chosen_first=2,IF(OR((wld_az1_rack2_tor2_peer_ip="Value Missing"),(wld_az1_rack2_uplink01_cidr="Value Missing")),"Value Missing",wld_az1_rack2_tor2_peer_ip&amp;"/"&amp;INT(RIGHT(wld_az1_rack2_uplink01_cidr,LEN(wld_az1_rack2_uplink01_cidr)-FIND("/",wld_az1_rack2_uplink01_cidr)))),IF(wld_dedicated_edge_cluster_chosen_first=3,IF(OR((wld_az1_rack3_tor2_peer_ip="Value Missing"),(wld_az1_rack3_uplink01_cidr="Value Missing")),"Value Missing",wld_az1_rack3_tor2_peer_ip&amp;"/"&amp;INT(RIGHT(wld_az1_rack3_uplink01_cidr,LEN(wld_az1_rack3_uplink01_cidr)-FIND("/",wld_az1_rack3_uplink01_cidr)))),IF(wld_dedicated_edge_cluster_chosen_first=4,IF(OR((wld_az1_rack4_tor2_peer_ip="Value Missing"),(wld_az1_rack4_uplink01_cidr="Value Missing")),"Value Missing",wld_az1_rack4_tor2_peer_ip&amp;"/"&amp;INT(RIGHT(wld_az1_rack4_uplink01_cidr,LEN(wld_az1_rack4_uplink01_cidr)-FIND("/",wld_az1_rack4_uplink01_cidr)))),IF(wld_dedicated_edge_cluster_chosen_first=5,IF(OR((wld_az1_rack5_tor2_peer_ip="Value Missing"),(wld_az1_rack5_uplink01_cidr="Value Missing")),"Value Missing",wld_az1_rack5_tor2_peer_ip&amp;"/"&amp;INT(RIGHT(wld_az1_rack5_uplink01_cidr,LEN(wld_az1_rack5_uplink01_cidr)-FIND("/",wld_az1_rack5_uplink01_cidr)))),IF(wld_dedicated_edge_cluster_chosen_first=6,IF(OR((wld_az1_rack6_tor2_peer_ip="Value Missing"),(wld_az1_rack6_uplink01_cidr="Value Missing")),"Value Missing",wld_az1_rack6_tor2_peer_ip&amp;"/"&amp;INT(RIGHT(wld_az1_rack6_uplink01_cidr,LEN(wld_az1_rack6_uplink01_cidr)-FIND("/",wld_az1_rack6_uplink01_cidr)))),IF(wld_dedicated_edge_cluster_chosen_first=7,IF(OR((wld_az1_rack7_tor2_peer_ip="Value Missing"),(wld_az1_rack7_uplink01_cidr="Value Missing")),"Value Missing",wld_az1_rack7_tor2_peer_ip&amp;"/"&amp;INT(RIGHT(wld_az1_rack7_uplink01_cidr,LEN(wld_az1_rack7_uplink01_cidr)-FIND("/",wld_az1_rack7_uplink01_cidr)))),IF(wld_dedicated_edge_cluster_chosen_first=8,IF(OR((wld_az1_rack8_tor2_peer_ip="Value Missing"),(wld_az1_rack8_uplink01_cidr="Value Missing")),"Value Missing",wld_az1_rack8_tor2_peer_ip&amp;"/"&amp;INT(RIGHT(wld_az1_rack8_uplink01_cidr,LEN(wld_az1_rack8_uplink01_cidr)-FIND("/",wld_az1_rack8_uplink01_cidr)))),"")))))))))</f>
        <v>Value Missing</v>
      </c>
      <c r="N247" s="55" t="s">
        <v>1875</v>
      </c>
      <c r="O247" s="22" t="str">
        <f>IF(wld_multirack_result="Excluded",IF(OR((wld_az1_tor2_peer_ip="Value Missing"),(wld_az1_uplink01_cidr="Value Missing")),"Value Missing",wld_az1_tor2_peer_ip&amp;"/"&amp;INT(RIGHT(wld_az1_uplink01_cidr,LEN(wld_az1_uplink01_cidr)-FIND("/",wld_az1_uplink01_cidr)))),IF(wld_dedicated_edge_cluster_chosen_second=1,IF(OR((wld_az1_tor2_peer_ip="Value Missing"),(wld_az1_uplink01_cidr="Value Missing")),"Value Missing",wld_az1_tor2_peer_ip&amp;"/"&amp;INT(RIGHT(wld_az1_uplink01_cidr,LEN(wld_az1_uplink01_cidr)-FIND("/",wld_az1_uplink01_cidr)))),IF(wld_dedicated_edge_cluster_chosen_second=2,IF(OR((wld_az1_rack2_tor2_peer_ip="Value Missing"),(wld_az1_rack2_uplink01_cidr="Value Missing")),"Value Missing",wld_az1_rack2_tor2_peer_ip&amp;"/"&amp;INT(RIGHT(wld_az1_rack2_uplink01_cidr,LEN(wld_az1_rack2_uplink01_cidr)-FIND("/",wld_az1_rack2_uplink01_cidr)))),IF(wld_dedicated_edge_cluster_chosen_second=3,IF(OR((wld_az1_rack3_tor2_peer_ip="Value Missing"),(wld_az1_rack3_uplink01_cidr="Value Missing")),"Value Missing",wld_az1_rack3_tor2_peer_ip&amp;"/"&amp;INT(RIGHT(wld_az1_rack3_uplink01_cidr,LEN(wld_az1_rack3_uplink01_cidr)-FIND("/",wld_az1_rack3_uplink01_cidr)))),IF(wld_dedicated_edge_cluster_chosen_second=4,IF(OR((wld_az1_rack4_tor2_peer_ip="Value Missing"),(wld_az1_rack4_uplink01_cidr="Value Missing")),"Value Missing",wld_az1_rack4_tor2_peer_ip&amp;"/"&amp;INT(RIGHT(wld_az1_rack4_uplink01_cidr,LEN(wld_az1_rack4_uplink01_cidr)-FIND("/",wld_az1_rack4_uplink01_cidr)))),IF(wld_dedicated_edge_cluster_chosen_second=5,IF(OR((wld_az1_rack5_tor2_peer_ip="Value Missing"),(wld_az1_rack5_uplink01_cidr="Value Missing")),"Value Missing",wld_az1_rack5_tor2_peer_ip&amp;"/"&amp;INT(RIGHT(wld_az1_rack5_uplink01_cidr,LEN(wld_az1_rack5_uplink01_cidr)-FIND("/",wld_az1_rack5_uplink01_cidr)))),IF(wld_dedicated_edge_cluster_chosen_second=6,IF(OR((wld_az1_rack6_tor2_peer_ip="Value Missing"),(wld_az1_rack6_uplink01_cidr="Value Missing")),"Value Missing",wld_az1_rack6_tor2_peer_ip&amp;"/"&amp;INT(RIGHT(wld_az1_rack6_uplink01_cidr,LEN(wld_az1_rack6_uplink01_cidr)-FIND("/",wld_az1_rack6_uplink01_cidr)))),IF(wld_dedicated_edge_cluster_chosen_second=7,IF(OR((wld_az1_rack7_tor2_peer_ip="Value Missing"),(wld_az1_rack7_uplink01_cidr="Value Missing")),"Value Missing",wld_az1_rack7_tor2_peer_ip&amp;"/"&amp;INT(RIGHT(wld_az1_rack7_uplink01_cidr,LEN(wld_az1_rack7_uplink01_cidr)-FIND("/",wld_az1_rack7_uplink01_cidr)))),IF(wld_dedicated_edge_cluster_chosen_second=8,IF(OR((wld_az1_rack8_tor2_peer_ip="Value Missing"),(wld_az1_rack8_uplink01_cidr="Value Missing")),"Value Missing",wld_az1_rack8_tor2_peer_ip&amp;"/"&amp;INT(RIGHT(wld_az1_rack8_uplink01_cidr,LEN(wld_az1_rack8_uplink01_cidr)-FIND("/",wld_az1_rack8_uplink01_cidr)))),"")))))))))</f>
        <v>Value Missing</v>
      </c>
    </row>
    <row r="248" spans="2:15" ht="20" customHeight="1">
      <c r="B248" s="112" t="s">
        <v>735</v>
      </c>
      <c r="C248" s="113" t="s">
        <v>4142</v>
      </c>
      <c r="E248" s="112" t="s">
        <v>735</v>
      </c>
      <c r="F248" s="113" t="s">
        <v>1231</v>
      </c>
      <c r="K248" s="21" t="s">
        <v>4361</v>
      </c>
      <c r="L248" s="22" t="str">
        <f>IF(wld_multirack_result="Excluded",wld_az1_tor2_peer_asn,IF(wld_dedicated_edge_cluster_chosen_first=1,wld_az1_tor2_peer_asn,IF(wld_dedicated_edge_cluster_chosen_first=2,wld_az1_rack2_tor2_peer_asn,IF(wld_dedicated_edge_cluster_chosen_first=3,wld_az1_rack3_tor2_peer_asn,IF(wld_dedicated_edge_cluster_chosen_first=4,wld_az1_rack4_tor2_peer_asn,IF(wld_dedicated_edge_cluster_chosen_first=5,wld_az1_rack5_tor2_peer_asn,IF(wld_dedicated_edge_cluster_chosen_first=6,wld_az1_rack6_tor2_peer_asn,IF(wld_dedicated_edge_cluster_chosen_first=7,wld_az1_rack7_tor2_peer_asn,IF(wld_dedicated_edge_cluster_chosen_first=8,wld_az1_rack8_tor2_peer_asn,"")))))))))</f>
        <v>Value Missing</v>
      </c>
      <c r="N248" s="55" t="s">
        <v>1876</v>
      </c>
      <c r="O248" s="22" t="str">
        <f>IF(wld_multirack_result="Excluded",wld_az1_tor2_peer_asn,IF(wld_dedicated_edge_cluster_chosen_second=1,wld_az1_tor2_peer_asn,IF(wld_dedicated_edge_cluster_chosen_second=2,wld_az1_rack2_tor2_peer_asn,IF(wld_dedicated_edge_cluster_chosen_second=3,wld_az1_rack3_tor2_peer_asn,IF(wld_dedicated_edge_cluster_chosen_second=4,wld_az1_rack4_tor2_peer_asn,IF(wld_dedicated_edge_cluster_chosen_second=5,wld_az1_rack5_tor2_peer_asn,IF(wld_dedicated_edge_cluster_chosen_second=6,wld_az1_rack6_tor2_peer_asn,IF(wld_dedicated_edge_cluster_chosen_second=7,wld_az1_rack7_tor2_peer_asn,IF(wld_dedicated_edge_cluster_chosen_second=8,wld_az1_rack8_tor2_peer_asn,"")))))))))</f>
        <v>Value Missing</v>
      </c>
    </row>
    <row r="249" spans="2:15" ht="20" customHeight="1">
      <c r="B249" s="21" t="s">
        <v>3184</v>
      </c>
      <c r="C249" s="18" t="s">
        <v>452</v>
      </c>
      <c r="E249" s="21" t="s">
        <v>3184</v>
      </c>
      <c r="F249" s="18" t="s">
        <v>452</v>
      </c>
      <c r="K249" s="21" t="s">
        <v>4364</v>
      </c>
      <c r="L249" s="22" t="str">
        <f>IF(wld_multirack_result="Excluded",wld_az1_tor2_peer_bgp_password,IF(wld_dedicated_edge_cluster_chosen_first=1,wld_az1_tor2_peer_bgp_password,IF(wld_dedicated_edge_cluster_chosen_first=2,wld_az1_rack2_tor2_peer_bgp_password,IF(wld_dedicated_edge_cluster_chosen_first=3,wld_az1_rack3_tor2_peer_bgp_password,IF(wld_dedicated_edge_cluster_chosen_first=4,wld_az1_rack4_tor2_peer_bgp_password,IF(wld_dedicated_edge_cluster_chosen_first=5,wld_az1_rack5_tor2_peer_bgp_password,IF(wld_dedicated_edge_cluster_chosen_first=6,wld_az1_rack6_tor2_peer_bgp_password,IF(wld_dedicated_edge_cluster_chosen_first=7,wld_az1_rack7_tor2_peer_bgp_password,IF(wld_dedicated_edge_cluster_chosen_first=8,wld_az1_rack8_tor2_peer_bgp_password,"")))))))))</f>
        <v>Value Missing</v>
      </c>
      <c r="N249" s="55" t="s">
        <v>4365</v>
      </c>
      <c r="O249" s="22" t="str">
        <f>IF(wld_multirack_result="Excluded",wld_az1_tor2_peer_bgp_password,IF(wld_dedicated_edge_cluster_chosen_second=1,wld_az1_tor2_peer_bgp_password,IF(wld_dedicated_edge_cluster_chosen_second=2,wld_az1_rack2_tor2_peer_bgp_password,IF(wld_dedicated_edge_cluster_chosen_second=3,wld_az1_rack3_tor2_peer_bgp_password,IF(wld_dedicated_edge_cluster_chosen_second=4,wld_az1_rack4_tor2_peer_bgp_password,IF(wld_dedicated_edge_cluster_chosen_second=5,wld_az1_rack5_tor2_peer_bgp_password,IF(wld_dedicated_edge_cluster_chosen_second=6,wld_az1_rack6_tor2_peer_bgp_password,IF(wld_dedicated_edge_cluster_chosen_second=7,wld_az1_rack7_tor2_peer_bgp_password,IF(wld_dedicated_edge_cluster_chosen_second=8,wld_az1_rack8_tor2_peer_bgp_password,"")))))))))</f>
        <v>Value Missing</v>
      </c>
    </row>
    <row r="250" spans="2:15" ht="20" customHeight="1">
      <c r="B250" s="21" t="s">
        <v>3185</v>
      </c>
      <c r="C250" s="18" t="str">
        <f>IF(ISBLANK('Network Inputs - Rack'!F37),"Value Missing",'Network Inputs - Rack'!F37)</f>
        <v>Value Missing</v>
      </c>
      <c r="E250" s="21" t="s">
        <v>3185</v>
      </c>
      <c r="F250" s="18" t="str">
        <f>IF(ISBLANK('Network Inputs - Rack'!F93),"Value Missing",'Network Inputs - Rack'!F93)</f>
        <v>Value Missing</v>
      </c>
      <c r="K250" s="21" t="s">
        <v>4349</v>
      </c>
      <c r="L250" s="22" t="str">
        <f>IF(wld_multirack_result="Excluded",wld_az1_edge_overlay_network_pool_name,IF(wld_dedicated_edge_cluster_chosen_first=1,wld_az1_edge_overlay_network_pool_name,IF(wld_dedicated_edge_cluster_chosen_first=2,wld_az1_rack2_edge_overlay_network_pool_name,IF(wld_dedicated_edge_cluster_chosen_first=3,wld_az1_rack3_edge_overlay_network_pool_name,IF(wld_dedicated_edge_cluster_chosen_first=4,wld_az1_rack4_edge_overlay_network_pool_name,IF(wld_dedicated_edge_cluster_chosen_first=5,wld_az1_rack5_edge_overlay_network_pool_name,IF(wld_dedicated_edge_cluster_chosen_first=6,wld_az1_rack6_edge_overlay_network_pool_name,IF(wld_dedicated_edge_cluster_chosen_first=7,wld_az1_rack7_edge_overlay_network_pool_name,IF(wld_dedicated_edge_cluster_chosen_first=8,wld_az1_rack8_edge_overlay_network_pool_name,"")))))))))</f>
        <v>Value Missing</v>
      </c>
      <c r="N250" s="55" t="s">
        <v>4349</v>
      </c>
      <c r="O250" s="22" t="str">
        <f>IF(wld_multirack_result="Excluded",wld_az1_edge_overlay_network_pool_name,IF(wld_dedicated_edge_cluster_chosen_second=1,wld_az1_edge_overlay_network_pool_name,IF(wld_dedicated_edge_cluster_chosen_second=2,wld_az1_rack2_edge_overlay_network_pool_name,IF(wld_dedicated_edge_cluster_chosen_second=3,wld_az1_rack3_edge_overlay_network_pool_name,IF(wld_dedicated_edge_cluster_chosen_second=4,wld_az1_rack4_edge_overlay_network_pool_name,IF(wld_dedicated_edge_cluster_chosen_second=5,wld_az1_rack5_edge_overlay_network_pool_name,IF(wld_dedicated_edge_cluster_chosen_second=6,wld_az1_rack6_edge_overlay_network_pool_name,IF(wld_dedicated_edge_cluster_chosen_second=7,wld_az1_rack7_edge_overlay_network_pool_name,IF(wld_dedicated_edge_cluster_chosen_second=8,wld_az1_rack8_edge_overlay_network_pool_name,"")))))))))</f>
        <v>Value Missing</v>
      </c>
    </row>
    <row r="251" spans="2:15" ht="20" customHeight="1">
      <c r="B251" s="21" t="s">
        <v>540</v>
      </c>
      <c r="C251" s="18" t="str">
        <f>IF(ISBLANK('Network Inputs - Rack'!F38),"Value Missing",'Network Inputs - Rack'!F38)</f>
        <v>Value Missing</v>
      </c>
      <c r="E251" s="21" t="s">
        <v>540</v>
      </c>
      <c r="F251" s="18" t="str">
        <f>IF(ISBLANK('Network Inputs - Rack'!F94),"Value Missing",'Network Inputs - Rack'!F94)</f>
        <v>Value Missing</v>
      </c>
      <c r="K251" s="21" t="s">
        <v>4346</v>
      </c>
      <c r="L251" s="22" t="str">
        <f>IF(wld_multirack_result="Excluded",wld_az1_edge_overlay_pool_start_ip,IF(wld_dedicated_edge_cluster_chosen_first=1,wld_az1_edge_overlay_pool_start_ip,IF(wld_dedicated_edge_cluster_chosen_first=2,wld_az1_rack2_edge_overlay_pool_start_ip,IF(wld_dedicated_edge_cluster_chosen_first=3,wld_az1_rack3_edge_overlay_pool_start_ip,IF(wld_dedicated_edge_cluster_chosen_first=4,wld_az1_rack4_edge_overlay_pool_start_ip,IF(wld_dedicated_edge_cluster_chosen_first=5,wld_az1_rack5_edge_overlay_pool_start_ip,IF(wld_dedicated_edge_cluster_chosen_first=6,wld_az1_rack6_edge_overlay_pool_start_ip,IF(wld_dedicated_edge_cluster_chosen_first=7,wld_az1_rack7_edge_overlay_pool_start_ip,IF(wld_dedicated_edge_cluster_chosen_first=8,wld_az1_rack8_edge_overlay_pool_start_ip,"")))))))))</f>
        <v>Value Missing</v>
      </c>
      <c r="N251" s="21" t="s">
        <v>4346</v>
      </c>
      <c r="O251" s="22" t="str">
        <f>IF(wld_multirack_result="Excluded",wld_az1_edge_overlay_pool_start_ip,IF(wld_dedicated_edge_cluster_chosen_second=1,wld_az1_edge_overlay_pool_start_ip,IF(wld_dedicated_edge_cluster_chosen_second=2,wld_az1_rack2_edge_overlay_pool_start_ip,IF(wld_dedicated_edge_cluster_chosen_second=3,wld_az1_rack3_edge_overlay_pool_start_ip,IF(wld_dedicated_edge_cluster_chosen_second=4,wld_az1_rack4_edge_overlay_pool_start_ip,IF(wld_dedicated_edge_cluster_chosen_second=5,wld_az1_rack5_edge_overlay_pool_start_ip,IF(wld_dedicated_edge_cluster_chosen_second=6,wld_az1_rack6_edge_overlay_pool_start_ip,IF(wld_dedicated_edge_cluster_chosen_second=7,wld_az1_rack7_edge_overlay_pool_start_ip,IF(wld_dedicated_edge_cluster_chosen_second=8,wld_az1_rack8_edge_overlay_pool_start_ip,"")))))))))</f>
        <v>Value Missing</v>
      </c>
    </row>
    <row r="252" spans="2:15" ht="20" customHeight="1">
      <c r="B252" s="52" t="str">
        <f>"Principal Storage Network ("&amp;wld_principal_storage_chosen&amp;")"</f>
        <v>Principal Storage Network (vSAN-ESA)</v>
      </c>
      <c r="C252" s="18" t="str">
        <f>IF(ISBLANK('Network Inputs - Rack'!F39),"Value Missing",'Network Inputs - Rack'!F39)</f>
        <v>Value Missing</v>
      </c>
      <c r="E252" s="52" t="str">
        <f>"Principal Storage Network ("&amp;wld_principal_storage_chosen&amp;")"</f>
        <v>Principal Storage Network (vSAN-ESA)</v>
      </c>
      <c r="F252" s="18" t="str">
        <f>IF(ISBLANK('Network Inputs - Rack'!F95),"Value Missing",'Network Inputs - Rack'!F95)</f>
        <v>Value Missing</v>
      </c>
      <c r="K252" s="21" t="s">
        <v>4347</v>
      </c>
      <c r="L252" s="22" t="str">
        <f>IF(wld_multirack_result="Excluded",wld_az1_edge_overlay_pool_end_ip,IF(wld_dedicated_edge_cluster_chosen_first=1,wld_az1_edge_overlay_pool_end_ip,IF(wld_dedicated_edge_cluster_chosen_first=2,wld_az1_rack2_edge_overlay_pool_end_ip,IF(wld_dedicated_edge_cluster_chosen_first=3,wld_az1_rack3_edge_overlay_pool_end_ip,IF(wld_dedicated_edge_cluster_chosen_first=4,wld_az1_rack4_edge_overlay_pool_end_ip,IF(wld_dedicated_edge_cluster_chosen_first=5,wld_az1_rack5_edge_overlay_pool_end_ip,IF(wld_dedicated_edge_cluster_chosen_first=6,wld_az1_rack6_edge_overlay_pool_end_ip,IF(wld_dedicated_edge_cluster_chosen_first=7,wld_az1_rack7_edge_overlay_pool_end_ip,IF(wld_dedicated_edge_cluster_chosen_first=8,wld_az1_rack8_edge_overlay_pool_end_ip,"")))))))))</f>
        <v>Value Missing</v>
      </c>
      <c r="N252" s="21" t="s">
        <v>4347</v>
      </c>
      <c r="O252" s="22" t="str">
        <f>IF(wld_multirack_result="Excluded",wld_az1_edge_overlay_pool_end_ip,IF(wld_dedicated_edge_cluster_chosen_second=1,wld_az1_edge_overlay_pool_end_ip,IF(wld_dedicated_edge_cluster_chosen_second=2,wld_az1_rack2_edge_overlay_pool_end_ip,IF(wld_dedicated_edge_cluster_chosen_second=3,wld_az1_rack3_edge_overlay_pool_end_ip,IF(wld_dedicated_edge_cluster_chosen_second=4,wld_az1_rack4_edge_overlay_pool_end_ip,IF(wld_dedicated_edge_cluster_chosen_second=5,wld_az1_rack5_edge_overlay_pool_end_ip,IF(wld_dedicated_edge_cluster_chosen_second=6,wld_az1_rack6_edge_overlay_pool_end_ip,IF(wld_dedicated_edge_cluster_chosen_second=7,wld_az1_rack7_edge_overlay_pool_end_ip,IF(wld_dedicated_edge_cluster_chosen_second=8,wld_az1_rack8_edge_overlay_pool_end_ip,"")))))))))</f>
        <v>Value Missing</v>
      </c>
    </row>
    <row r="253" spans="2:15" ht="20" customHeight="1">
      <c r="B253" s="21" t="s">
        <v>543</v>
      </c>
      <c r="C253" s="18" t="str">
        <f>IF(ISBLANK('Network Inputs - Rack'!F40),"Value Missing",'Network Inputs - Rack'!F40)</f>
        <v>Value Missing</v>
      </c>
      <c r="E253" s="21" t="s">
        <v>543</v>
      </c>
      <c r="F253" s="18" t="str">
        <f>IF(ISBLANK('Network Inputs - Rack'!F96),"Value Missing",'Network Inputs - Rack'!F96)</f>
        <v>Value Missing</v>
      </c>
      <c r="K253" s="21" t="s">
        <v>4350</v>
      </c>
      <c r="L253" s="22" t="str">
        <f>IF(wld_multirack_result="Excluded",wld_az1_edge_overlay_cidr,IF(wld_dedicated_edge_cluster_chosen_first=1,wld_az1_edge_overlay_cidr,IF(wld_dedicated_edge_cluster_chosen_first=2,wld_az1_rack2_edge_overlay_cidr,IF(wld_dedicated_edge_cluster_chosen_first=3,wld_az1_rack3_edge_overlay_cidr,IF(wld_dedicated_edge_cluster_chosen_first=4,wld_az1_rack4_edge_overlay_cidr,IF(wld_dedicated_edge_cluster_chosen_first=5,wld_az1_rack5_edge_overlay_cidr,IF(wld_dedicated_edge_cluster_chosen_first=6,wld_az1_rack6_edge_overlay_cidr,IF(wld_dedicated_edge_cluster_chosen_first=7,wld_az1_rack7_edge_overlay_cidr,IF(wld_dedicated_edge_cluster_chosen_first=8,wld_az1_rack8_edge_overlay_cidr,"")))))))))</f>
        <v>Value Missing</v>
      </c>
      <c r="N253" s="21" t="s">
        <v>4350</v>
      </c>
      <c r="O253" s="22" t="str">
        <f>IF(wld_multirack_result="Excluded",wld_az1_edge_overlay_cidr,IF(wld_dedicated_edge_cluster_chosen_second=1,wld_az1_edge_overlay_cidr,IF(wld_dedicated_edge_cluster_chosen_second=2,wld_az1_rack2_edge_overlay_cidr,IF(wld_dedicated_edge_cluster_chosen_second=3,wld_az1_rack3_edge_overlay_cidr,IF(wld_dedicated_edge_cluster_chosen_second=4,wld_az1_rack4_edge_overlay_cidr,IF(wld_dedicated_edge_cluster_chosen_second=5,wld_az1_rack5_edge_overlay_cidr,IF(wld_dedicated_edge_cluster_chosen_second=6,wld_az1_rack6_edge_overlay_cidr,IF(wld_dedicated_edge_cluster_chosen_second=7,wld_az1_rack7_edge_overlay_cidr,IF(wld_dedicated_edge_cluster_chosen_second=8,wld_az1_rack8_edge_overlay_cidr,"")))))))))</f>
        <v>Value Missing</v>
      </c>
    </row>
    <row r="254" spans="2:15" ht="20" customHeight="1">
      <c r="B254" s="21" t="s">
        <v>566</v>
      </c>
      <c r="C254" s="18" t="s">
        <v>452</v>
      </c>
      <c r="E254" s="21" t="s">
        <v>566</v>
      </c>
      <c r="K254" s="21" t="s">
        <v>4435</v>
      </c>
      <c r="L254" s="22" t="str">
        <f>IF(wld_multirack_result="Excluded",wld_az1_host_overlay_network_pool_name,IF(wld_dedicated_edge_cluster_chosen_first=1,wld_az1_host_overlay_network_pool_name,IF(wld_dedicated_edge_cluster_chosen_first=2,wld_az1_rack2_host_overlay_network_pool_name,IF(wld_dedicated_edge_cluster_chosen_first=3,wld_az1_rack3_host_overlay_network_pool_name,IF(wld_dedicated_edge_cluster_chosen_first=4,wld_az1_rack4_host_overlay_network_pool_name,IF(wld_dedicated_edge_cluster_chosen_first=5,wld_az1_rack5_host_overlay_network_pool_name,IF(wld_dedicated_edge_cluster_chosen_first=6,wld_az1_rack6_host_overlay_network_pool_name,IF(wld_dedicated_edge_cluster_chosen_first=7,wld_az1_rack7_host_overlay_network_pool_name,IF(wld_dedicated_edge_cluster_chosen_first=8,wld_az1_rack8_host_overlay_network_pool_name,"")))))))))</f>
        <v>Value Missing</v>
      </c>
      <c r="N254" s="21" t="s">
        <v>4434</v>
      </c>
      <c r="O254" s="22" t="str">
        <f>IF(wld_multirack_result="Excluded",wld_az1_host_overlay_network_pool_name,IF(wld_dedicated_edge_cluster_chosen_second=1,wld_az1_host_overlay_network_pool_name,IF(wld_dedicated_edge_cluster_chosen_second=2,wld_az1_rack2_host_overlay_network_pool_name,IF(wld_dedicated_edge_cluster_chosen_second=3,wld_az1_rack3_host_overlay_network_pool_name,IF(wld_dedicated_edge_cluster_chosen_second=4,wld_az1_rack4_host_overlay_network_pool_name,IF(wld_dedicated_edge_cluster_chosen_second=5,wld_az1_rack5_host_overlay_network_pool_name,IF(wld_dedicated_edge_cluster_chosen_second=6,wld_az1_rack6_host_overlay_network_pool_name,IF(wld_dedicated_edge_cluster_chosen_second=7,wld_az1_rack7_host_overlay_network_pool_name,IF(wld_dedicated_edge_cluster_chosen_second=8,wld_az1_rack8_host_overlay_network_pool_name,"")))))))))</f>
        <v>Value Missing</v>
      </c>
    </row>
    <row r="255" spans="2:15" ht="20" customHeight="1">
      <c r="B255" s="21" t="s">
        <v>544</v>
      </c>
      <c r="C255" s="18" t="str">
        <f>IF(ISBLANK(input_mgmt_az1_uplink01_cidr),"Value Missing",input_mgmt_az1_uplink01_cidr)</f>
        <v>Value Missing</v>
      </c>
      <c r="E255" s="21" t="s">
        <v>544</v>
      </c>
      <c r="F255" s="18" t="str">
        <f>IF(ISBLANK(input_wld_az1_uplink01_cidr),"Value Missing",input_wld_az1_uplink01_cidr)</f>
        <v>Value Missing</v>
      </c>
      <c r="K255" s="21" t="s">
        <v>4433</v>
      </c>
      <c r="L255" s="22" t="str">
        <f>IF(wld_multirack_result="Excluded",wld_az1_edge_overlay_pool_start_ip,IF(wld_az1_host_overlay_pool_start_ip=1,wld_az1_host_overlay_pool_start_ip,IF(wld_dedicated_edge_cluster_chosen_first=2,wld_az1_rack2_host_overlay_pool_start_ip,IF(wld_dedicated_edge_cluster_chosen_first=3,wld_az1_rack3_host_overlay_pool_start_ip,IF(wld_dedicated_edge_cluster_chosen_first=4,wld_az1_rack4_host_overlay_pool_start_ip,IF(wld_dedicated_edge_cluster_chosen_first=5,wld_az1_rack5_host_overlay_pool_start_ip,IF(wld_dedicated_edge_cluster_chosen_first=6,wld_az1_rack6_host_overlay_pool_start_ip,IF(wld_dedicated_edge_cluster_chosen_first=7,wld_az1_rack7_host_overlay_pool_start_ip,IF(wld_dedicated_edge_cluster_chosen_first=8,wld_az1_rack8_host_overlay_pool_start_ip,"")))))))))</f>
        <v>Value Missing</v>
      </c>
      <c r="N255" s="21" t="s">
        <v>4430</v>
      </c>
      <c r="O255" s="22" t="str">
        <f>IF(wld_multirack_result="Excluded",wld_az1_edge_overlay_pool_start_ip,IF(wld_dedicated_edge_cluster_chosen_second=1,wld_az1_host_overlay_pool_start_ip,IF(wld_dedicated_edge_cluster_chosen_second=2,wld_az1_rack2_host_overlay_pool_start_ip,IF(wld_dedicated_edge_cluster_chosen_second=3,wld_az1_rack3_host_overlay_pool_start_ip,IF(wld_dedicated_edge_cluster_chosen_second=4,wld_az1_rack4_host_overlay_pool_start_ip,IF(wld_dedicated_edge_cluster_chosen_second=5,wld_az1_rack5_host_overlay_pool_start_ip,IF(wld_dedicated_edge_cluster_chosen_second=6,wld_az1_rack6_host_overlay_pool_start_ip,IF(wld_dedicated_edge_cluster_chosen_second=7,wld_az1_rack7_host_overlay_pool_start_ip,IF(wld_dedicated_edge_cluster_chosen_second=8,wld_az1_rack8_host_overlay_pool_start_ip,"")))))))))</f>
        <v>Value Missing</v>
      </c>
    </row>
    <row r="256" spans="2:15" ht="20" customHeight="1">
      <c r="B256" s="21" t="s">
        <v>545</v>
      </c>
      <c r="C256" s="18" t="str">
        <f>IF(ISBLANK(input_mgmt_az1_uplink02_cidr),"Value Missing",input_mgmt_az1_uplink02_cidr)</f>
        <v>Value Missing</v>
      </c>
      <c r="E256" s="21" t="s">
        <v>545</v>
      </c>
      <c r="F256" s="18" t="str">
        <f>IF(ISBLANK(input_wld_az1_uplink02_cidr),"Value Missing",input_wld_az1_uplink02_cidr)</f>
        <v>Value Missing</v>
      </c>
      <c r="K256" s="21" t="s">
        <v>4432</v>
      </c>
      <c r="L256" s="22" t="str">
        <f>IF(wld_multirack_result="Excluded",wld_az1_edge_overlay_pool_start_ip,IF(wld_az1_host_overlay_pool_end_ip=1,wld_az1_host_overlay_pool_end_ip,IF(wld_dedicated_edge_cluster_chosen_first=2,wld_az1_rack2_host_overlay_pool_end_ip,IF(wld_dedicated_edge_cluster_chosen_first=3,wld_az1_rack3_host_overlay_pool_end_ip,IF(wld_dedicated_edge_cluster_chosen_first=4,wld_az1_rack4_host_overlay_pool_end_ip,IF(wld_dedicated_edge_cluster_chosen_first=5,wld_az1_rack5_host_overlay_pool_end_ip,IF(wld_dedicated_edge_cluster_chosen_first=6,wld_az1_rack6_host_overlay_pool_end_ip,IF(wld_dedicated_edge_cluster_chosen_first=7,wld_az1_rack7_host_overlay_pool_end_ip,IF(wld_dedicated_edge_cluster_chosen_first=8,wld_az1_rack8_host_overlay_pool_end_ip,"")))))))))</f>
        <v>Value Missing</v>
      </c>
      <c r="N256" s="21" t="s">
        <v>4431</v>
      </c>
      <c r="O256" s="22" t="str">
        <f>IF(wld_multirack_result="Excluded",wld_az1_edge_overlay_pool_start_ip,IF(wld_dedicated_edge_cluster_chosen_second=1,wld_az1_host_overlay_pool_end_ip,IF(wld_dedicated_edge_cluster_chosen_second=2,wld_az1_rack2_host_overlay_pool_end_ip,IF(wld_dedicated_edge_cluster_chosen_second=3,wld_az1_rack3_host_overlay_pool_end_ip,IF(wld_dedicated_edge_cluster_chosen_second=4,wld_az1_rack4_host_overlay_pool_end_ip,IF(wld_dedicated_edge_cluster_chosen_second=5,wld_az1_rack5_host_overlay_pool_end_ip,IF(wld_dedicated_edge_cluster_chosen_second=6,wld_az1_rack6_host_overlay_pool_end_ip,IF(wld_dedicated_edge_cluster_chosen_second=7,wld_az1_rack7_host_overlay_pool_end_ip,IF(wld_dedicated_edge_cluster_chosen_second=8,wld_az1_rack8_host_overlay_pool_end_ip,"")))))))))</f>
        <v>Value Missing</v>
      </c>
    </row>
    <row r="257" spans="2:15" ht="20" customHeight="1">
      <c r="B257" s="21" t="s">
        <v>546</v>
      </c>
      <c r="C257" s="18" t="str">
        <f>IF(ISBLANK(input_mgmt_az1_edge_overlay_cidr),"Value Missing",input_mgmt_az1_edge_overlay_cidr)</f>
        <v>Value Missing</v>
      </c>
      <c r="E257" s="21" t="s">
        <v>546</v>
      </c>
      <c r="F257" s="18" t="str">
        <f>IF(ISBLANK(input_wld_az1_edge_overlay_cidr),"Value Missing",input_wld_az1_edge_overlay_cidr)</f>
        <v>Value Missing</v>
      </c>
      <c r="K257" s="21" t="s">
        <v>4437</v>
      </c>
      <c r="L257" s="22" t="str">
        <f>IF(wld_multirack_result="Excluded",wld_az1_host_overlay_gateway_ip,IF(wld_dedicated_edge_cluster_chosen_first=1,wld_az1_host_overlay_gateway_ip,IF(wld_dedicated_edge_cluster_chosen_first=2,wld_az1_rack2_host_overlay_gateway_ip,IF(wld_dedicated_edge_cluster_chosen_first=3,wld_az1_rack3_host_overlay_gateway_ip,IF(wld_dedicated_edge_cluster_chosen_first=4,wld_az1_rack4_host_overlay_gateway_ip,IF(wld_dedicated_edge_cluster_chosen_first=5,wld_az1_rack5_host_overlay_gateway_ip,IF(wld_dedicated_edge_cluster_chosen_first=6,wld_az1_rack6_host_overlay_gateway_ip,IF(wld_dedicated_edge_cluster_chosen_first=7,wld_az1_rack7_host_overlay_gateway_ip,IF(wld_dedicated_edge_cluster_chosen_first=8,wld_az1_rack8_host_overlay_gateway_ip,"")))))))))</f>
        <v>Value Missing</v>
      </c>
      <c r="N257" s="21" t="s">
        <v>4436</v>
      </c>
      <c r="O257" s="22" t="str">
        <f>IF(wld_multirack_result="Excluded",wld_az1_host_overlay_gateway_ip,IF(wld_dedicated_edge_cluster_chosen_second=1,wld_az1_host_overlay_gateway_ip,IF(wld_dedicated_edge_cluster_chosen_second=2,wld_az1_rack2_host_overlay_gateway_ip,IF(wld_dedicated_edge_cluster_chosen_second=3,wld_az1_rack3_host_overlay_gateway_ip,IF(wld_dedicated_edge_cluster_chosen_second=4,wld_az1_rack4_host_overlay_gateway_ip,IF(wld_dedicated_edge_cluster_chosen_second=5,wld_az1_rack5_host_overlay_gateway_ip,IF(wld_dedicated_edge_cluster_chosen_second=6,wld_az1_rack6_host_overlay_gateway_ip,IF(wld_dedicated_edge_cluster_chosen_second=7,wld_az1_rack7_host_overlay_gateway_ip,IF(wld_dedicated_edge_cluster_chosen_second=8,wld_az1_rack8_host_overlay_gateway_ip,"")))))))))</f>
        <v>Value Missing</v>
      </c>
    </row>
    <row r="258" spans="2:15" ht="20" customHeight="1">
      <c r="B258" s="21" t="s">
        <v>547</v>
      </c>
      <c r="C258" s="18" t="str">
        <f>IF(ISBLANK(input_mgmt_az1_rtep_overlay_cidr),"Value Missing",input_mgmt_az1_rtep_overlay_cidr)</f>
        <v>Value Missing</v>
      </c>
      <c r="E258" s="21" t="s">
        <v>547</v>
      </c>
      <c r="F258" s="18" t="str">
        <f>IF(ISBLANK(input_wld_az1_rtep_overlay_cidr),"Value Missing",input_wld_az1_rtep_overlay_cidr)</f>
        <v>Value Missing</v>
      </c>
      <c r="K258" s="21" t="s">
        <v>4438</v>
      </c>
      <c r="L258" s="22" t="str">
        <f>IF(wld_multirack_result="Excluded",wld_az1_host_overlay_cidr,IF(wld_dedicated_edge_cluster_chosen_first=1,wld_az1_host_overlay_cidr,IF(wld_dedicated_edge_cluster_chosen_first=2,wld_az1_rack2_host_overlay_cidr,IF(wld_dedicated_edge_cluster_chosen_first=3,wld_az1_rack3_host_overlay_cidr,IF(wld_dedicated_edge_cluster_chosen_first=4,wld_az1_rack4_host_overlay_cidr,IF(wld_dedicated_edge_cluster_chosen_first=5,wld_az1_rack5_host_overlay_cidr,IF(wld_dedicated_edge_cluster_chosen_first=6,wld_az1_rack6_host_overlay_cidr,IF(wld_dedicated_edge_cluster_chosen_first=7,wld_az1_rack7_host_overlay_cidr,IF(wld_dedicated_edge_cluster_chosen_first=8,wld_az1_rack8_host_overlay_cidr,"")))))))))</f>
        <v>Value Missing</v>
      </c>
      <c r="N258" s="21" t="s">
        <v>4439</v>
      </c>
      <c r="O258" s="22" t="str">
        <f>IF(wld_multirack_result="Excluded",wld_az1_host_overlay_cidr,IF(wld_dedicated_edge_cluster_chosen_second=1,wld_az1_host_overlay_cidr,IF(wld_dedicated_edge_cluster_chosen_second=2,wld_az1_rack2_host_overlay_cidr,IF(wld_dedicated_edge_cluster_chosen_second=3,wld_az1_rack3_host_overlay_cidr,IF(wld_dedicated_edge_cluster_chosen_second=4,wld_az1_rack4_host_overlay_cidr,IF(wld_dedicated_edge_cluster_chosen_second=5,wld_az1_rack5_host_overlay_cidr,IF(wld_dedicated_edge_cluster_chosen_second=6,wld_az1_rack6_host_overlay_cidr,IF(wld_dedicated_edge_cluster_chosen_second=7,wld_az1_rack7_host_overlay_cidr,IF(wld_dedicated_edge_cluster_chosen_second=8,wld_az1_rack8_host_overlay_cidr,"")))))))))</f>
        <v>Value Missing</v>
      </c>
    </row>
    <row r="259" spans="2:15" ht="20" customHeight="1">
      <c r="B259" s="21" t="s">
        <v>548</v>
      </c>
      <c r="C259" s="18" t="str">
        <f>IF(ISBLANK(input_mgmt_az1_vrms_cidr),"Value Missing",input_mgmt_az1_vrms_cidr)</f>
        <v>Value Missing</v>
      </c>
      <c r="E259" s="21" t="s">
        <v>548</v>
      </c>
      <c r="F259" s="18" t="str">
        <f>IF(ISBLANK(input_wld_az1_vrms_cidr),"Value Missing",input_wld_az1_vrms_cidr)</f>
        <v>Value Missing</v>
      </c>
      <c r="K259" s="21" t="s">
        <v>4440</v>
      </c>
      <c r="L259" s="22" t="str">
        <f>IF(wld_multirack_result="Excluded",wld_az1_host_overlay_vlan,IF(wld_dedicated_edge_cluster_chosen_first=1,wld_az1_host_overlay_vlan,IF(wld_dedicated_edge_cluster_chosen_first=2,wld_az1_rack2_host_overlay_vlan,IF(wld_dedicated_edge_cluster_chosen_first=3,wld_az1_rack3_host_overlay_vlan,IF(wld_dedicated_edge_cluster_chosen_first=4,wld_az1_rack4_host_overlay_vlan,IF(wld_dedicated_edge_cluster_chosen_first=5,wld_az1_rack5_host_overlay_vlan,IF(wld_dedicated_edge_cluster_chosen_first=6,wld_az1_rack6_host_overlay_vlan,IF(wld_dedicated_edge_cluster_chosen_first=7,wld_az1_rack7_host_overlay_vlan,IF(wld_dedicated_edge_cluster_chosen_first=8,wld_az1_rack8_host_overlay_vlan,"")))))))))</f>
        <v>Value Missing</v>
      </c>
      <c r="N259" s="21" t="s">
        <v>4441</v>
      </c>
      <c r="O259" s="22" t="str">
        <f>IF(wld_multirack_result="Excluded",wld_az1_host_overlay_vlan,IF(wld_dedicated_edge_cluster_chosen_second=1,wld_az1_host_overlay_vlan,IF(wld_dedicated_edge_cluster_chosen_second=2,wld_az1_rack2_host_overlay_vlan,IF(wld_dedicated_edge_cluster_chosen_second=3,wld_az1_rack3_host_overlay_vlan,IF(wld_dedicated_edge_cluster_chosen_second=4,wld_az1_rack4_host_overlay_vlan,IF(wld_dedicated_edge_cluster_chosen_second=5,wld_az1_rack5_host_overlay_vlan,IF(wld_dedicated_edge_cluster_chosen_second=6,wld_az1_rack6_host_overlay_vlan,IF(wld_dedicated_edge_cluster_chosen_second=7,wld_az1_rack7_host_overlay_vlan,IF(wld_dedicated_edge_cluster_chosen_second=8,wld_az1_rack8_host_overlay_vlan,"")))))))))</f>
        <v>Value Missing</v>
      </c>
    </row>
    <row r="260" spans="2:15" ht="20" customHeight="1">
      <c r="B260" s="3"/>
      <c r="C260" s="3"/>
      <c r="K260" s="21" t="s">
        <v>4443</v>
      </c>
      <c r="L260" s="22" t="str">
        <f>IF(wld_multirack_result="Excluded",wld_az1_host_overlay_uplink_profile_name,IF(wld_dedicated_edge_cluster_chosen_first=1,wld_az1_host_overlay_uplink_profile_name,IF(wld_dedicated_edge_cluster_chosen_first=2,wld_az1_rack2_host_overlay_uplink_profile_name,IF(wld_dedicated_edge_cluster_chosen_first=3,wld_az1_rack3_host_overlay_uplink_profile_name,IF(wld_dedicated_edge_cluster_chosen_first=4,wld_az1_rack4_host_overlay_uplink_profile_name,IF(wld_dedicated_edge_cluster_chosen_first=5,wld_az1_rack5_host_overlay_uplink_profile_name,IF(wld_dedicated_edge_cluster_chosen_first=6,wld_az1_rack6_host_overlay_uplink_profile_name,IF(wld_dedicated_edge_cluster_chosen_first=7,wld_az1_rack7_host_overlay_uplink_profile_name,IF(wld_dedicated_edge_cluster_chosen_first=8,wld_az1_rack8_host_overlay_uplink_profile_name,"")))))))))</f>
        <v>Value Missing</v>
      </c>
      <c r="N260" s="21" t="s">
        <v>4444</v>
      </c>
      <c r="O260" s="22" t="str">
        <f>IF(wld_multirack_result="Excluded",wld_az1_host_overlay_uplink_profile_name,IF(wld_dedicated_edge_cluster_chosen_second=1,wld_az1_host_overlay_uplink_profile_name,IF(wld_dedicated_edge_cluster_chosen_second=2,wld_az1_rack2_host_overlay_uplink_profile_name,IF(wld_dedicated_edge_cluster_chosen_second=3,wld_az1_rack3_host_overlay_uplink_profile_name,IF(wld_dedicated_edge_cluster_chosen_second=4,wld_az1_rack4_host_overlay_uplink_profile_name,IF(wld_dedicated_edge_cluster_chosen_second=5,wld_az1_rack5_host_overlay_uplink_profile_name,IF(wld_dedicated_edge_cluster_chosen_second=6,wld_az1_rack6_host_overlay_uplink_profile_name,IF(wld_dedicated_edge_cluster_chosen_second=7,wld_az1_rack7_host_overlay_uplink_profile_name,IF(wld_dedicated_edge_cluster_chosen_second=8,wld_az1_rack8_host_overlay_uplink_profile_name,"")))))))))</f>
        <v>Value Missing</v>
      </c>
    </row>
    <row r="261" spans="2:15" ht="20" customHeight="1">
      <c r="B261" s="184" t="s">
        <v>4123</v>
      </c>
      <c r="C261" s="188"/>
      <c r="E261" s="184" t="s">
        <v>4144</v>
      </c>
      <c r="F261" s="188"/>
      <c r="K261" s="21" t="s">
        <v>1847</v>
      </c>
      <c r="L261" s="22" t="str">
        <f>IF(wld_multirack_result="Excluded",wld_az1_en2_fqdn,IF(wld_dedicated_edge_cluster_chosen_first=1,wld_az1_en2_fqdn,IF(wld_dedicated_edge_cluster_chosen_first=2,wld_az1_rack2_en2_fqdn,IF(wld_dedicated_edge_cluster_chosen_first=3,wld_az1_rack3_en2_fqdn,IF(wld_dedicated_edge_cluster_chosen_first=4,wld_az1_rack4_en2_fqdn,IF(wld_dedicated_edge_cluster_chosen_first=5,wld_az1_rack5_en2_fqdn,IF(wld_dedicated_edge_cluster_chosen_first=6,wld_az1_rack6_en2_fqdn,IF(wld_dedicated_edge_cluster_chosen_first=7,wld_az1_rack7_en2_fqdn,IF(wld_dedicated_edge_cluster_chosen_first=8,wld_az1_rack8_en2_fqdn,"")))))))))</f>
        <v>Value Missing.Value Missing</v>
      </c>
      <c r="N261" s="21" t="s">
        <v>1864</v>
      </c>
      <c r="O261" s="22" t="str">
        <f>IF(wld_multirack_result="Excluded",wld_az1_en2_fqdn,IF(wld_dedicated_edge_cluster_chosen_second=1,wld_az1_en2_fqdn,IF(wld_dedicated_edge_cluster_chosen_second=2,wld_az1_rack2_en2_fqdn,IF(wld_dedicated_edge_cluster_chosen_second=3,wld_az1_rack3_en2_fqdn,IF(wld_dedicated_edge_cluster_chosen_second=4,wld_az1_rack4_en2_fqdn,IF(wld_dedicated_edge_cluster_chosen_second=5,wld_az1_rack5_en2_fqdn,IF(wld_dedicated_edge_cluster_chosen_second=6,wld_az1_rack6_en2_fqdn,IF(wld_dedicated_edge_cluster_chosen_second=7,wld_az1_rack7_en2_fqdn,IF(wld_dedicated_edge_cluster_chosen_second=8,wld_az1_rack8_en2_fqdn,"")))))))))</f>
        <v>Value Missing.Value Missing</v>
      </c>
    </row>
    <row r="262" spans="2:15" ht="20" customHeight="1">
      <c r="B262" s="112" t="s">
        <v>735</v>
      </c>
      <c r="C262" s="113" t="s">
        <v>4142</v>
      </c>
      <c r="E262" s="112" t="s">
        <v>735</v>
      </c>
      <c r="F262" s="113" t="s">
        <v>1231</v>
      </c>
      <c r="K262" s="21" t="s">
        <v>1848</v>
      </c>
      <c r="L262" s="22" t="str" cm="1">
        <f t="array" ref="L262">IF(wld_multirack_result="Excluded",IF(OR((wld_az1_en2_mgmt_ip="Value Missing"),(wld_az1_edge_overlay_cidr="Value Missing")),"Value Missing",wld_az1_en2_mgmt_ip&amp;"/"&amp;INT(RIGHT(wld_az1_edge_overlay_cidr,LEN(wld_az1_edge_overlay_cidr)-FIND("/",wld_az1_edge_overlay_cidr)))),IF(wld_dedicated_edge_cluster_chosen_first=1,IF(OR((wld_az1_en2_mgmt_ip="Value Missing"),(wld_az1_edge_overlay_cidr="Value Missing")),"Value Missing",wld_az1_en2_mgmt_ip&amp;"/"&amp;INT(RIGHT(wld_az1_edge_overlay_cidr,LEN(wld_az1_edge_overlay_cidr)-FIND("/",wld_az1_edge_overlay_cidr)))),IF(wld_dedicated_edge_cluster_chosen_first=2,IF(OR((wld_az1_rack2_en2_mgmt_ip="Value Missing"),(wld_az1_rack2_edge_overlay_cidr="Value Missing")),"Value Missing",wld_az1_rack2_en2_mgmt_ip&amp;"/"&amp;INT(RIGHT(wld_az1_rack2_edge_overlay_cidr,LEN(wld_az1_rack2_edge_overlay_cidr)-FIND("/",wld_az1_rack2_edge_overlay_cidr)))),IF(wld_dedicated_edge_cluster_chosen_first=3,IF(OR((wld_az1_rack3_en2_mgmt_ip="Value Missing"),(wld_az1_rack3_edge_overlay_cidr="Value Missing")),"Value Missing",wld_az1_rack3_en2_mgmt_ip&amp;"/"&amp;INT(RIGHT(wld_az1_rack3_edge_overlay_cidr,LEN(wld_az1_rack3_edge_overlay_cidr)-FIND("/",wld_az1_rack3_edge_overlay_cidr)))),IF(wld_dedicated_edge_cluster_chosen_first=4,IF(OR((wld_az1_rack4_en2_mgmt_ip="Value Missing"),(wld_az1_rack4_edge_overlay_cidr="Value Missing")),"Value Missing",wld_az1_rack4_en2_mgmt_ip&amp;"/"&amp;INT(RIGHT(wld_az1_rack4_edge_overlay_cidr,LEN(wld_az1_rack4_edge_overlay_cidr)-FIND("/",wld_az1_rack4_edge_overlay_cidr)))),IF(wld_dedicated_edge_cluster_chosen_first=5,IF(OR((wld_az1_rack5_en2_mgmt_ip="Value Missing"),(wld_az1_rack5_edge_overlay_cidr="Value Missing")),"Value Missing",wld_az1_rack5_en2_edge_overlay_interface_ip_1_ip&amp;"/"&amp;INT(RIGHT(wld_az1_rack5_edge_overlay_cidr,LEN(wld_az1_rack5_edge_overlay_cidr)-FIND("/",wld_az1_rack5_edge_overlay_cidr)))),IF(wld_dedicated_edge_cluster_chosen_first=6,IF(OR((wld_az1_rack6_en2_mgmt_ip="Value Missing"),(wld_az1_rack6_edge_overlay_cidr="Value Missing")),"Value Missing",wld_az1_rack6_en2_mgmt_ip&amp;"/"&amp;INT(RIGHT(wld_az1_rack6_edge_overlay_cidr,LEN(wld_az1_rack6_edge_overlay_cidr)-FIND("/",wld_az1_rack6_edge_overlay_cidr)))),IF(wld_dedicated_edge_cluster_chosen_first=7,IF(OR((wld_az1_rack7_en2_mgmt_ip="Value Missing"),(wld_az1_rack7_edge_overlay_cidr="Value Missing")),"Value Missing",wld_az1_rack7_en2_mgmt_ip&amp;"/"&amp;INT(RIGHT(wld_az1_rack7_edge_overlay_cidr,LEN(wld_az1_rack7_edge_overlay_cidr)-FIND("/",wld_az1_rack7_edge_overlay_cidr)))),IF(wld_dedicated_edge_cluster_chosen_first=8,IF(OR((wld_az1_rack8_en2_mgmt_ip="Value Missing"),(wld_az1_rack8_edge_overlay_cidr="Value Missing")),"Value Missing",wld_az1_rack8_en2_mgmt_ip&amp;"/"&amp;INT(RIGHT(wld_az1_rack8_edge_overlay_cidr,LEN(wld_az1_rack8_edge_overlay_cidr)-FIND("/",wld_az1_rack8_edge_overlay_cidr)))),"")))))))))</f>
        <v>Value Missing</v>
      </c>
      <c r="N262" s="21" t="s">
        <v>1865</v>
      </c>
      <c r="O262" s="22" t="str">
        <f>IF(wld_multirack_result="Excluded",IF(OR((wld_az1_en2_mgmt_ip="Value Missing"),(wld_az1_edge_overlay_cidr="Value Missing")),"Value Missing",wld_az1_en2_mgmt_ip&amp;"/"&amp;INT(RIGHT(wld_az1_edge_overlay_cidr,LEN(wld_az1_edge_overlay_cidr)-FIND("/",wld_az1_edge_overlay_cidr)))),IF(wld_dedicated_edge_cluster_chosen_second=1,IF(OR((wld_az1_en2_mgmt_ip="Value Missing"),(wld_az1_edge_overlay_cidr="Value Missing")),"Value Missing",wld_az1_en2_mgmt_ip&amp;"/"&amp;INT(RIGHT(wld_az1_edge_overlay_cidr,LEN(wld_az1_edge_overlay_cidr)-FIND("/",wld_az1_edge_overlay_cidr)))),IF(wld_dedicated_edge_cluster_chosen_second=2,IF(OR((wld_az1_rack2_en2_mgmt_ip="Value Missing"),(wld_az1_rack2_edge_overlay_cidr="Value Missing")),"Value Missing",wld_az1_rack2_en2_mgmt_ip&amp;"/"&amp;INT(RIGHT(wld_az1_rack2_edge_overlay_cidr,LEN(wld_az1_rack2_edge_overlay_cidr)-FIND("/",wld_az1_rack2_edge_overlay_cidr)))),IF(wld_dedicated_edge_cluster_chosen_second=3,IF(OR((wld_az1_rack3_en2_mgmt_ip="Value Missing"),(wld_az1_rack3_edge_overlay_cidr="Value Missing")),"Value Missing",wld_az1_rack3_en2_mgmt_ip&amp;"/"&amp;INT(RIGHT(wld_az1_rack3_edge_overlay_cidr,LEN(wld_az1_rack3_edge_overlay_cidr)-FIND("/",wld_az1_rack3_edge_overlay_cidr)))),IF(wld_dedicated_edge_cluster_chosen_second=4,IF(OR((wld_az1_rack4_en2_mgmt_ip="Value Missing"),(wld_az1_rack4_edge_overlay_cidr="Value Missing")),"Value Missing",wld_az1_rack4_en2_mgmt_ip&amp;"/"&amp;INT(RIGHT(wld_az1_rack4_edge_overlay_cidr,LEN(wld_az1_rack4_edge_overlay_cidr)-FIND("/",wld_az1_rack4_edge_overlay_cidr)))),IF(wld_dedicated_edge_cluster_chosen_second=5,IF(OR((wld_az1_rack5_en2_mgmt_ip="Value Missing"),(wld_az1_rack5_edge_overlay_cidr="Value Missing")),"Value Missing",wld_az1_rack5_en2_mgmt_ip&amp;"/"&amp;INT(RIGHT(wld_az1_rack5_edge_overlay_cidr,LEN(wld_az1_rack5_edge_overlay_cidr)-FIND("/",wld_az1_rack5_edge_overlay_cidr)))),IF(wld_dedicated_edge_cluster_chosen_second=6,IF(OR((wld_az1_rack6_en2_mgmt_ip="Value Missing"),(wld_az1_rack6_edge_overlay_cidr="Value Missing")),"Value Missing",wld_az1_rack6_en2_mgmt_ip&amp;"/"&amp;INT(RIGHT(wld_az1_rack6_edge_overlay_cidr,LEN(wld_az1_rack6_edge_overlay_cidr)-FIND("/",wld_az1_rack6_edge_overlay_cidr)))),IF(wld_dedicated_edge_cluster_chosen_second=7,IF(OR((wld_az1_rack7_en2_mgmt_ip="Value Missing"),(wld_az1_rack7_edge_overlay_cidr="Value Missing")),"Value Missing",wld_az1_rack7_en2_mgmt_ip&amp;"/"&amp;INT(RIGHT(wld_az1_rack7_edge_overlay_cidr,LEN(wld_az1_rack7_edge_overlay_cidr)-FIND("/",wld_az1_rack7_edge_overlay_cidr)))),IF(wld_dedicated_edge_cluster_chosen_second=8,IF(OR((wld_az1_rack8_en2_mgmt_ip="Value Missing"),(wld_az1_rack8_edge_overlay_cidr="Value Missing")),"Value Missing",wld_az1_rack8_en2_mgmt_ip&amp;"/"&amp;INT(RIGHT(wld_az1_rack8_edge_overlay_cidr,LEN(wld_az1_rack8_edge_overlay_cidr)-FIND("/",wld_az1_rack8_edge_overlay_cidr)))),"")))))))))</f>
        <v>Value Missing</v>
      </c>
    </row>
    <row r="263" spans="2:15" ht="20" customHeight="1">
      <c r="B263" s="21" t="s">
        <v>3184</v>
      </c>
      <c r="C263" s="18" t="s">
        <v>452</v>
      </c>
      <c r="E263" s="21" t="s">
        <v>3184</v>
      </c>
      <c r="F263" s="18" t="s">
        <v>452</v>
      </c>
      <c r="K263" s="21" t="s">
        <v>1858</v>
      </c>
      <c r="L263" s="22" t="str">
        <f>IF(wld_multirack_result="Excluded",IF(OR((wld_az1_en2_uplink01_interface_ip="Value Missing"),(wld_az1_uplink01_cidr="Value Missing")),"Value Missing",wld_az1_en2_uplink01_interface_ip&amp;"/"&amp;INT(RIGHT(wld_az1_uplink01_cidr,LEN(wld_az1_uplink01_cidr)-FIND("/",wld_az1_uplink01_cidr)))),IF(wld_dedicated_edge_cluster_chosen_first=1,IF(OR((wld_az1_en2_uplink01_interface_ip="Value Missing"),(wld_az1_uplink01_cidr="Value Missing")),"Value Missing",wld_az1_en2_uplink01_interface_ip&amp;"/"&amp;INT(RIGHT(wld_az1_uplink01_cidr,LEN(wld_az1_uplink01_cidr)-FIND("/",wld_az1_uplink01_cidr)))),IF(wld_dedicated_edge_cluster_chosen_first=2,IF(OR((wld_az1_rack2_en2_uplink01_interface_ip="Value Missing"),(wld_az1_rack2_uplink01_cidr="Value Missing")),"Value Missing",wld_az1_rack2_en2_uplink01_interface_ip&amp;"/"&amp;INT(RIGHT(wld_az1_rack2_uplink01_cidr,LEN(wld_az1_rack2_uplink01_cidr)-FIND("/",wld_az1_rack2_uplink01_cidr)))),IF(wld_dedicated_edge_cluster_chosen_first=3,IF(OR((wld_az1_rack3_en2_uplink01_interface_ip="Value Missing"),(wld_az1_rack3_uplink01_cidr="Value Missing")),"Value Missing",wld_az1_rack3_en2_uplink01_interface_ip&amp;"/"&amp;INT(RIGHT(wld_az1_rack3_uplink01_cidr,LEN(wld_az1_rack3_uplink01_cidr)-FIND("/",wld_az1_rack3_uplink01_cidr)))),IF(wld_dedicated_edge_cluster_chosen_first=4,IF(OR((wld_az1_rack4_en2_uplink01_interface_ip="Value Missing"),(wld_az1_rack4_uplink01_cidr="Value Missing")),"Value Missing",wld_az1_rack4_en2_uplink01_interface_ip&amp;"/"&amp;INT(RIGHT(wld_az1_rack4_uplink01_cidr,LEN(wld_az1_rack4_uplink01_cidr)-FIND("/",wld_az1_rack4_uplink01_cidr)))),IF(wld_dedicated_edge_cluster_chosen_first=5,IF(OR((wld_az1_rack5_en2_uplink01_interface_ip="Value Missing"),(wld_az1_rack5_uplink01_cidr="Value Missing")),"Value Missing",wld_az1_rack5_en2_uplink01_interface_ip&amp;"/"&amp;INT(RIGHT(wld_az1_rack5_uplink01_cidr,LEN(wld_az1_rack5_uplink01_cidr)-FIND("/",wld_az1_rack5_uplink01_cidr)))),IF(wld_dedicated_edge_cluster_chosen_first=6,IF(OR((wld_az1_rack6_en2_uplink01_interface_ip="Value Missing"),(wld_az1_rack6_uplink01_cidr="Value Missing")),"Value Missing",wld_az1_rack6_en2_uplink01_interface_ip&amp;"/"&amp;INT(RIGHT(wld_az1_rack6_uplink01_cidr,LEN(wld_az1_rack6_uplink01_cidr)-FIND("/",wld_az1_rack6_uplink01_cidr)))),IF(wld_dedicated_edge_cluster_chosen_first=7,IF(OR((wld_az1_rack7_en2_uplink01_interface_ip="Value Missing"),(wld_az1_rack7_uplink01_cidr="Value Missing")),"Value Missing",wld_az1_rack7_en2_uplink01_interface_ip&amp;"/"&amp;INT(RIGHT(wld_az1_rack7_uplink01_cidr,LEN(wld_az1_rack7_uplink01_cidr)-FIND("/",wld_az1_rack7_uplink01_cidr)))),IF(wld_dedicated_edge_cluster_chosen_first=8,IF(OR((wld_az1_rack8_en2_uplink01_interface_ip="Value Missing"),(wld_az1_rack8_uplink01_cidr="Value Missing")),"Value Missing",wld_az1_rack8_en2_uplink01_interface_ip&amp;"/"&amp;INT(RIGHT(wld_az1_rack8_uplink01_cidr,LEN(wld_az1_rack8_uplink01_cidr)-FIND("/",wld_az1_rack8_uplink01_cidr)))),"")))))))))</f>
        <v>Value Missing</v>
      </c>
      <c r="N263" s="55" t="s">
        <v>1874</v>
      </c>
      <c r="O263" s="22" t="str">
        <f>IF(wld_multirack_result="Excluded",IF(OR((wld_az1_en2_uplink01_interface_ip="Value Missing"),(wld_az1_uplink01_cidr="Value Missing")),"Value Missing",wld_az1_en2_uplink01_interface_ip&amp;"/"&amp;INT(RIGHT(wld_az1_uplink01_cidr,LEN(wld_az1_uplink01_cidr)-FIND("/",wld_az1_uplink01_cidr)))),IF(wld_dedicated_edge_cluster_chosen_second=1,IF(OR((wld_az1_en2_uplink01_interface_ip="Value Missing"),(wld_az1_uplink01_cidr="Value Missing")),"Value Missing",wld_az1_en2_uplink01_interface_ip&amp;"/"&amp;INT(RIGHT(wld_az1_uplink01_cidr,LEN(wld_az1_uplink01_cidr)-FIND("/",wld_az1_uplink01_cidr)))),IF(wld_dedicated_edge_cluster_chosen_second=2,IF(OR((wld_az1_rack2_en2_uplink01_interface_ip="Value Missing"),(wld_az1_rack2_uplink01_cidr="Value Missing")),"Value Missing",wld_az1_rack2_en2_uplink01_interface_ip&amp;"/"&amp;INT(RIGHT(wld_az1_rack2_uplink01_cidr,LEN(wld_az1_rack2_uplink01_cidr)-FIND("/",wld_az1_rack2_uplink01_cidr)))),IF(wld_dedicated_edge_cluster_chosen_second=3,IF(OR((wld_az1_rack3_en2_uplink01_interface_ip="Value Missing"),(wld_az1_rack3_uplink01_cidr="Value Missing")),"Value Missing",wld_az1_rack3_en2_uplink01_interface_ip&amp;"/"&amp;INT(RIGHT(wld_az1_rack3_uplink01_cidr,LEN(wld_az1_rack3_uplink01_cidr)-FIND("/",wld_az1_rack3_uplink01_cidr)))),IF(wld_dedicated_edge_cluster_chosen_second=4,IF(OR((wld_az1_rack4_en2_uplink01_interface_ip="Value Missing"),(wld_az1_rack4_uplink01_cidr="Value Missing")),"Value Missing",wld_az1_rack4_en2_uplink01_interface_ip&amp;"/"&amp;INT(RIGHT(wld_az1_rack4_uplink01_cidr,LEN(wld_az1_rack4_uplink01_cidr)-FIND("/",wld_az1_rack4_uplink01_cidr)))),IF(wld_dedicated_edge_cluster_chosen_second=5,IF(OR((wld_az1_rack5_en2_uplink01_interface_ip="Value Missing"),(wld_az1_rack5_uplink01_cidr="Value Missing")),"Value Missing",wld_az1_rack5_en2_uplink01_interface_ip&amp;"/"&amp;INT(RIGHT(wld_az1_rack5_uplink01_cidr,LEN(wld_az1_rack5_uplink01_cidr)-FIND("/",wld_az1_rack5_uplink01_cidr)))),IF(wld_dedicated_edge_cluster_chosen_second=6,IF(OR((wld_az1_rack6_en2_uplink01_interface_ip="Value Missing"),(wld_az1_rack6_uplink01_cidr="Value Missing")),"Value Missing",wld_az1_rack6_en2_uplink01_interface_ip&amp;"/"&amp;INT(RIGHT(wld_az1_rack6_uplink01_cidr,LEN(wld_az1_rack6_uplink01_cidr)-FIND("/",wld_az1_rack6_uplink01_cidr)))),IF(wld_dedicated_edge_cluster_chosen_second=7,IF(OR((wld_az1_rack7_en2_uplink01_interface_ip="Value Missing"),(wld_az1_rack7_uplink01_cidr="Value Missing")),"Value Missing",wld_az1_rack7_en2_uplink01_interface_ip&amp;"/"&amp;INT(RIGHT(wld_az1_rack7_uplink01_cidr,LEN(wld_az1_rack7_uplink01_cidr)-FIND("/",wld_az1_rack7_uplink01_cidr)))),IF(wld_dedicated_edge_cluster_chosen_second=8,IF(OR((wld_az1_rack8_en2_uplink01_interface_ip="Value Missing"),(wld_az1_rack8_uplink01_cidr="Value Missing")),"Value Missing",wld_az1_rack8_en2_uplink01_interface_ip&amp;"/"&amp;INT(RIGHT(wld_az1_rack8_uplink01_cidr,LEN(wld_az1_rack8_uplink01_cidr)-FIND("/",wld_az1_rack8_uplink01_cidr)))),"")))))))))</f>
        <v>Value Missing</v>
      </c>
    </row>
    <row r="264" spans="2:15" ht="20" customHeight="1">
      <c r="B264" s="21" t="s">
        <v>3185</v>
      </c>
      <c r="C264" s="18" t="str">
        <f>IF(ISBLANK('Network Inputs - Rack'!H37),"Value Missing",'Network Inputs - Rack'!H37)</f>
        <v>Value Missing</v>
      </c>
      <c r="E264" s="21" t="s">
        <v>3185</v>
      </c>
      <c r="F264" s="18" t="str">
        <f>IF(ISBLANK('Network Inputs - Rack'!H93),"Value Missing",'Network Inputs - Rack'!H93)</f>
        <v>Value Missing</v>
      </c>
      <c r="K264" s="21" t="s">
        <v>1863</v>
      </c>
      <c r="L264" s="22" t="str">
        <f>IF(wld_multirack_result="Excluded",IF(OR((wld_az1_en2_uplink02_interface_ip="Value Missing"),(wld_az1_uplink02_cidr="Value Missing")),"Value Missing",wld_az1_en2_uplink02_interface_ip&amp;"/"&amp;INT(RIGHT(wld_az1_uplink02_cidr,LEN(wld_az1_uplink02_cidr)-FIND("/",wld_az1_uplink02_cidr)))),IF(wld_dedicated_edge_cluster_chosen_first=1,IF(OR((wld_az1_en2_uplink02_interface_ip="Value Missing"),(wld_az1_uplink02_cidr="Value Missing")),"Value Missing",wld_az1_en2_uplink02_interface_ip&amp;"/"&amp;INT(RIGHT(wld_az1_uplink02_cidr,LEN(wld_az1_uplink02_cidr)-FIND("/",wld_az1_uplink02_cidr)))),IF(wld_dedicated_edge_cluster_chosen_first=2,IF(OR((wld_az1_rack2_en2_uplink02_interface_ip="Value Missing"),(wld_az1_rack2_uplink02_cidr="Value Missing")),"Value Missing",wld_az1_rack2_en2_uplink02_interface_ip&amp;"/"&amp;INT(RIGHT(wld_az1_rack2_uplink02_cidr,LEN(wld_az1_rack2_uplink02_cidr)-FIND("/",wld_az1_rack2_uplink02_cidr)))),IF(wld_dedicated_edge_cluster_chosen_first=3,IF(OR((wld_az1_rack3_en2_uplink02_interface_ip="Value Missing"),(wld_az1_rack3_uplink02_cidr="Value Missing")),"Value Missing",wld_az1_rack3_en2_uplink02_interface_ip&amp;"/"&amp;INT(RIGHT(wld_az1_rack3_uplink02_cidr,LEN(wld_az1_rack3_uplink02_cidr)-FIND("/",wld_az1_rack3_uplink02_cidr)))),IF(wld_dedicated_edge_cluster_chosen_first=4,IF(OR((wld_az1_rack4_en2_uplink02_interface_ip="Value Missing"),(wld_az1_rack4_uplink02_cidr="Value Missing")),"Value Missing",wld_az1_rack4_en2_uplink02_interface_ip&amp;"/"&amp;INT(RIGHT(wld_az1_rack4_uplink02_cidr,LEN(wld_az1_rack4_uplink02_cidr)-FIND("/",wld_az1_rack4_uplink02_cidr)))),IF(wld_dedicated_edge_cluster_chosen_first=5,IF(OR((wld_az1_rack5_en2_uplink02_interface_ip="Value Missing"),(wld_az1_rack5_uplink02_cidr="Value Missing")),"Value Missing",wld_az1_rack5_en2_uplink02_interface_ip&amp;"/"&amp;INT(RIGHT(wld_az1_rack5_uplink02_cidr,LEN(wld_az1_rack5_uplink02_cidr)-FIND("/",wld_az1_rack5_uplink02_cidr)))),IF(wld_dedicated_edge_cluster_chosen_first=6,IF(OR((wld_az1_rack6_en2_uplink02_interface_ip="Value Missing"),(wld_az1_rack6_uplink02_cidr="Value Missing")),"Value Missing",wld_az1_rack6_en2_uplink02_interface_ip&amp;"/"&amp;INT(RIGHT(wld_az1_rack6_uplink02_cidr,LEN(wld_az1_rack6_uplink02_cidr)-FIND("/",wld_az1_rack6_uplink02_cidr)))),IF(wld_dedicated_edge_cluster_chosen_first=7,IF(OR((wld_az1_rack7_en2_uplink02_interface_ip="Value Missing"),(wld_az1_rack7_uplink02_cidr="Value Missing")),"Value Missing",wld_az1_rack7_en2_uplink02_interface_ip&amp;"/"&amp;INT(RIGHT(wld_az1_rack7_uplink02_cidr,LEN(wld_az1_rack7_uplink02_cidr)-FIND("/",wld_az1_rack7_uplink02_cidr)))),IF(wld_dedicated_edge_cluster_chosen_first=8,IF(OR((wld_az1_rack8_en2_uplink02_interface_ip="Value Missing"),(wld_az1_rack8_uplink02_cidr="Value Missing")),"Value Missing",wld_az1_rack8_en2_uplink02_interface_ip&amp;"/"&amp;INT(RIGHT(wld_az1_rack8_uplink02_cidr,LEN(wld_az1_rack8_uplink02_cidr)-FIND("/",wld_az1_rack8_uplink02_cidr)))),"")))))))))</f>
        <v>Value Missing</v>
      </c>
      <c r="N264" s="55" t="s">
        <v>1879</v>
      </c>
      <c r="O264" s="22" t="str">
        <f>IF(wld_multirack_result="Excluded",IF(OR((wld_az1_en2_uplink02_interface_ip="Value Missing"),(wld_az1_uplink02_cidr="Value Missing")),"Value Missing",wld_az1_en2_uplink02_interface_ip&amp;"/"&amp;INT(RIGHT(wld_az1_uplink02_cidr,LEN(wld_az1_uplink02_cidr)-FIND("/",wld_az1_uplink02_cidr)))),IF(wld_dedicated_edge_cluster_chosen_second=1,IF(OR((wld_az1_en2_uplink02_interface_ip="Value Missing"),(wld_az1_uplink02_cidr="Value Missing")),"Value Missing",wld_az1_en2_uplink02_interface_ip&amp;"/"&amp;INT(RIGHT(wld_az1_uplink02_cidr,LEN(wld_az1_uplink02_cidr)-FIND("/",wld_az1_uplink02_cidr)))),IF(wld_dedicated_edge_cluster_chosen_second=2,IF(OR((wld_az1_rack2_en2_uplink02_interface_ip="Value Missing"),(wld_az1_rack2_uplink02_cidr="Value Missing")),"Value Missing",wld_az1_rack2_en2_uplink02_interface_ip&amp;"/"&amp;INT(RIGHT(wld_az1_rack2_uplink02_cidr,LEN(wld_az1_rack2_uplink02_cidr)-FIND("/",wld_az1_rack2_uplink02_cidr)))),IF(wld_dedicated_edge_cluster_chosen_second=3,IF(OR((wld_az1_rack3_en2_uplink02_interface_ip="Value Missing"),(wld_az1_rack3_uplink02_cidr="Value Missing")),"Value Missing",wld_az1_rack3_en2_uplink02_interface_ip&amp;"/"&amp;INT(RIGHT(wld_az1_rack3_uplink02_cidr,LEN(wld_az1_rack3_uplink02_cidr)-FIND("/",wld_az1_rack3_uplink02_cidr)))),IF(wld_dedicated_edge_cluster_chosen_second=4,IF(OR((wld_az1_rack4_en2_uplink02_interface_ip="Value Missing"),(wld_az1_rack4_uplink02_cidr="Value Missing")),"Value Missing",wld_az1_rack4_en2_uplink02_interface_ip&amp;"/"&amp;INT(RIGHT(wld_az1_rack4_uplink02_cidr,LEN(wld_az1_rack4_uplink02_cidr)-FIND("/",wld_az1_rack4_uplink02_cidr)))),IF(wld_dedicated_edge_cluster_chosen_second=5,IF(OR((wld_az1_rack5_en2_uplink02_interface_ip="Value Missing"),(wld_az1_rack5_uplink02_cidr="Value Missing")),"Value Missing",wld_az1_rack5_en2_uplink02_interface_ip&amp;"/"&amp;INT(RIGHT(wld_az1_rack5_uplink02_cidr,LEN(wld_az1_rack5_uplink02_cidr)-FIND("/",wld_az1_rack5_uplink02_cidr)))),IF(wld_dedicated_edge_cluster_chosen_second=6,IF(OR((wld_az1_rack6_en2_uplink02_interface_ip="Value Missing"),(wld_az1_rack6_uplink02_cidr="Value Missing")),"Value Missing",wld_az1_rack6_en2_uplink02_interface_ip&amp;"/"&amp;INT(RIGHT(wld_az1_rack6_uplink02_cidr,LEN(wld_az1_rack6_uplink02_cidr)-FIND("/",wld_az1_rack6_uplink02_cidr)))),IF(wld_dedicated_edge_cluster_chosen_second=7,IF(OR((wld_az1_rack7_en2_uplink02_interface_ip="Value Missing"),(wld_az1_rack7_uplink02_cidr="Value Missing")),"Value Missing",wld_az1_rack7_en2_uplink02_interface_ip&amp;"/"&amp;INT(RIGHT(wld_az1_rack7_uplink02_cidr,LEN(wld_az1_rack7_uplink02_cidr)-FIND("/",wld_az1_rack7_uplink02_cidr)))),IF(wld_dedicated_edge_cluster_chosen_second=8,IF(OR((wld_az1_rack8_en2_uplink02_interface_ip="Value Missing"),(wld_az1_rack8_uplink02_cidr="Value Missing")),"Value Missing",wld_az1_rack8_en2_uplink02_interface_ip&amp;"/"&amp;INT(RIGHT(wld_az1_rack8_uplink02_cidr,LEN(wld_az1_rack8_uplink02_cidr)-FIND("/",wld_az1_rack8_uplink02_cidr)))),"")))))))))</f>
        <v>Value Missing</v>
      </c>
    </row>
    <row r="265" spans="2:15" ht="20" customHeight="1">
      <c r="B265" s="21" t="s">
        <v>540</v>
      </c>
      <c r="C265" s="18" t="str">
        <f>IF(ISBLANK('Network Inputs - Rack'!H38),"Value Missing",'Network Inputs - Rack'!H38)</f>
        <v>Value Missing</v>
      </c>
      <c r="E265" s="21" t="s">
        <v>540</v>
      </c>
      <c r="F265" s="18" t="str">
        <f>IF(ISBLANK('Network Inputs - Rack'!H94),"Value Missing",'Network Inputs - Rack'!H94)</f>
        <v>Value Missing</v>
      </c>
    </row>
    <row r="266" spans="2:15" ht="20" customHeight="1">
      <c r="B266" s="52" t="str">
        <f>"Principal Storage Network ("&amp;wld_principal_storage_chosen&amp;")"</f>
        <v>Principal Storage Network (vSAN-ESA)</v>
      </c>
      <c r="C266" s="18" t="str">
        <f>IF(ISBLANK('Network Inputs - Rack'!H39),"Value Missing",'Network Inputs - Rack'!H39)</f>
        <v>Value Missing</v>
      </c>
      <c r="E266" s="52" t="str">
        <f>"Principal Storage Network ("&amp;wld_principal_storage_chosen&amp;")"</f>
        <v>Principal Storage Network (vSAN-ESA)</v>
      </c>
      <c r="F266" s="18" t="str">
        <f>IF(ISBLANK('Network Inputs - Rack'!H95),"Value Missing",'Network Inputs - Rack'!H95)</f>
        <v>Value Missing</v>
      </c>
    </row>
    <row r="267" spans="2:15" ht="20" customHeight="1">
      <c r="B267" s="21" t="s">
        <v>543</v>
      </c>
      <c r="C267" s="18" t="str">
        <f>IF(ISBLANK('Network Inputs - Rack'!H40),"Value Missing",'Network Inputs - Rack'!H40)</f>
        <v>Value Missing</v>
      </c>
      <c r="E267" s="21" t="s">
        <v>543</v>
      </c>
      <c r="F267" s="18" t="str">
        <f>IF(ISBLANK('Network Inputs - Rack'!H96),"Value Missing",'Network Inputs - Rack'!H96)</f>
        <v>Value Missing</v>
      </c>
    </row>
    <row r="268" spans="2:15" ht="20" customHeight="1">
      <c r="B268" s="21" t="s">
        <v>566</v>
      </c>
      <c r="C268" s="18" t="s">
        <v>452</v>
      </c>
      <c r="E268" s="21" t="s">
        <v>566</v>
      </c>
    </row>
    <row r="269" spans="2:15" ht="20" customHeight="1">
      <c r="B269" s="21" t="s">
        <v>544</v>
      </c>
      <c r="C269" s="18" t="str">
        <f>IF(ISBLANK(mgmt_az1_uplink01_gateway_ip),"Value Missing",mgmt_az1_uplink01_gateway_ip)</f>
        <v>Value Missing</v>
      </c>
      <c r="E269" s="21" t="s">
        <v>544</v>
      </c>
      <c r="F269" s="18" t="str">
        <f>wld_az1_uplink01_gateway_ip</f>
        <v>Value Missing</v>
      </c>
    </row>
    <row r="270" spans="2:15" ht="20" customHeight="1">
      <c r="B270" s="21" t="s">
        <v>545</v>
      </c>
      <c r="C270" s="18" t="str">
        <f>IF(ISBLANK(input_mgmt_az1_uplink02_gateway_ip),"Value Missing",mgmt_az1_uplink02_gateway_ip)</f>
        <v>Value Missing</v>
      </c>
      <c r="E270" s="21" t="s">
        <v>545</v>
      </c>
      <c r="F270" s="18" t="str">
        <f>wld_az1_uplink02_gateway_ip</f>
        <v>Value Missing</v>
      </c>
    </row>
    <row r="271" spans="2:15" ht="20" customHeight="1">
      <c r="B271" s="21" t="s">
        <v>546</v>
      </c>
      <c r="C271" s="18" t="str">
        <f>IF(ISBLANK(input_mgmt_az1_edge_overlay_gateway_ip),"Value Missing",input_mgmt_az1_edge_overlay_gateway_ip)</f>
        <v>Value Missing</v>
      </c>
      <c r="E271" s="21" t="s">
        <v>546</v>
      </c>
      <c r="F271" s="18" t="str">
        <f>wld_az1_edge_overlay_gateway_ip</f>
        <v>Value Missing</v>
      </c>
    </row>
    <row r="272" spans="2:15" ht="20" customHeight="1">
      <c r="B272" s="21" t="s">
        <v>547</v>
      </c>
      <c r="C272" s="18" t="str">
        <f>IF(ISBLANK(input_mgmt_az1_rtep_overlay_gateway_ip),"Value Missing",input_mgmt_az1_rtep_overlay_gateway_ip)</f>
        <v>Value Missing</v>
      </c>
      <c r="E272" s="21" t="s">
        <v>547</v>
      </c>
      <c r="F272" s="18" t="str">
        <f>wld_az1_rtep_overlay_gateway_ip</f>
        <v>Value Missing</v>
      </c>
    </row>
    <row r="273" spans="2:6" ht="20" customHeight="1">
      <c r="B273" s="21" t="s">
        <v>548</v>
      </c>
      <c r="C273" s="18" t="str">
        <f>IF(ISBLANK(input_mgmt_az1_vrms_gateway_ip),"Value Missing",input_mgmt_az1_vrms_gateway_ip)</f>
        <v>Value Missing</v>
      </c>
      <c r="E273" s="21" t="s">
        <v>548</v>
      </c>
      <c r="F273" s="18" t="str">
        <f>wld_az1_vrms_gateway_ip</f>
        <v>Value Missing</v>
      </c>
    </row>
    <row r="274" spans="2:6" ht="20" customHeight="1">
      <c r="B274" s="3"/>
      <c r="C274" s="3"/>
    </row>
    <row r="275" spans="2:6" ht="20" customHeight="1">
      <c r="B275" s="184" t="s">
        <v>4124</v>
      </c>
      <c r="C275" s="188"/>
      <c r="E275" s="184" t="s">
        <v>4146</v>
      </c>
      <c r="F275" s="188"/>
    </row>
    <row r="276" spans="2:6" ht="20" customHeight="1">
      <c r="B276" s="112" t="s">
        <v>735</v>
      </c>
      <c r="C276" s="113" t="s">
        <v>4142</v>
      </c>
      <c r="E276" s="112" t="s">
        <v>735</v>
      </c>
      <c r="F276" s="113" t="s">
        <v>1231</v>
      </c>
    </row>
    <row r="277" spans="2:6" ht="20" customHeight="1">
      <c r="B277" s="21" t="s">
        <v>3184</v>
      </c>
      <c r="C277" s="18" t="s">
        <v>452</v>
      </c>
      <c r="E277" s="21" t="s">
        <v>3184</v>
      </c>
      <c r="F277" s="18" t="s">
        <v>452</v>
      </c>
    </row>
    <row r="278" spans="2:6" ht="20" customHeight="1">
      <c r="B278" s="21" t="s">
        <v>3185</v>
      </c>
      <c r="C278" s="18" t="str">
        <f>IF(ISBLANK('Network Inputs - Rack'!J37),"Value Missing",'Network Inputs - Rack'!J37)</f>
        <v>Value Missing</v>
      </c>
      <c r="E278" s="21" t="s">
        <v>3185</v>
      </c>
      <c r="F278" s="18" t="str">
        <f>IF(ISBLANK('Network Inputs - Rack'!J93),"Value Missing",'Network Inputs - Rack'!J93)</f>
        <v>Value Missing</v>
      </c>
    </row>
    <row r="279" spans="2:6" ht="20" customHeight="1">
      <c r="B279" s="21" t="s">
        <v>540</v>
      </c>
      <c r="C279" s="18" t="str">
        <f>IF(ISBLANK('Network Inputs - Rack'!J38),"Value Missing",'Network Inputs - Rack'!J38)</f>
        <v>Value Missing</v>
      </c>
      <c r="E279" s="21" t="s">
        <v>540</v>
      </c>
      <c r="F279" s="18" t="str">
        <f>IF(ISBLANK('Network Inputs - Rack'!J94),"Value Missing",'Network Inputs - Rack'!J94)</f>
        <v>Value Missing</v>
      </c>
    </row>
    <row r="280" spans="2:6" ht="20" customHeight="1">
      <c r="B280" s="52" t="str">
        <f>"Principal Storage Network ("&amp;wld_principal_storage_chosen&amp;")"</f>
        <v>Principal Storage Network (vSAN-ESA)</v>
      </c>
      <c r="C280" s="18" t="str">
        <f>IF(ISBLANK('Network Inputs - Rack'!J39),"Value Missing",'Network Inputs - Rack'!J39)</f>
        <v>Value Missing</v>
      </c>
      <c r="E280" s="52" t="str">
        <f>"Principal Storage Network ("&amp;wld_principal_storage_chosen&amp;")"</f>
        <v>Principal Storage Network (vSAN-ESA)</v>
      </c>
      <c r="F280" s="18" t="str">
        <f>IF(ISBLANK('Network Inputs - Rack'!J95),"Value Missing",'Network Inputs - Rack'!J95)</f>
        <v>Value Missing</v>
      </c>
    </row>
    <row r="281" spans="2:6" ht="20" customHeight="1">
      <c r="B281" s="21" t="s">
        <v>543</v>
      </c>
      <c r="C281" s="18" t="str">
        <f>IF(ISBLANK('Network Inputs - Rack'!J40),"Value Missing",'Network Inputs - Rack'!J40)</f>
        <v>Value Missing</v>
      </c>
      <c r="E281" s="21" t="s">
        <v>543</v>
      </c>
      <c r="F281" s="18" t="str">
        <f>IF(ISBLANK('Network Inputs - Rack'!J96),"Value Missing",'Network Inputs - Rack'!J96)</f>
        <v>Value Missing</v>
      </c>
    </row>
    <row r="282" spans="2:6" ht="20" customHeight="1">
      <c r="B282" s="21" t="s">
        <v>566</v>
      </c>
      <c r="C282" s="18" t="s">
        <v>452</v>
      </c>
      <c r="E282" s="21" t="s">
        <v>566</v>
      </c>
      <c r="F282" s="18" t="str">
        <f>IF(ISBLANK('Network Inputs - Rack'!J97),"Value Missing",'Network Inputs - Rack'!J97)</f>
        <v>Value Missing</v>
      </c>
    </row>
    <row r="283" spans="2:6" ht="20" customHeight="1">
      <c r="B283" s="21" t="s">
        <v>544</v>
      </c>
      <c r="C283" s="18" t="str">
        <f>IF(ISBLANK(input_mgmt_az1_uplink01_mtu),"Value Missing",input_mgmt_az1_uplink01_mtu)</f>
        <v>Value Missing</v>
      </c>
      <c r="E283" s="21" t="s">
        <v>544</v>
      </c>
      <c r="F283" s="18" t="str">
        <f>wld_az1_uplink01_mtu</f>
        <v>Value Missing</v>
      </c>
    </row>
    <row r="284" spans="2:6" ht="20" customHeight="1">
      <c r="B284" s="21" t="s">
        <v>545</v>
      </c>
      <c r="C284" s="18" t="str">
        <f>IF(ISBLANK(input_mgmt_az1_uplink02_mtu),"Value Missing",input_mgmt_az1_uplink02_mtu)</f>
        <v>Value Missing</v>
      </c>
      <c r="E284" s="21" t="s">
        <v>545</v>
      </c>
      <c r="F284" s="18" t="str">
        <f>wld_az1_uplink02_mtu</f>
        <v>Value Missing</v>
      </c>
    </row>
    <row r="285" spans="2:6" ht="20" customHeight="1">
      <c r="B285" s="21" t="s">
        <v>546</v>
      </c>
      <c r="C285" s="18" t="str">
        <f>IF(ISBLANK(input_mgmt_az1_edge_overlay_mtu),"Value Missing",input_mgmt_az1_edge_overlay_mtu)</f>
        <v>Value Missing</v>
      </c>
      <c r="E285" s="21" t="s">
        <v>546</v>
      </c>
      <c r="F285" s="18" t="str">
        <f>wld_az1_edge_overlay_mtu</f>
        <v>Value Missing</v>
      </c>
    </row>
    <row r="286" spans="2:6" ht="20" customHeight="1">
      <c r="B286" s="21" t="s">
        <v>547</v>
      </c>
      <c r="C286" s="18" t="str">
        <f>IF(ISBLANK(input_mgmt_az1_rtep_overlay_mtu),"Value Missing",input_mgmt_az1_rtep_overlay_mtu)</f>
        <v>Value Missing</v>
      </c>
      <c r="E286" s="21" t="s">
        <v>547</v>
      </c>
      <c r="F286" s="18" t="str">
        <f>wld_az1_rtep_overlay_mtu</f>
        <v>Value Missing</v>
      </c>
    </row>
    <row r="287" spans="2:6" ht="20" customHeight="1">
      <c r="B287" s="21" t="s">
        <v>548</v>
      </c>
      <c r="C287" s="18" t="str">
        <f>IF(ISBLANK(input_mgmt_az2_vrms_mtu),"Value Missing",input_mgmt_az2_vrms_mtu)</f>
        <v/>
      </c>
      <c r="E287" s="21" t="s">
        <v>548</v>
      </c>
      <c r="F287" s="18" t="str">
        <f>wld_az1_vrms_mtu</f>
        <v>Value Missing</v>
      </c>
    </row>
    <row r="288" spans="2:6" ht="20" customHeight="1">
      <c r="B288" s="3"/>
      <c r="C288" s="3"/>
    </row>
    <row r="289" spans="2:6" ht="20" customHeight="1">
      <c r="B289" s="184" t="s">
        <v>4125</v>
      </c>
      <c r="C289" s="188"/>
      <c r="E289" s="184" t="s">
        <v>4125</v>
      </c>
      <c r="F289" s="188"/>
    </row>
    <row r="290" spans="2:6" ht="20" customHeight="1">
      <c r="B290" s="112" t="s">
        <v>735</v>
      </c>
      <c r="C290" s="113" t="s">
        <v>4142</v>
      </c>
      <c r="E290" s="112" t="s">
        <v>735</v>
      </c>
      <c r="F290" s="113" t="s">
        <v>4142</v>
      </c>
    </row>
    <row r="291" spans="2:6" ht="20" customHeight="1">
      <c r="B291" s="21" t="s">
        <v>556</v>
      </c>
      <c r="C291" s="18" t="str">
        <f>mgmt_en_asn</f>
        <v>Value Missing</v>
      </c>
      <c r="E291" s="21" t="s">
        <v>556</v>
      </c>
      <c r="F291" s="18" t="str">
        <f>wld_en_asn</f>
        <v>Value Missing</v>
      </c>
    </row>
    <row r="292" spans="2:6" ht="20" customHeight="1">
      <c r="B292" s="21" t="s">
        <v>557</v>
      </c>
      <c r="C292" s="18" t="str">
        <f>IF(ISBLANK('Network Inputs - Rack'!D53),"Value Missing",'Network Inputs - Rack'!D53)</f>
        <v>Value Missing</v>
      </c>
      <c r="E292" s="21" t="s">
        <v>557</v>
      </c>
      <c r="F292" s="18" t="str">
        <f>IF(ISBLANK('Network Inputs - Rack'!D106),"Value Missing",'Network Inputs - Rack'!D106)</f>
        <v>Value Missing</v>
      </c>
    </row>
    <row r="293" spans="2:6" ht="20" customHeight="1">
      <c r="B293" s="21" t="s">
        <v>558</v>
      </c>
      <c r="C293" s="18" t="str">
        <f>IF(ISBLANK('Network Inputs - Rack'!D54),"Value Missing",'Network Inputs - Rack'!D54)</f>
        <v>Value Missing</v>
      </c>
      <c r="E293" s="21" t="s">
        <v>558</v>
      </c>
      <c r="F293" s="18" t="str">
        <f>IF(ISBLANK('Network Inputs - Rack'!D107),"Value Missing",'Network Inputs - Rack'!D107)</f>
        <v>Value Missing</v>
      </c>
    </row>
    <row r="294" spans="2:6" ht="20" customHeight="1">
      <c r="B294" s="21" t="s">
        <v>559</v>
      </c>
      <c r="C294" s="18" t="str">
        <f>IF(ISBLANK('Network Inputs - Rack'!D55),"Value Missing",'Network Inputs - Rack'!D55)</f>
        <v>Value Missing</v>
      </c>
      <c r="E294" s="21" t="s">
        <v>559</v>
      </c>
      <c r="F294" s="18" t="str">
        <f>IF(ISBLANK('Network Inputs - Rack'!D108),"Value Missing",'Network Inputs - Rack'!D108)</f>
        <v>Value Missing</v>
      </c>
    </row>
    <row r="295" spans="2:6" ht="20" customHeight="1">
      <c r="B295" s="21" t="s">
        <v>560</v>
      </c>
      <c r="C295" s="18" t="str">
        <f>IF(ISBLANK('Network Inputs - Rack'!D56),"Value Missing",'Network Inputs - Rack'!D56)</f>
        <v>Value Missing</v>
      </c>
      <c r="E295" s="21" t="s">
        <v>560</v>
      </c>
      <c r="F295" s="18" t="str">
        <f>IF(ISBLANK('Network Inputs - Rack'!D109),"Value Missing",'Network Inputs - Rack'!D109)</f>
        <v>Value Missing</v>
      </c>
    </row>
    <row r="296" spans="2:6" ht="20" customHeight="1">
      <c r="B296" s="21" t="s">
        <v>561</v>
      </c>
      <c r="C296" s="18" t="str">
        <f>IF(ISBLANK('Network Inputs - Rack'!D57),"Value Missing",'Network Inputs - Rack'!D57)</f>
        <v>Value Missing</v>
      </c>
      <c r="E296" s="21" t="s">
        <v>561</v>
      </c>
      <c r="F296" s="18" t="str">
        <f>IF(ISBLANK('Network Inputs - Rack'!D110),"Value Missing",'Network Inputs - Rack'!D110)</f>
        <v>Value Missing</v>
      </c>
    </row>
    <row r="297" spans="2:6" ht="20" customHeight="1">
      <c r="B297" s="21" t="s">
        <v>562</v>
      </c>
      <c r="C297" s="18" t="str">
        <f>IF(ISBLANK('Network Inputs - Rack'!D58),"Value Missing",'Network Inputs - Rack'!D58)</f>
        <v>Value Missing</v>
      </c>
      <c r="E297" s="21" t="s">
        <v>562</v>
      </c>
      <c r="F297" s="18" t="str">
        <f>IF(ISBLANK('Network Inputs - Rack'!D111),"Value Missing",'Network Inputs - Rack'!D111)</f>
        <v>Value Missing</v>
      </c>
    </row>
    <row r="298" spans="2:6" ht="20" customHeight="1">
      <c r="B298" s="3"/>
      <c r="C298" s="3"/>
    </row>
    <row r="299" spans="2:6" ht="20" customHeight="1">
      <c r="B299" s="184" t="s">
        <v>4140</v>
      </c>
      <c r="C299" s="188"/>
      <c r="E299" s="184" t="s">
        <v>4140</v>
      </c>
      <c r="F299" s="188"/>
    </row>
    <row r="300" spans="2:6" ht="20" customHeight="1">
      <c r="B300" s="112" t="s">
        <v>735</v>
      </c>
      <c r="C300" s="113" t="s">
        <v>1231</v>
      </c>
      <c r="E300" s="112" t="s">
        <v>735</v>
      </c>
      <c r="F300" s="113" t="s">
        <v>1231</v>
      </c>
    </row>
    <row r="301" spans="2:6" ht="20" customHeight="1">
      <c r="B301" s="21" t="s">
        <v>3184</v>
      </c>
      <c r="C301" s="18" t="s">
        <v>452</v>
      </c>
      <c r="E301" s="21" t="s">
        <v>3184</v>
      </c>
      <c r="F301" s="168" t="s">
        <v>452</v>
      </c>
    </row>
    <row r="302" spans="2:6" ht="20" customHeight="1">
      <c r="B302" s="21" t="s">
        <v>3185</v>
      </c>
      <c r="C302" s="18" t="str">
        <f>IF('Value Reference Tables - MR'!$C75="Value Missing","Value Missing",CONCATENATE("az2_",'Value Reference Tables - MR'!$C75))</f>
        <v>Value Missing</v>
      </c>
      <c r="E302" s="21" t="s">
        <v>3185</v>
      </c>
      <c r="F302" s="18" t="str">
        <f>IF('Value Reference Tables - MR'!$F75="Value Missing","Value Missing",CONCATENATE("az2_",'Value Reference Tables - MR'!$F75))</f>
        <v>Value Missing</v>
      </c>
    </row>
    <row r="303" spans="2:6" ht="20" customHeight="1">
      <c r="B303" s="21" t="s">
        <v>540</v>
      </c>
      <c r="C303" s="18" t="str">
        <f>IF('Value Reference Tables - MR'!$C76="Value Missing","Value Missing",CONCATENATE("az2_",'Value Reference Tables - MR'!$C76))</f>
        <v>Value Missing</v>
      </c>
      <c r="E303" s="21" t="s">
        <v>540</v>
      </c>
      <c r="F303" s="18" t="str">
        <f>IF('Value Reference Tables - MR'!$F76="Value Missing","Value Missing",CONCATENATE("az2_",'Value Reference Tables - MR'!$F76))</f>
        <v>Value Missing</v>
      </c>
    </row>
    <row r="304" spans="2:6" ht="20" customHeight="1">
      <c r="B304" s="21" t="s">
        <v>541</v>
      </c>
      <c r="C304" s="18" t="str">
        <f>IF('Value Reference Tables - MR'!$C77="Value Missing","Value Missing",CONCATENATE("az2_",'Value Reference Tables - MR'!$C77))</f>
        <v>Value Missing</v>
      </c>
      <c r="E304" s="21" t="s">
        <v>541</v>
      </c>
      <c r="F304" s="18" t="str">
        <f>IF('Value Reference Tables - MR'!$F77="Value Missing","Value Missing",CONCATENATE("az2_",'Value Reference Tables - MR'!$F77))</f>
        <v>Value Missing</v>
      </c>
    </row>
    <row r="305" spans="2:6" ht="20" customHeight="1">
      <c r="B305" s="21" t="s">
        <v>544</v>
      </c>
      <c r="C305" s="18" t="str">
        <f>mgmt_cl01_az1_uplink01_pg</f>
        <v/>
      </c>
      <c r="E305" s="21" t="s">
        <v>544</v>
      </c>
      <c r="F305" s="53"/>
    </row>
    <row r="306" spans="2:6" ht="20" customHeight="1">
      <c r="B306" s="21" t="s">
        <v>545</v>
      </c>
      <c r="C306" s="18" t="str">
        <f>mgmt_cl01_az1_uplink02_pg</f>
        <v/>
      </c>
      <c r="E306" s="21" t="s">
        <v>545</v>
      </c>
      <c r="F306" s="53"/>
    </row>
    <row r="307" spans="2:6" ht="20" customHeight="1">
      <c r="B307" s="3"/>
      <c r="C307" s="3"/>
    </row>
    <row r="308" spans="2:6" ht="20" customHeight="1">
      <c r="B308" s="183" t="s">
        <v>4126</v>
      </c>
      <c r="C308" s="188"/>
      <c r="E308" s="183" t="s">
        <v>4147</v>
      </c>
      <c r="F308" s="188"/>
    </row>
    <row r="309" spans="2:6" ht="20" customHeight="1">
      <c r="B309" s="112" t="s">
        <v>735</v>
      </c>
      <c r="C309" s="113" t="s">
        <v>1231</v>
      </c>
      <c r="E309" s="112" t="s">
        <v>735</v>
      </c>
      <c r="F309" s="113" t="s">
        <v>1231</v>
      </c>
    </row>
    <row r="310" spans="2:6" ht="20" customHeight="1">
      <c r="B310" s="26" t="s">
        <v>670</v>
      </c>
      <c r="C310" s="18" t="str">
        <f>IF(ISBLANK('Name &amp; IP Address Inputs - Rack'!F102),"Value Missing",'Name &amp; IP Address Inputs - Rack'!F102)</f>
        <v>Value Missing</v>
      </c>
      <c r="E310" s="26" t="s">
        <v>670</v>
      </c>
      <c r="F310" s="18" t="str">
        <f>IF(ISBLANK('Name &amp; IP Address Inputs - Rack'!F211),"Value Missing",'Name &amp; IP Address Inputs - Rack'!F211)</f>
        <v>Value Missing</v>
      </c>
    </row>
    <row r="311" spans="2:6" ht="20" customHeight="1">
      <c r="B311" s="26" t="s">
        <v>672</v>
      </c>
      <c r="C311" s="18" t="str">
        <f>IF(ISBLANK('Name &amp; IP Address Inputs - Rack'!F103),"Value Missing",'Name &amp; IP Address Inputs - Rack'!F103)</f>
        <v>Value Missing</v>
      </c>
      <c r="E311" s="26" t="s">
        <v>672</v>
      </c>
      <c r="F311" s="18" t="str">
        <f>IF(ISBLANK('Name &amp; IP Address Inputs - Rack'!F212),"Value Missing",'Name &amp; IP Address Inputs - Rack'!F212)</f>
        <v>Value Missing</v>
      </c>
    </row>
    <row r="312" spans="2:6" ht="20" customHeight="1">
      <c r="B312" s="26" t="s">
        <v>674</v>
      </c>
      <c r="C312" s="18" t="str">
        <f>IF(ISBLANK('Name &amp; IP Address Inputs - Rack'!F104),"Value Missing",'Name &amp; IP Address Inputs - Rack'!F104)</f>
        <v>Value Missing</v>
      </c>
      <c r="E312" s="26" t="s">
        <v>674</v>
      </c>
      <c r="F312" s="18" t="str">
        <f>IF(ISBLANK('Name &amp; IP Address Inputs - Rack'!F213),"Value Missing",'Name &amp; IP Address Inputs - Rack'!F213)</f>
        <v>Value Missing</v>
      </c>
    </row>
    <row r="313" spans="2:6" ht="20" customHeight="1">
      <c r="B313" s="26" t="s">
        <v>676</v>
      </c>
      <c r="C313" s="18" t="str">
        <f>IF(ISBLANK('Name &amp; IP Address Inputs - Rack'!F105),"Value Missing",'Name &amp; IP Address Inputs - Rack'!F105)</f>
        <v>Value Missing</v>
      </c>
      <c r="E313" s="26" t="s">
        <v>676</v>
      </c>
      <c r="F313" s="18" t="str">
        <f>IF(ISBLANK('Name &amp; IP Address Inputs - Rack'!F214),"Value Missing",'Name &amp; IP Address Inputs - Rack'!F214)</f>
        <v>Value Missing</v>
      </c>
    </row>
    <row r="314" spans="2:6" ht="20" customHeight="1">
      <c r="B314" s="26" t="s">
        <v>677</v>
      </c>
      <c r="C314" s="18" t="str">
        <f>IF(ISBLANK('Name &amp; IP Address Inputs - Rack'!F106),"Value Missing",'Name &amp; IP Address Inputs - Rack'!F106)</f>
        <v>Value Missing</v>
      </c>
      <c r="E314" s="26" t="s">
        <v>677</v>
      </c>
      <c r="F314" s="18" t="str">
        <f>IF(ISBLANK('Name &amp; IP Address Inputs - Rack'!F215),"Value Missing",'Name &amp; IP Address Inputs - Rack'!F215)</f>
        <v>Value Missing</v>
      </c>
    </row>
    <row r="315" spans="2:6" ht="20" customHeight="1">
      <c r="B315" s="26" t="s">
        <v>679</v>
      </c>
      <c r="C315" s="18" t="str">
        <f>IF(ISBLANK('Name &amp; IP Address Inputs - Rack'!F107),"Value Missing",'Name &amp; IP Address Inputs - Rack'!F107)</f>
        <v>Value Missing</v>
      </c>
      <c r="E315" s="26" t="s">
        <v>679</v>
      </c>
      <c r="F315" s="18" t="str">
        <f>IF(ISBLANK('Name &amp; IP Address Inputs - Rack'!F216),"Value Missing",'Name &amp; IP Address Inputs - Rack'!F216)</f>
        <v>Value Missing</v>
      </c>
    </row>
    <row r="316" spans="2:6" ht="20" customHeight="1">
      <c r="B316" s="52" t="s">
        <v>691</v>
      </c>
      <c r="C316" s="18" t="s">
        <v>452</v>
      </c>
      <c r="E316" s="52" t="s">
        <v>691</v>
      </c>
      <c r="F316" s="18" t="str">
        <f>IF(ISBLANK('Name &amp; IP Address Inputs - Rack'!F217),"Value Missing",'Name &amp; IP Address Inputs - Rack'!F217)</f>
        <v>Value Missing</v>
      </c>
    </row>
    <row r="317" spans="2:6" ht="20" customHeight="1">
      <c r="B317" s="55" t="s">
        <v>693</v>
      </c>
      <c r="C317" s="18" t="s">
        <v>452</v>
      </c>
      <c r="E317" s="55" t="s">
        <v>693</v>
      </c>
      <c r="F317" s="18" t="str">
        <f>IF(ISBLANK('Name &amp; IP Address Inputs - Rack'!F218),"Value Missing",'Name &amp; IP Address Inputs - Rack'!F218)</f>
        <v>Value Missing</v>
      </c>
    </row>
    <row r="318" spans="2:6" ht="20" customHeight="1">
      <c r="B318" s="26" t="s">
        <v>681</v>
      </c>
      <c r="C318" s="18"/>
      <c r="E318" s="26" t="s">
        <v>681</v>
      </c>
      <c r="F318" s="53"/>
    </row>
    <row r="319" spans="2:6" ht="20" customHeight="1">
      <c r="B319" s="26" t="s">
        <v>683</v>
      </c>
      <c r="C319" s="18"/>
      <c r="E319" s="26" t="s">
        <v>683</v>
      </c>
      <c r="F319" s="53"/>
    </row>
    <row r="320" spans="2:6" ht="20" customHeight="1">
      <c r="B320" s="3"/>
      <c r="C320" s="3"/>
    </row>
    <row r="321" spans="2:6" ht="20" customHeight="1">
      <c r="B321" s="183" t="s">
        <v>4127</v>
      </c>
      <c r="C321" s="188"/>
      <c r="E321" s="183" t="s">
        <v>4148</v>
      </c>
      <c r="F321" s="188"/>
    </row>
    <row r="322" spans="2:6" ht="20" customHeight="1">
      <c r="B322" s="112" t="s">
        <v>735</v>
      </c>
      <c r="C322" s="113" t="s">
        <v>1231</v>
      </c>
      <c r="E322" s="112" t="s">
        <v>735</v>
      </c>
      <c r="F322" s="113" t="s">
        <v>1231</v>
      </c>
    </row>
    <row r="323" spans="2:6" ht="20" customHeight="1">
      <c r="B323" s="26" t="s">
        <v>4174</v>
      </c>
      <c r="C323" s="18" t="str">
        <f>IF(ISBLANK(input_mgmt_az2_pool_name),"Value Missing",input_mgmt_az2_pool_name)</f>
        <v>Value Missing</v>
      </c>
      <c r="E323" s="26" t="s">
        <v>4174</v>
      </c>
      <c r="F323" s="18" t="str">
        <f>IF(ISBLANK(input_wld_az2_pool_name),"Value Missing",input_wld_az2_pool_name)</f>
        <v>Value Missing</v>
      </c>
    </row>
    <row r="324" spans="2:6" ht="20" customHeight="1">
      <c r="B324" s="26" t="s">
        <v>4104</v>
      </c>
      <c r="C324" s="18" t="str">
        <f>IF(ISBLANK(input_mgmt_az2_host_overlay_network_profile_name),"Value Missing",input_mgmt_az2_host_overlay_network_profile_name)</f>
        <v>Value Missing</v>
      </c>
      <c r="E324" s="26" t="s">
        <v>4104</v>
      </c>
      <c r="F324" s="18" t="str">
        <f>IF(ISBLANK(input_wld_az2_host_overlay_network_profile_name),"Value Missing",input_wld_az2_host_overlay_network_profile_name)</f>
        <v>Value Missing</v>
      </c>
    </row>
    <row r="325" spans="2:6" ht="20" customHeight="1">
      <c r="B325" s="26" t="s">
        <v>4103</v>
      </c>
      <c r="C325" s="18" t="str">
        <f>IF(ISBLANK(input_mgmt_az2_host_overlay_network_pool_name),"Value Missing",input_mgmt_az2_host_overlay_network_pool_name)</f>
        <v>Value Missing</v>
      </c>
      <c r="E325" s="26" t="s">
        <v>4103</v>
      </c>
      <c r="F325" s="18" t="str">
        <f>IF(ISBLANK(input_wld_az2_host_overlay_network_pool_name),"Value Missing",input_wld_az2_host_overlay_network_pool_name)</f>
        <v>Value Missing</v>
      </c>
    </row>
    <row r="326" spans="2:6" ht="20" customHeight="1">
      <c r="B326" s="26" t="s">
        <v>4102</v>
      </c>
      <c r="C326" s="18" t="str">
        <f>IF(ISBLANK(input_mgmt_az2_host_overlay_uplink_profile_name),"Value Missing",input_mgmt_az2_host_overlay_uplink_profile_name)</f>
        <v>Value Missing</v>
      </c>
      <c r="E326" s="26" t="s">
        <v>4102</v>
      </c>
      <c r="F326" s="18" t="str">
        <f>IF(ISBLANK(input_wld_az2_host_overlay_uplink_profile_name),"Value Missing",input_wld_az2_host_overlay_uplink_profile_name)</f>
        <v>Value Missing</v>
      </c>
    </row>
    <row r="327" spans="2:6" ht="20" customHeight="1">
      <c r="B327" s="106"/>
      <c r="C327" s="106"/>
    </row>
    <row r="328" spans="2:6" ht="20" customHeight="1">
      <c r="B328" s="501" t="s">
        <v>4128</v>
      </c>
      <c r="C328" s="502"/>
      <c r="E328" s="501" t="s">
        <v>4149</v>
      </c>
      <c r="F328" s="502"/>
    </row>
    <row r="329" spans="2:6" ht="20" customHeight="1">
      <c r="B329" s="112" t="s">
        <v>735</v>
      </c>
      <c r="C329" s="113" t="s">
        <v>1231</v>
      </c>
      <c r="E329" s="112" t="s">
        <v>735</v>
      </c>
      <c r="F329" s="113" t="s">
        <v>1231</v>
      </c>
    </row>
    <row r="330" spans="2:6" ht="20" customHeight="1">
      <c r="B330" s="21" t="s">
        <v>4037</v>
      </c>
      <c r="C330" s="18"/>
      <c r="E330" s="21" t="s">
        <v>4037</v>
      </c>
      <c r="F330" s="18"/>
    </row>
    <row r="331" spans="2:6" ht="20" customHeight="1">
      <c r="B331" s="21" t="s">
        <v>4038</v>
      </c>
      <c r="C331" s="18"/>
      <c r="E331" s="21" t="s">
        <v>4038</v>
      </c>
      <c r="F331" s="18"/>
    </row>
    <row r="332" spans="2:6" ht="20" customHeight="1">
      <c r="B332" s="21" t="s">
        <v>4039</v>
      </c>
      <c r="C332" s="18"/>
      <c r="E332" s="21" t="s">
        <v>4039</v>
      </c>
      <c r="F332" s="18"/>
    </row>
    <row r="333" spans="2:6" ht="20" customHeight="1">
      <c r="B333" s="21" t="s">
        <v>4043</v>
      </c>
      <c r="C333" s="18"/>
      <c r="E333" s="21" t="s">
        <v>4043</v>
      </c>
      <c r="F333" s="18"/>
    </row>
    <row r="334" spans="2:6" ht="20" customHeight="1">
      <c r="B334" s="21" t="s">
        <v>4040</v>
      </c>
      <c r="C334" s="18"/>
      <c r="E334" s="21" t="s">
        <v>4040</v>
      </c>
      <c r="F334" s="18"/>
    </row>
    <row r="335" spans="2:6" ht="20" customHeight="1">
      <c r="B335" s="21" t="s">
        <v>4041</v>
      </c>
      <c r="C335" s="18"/>
      <c r="E335" s="21" t="s">
        <v>4041</v>
      </c>
      <c r="F335" s="18"/>
    </row>
    <row r="336" spans="2:6" ht="20" customHeight="1">
      <c r="B336" s="21" t="s">
        <v>4042</v>
      </c>
      <c r="C336" s="18"/>
      <c r="E336" s="21" t="s">
        <v>4042</v>
      </c>
      <c r="F336" s="18"/>
    </row>
    <row r="337" spans="2:27" ht="20" customHeight="1">
      <c r="B337" s="27"/>
      <c r="C337" s="27"/>
      <c r="E337" s="27"/>
      <c r="F337" s="27"/>
    </row>
    <row r="338" spans="2:27" ht="20" customHeight="1">
      <c r="B338" s="183" t="s">
        <v>4119</v>
      </c>
      <c r="C338" s="188"/>
      <c r="E338" s="183" t="s">
        <v>4120</v>
      </c>
      <c r="F338" s="188"/>
      <c r="G338" s="3"/>
      <c r="H338" s="183" t="s">
        <v>3844</v>
      </c>
      <c r="I338" s="188"/>
      <c r="J338" s="3"/>
      <c r="K338" s="183" t="s">
        <v>3843</v>
      </c>
      <c r="L338" s="188"/>
      <c r="M338" s="3"/>
      <c r="N338" s="183" t="s">
        <v>3842</v>
      </c>
      <c r="O338" s="188"/>
      <c r="P338" s="3"/>
      <c r="Q338" s="183" t="s">
        <v>3841</v>
      </c>
      <c r="R338" s="188"/>
      <c r="S338" s="3"/>
      <c r="T338" s="183" t="s">
        <v>3840</v>
      </c>
      <c r="U338" s="188"/>
      <c r="V338" s="3"/>
      <c r="W338" s="183" t="s">
        <v>3839</v>
      </c>
      <c r="X338" s="188"/>
      <c r="Y338" s="3"/>
      <c r="Z338" s="183" t="s">
        <v>3838</v>
      </c>
      <c r="AA338" s="188"/>
    </row>
    <row r="339" spans="2:27" ht="20" customHeight="1">
      <c r="B339" s="112" t="s">
        <v>735</v>
      </c>
      <c r="C339" s="113" t="s">
        <v>1231</v>
      </c>
      <c r="E339" s="112" t="s">
        <v>735</v>
      </c>
      <c r="F339" s="113" t="s">
        <v>1231</v>
      </c>
      <c r="G339" s="3"/>
      <c r="H339" s="112" t="s">
        <v>735</v>
      </c>
      <c r="I339" s="113" t="s">
        <v>1231</v>
      </c>
      <c r="J339" s="3"/>
      <c r="K339" s="112" t="s">
        <v>735</v>
      </c>
      <c r="L339" s="113" t="s">
        <v>1231</v>
      </c>
      <c r="M339" s="3"/>
      <c r="N339" s="112" t="s">
        <v>735</v>
      </c>
      <c r="O339" s="113" t="s">
        <v>1231</v>
      </c>
      <c r="P339" s="3"/>
      <c r="Q339" s="112" t="s">
        <v>735</v>
      </c>
      <c r="R339" s="113" t="s">
        <v>1231</v>
      </c>
      <c r="S339" s="3"/>
      <c r="T339" s="112" t="s">
        <v>735</v>
      </c>
      <c r="U339" s="113" t="s">
        <v>1231</v>
      </c>
      <c r="V339" s="3"/>
      <c r="W339" s="112" t="s">
        <v>735</v>
      </c>
      <c r="X339" s="113" t="s">
        <v>1231</v>
      </c>
      <c r="Y339" s="3"/>
      <c r="Z339" s="112" t="s">
        <v>735</v>
      </c>
      <c r="AA339" s="113" t="s">
        <v>1231</v>
      </c>
    </row>
    <row r="340" spans="2:27" ht="20" customHeight="1">
      <c r="B340" s="21" t="s">
        <v>1328</v>
      </c>
      <c r="C340" s="18" t="str">
        <f>IF(ISBLANK('Name &amp; IP Address Inputs - Rack'!F67),"Value Missing",'Name &amp; IP Address Inputs - Rack'!F67)</f>
        <v>Value Missing</v>
      </c>
      <c r="E340" s="21" t="s">
        <v>1328</v>
      </c>
      <c r="F340" s="18" t="str">
        <f>IF(ISBLANK('Name &amp; IP Address Inputs - Rack'!F176),"Value Missing",'Name &amp; IP Address Inputs - Rack'!F176)</f>
        <v>Value Missing</v>
      </c>
      <c r="H340" s="21" t="s">
        <v>1328</v>
      </c>
      <c r="I340" s="18"/>
      <c r="J340" s="3"/>
      <c r="K340" s="21" t="s">
        <v>1328</v>
      </c>
      <c r="L340" s="18"/>
      <c r="M340" s="3"/>
      <c r="N340" s="21" t="s">
        <v>1328</v>
      </c>
      <c r="O340" s="18"/>
      <c r="P340" s="3"/>
      <c r="Q340" s="21" t="s">
        <v>1328</v>
      </c>
      <c r="R340" s="18"/>
      <c r="S340" s="3"/>
      <c r="T340" s="21" t="s">
        <v>1328</v>
      </c>
      <c r="U340" s="18"/>
      <c r="V340" s="3"/>
      <c r="W340" s="21" t="s">
        <v>1328</v>
      </c>
      <c r="X340" s="18"/>
      <c r="Y340" s="3"/>
      <c r="Z340" s="21" t="s">
        <v>1328</v>
      </c>
      <c r="AA340" s="18"/>
    </row>
    <row r="341" spans="2:27" ht="20" customHeight="1">
      <c r="B341" s="21" t="s">
        <v>1334</v>
      </c>
      <c r="C341" s="18" t="str">
        <f>IF(ISBLANK('Name &amp; IP Address Inputs - Rack'!F68),"Value Missing",'Name &amp; IP Address Inputs - Rack'!F68)</f>
        <v>Value Missing</v>
      </c>
      <c r="E341" s="21" t="s">
        <v>1334</v>
      </c>
      <c r="F341" s="18" t="str">
        <f>IF(ISBLANK('Name &amp; IP Address Inputs - Rack'!F177),"Value Missing",'Name &amp; IP Address Inputs - Rack'!F177)</f>
        <v>Value Missing</v>
      </c>
      <c r="H341" s="21" t="s">
        <v>1334</v>
      </c>
      <c r="I341" s="18"/>
      <c r="J341" s="3"/>
      <c r="K341" s="21" t="s">
        <v>1334</v>
      </c>
      <c r="L341" s="18"/>
      <c r="M341" s="3"/>
      <c r="N341" s="21" t="s">
        <v>1334</v>
      </c>
      <c r="O341" s="18"/>
      <c r="P341" s="3"/>
      <c r="Q341" s="21" t="s">
        <v>1334</v>
      </c>
      <c r="R341" s="18"/>
      <c r="S341" s="3"/>
      <c r="T341" s="21" t="s">
        <v>1334</v>
      </c>
      <c r="U341" s="18"/>
      <c r="V341" s="3"/>
      <c r="W341" s="21" t="s">
        <v>1334</v>
      </c>
      <c r="X341" s="18"/>
      <c r="Y341" s="3"/>
      <c r="Z341" s="21" t="s">
        <v>1334</v>
      </c>
      <c r="AA341" s="18"/>
    </row>
    <row r="342" spans="2:27" ht="20" customHeight="1">
      <c r="B342" s="21" t="s">
        <v>1340</v>
      </c>
      <c r="C342" s="18" t="str">
        <f>IF(ISBLANK('Name &amp; IP Address Inputs - Rack'!F69),"Value Missing",'Name &amp; IP Address Inputs - Rack'!F69)</f>
        <v>Value Missing</v>
      </c>
      <c r="E342" s="21" t="s">
        <v>1340</v>
      </c>
      <c r="F342" s="18" t="str">
        <f>IF(ISBLANK('Name &amp; IP Address Inputs - Rack'!F178),"Value Missing",'Name &amp; IP Address Inputs - Rack'!F178)</f>
        <v>Value Missing</v>
      </c>
      <c r="H342" s="21" t="s">
        <v>1340</v>
      </c>
      <c r="I342" s="18"/>
      <c r="J342" s="3"/>
      <c r="K342" s="21" t="s">
        <v>1340</v>
      </c>
      <c r="L342" s="18"/>
      <c r="M342" s="3"/>
      <c r="N342" s="21" t="s">
        <v>1340</v>
      </c>
      <c r="O342" s="18"/>
      <c r="P342" s="3"/>
      <c r="Q342" s="21" t="s">
        <v>1340</v>
      </c>
      <c r="R342" s="18"/>
      <c r="S342" s="3"/>
      <c r="T342" s="21" t="s">
        <v>1340</v>
      </c>
      <c r="U342" s="18"/>
      <c r="V342" s="3"/>
      <c r="W342" s="21" t="s">
        <v>1340</v>
      </c>
      <c r="X342" s="18"/>
      <c r="Y342" s="3"/>
      <c r="Z342" s="21" t="s">
        <v>1340</v>
      </c>
      <c r="AA342" s="18"/>
    </row>
    <row r="343" spans="2:27" ht="20" customHeight="1">
      <c r="B343" s="21" t="s">
        <v>1345</v>
      </c>
      <c r="C343" s="18" t="str">
        <f>IF(ISBLANK('Name &amp; IP Address Inputs - Rack'!F70),"Value Missing",'Name &amp; IP Address Inputs - Rack'!F70)</f>
        <v>Value Missing</v>
      </c>
      <c r="E343" s="21" t="s">
        <v>1345</v>
      </c>
      <c r="F343" s="18" t="str">
        <f>IF(ISBLANK('Name &amp; IP Address Inputs - Rack'!F179),"Value Missing",'Name &amp; IP Address Inputs - Rack'!F179)</f>
        <v>Value Missing</v>
      </c>
      <c r="H343" s="21" t="s">
        <v>1345</v>
      </c>
      <c r="I343" s="18"/>
      <c r="J343" s="3"/>
      <c r="K343" s="21" t="s">
        <v>1345</v>
      </c>
      <c r="L343" s="18"/>
      <c r="M343" s="3"/>
      <c r="N343" s="21" t="s">
        <v>1345</v>
      </c>
      <c r="O343" s="18"/>
      <c r="P343" s="3"/>
      <c r="Q343" s="21" t="s">
        <v>1345</v>
      </c>
      <c r="R343" s="18"/>
      <c r="S343" s="3"/>
      <c r="T343" s="21" t="s">
        <v>1345</v>
      </c>
      <c r="U343" s="18"/>
      <c r="V343" s="3"/>
      <c r="W343" s="21" t="s">
        <v>1345</v>
      </c>
      <c r="X343" s="18"/>
      <c r="Y343" s="3"/>
      <c r="Z343" s="21" t="s">
        <v>1345</v>
      </c>
      <c r="AA343" s="18"/>
    </row>
    <row r="344" spans="2:27" ht="20" customHeight="1">
      <c r="B344" s="21" t="s">
        <v>3794</v>
      </c>
      <c r="C344" s="18" t="str">
        <f>IF(ISBLANK('Name &amp; IP Address Inputs - Rack'!F71),"Value Missing",'Name &amp; IP Address Inputs - Rack'!F71)</f>
        <v>Value Missing</v>
      </c>
      <c r="E344" s="21" t="s">
        <v>3794</v>
      </c>
      <c r="F344" s="18" t="str">
        <f>IF(ISBLANK('Name &amp; IP Address Inputs - Rack'!F180),"Value Missing",'Name &amp; IP Address Inputs - Rack'!F180)</f>
        <v>Value Missing</v>
      </c>
      <c r="H344" s="21" t="s">
        <v>3794</v>
      </c>
      <c r="I344" s="18"/>
      <c r="J344" s="3"/>
      <c r="K344" s="21" t="s">
        <v>3794</v>
      </c>
      <c r="L344" s="18"/>
      <c r="M344" s="3"/>
      <c r="N344" s="21" t="s">
        <v>3794</v>
      </c>
      <c r="O344" s="18"/>
      <c r="P344" s="3"/>
      <c r="Q344" s="21" t="s">
        <v>3794</v>
      </c>
      <c r="R344" s="18"/>
      <c r="S344" s="3"/>
      <c r="T344" s="21" t="s">
        <v>3794</v>
      </c>
      <c r="U344" s="18"/>
      <c r="V344" s="3"/>
      <c r="W344" s="21" t="s">
        <v>3794</v>
      </c>
      <c r="X344" s="18"/>
      <c r="Y344" s="3"/>
      <c r="Z344" s="21" t="s">
        <v>3794</v>
      </c>
      <c r="AA344" s="18"/>
    </row>
    <row r="345" spans="2:27" ht="20" customHeight="1">
      <c r="B345" s="21" t="s">
        <v>3795</v>
      </c>
      <c r="C345" s="18" t="str">
        <f>IF(ISBLANK('Name &amp; IP Address Inputs - Rack'!F72),"Value Missing",'Name &amp; IP Address Inputs - Rack'!F72)</f>
        <v>Value Missing</v>
      </c>
      <c r="E345" s="21" t="s">
        <v>3795</v>
      </c>
      <c r="F345" s="18" t="str">
        <f>IF(ISBLANK('Name &amp; IP Address Inputs - Rack'!F181),"Value Missing",'Name &amp; IP Address Inputs - Rack'!F181)</f>
        <v>Value Missing</v>
      </c>
      <c r="H345" s="21" t="s">
        <v>3795</v>
      </c>
      <c r="I345" s="18"/>
      <c r="J345" s="3"/>
      <c r="K345" s="21" t="s">
        <v>3795</v>
      </c>
      <c r="L345" s="18"/>
      <c r="M345" s="3"/>
      <c r="N345" s="21" t="s">
        <v>3795</v>
      </c>
      <c r="O345" s="18"/>
      <c r="P345" s="3"/>
      <c r="Q345" s="21" t="s">
        <v>3795</v>
      </c>
      <c r="R345" s="18"/>
      <c r="S345" s="3"/>
      <c r="T345" s="21" t="s">
        <v>3795</v>
      </c>
      <c r="U345" s="18"/>
      <c r="V345" s="3"/>
      <c r="W345" s="21" t="s">
        <v>3795</v>
      </c>
      <c r="X345" s="18"/>
      <c r="Y345" s="3"/>
      <c r="Z345" s="21" t="s">
        <v>3795</v>
      </c>
      <c r="AA345" s="18"/>
    </row>
    <row r="346" spans="2:27" ht="20" customHeight="1">
      <c r="B346" s="21" t="s">
        <v>3796</v>
      </c>
      <c r="C346" s="18" t="str">
        <f>IF(ISBLANK('Name &amp; IP Address Inputs - Rack'!F73),"Value Missing",'Name &amp; IP Address Inputs - Rack'!F73)</f>
        <v>Value Missing</v>
      </c>
      <c r="E346" s="21" t="s">
        <v>3796</v>
      </c>
      <c r="F346" s="18" t="str">
        <f>IF(ISBLANK('Name &amp; IP Address Inputs - Rack'!F182),"Value Missing",'Name &amp; IP Address Inputs - Rack'!F182)</f>
        <v>Value Missing</v>
      </c>
      <c r="H346" s="21" t="s">
        <v>3796</v>
      </c>
      <c r="I346" s="18"/>
      <c r="J346" s="3"/>
      <c r="K346" s="21" t="s">
        <v>3796</v>
      </c>
      <c r="L346" s="18"/>
      <c r="M346" s="3"/>
      <c r="N346" s="21" t="s">
        <v>3796</v>
      </c>
      <c r="O346" s="18"/>
      <c r="P346" s="3"/>
      <c r="Q346" s="21" t="s">
        <v>3796</v>
      </c>
      <c r="R346" s="18"/>
      <c r="S346" s="3"/>
      <c r="T346" s="21" t="s">
        <v>3796</v>
      </c>
      <c r="U346" s="18"/>
      <c r="V346" s="3"/>
      <c r="W346" s="21" t="s">
        <v>3796</v>
      </c>
      <c r="X346" s="18"/>
      <c r="Y346" s="3"/>
      <c r="Z346" s="21" t="s">
        <v>3796</v>
      </c>
      <c r="AA346" s="18"/>
    </row>
    <row r="347" spans="2:27" ht="20" customHeight="1">
      <c r="B347" s="21" t="s">
        <v>3797</v>
      </c>
      <c r="C347" s="18" t="str">
        <f>IF(ISBLANK('Name &amp; IP Address Inputs - Rack'!F74),"Value Missing",'Name &amp; IP Address Inputs - Rack'!F74)</f>
        <v>Value Missing</v>
      </c>
      <c r="E347" s="21" t="s">
        <v>3797</v>
      </c>
      <c r="F347" s="18" t="str">
        <f>IF(ISBLANK('Name &amp; IP Address Inputs - Rack'!F183),"Value Missing",'Name &amp; IP Address Inputs - Rack'!F183)</f>
        <v>Value Missing</v>
      </c>
      <c r="H347" s="21" t="s">
        <v>3797</v>
      </c>
      <c r="I347" s="18"/>
      <c r="J347" s="3"/>
      <c r="K347" s="21" t="s">
        <v>3797</v>
      </c>
      <c r="L347" s="18"/>
      <c r="M347" s="3"/>
      <c r="N347" s="21" t="s">
        <v>3797</v>
      </c>
      <c r="O347" s="18"/>
      <c r="P347" s="3"/>
      <c r="Q347" s="21" t="s">
        <v>3797</v>
      </c>
      <c r="R347" s="18"/>
      <c r="S347" s="3"/>
      <c r="T347" s="21" t="s">
        <v>3797</v>
      </c>
      <c r="U347" s="18"/>
      <c r="V347" s="3"/>
      <c r="W347" s="21" t="s">
        <v>3797</v>
      </c>
      <c r="X347" s="18"/>
      <c r="Y347" s="3"/>
      <c r="Z347" s="21" t="s">
        <v>3797</v>
      </c>
      <c r="AA347" s="18"/>
    </row>
    <row r="348" spans="2:27" ht="20" customHeight="1">
      <c r="B348" s="21" t="s">
        <v>3798</v>
      </c>
      <c r="C348" s="18" t="str">
        <f>IF(ISBLANK('Name &amp; IP Address Inputs - Rack'!F75),"Value Missing",'Name &amp; IP Address Inputs - Rack'!F75)</f>
        <v>Value Missing</v>
      </c>
      <c r="E348" s="21" t="s">
        <v>3798</v>
      </c>
      <c r="F348" s="18" t="str">
        <f>IF(ISBLANK('Name &amp; IP Address Inputs - Rack'!F184),"Value Missing",'Name &amp; IP Address Inputs - Rack'!F184)</f>
        <v>Value Missing</v>
      </c>
      <c r="H348" s="21" t="s">
        <v>3798</v>
      </c>
      <c r="I348" s="18"/>
      <c r="J348" s="3"/>
      <c r="K348" s="21" t="s">
        <v>3798</v>
      </c>
      <c r="L348" s="18"/>
      <c r="M348" s="3"/>
      <c r="N348" s="21" t="s">
        <v>3798</v>
      </c>
      <c r="O348" s="18"/>
      <c r="P348" s="3"/>
      <c r="Q348" s="21" t="s">
        <v>3798</v>
      </c>
      <c r="R348" s="18"/>
      <c r="S348" s="3"/>
      <c r="T348" s="21" t="s">
        <v>3798</v>
      </c>
      <c r="U348" s="18"/>
      <c r="V348" s="3"/>
      <c r="W348" s="21" t="s">
        <v>3798</v>
      </c>
      <c r="X348" s="18"/>
      <c r="Y348" s="3"/>
      <c r="Z348" s="21" t="s">
        <v>3798</v>
      </c>
      <c r="AA348" s="18"/>
    </row>
    <row r="349" spans="2:27" ht="20" customHeight="1">
      <c r="B349" s="21" t="s">
        <v>3799</v>
      </c>
      <c r="C349" s="18" t="str">
        <f>IF(ISBLANK('Name &amp; IP Address Inputs - Rack'!F76),"Value Missing",'Name &amp; IP Address Inputs - Rack'!F76)</f>
        <v>Value Missing</v>
      </c>
      <c r="E349" s="21" t="s">
        <v>3799</v>
      </c>
      <c r="F349" s="18" t="str">
        <f>IF(ISBLANK('Name &amp; IP Address Inputs - Rack'!F185),"Value Missing",'Name &amp; IP Address Inputs - Rack'!F185)</f>
        <v>Value Missing</v>
      </c>
      <c r="H349" s="21" t="s">
        <v>3799</v>
      </c>
      <c r="I349" s="18"/>
      <c r="J349" s="3"/>
      <c r="K349" s="21" t="s">
        <v>3799</v>
      </c>
      <c r="L349" s="18"/>
      <c r="M349" s="3"/>
      <c r="N349" s="21" t="s">
        <v>3799</v>
      </c>
      <c r="O349" s="18"/>
      <c r="P349" s="3"/>
      <c r="Q349" s="21" t="s">
        <v>3799</v>
      </c>
      <c r="R349" s="18"/>
      <c r="S349" s="3"/>
      <c r="T349" s="21" t="s">
        <v>3799</v>
      </c>
      <c r="U349" s="18"/>
      <c r="V349" s="3"/>
      <c r="W349" s="21" t="s">
        <v>3799</v>
      </c>
      <c r="X349" s="18"/>
      <c r="Y349" s="3"/>
      <c r="Z349" s="21" t="s">
        <v>3799</v>
      </c>
      <c r="AA349" s="18"/>
    </row>
    <row r="350" spans="2:27" ht="20" customHeight="1">
      <c r="B350" s="21" t="s">
        <v>3800</v>
      </c>
      <c r="C350" s="18" t="str">
        <f>IF(ISBLANK('Name &amp; IP Address Inputs - Rack'!F77),"Value Missing",'Name &amp; IP Address Inputs - Rack'!F77)</f>
        <v>Value Missing</v>
      </c>
      <c r="E350" s="21" t="s">
        <v>3800</v>
      </c>
      <c r="F350" s="18" t="str">
        <f>IF(ISBLANK('Name &amp; IP Address Inputs - Rack'!F186),"Value Missing",'Name &amp; IP Address Inputs - Rack'!F186)</f>
        <v>Value Missing</v>
      </c>
      <c r="H350" s="21" t="s">
        <v>3800</v>
      </c>
      <c r="I350" s="18"/>
      <c r="J350" s="3"/>
      <c r="K350" s="21" t="s">
        <v>3800</v>
      </c>
      <c r="L350" s="18"/>
      <c r="M350" s="3"/>
      <c r="N350" s="21" t="s">
        <v>3800</v>
      </c>
      <c r="O350" s="18"/>
      <c r="P350" s="3"/>
      <c r="Q350" s="21" t="s">
        <v>3800</v>
      </c>
      <c r="R350" s="18"/>
      <c r="S350" s="3"/>
      <c r="T350" s="21" t="s">
        <v>3800</v>
      </c>
      <c r="U350" s="18"/>
      <c r="V350" s="3"/>
      <c r="W350" s="21" t="s">
        <v>3800</v>
      </c>
      <c r="X350" s="18"/>
      <c r="Y350" s="3"/>
      <c r="Z350" s="21" t="s">
        <v>3800</v>
      </c>
      <c r="AA350" s="18"/>
    </row>
    <row r="351" spans="2:27" ht="20" customHeight="1">
      <c r="B351" s="21" t="s">
        <v>3801</v>
      </c>
      <c r="C351" s="18" t="str">
        <f>IF(ISBLANK('Name &amp; IP Address Inputs - Rack'!F78),"Value Missing",'Name &amp; IP Address Inputs - Rack'!F78)</f>
        <v>Value Missing</v>
      </c>
      <c r="E351" s="21" t="s">
        <v>3801</v>
      </c>
      <c r="F351" s="18" t="str">
        <f>IF(ISBLANK('Name &amp; IP Address Inputs - Rack'!F187),"Value Missing",'Name &amp; IP Address Inputs - Rack'!F187)</f>
        <v>Value Missing</v>
      </c>
      <c r="H351" s="21" t="s">
        <v>3801</v>
      </c>
      <c r="I351" s="18"/>
      <c r="J351" s="3"/>
      <c r="K351" s="21" t="s">
        <v>3801</v>
      </c>
      <c r="L351" s="18"/>
      <c r="M351" s="3"/>
      <c r="N351" s="21" t="s">
        <v>3801</v>
      </c>
      <c r="O351" s="18"/>
      <c r="P351" s="3"/>
      <c r="Q351" s="21" t="s">
        <v>3801</v>
      </c>
      <c r="R351" s="18"/>
      <c r="S351" s="3"/>
      <c r="T351" s="21" t="s">
        <v>3801</v>
      </c>
      <c r="U351" s="18"/>
      <c r="V351" s="3"/>
      <c r="W351" s="21" t="s">
        <v>3801</v>
      </c>
      <c r="X351" s="18"/>
      <c r="Y351" s="3"/>
      <c r="Z351" s="21" t="s">
        <v>3801</v>
      </c>
      <c r="AA351" s="18"/>
    </row>
    <row r="352" spans="2:27" ht="20" customHeight="1">
      <c r="B352" s="21" t="s">
        <v>3802</v>
      </c>
      <c r="C352" s="18" t="str">
        <f>IF(ISBLANK('Name &amp; IP Address Inputs - Rack'!F79),"Value Missing",'Name &amp; IP Address Inputs - Rack'!F79)</f>
        <v>Value Missing</v>
      </c>
      <c r="E352" s="21" t="s">
        <v>3802</v>
      </c>
      <c r="F352" s="18" t="str">
        <f>IF(ISBLANK('Name &amp; IP Address Inputs - Rack'!F188),"Value Missing",'Name &amp; IP Address Inputs - Rack'!F188)</f>
        <v>Value Missing</v>
      </c>
      <c r="H352" s="21" t="s">
        <v>3802</v>
      </c>
      <c r="I352" s="18"/>
      <c r="J352" s="3"/>
      <c r="K352" s="21" t="s">
        <v>3802</v>
      </c>
      <c r="L352" s="18"/>
      <c r="M352" s="3"/>
      <c r="N352" s="21" t="s">
        <v>3802</v>
      </c>
      <c r="O352" s="18"/>
      <c r="P352" s="3"/>
      <c r="Q352" s="21" t="s">
        <v>3802</v>
      </c>
      <c r="R352" s="18"/>
      <c r="S352" s="3"/>
      <c r="T352" s="21" t="s">
        <v>3802</v>
      </c>
      <c r="U352" s="18"/>
      <c r="V352" s="3"/>
      <c r="W352" s="21" t="s">
        <v>3802</v>
      </c>
      <c r="X352" s="18"/>
      <c r="Y352" s="3"/>
      <c r="Z352" s="21" t="s">
        <v>3802</v>
      </c>
      <c r="AA352" s="18"/>
    </row>
    <row r="353" spans="2:34" ht="20" customHeight="1">
      <c r="B353" s="21" t="s">
        <v>3803</v>
      </c>
      <c r="C353" s="18" t="str">
        <f>IF(ISBLANK('Name &amp; IP Address Inputs - Rack'!F80),"Value Missing",'Name &amp; IP Address Inputs - Rack'!F80)</f>
        <v>Value Missing</v>
      </c>
      <c r="E353" s="21" t="s">
        <v>3803</v>
      </c>
      <c r="F353" s="18" t="str">
        <f>IF(ISBLANK('Name &amp; IP Address Inputs - Rack'!F189),"Value Missing",'Name &amp; IP Address Inputs - Rack'!F189)</f>
        <v>Value Missing</v>
      </c>
      <c r="H353" s="21" t="s">
        <v>3803</v>
      </c>
      <c r="I353" s="18"/>
      <c r="J353" s="3"/>
      <c r="K353" s="21" t="s">
        <v>3803</v>
      </c>
      <c r="L353" s="18"/>
      <c r="M353" s="3"/>
      <c r="N353" s="21" t="s">
        <v>3803</v>
      </c>
      <c r="O353" s="18"/>
      <c r="P353" s="3"/>
      <c r="Q353" s="21" t="s">
        <v>3803</v>
      </c>
      <c r="R353" s="18"/>
      <c r="S353" s="3"/>
      <c r="T353" s="21" t="s">
        <v>3803</v>
      </c>
      <c r="U353" s="18"/>
      <c r="V353" s="3"/>
      <c r="W353" s="21" t="s">
        <v>3803</v>
      </c>
      <c r="X353" s="18"/>
      <c r="Y353" s="3"/>
      <c r="Z353" s="21" t="s">
        <v>3803</v>
      </c>
      <c r="AA353" s="18"/>
    </row>
    <row r="354" spans="2:34" ht="20" customHeight="1">
      <c r="B354" s="21" t="s">
        <v>3804</v>
      </c>
      <c r="C354" s="18" t="str">
        <f>IF(ISBLANK('Name &amp; IP Address Inputs - Rack'!F81),"Value Missing",'Name &amp; IP Address Inputs - Rack'!F81)</f>
        <v>Value Missing</v>
      </c>
      <c r="E354" s="21" t="s">
        <v>3804</v>
      </c>
      <c r="F354" s="18" t="str">
        <f>IF(ISBLANK('Name &amp; IP Address Inputs - Rack'!F190),"Value Missing",'Name &amp; IP Address Inputs - Rack'!F190)</f>
        <v>Value Missing</v>
      </c>
      <c r="H354" s="21" t="s">
        <v>3804</v>
      </c>
      <c r="I354" s="18"/>
      <c r="J354" s="3"/>
      <c r="K354" s="21" t="s">
        <v>3804</v>
      </c>
      <c r="L354" s="18"/>
      <c r="M354" s="3"/>
      <c r="N354" s="21" t="s">
        <v>3804</v>
      </c>
      <c r="O354" s="18"/>
      <c r="P354" s="3"/>
      <c r="Q354" s="21" t="s">
        <v>3804</v>
      </c>
      <c r="R354" s="18"/>
      <c r="S354" s="3"/>
      <c r="T354" s="21" t="s">
        <v>3804</v>
      </c>
      <c r="U354" s="18"/>
      <c r="V354" s="3"/>
      <c r="W354" s="21" t="s">
        <v>3804</v>
      </c>
      <c r="X354" s="18"/>
      <c r="Y354" s="3"/>
      <c r="Z354" s="21" t="s">
        <v>3804</v>
      </c>
      <c r="AA354" s="18"/>
    </row>
    <row r="355" spans="2:34" ht="20" customHeight="1">
      <c r="B355" s="21" t="s">
        <v>3805</v>
      </c>
      <c r="C355" s="18" t="str">
        <f>IF(ISBLANK('Name &amp; IP Address Inputs - Rack'!F82),"Value Missing",'Name &amp; IP Address Inputs - Rack'!F82)</f>
        <v>Value Missing</v>
      </c>
      <c r="E355" s="21" t="s">
        <v>3805</v>
      </c>
      <c r="F355" s="18" t="str">
        <f>IF(ISBLANK('Name &amp; IP Address Inputs - Rack'!F191),"Value Missing",'Name &amp; IP Address Inputs - Rack'!F191)</f>
        <v>Value Missing</v>
      </c>
      <c r="H355" s="21" t="s">
        <v>3805</v>
      </c>
      <c r="I355" s="18"/>
      <c r="J355" s="3"/>
      <c r="K355" s="21" t="s">
        <v>3805</v>
      </c>
      <c r="L355" s="18"/>
      <c r="M355" s="3"/>
      <c r="N355" s="21" t="s">
        <v>3805</v>
      </c>
      <c r="O355" s="18"/>
      <c r="P355" s="3"/>
      <c r="Q355" s="21" t="s">
        <v>3805</v>
      </c>
      <c r="R355" s="18"/>
      <c r="S355" s="3"/>
      <c r="T355" s="21" t="s">
        <v>3805</v>
      </c>
      <c r="U355" s="18"/>
      <c r="V355" s="3"/>
      <c r="W355" s="21" t="s">
        <v>3805</v>
      </c>
      <c r="X355" s="18"/>
      <c r="Y355" s="3"/>
      <c r="Z355" s="21" t="s">
        <v>3805</v>
      </c>
      <c r="AA355" s="18"/>
    </row>
    <row r="356" spans="2:34" ht="20" customHeight="1">
      <c r="B356" s="21" t="s">
        <v>1331</v>
      </c>
      <c r="C356" s="18" t="str">
        <f>IF(ISBLANK('Name &amp; IP Address Inputs - Rack'!F84),"Value Missing",'Name &amp; IP Address Inputs - Rack'!F84)</f>
        <v>Value Missing</v>
      </c>
      <c r="E356" s="21" t="s">
        <v>1331</v>
      </c>
      <c r="F356" s="18" t="str">
        <f>IF(ISBLANK('Name &amp; IP Address Inputs - Rack'!F193),"Value Missing",'Name &amp; IP Address Inputs - Rack'!F193)</f>
        <v>Value Missing</v>
      </c>
      <c r="H356" s="21" t="s">
        <v>1331</v>
      </c>
      <c r="I356" s="18"/>
      <c r="J356" s="3"/>
      <c r="K356" s="21" t="s">
        <v>1331</v>
      </c>
      <c r="L356" s="18"/>
      <c r="M356" s="3"/>
      <c r="N356" s="21" t="s">
        <v>1331</v>
      </c>
      <c r="O356" s="18"/>
      <c r="P356" s="3"/>
      <c r="Q356" s="21" t="s">
        <v>1331</v>
      </c>
      <c r="R356" s="18"/>
      <c r="S356" s="3"/>
      <c r="T356" s="21" t="s">
        <v>1331</v>
      </c>
      <c r="U356" s="18"/>
      <c r="V356" s="3"/>
      <c r="W356" s="21" t="s">
        <v>1331</v>
      </c>
      <c r="X356" s="18"/>
      <c r="Y356" s="3"/>
      <c r="Z356" s="21" t="s">
        <v>1331</v>
      </c>
      <c r="AA356" s="18"/>
    </row>
    <row r="357" spans="2:34" ht="20" customHeight="1">
      <c r="B357" s="21" t="s">
        <v>1337</v>
      </c>
      <c r="C357" s="18" t="str">
        <f>IF(ISBLANK('Name &amp; IP Address Inputs - Rack'!F85),"Value Missing",'Name &amp; IP Address Inputs - Rack'!F85)</f>
        <v>Value Missing</v>
      </c>
      <c r="E357" s="21" t="s">
        <v>1337</v>
      </c>
      <c r="F357" s="18" t="str">
        <f>IF(ISBLANK('Name &amp; IP Address Inputs - Rack'!F194),"Value Missing",'Name &amp; IP Address Inputs - Rack'!F194)</f>
        <v>Value Missing</v>
      </c>
      <c r="H357" s="21" t="s">
        <v>1337</v>
      </c>
      <c r="I357" s="18"/>
      <c r="J357" s="3"/>
      <c r="K357" s="21" t="s">
        <v>1337</v>
      </c>
      <c r="L357" s="18"/>
      <c r="M357" s="3"/>
      <c r="N357" s="21" t="s">
        <v>1337</v>
      </c>
      <c r="O357" s="18"/>
      <c r="P357" s="3"/>
      <c r="Q357" s="21" t="s">
        <v>1337</v>
      </c>
      <c r="R357" s="18"/>
      <c r="S357" s="3"/>
      <c r="T357" s="21" t="s">
        <v>1337</v>
      </c>
      <c r="U357" s="18"/>
      <c r="V357" s="3"/>
      <c r="W357" s="21" t="s">
        <v>1337</v>
      </c>
      <c r="X357" s="18"/>
      <c r="Y357" s="3"/>
      <c r="Z357" s="21" t="s">
        <v>1337</v>
      </c>
      <c r="AA357" s="18"/>
    </row>
    <row r="358" spans="2:34" ht="20" customHeight="1">
      <c r="B358" s="21" t="s">
        <v>1342</v>
      </c>
      <c r="C358" s="18" t="str">
        <f>IF(ISBLANK('Name &amp; IP Address Inputs - Rack'!F86),"Value Missing",'Name &amp; IP Address Inputs - Rack'!F86)</f>
        <v>Value Missing</v>
      </c>
      <c r="E358" s="21" t="s">
        <v>1342</v>
      </c>
      <c r="F358" s="18" t="str">
        <f>IF(ISBLANK('Name &amp; IP Address Inputs - Rack'!F195),"Value Missing",'Name &amp; IP Address Inputs - Rack'!F195)</f>
        <v>Value Missing</v>
      </c>
      <c r="H358" s="21" t="s">
        <v>1342</v>
      </c>
      <c r="I358" s="18"/>
      <c r="J358" s="3"/>
      <c r="K358" s="21" t="s">
        <v>1342</v>
      </c>
      <c r="L358" s="18"/>
      <c r="M358" s="3"/>
      <c r="N358" s="21" t="s">
        <v>1342</v>
      </c>
      <c r="O358" s="18"/>
      <c r="P358" s="3"/>
      <c r="Q358" s="21" t="s">
        <v>1342</v>
      </c>
      <c r="R358" s="18"/>
      <c r="S358" s="3"/>
      <c r="T358" s="21" t="s">
        <v>1342</v>
      </c>
      <c r="U358" s="18"/>
      <c r="V358" s="3"/>
      <c r="W358" s="21" t="s">
        <v>1342</v>
      </c>
      <c r="X358" s="18"/>
      <c r="Y358" s="3"/>
      <c r="Z358" s="21" t="s">
        <v>1342</v>
      </c>
      <c r="AA358" s="18"/>
    </row>
    <row r="359" spans="2:34" ht="20" customHeight="1">
      <c r="B359" s="21" t="s">
        <v>1348</v>
      </c>
      <c r="C359" s="18" t="str">
        <f>IF(ISBLANK('Name &amp; IP Address Inputs - Rack'!F87),"Value Missing",'Name &amp; IP Address Inputs - Rack'!F87)</f>
        <v>Value Missing</v>
      </c>
      <c r="E359" s="21" t="s">
        <v>1348</v>
      </c>
      <c r="F359" s="18" t="str">
        <f>IF(ISBLANK('Name &amp; IP Address Inputs - Rack'!F196),"Value Missing",'Name &amp; IP Address Inputs - Rack'!F196)</f>
        <v>Value Missing</v>
      </c>
      <c r="H359" s="21" t="s">
        <v>1348</v>
      </c>
      <c r="I359" s="18"/>
      <c r="J359" s="3"/>
      <c r="K359" s="21" t="s">
        <v>1348</v>
      </c>
      <c r="L359" s="18"/>
      <c r="M359" s="3"/>
      <c r="N359" s="21" t="s">
        <v>1348</v>
      </c>
      <c r="O359" s="18"/>
      <c r="P359" s="3"/>
      <c r="Q359" s="21" t="s">
        <v>1348</v>
      </c>
      <c r="R359" s="18"/>
      <c r="S359" s="3"/>
      <c r="T359" s="21" t="s">
        <v>1348</v>
      </c>
      <c r="U359" s="18"/>
      <c r="V359" s="3"/>
      <c r="W359" s="21" t="s">
        <v>1348</v>
      </c>
      <c r="X359" s="18"/>
      <c r="Y359" s="3"/>
      <c r="Z359" s="21" t="s">
        <v>1348</v>
      </c>
      <c r="AA359" s="18"/>
    </row>
    <row r="360" spans="2:34" ht="20" customHeight="1">
      <c r="B360" s="21" t="s">
        <v>3806</v>
      </c>
      <c r="C360" s="18" t="str">
        <f>IF(ISBLANK('Name &amp; IP Address Inputs - Rack'!F88),"Value Missing",'Name &amp; IP Address Inputs - Rack'!F88)</f>
        <v>Value Missing</v>
      </c>
      <c r="E360" s="21" t="s">
        <v>3806</v>
      </c>
      <c r="F360" s="18" t="str">
        <f>IF(ISBLANK('Name &amp; IP Address Inputs - Rack'!F197),"Value Missing",'Name &amp; IP Address Inputs - Rack'!F197)</f>
        <v>Value Missing</v>
      </c>
      <c r="H360" s="21" t="s">
        <v>3806</v>
      </c>
      <c r="I360" s="18"/>
      <c r="J360" s="3"/>
      <c r="K360" s="21" t="s">
        <v>3806</v>
      </c>
      <c r="L360" s="18"/>
      <c r="M360" s="3"/>
      <c r="N360" s="21" t="s">
        <v>3806</v>
      </c>
      <c r="O360" s="18"/>
      <c r="P360" s="3"/>
      <c r="Q360" s="21" t="s">
        <v>3806</v>
      </c>
      <c r="R360" s="18"/>
      <c r="S360" s="3"/>
      <c r="T360" s="21" t="s">
        <v>3806</v>
      </c>
      <c r="U360" s="18"/>
      <c r="V360" s="3"/>
      <c r="W360" s="21" t="s">
        <v>3806</v>
      </c>
      <c r="X360" s="18"/>
      <c r="Y360" s="3"/>
      <c r="Z360" s="21" t="s">
        <v>3806</v>
      </c>
      <c r="AA360" s="18"/>
    </row>
    <row r="361" spans="2:34" ht="20" customHeight="1">
      <c r="B361" s="21" t="s">
        <v>3807</v>
      </c>
      <c r="C361" s="18" t="str">
        <f>IF(ISBLANK('Name &amp; IP Address Inputs - Rack'!F89),"Value Missing",'Name &amp; IP Address Inputs - Rack'!F89)</f>
        <v>Value Missing</v>
      </c>
      <c r="E361" s="21" t="s">
        <v>3807</v>
      </c>
      <c r="F361" s="18" t="str">
        <f>IF(ISBLANK('Name &amp; IP Address Inputs - Rack'!F198),"Value Missing",'Name &amp; IP Address Inputs - Rack'!F198)</f>
        <v>Value Missing</v>
      </c>
      <c r="H361" s="21" t="s">
        <v>3807</v>
      </c>
      <c r="I361" s="18"/>
      <c r="J361" s="3"/>
      <c r="K361" s="21" t="s">
        <v>3807</v>
      </c>
      <c r="L361" s="18"/>
      <c r="M361" s="3"/>
      <c r="N361" s="21" t="s">
        <v>3807</v>
      </c>
      <c r="O361" s="18"/>
      <c r="P361" s="3"/>
      <c r="Q361" s="21" t="s">
        <v>3807</v>
      </c>
      <c r="R361" s="18"/>
      <c r="S361" s="3"/>
      <c r="T361" s="21" t="s">
        <v>3807</v>
      </c>
      <c r="U361" s="18"/>
      <c r="V361" s="3"/>
      <c r="W361" s="21" t="s">
        <v>3807</v>
      </c>
      <c r="X361" s="18"/>
      <c r="Y361" s="3"/>
      <c r="Z361" s="21" t="s">
        <v>3807</v>
      </c>
      <c r="AA361" s="18"/>
    </row>
    <row r="362" spans="2:34" ht="20" customHeight="1">
      <c r="B362" s="21" t="s">
        <v>3808</v>
      </c>
      <c r="C362" s="18" t="str">
        <f>IF(ISBLANK('Name &amp; IP Address Inputs - Rack'!F90),"Value Missing",'Name &amp; IP Address Inputs - Rack'!F90)</f>
        <v>Value Missing</v>
      </c>
      <c r="E362" s="21" t="s">
        <v>3808</v>
      </c>
      <c r="F362" s="18" t="str">
        <f>IF(ISBLANK('Name &amp; IP Address Inputs - Rack'!F199),"Value Missing",'Name &amp; IP Address Inputs - Rack'!F199)</f>
        <v>Value Missing</v>
      </c>
      <c r="H362" s="21" t="s">
        <v>3808</v>
      </c>
      <c r="I362" s="18"/>
      <c r="J362" s="3"/>
      <c r="K362" s="21" t="s">
        <v>3808</v>
      </c>
      <c r="L362" s="18"/>
      <c r="M362" s="3"/>
      <c r="N362" s="21" t="s">
        <v>3808</v>
      </c>
      <c r="O362" s="18"/>
      <c r="P362" s="3"/>
      <c r="Q362" s="21" t="s">
        <v>3808</v>
      </c>
      <c r="R362" s="18"/>
      <c r="S362" s="3"/>
      <c r="T362" s="21" t="s">
        <v>3808</v>
      </c>
      <c r="U362" s="18"/>
      <c r="V362" s="3"/>
      <c r="W362" s="21" t="s">
        <v>3808</v>
      </c>
      <c r="X362" s="18"/>
      <c r="Y362" s="3"/>
      <c r="Z362" s="21" t="s">
        <v>3808</v>
      </c>
      <c r="AA362" s="18"/>
    </row>
    <row r="363" spans="2:34" ht="20" customHeight="1">
      <c r="B363" s="21" t="s">
        <v>3809</v>
      </c>
      <c r="C363" s="18" t="str">
        <f>IF(ISBLANK('Name &amp; IP Address Inputs - Rack'!F91),"Value Missing",'Name &amp; IP Address Inputs - Rack'!F91)</f>
        <v>Value Missing</v>
      </c>
      <c r="E363" s="21" t="s">
        <v>3809</v>
      </c>
      <c r="F363" s="18" t="str">
        <f>IF(ISBLANK('Name &amp; IP Address Inputs - Rack'!F200),"Value Missing",'Name &amp; IP Address Inputs - Rack'!F200)</f>
        <v>Value Missing</v>
      </c>
      <c r="H363" s="21" t="s">
        <v>3809</v>
      </c>
      <c r="I363" s="18"/>
      <c r="J363" s="3"/>
      <c r="K363" s="21" t="s">
        <v>3809</v>
      </c>
      <c r="L363" s="18"/>
      <c r="M363" s="3"/>
      <c r="N363" s="21" t="s">
        <v>3809</v>
      </c>
      <c r="O363" s="18"/>
      <c r="P363" s="3"/>
      <c r="Q363" s="21" t="s">
        <v>3809</v>
      </c>
      <c r="R363" s="18"/>
      <c r="S363" s="3"/>
      <c r="T363" s="21" t="s">
        <v>3809</v>
      </c>
      <c r="U363" s="18"/>
      <c r="W363" s="21" t="s">
        <v>3809</v>
      </c>
      <c r="X363" s="18"/>
      <c r="Y363" s="3"/>
      <c r="Z363" s="21" t="s">
        <v>3809</v>
      </c>
      <c r="AA363" s="18"/>
    </row>
    <row r="364" spans="2:34" ht="20" customHeight="1">
      <c r="B364" s="21" t="s">
        <v>3810</v>
      </c>
      <c r="C364" s="18" t="str">
        <f>IF(ISBLANK('Name &amp; IP Address Inputs - Rack'!F92),"Value Missing",'Name &amp; IP Address Inputs - Rack'!F92)</f>
        <v>Value Missing</v>
      </c>
      <c r="D364" s="3"/>
      <c r="E364" s="21" t="s">
        <v>3810</v>
      </c>
      <c r="F364" s="18" t="str">
        <f>IF(ISBLANK('Name &amp; IP Address Inputs - Rack'!F201),"Value Missing",'Name &amp; IP Address Inputs - Rack'!F201)</f>
        <v>Value Missing</v>
      </c>
      <c r="H364" s="21" t="s">
        <v>3810</v>
      </c>
      <c r="I364" s="18"/>
      <c r="J364" s="3"/>
      <c r="K364" s="21" t="s">
        <v>3810</v>
      </c>
      <c r="L364" s="18"/>
      <c r="M364" s="3"/>
      <c r="N364" s="21" t="s">
        <v>3810</v>
      </c>
      <c r="O364" s="18"/>
      <c r="P364" s="3"/>
      <c r="Q364" s="21" t="s">
        <v>3810</v>
      </c>
      <c r="R364" s="18"/>
      <c r="S364" s="3"/>
      <c r="T364" s="21" t="s">
        <v>3810</v>
      </c>
      <c r="U364" s="18"/>
      <c r="V364" s="3"/>
      <c r="W364" s="21" t="s">
        <v>3810</v>
      </c>
      <c r="X364" s="18"/>
      <c r="Y364" s="3"/>
      <c r="Z364" s="21" t="s">
        <v>3810</v>
      </c>
      <c r="AA364" s="18"/>
    </row>
    <row r="365" spans="2:34" s="3" customFormat="1" ht="20" customHeight="1">
      <c r="B365" s="21" t="s">
        <v>3811</v>
      </c>
      <c r="C365" s="18" t="str">
        <f>IF(ISBLANK('Name &amp; IP Address Inputs - Rack'!F93),"Value Missing",'Name &amp; IP Address Inputs - Rack'!F93)</f>
        <v>Value Missing</v>
      </c>
      <c r="E365" s="21" t="s">
        <v>3811</v>
      </c>
      <c r="F365" s="18" t="str">
        <f>IF(ISBLANK('Name &amp; IP Address Inputs - Rack'!F202),"Value Missing",'Name &amp; IP Address Inputs - Rack'!F202)</f>
        <v>Value Missing</v>
      </c>
      <c r="G365"/>
      <c r="H365" s="21" t="s">
        <v>3811</v>
      </c>
      <c r="I365" s="18"/>
      <c r="K365" s="21" t="s">
        <v>3811</v>
      </c>
      <c r="L365" s="18"/>
      <c r="N365" s="21" t="s">
        <v>3811</v>
      </c>
      <c r="O365" s="18"/>
      <c r="Q365" s="21" t="s">
        <v>3811</v>
      </c>
      <c r="R365" s="18"/>
      <c r="T365" s="21" t="s">
        <v>3811</v>
      </c>
      <c r="U365" s="18"/>
      <c r="W365" s="21" t="s">
        <v>3811</v>
      </c>
      <c r="X365" s="18"/>
      <c r="Z365" s="21" t="s">
        <v>3811</v>
      </c>
      <c r="AA365" s="18"/>
      <c r="AB365"/>
      <c r="AC365"/>
      <c r="AD365"/>
      <c r="AE365"/>
      <c r="AF365"/>
      <c r="AG365"/>
      <c r="AH365"/>
    </row>
    <row r="366" spans="2:34" s="3" customFormat="1" ht="20" customHeight="1">
      <c r="B366" s="21" t="s">
        <v>3812</v>
      </c>
      <c r="C366" s="18" t="str">
        <f>IF(ISBLANK('Name &amp; IP Address Inputs - Rack'!F94),"Value Missing",'Name &amp; IP Address Inputs - Rack'!F94)</f>
        <v>Value Missing</v>
      </c>
      <c r="E366" s="21" t="s">
        <v>3812</v>
      </c>
      <c r="F366" s="18" t="str">
        <f>IF(ISBLANK('Name &amp; IP Address Inputs - Rack'!F203),"Value Missing",'Name &amp; IP Address Inputs - Rack'!F203)</f>
        <v>Value Missing</v>
      </c>
      <c r="G366"/>
      <c r="H366" s="21" t="s">
        <v>3812</v>
      </c>
      <c r="I366" s="18"/>
      <c r="K366" s="21" t="s">
        <v>3812</v>
      </c>
      <c r="L366" s="18"/>
      <c r="N366" s="21" t="s">
        <v>3812</v>
      </c>
      <c r="O366" s="18"/>
      <c r="Q366" s="21" t="s">
        <v>3812</v>
      </c>
      <c r="R366" s="18"/>
      <c r="T366" s="21" t="s">
        <v>3812</v>
      </c>
      <c r="U366" s="18"/>
      <c r="W366" s="21" t="s">
        <v>3812</v>
      </c>
      <c r="X366" s="18"/>
      <c r="Z366" s="21" t="s">
        <v>3812</v>
      </c>
      <c r="AA366" s="18"/>
      <c r="AB366"/>
      <c r="AC366"/>
      <c r="AD366"/>
      <c r="AE366"/>
      <c r="AF366"/>
      <c r="AG366"/>
      <c r="AH366"/>
    </row>
    <row r="367" spans="2:34" s="3" customFormat="1" ht="20" customHeight="1">
      <c r="B367" s="21" t="s">
        <v>3813</v>
      </c>
      <c r="C367" s="18" t="str">
        <f>IF(ISBLANK('Name &amp; IP Address Inputs - Rack'!F95),"Value Missing",'Name &amp; IP Address Inputs - Rack'!F95)</f>
        <v>Value Missing</v>
      </c>
      <c r="E367" s="21" t="s">
        <v>3813</v>
      </c>
      <c r="F367" s="18" t="str">
        <f>IF(ISBLANK('Name &amp; IP Address Inputs - Rack'!F204),"Value Missing",'Name &amp; IP Address Inputs - Rack'!F204)</f>
        <v>Value Missing</v>
      </c>
      <c r="G367"/>
      <c r="H367" s="21" t="s">
        <v>3813</v>
      </c>
      <c r="I367" s="18"/>
      <c r="K367" s="21" t="s">
        <v>3813</v>
      </c>
      <c r="L367" s="18"/>
      <c r="N367" s="21" t="s">
        <v>3813</v>
      </c>
      <c r="O367" s="18"/>
      <c r="Q367" s="21" t="s">
        <v>3813</v>
      </c>
      <c r="R367" s="18"/>
      <c r="T367" s="21" t="s">
        <v>3813</v>
      </c>
      <c r="U367" s="18"/>
      <c r="W367" s="21" t="s">
        <v>3813</v>
      </c>
      <c r="X367" s="18"/>
      <c r="Z367" s="21" t="s">
        <v>3813</v>
      </c>
      <c r="AA367" s="18"/>
      <c r="AB367"/>
      <c r="AC367"/>
      <c r="AD367"/>
      <c r="AE367"/>
      <c r="AF367"/>
      <c r="AG367"/>
      <c r="AH367"/>
    </row>
    <row r="368" spans="2:34" s="3" customFormat="1" ht="20" customHeight="1">
      <c r="B368" s="21" t="s">
        <v>3814</v>
      </c>
      <c r="C368" s="18" t="str">
        <f>IF(ISBLANK('Name &amp; IP Address Inputs - Rack'!F96),"Value Missing",'Name &amp; IP Address Inputs - Rack'!F96)</f>
        <v>Value Missing</v>
      </c>
      <c r="E368" s="21" t="s">
        <v>3814</v>
      </c>
      <c r="F368" s="18" t="str">
        <f>IF(ISBLANK('Name &amp; IP Address Inputs - Rack'!F205),"Value Missing",'Name &amp; IP Address Inputs - Rack'!F205)</f>
        <v>Value Missing</v>
      </c>
      <c r="G368"/>
      <c r="H368" s="21" t="s">
        <v>3814</v>
      </c>
      <c r="I368" s="18"/>
      <c r="K368" s="21" t="s">
        <v>3814</v>
      </c>
      <c r="L368" s="18"/>
      <c r="N368" s="21" t="s">
        <v>3814</v>
      </c>
      <c r="O368" s="18"/>
      <c r="Q368" s="21" t="s">
        <v>3814</v>
      </c>
      <c r="R368" s="18"/>
      <c r="T368" s="21" t="s">
        <v>3814</v>
      </c>
      <c r="U368" s="18"/>
      <c r="W368" s="21" t="s">
        <v>3814</v>
      </c>
      <c r="X368" s="18"/>
      <c r="Z368" s="21" t="s">
        <v>3814</v>
      </c>
      <c r="AA368" s="18"/>
      <c r="AB368"/>
      <c r="AC368"/>
      <c r="AD368"/>
      <c r="AE368"/>
      <c r="AF368"/>
      <c r="AG368"/>
      <c r="AH368"/>
    </row>
    <row r="369" spans="2:34" s="3" customFormat="1" ht="20" customHeight="1">
      <c r="B369" s="21" t="s">
        <v>3815</v>
      </c>
      <c r="C369" s="18" t="str">
        <f>IF(ISBLANK('Name &amp; IP Address Inputs - Rack'!F97),"Value Missing",'Name &amp; IP Address Inputs - Rack'!F97)</f>
        <v>Value Missing</v>
      </c>
      <c r="E369" s="21" t="s">
        <v>3815</v>
      </c>
      <c r="F369" s="18" t="str">
        <f>IF(ISBLANK('Name &amp; IP Address Inputs - Rack'!F206),"Value Missing",'Name &amp; IP Address Inputs - Rack'!F206)</f>
        <v>Value Missing</v>
      </c>
      <c r="G369"/>
      <c r="H369" s="21" t="s">
        <v>3815</v>
      </c>
      <c r="I369" s="18"/>
      <c r="K369" s="21" t="s">
        <v>3815</v>
      </c>
      <c r="L369" s="18"/>
      <c r="N369" s="21" t="s">
        <v>3815</v>
      </c>
      <c r="O369" s="18"/>
      <c r="Q369" s="21" t="s">
        <v>3815</v>
      </c>
      <c r="R369" s="18"/>
      <c r="T369" s="21" t="s">
        <v>3815</v>
      </c>
      <c r="U369" s="18"/>
      <c r="W369" s="21" t="s">
        <v>3815</v>
      </c>
      <c r="X369" s="18"/>
      <c r="Z369" s="21" t="s">
        <v>3815</v>
      </c>
      <c r="AA369" s="18"/>
      <c r="AB369"/>
      <c r="AC369"/>
      <c r="AD369"/>
      <c r="AE369"/>
      <c r="AF369"/>
      <c r="AG369"/>
      <c r="AH369"/>
    </row>
    <row r="370" spans="2:34" s="3" customFormat="1" ht="20" customHeight="1">
      <c r="B370" s="21" t="s">
        <v>3816</v>
      </c>
      <c r="C370" s="18" t="str">
        <f>IF(ISBLANK('Name &amp; IP Address Inputs - Rack'!F98),"Value Missing",'Name &amp; IP Address Inputs - Rack'!F98)</f>
        <v>Value Missing</v>
      </c>
      <c r="E370" s="21" t="s">
        <v>3816</v>
      </c>
      <c r="F370" s="18" t="str">
        <f>IF(ISBLANK('Name &amp; IP Address Inputs - Rack'!F207),"Value Missing",'Name &amp; IP Address Inputs - Rack'!F207)</f>
        <v>Value Missing</v>
      </c>
      <c r="G370"/>
      <c r="H370" s="21" t="s">
        <v>3816</v>
      </c>
      <c r="I370" s="18"/>
      <c r="K370" s="21" t="s">
        <v>3816</v>
      </c>
      <c r="L370" s="18"/>
      <c r="N370" s="21" t="s">
        <v>3816</v>
      </c>
      <c r="O370" s="18"/>
      <c r="Q370" s="21" t="s">
        <v>3816</v>
      </c>
      <c r="R370" s="18"/>
      <c r="T370" s="21" t="s">
        <v>3816</v>
      </c>
      <c r="U370" s="18"/>
      <c r="W370" s="21" t="s">
        <v>3816</v>
      </c>
      <c r="X370" s="18"/>
      <c r="Z370" s="21" t="s">
        <v>3816</v>
      </c>
      <c r="AA370" s="18"/>
      <c r="AB370"/>
      <c r="AC370"/>
      <c r="AD370"/>
      <c r="AE370"/>
      <c r="AF370"/>
      <c r="AG370"/>
      <c r="AH370"/>
    </row>
    <row r="371" spans="2:34" s="3" customFormat="1" ht="20" customHeight="1">
      <c r="B371" s="21" t="s">
        <v>3817</v>
      </c>
      <c r="C371" s="18" t="str">
        <f>IF(ISBLANK('Name &amp; IP Address Inputs - Rack'!F99),"Value Missing",'Name &amp; IP Address Inputs - Rack'!F99)</f>
        <v>Value Missing</v>
      </c>
      <c r="E371" s="21" t="s">
        <v>3817</v>
      </c>
      <c r="F371" s="18" t="str">
        <f>IF(ISBLANK('Name &amp; IP Address Inputs - Rack'!F208),"Value Missing",'Name &amp; IP Address Inputs - Rack'!F208)</f>
        <v>Value Missing</v>
      </c>
      <c r="G371"/>
      <c r="H371" s="21" t="s">
        <v>3817</v>
      </c>
      <c r="I371" s="18"/>
      <c r="K371" s="21" t="s">
        <v>3817</v>
      </c>
      <c r="L371" s="18"/>
      <c r="N371" s="21" t="s">
        <v>3817</v>
      </c>
      <c r="O371" s="18"/>
      <c r="Q371" s="21" t="s">
        <v>3817</v>
      </c>
      <c r="R371" s="18"/>
      <c r="T371" s="21" t="s">
        <v>3817</v>
      </c>
      <c r="U371" s="18"/>
      <c r="W371" s="21" t="s">
        <v>3817</v>
      </c>
      <c r="X371" s="18"/>
      <c r="Z371" s="21" t="s">
        <v>3817</v>
      </c>
      <c r="AA371" s="18"/>
      <c r="AB371"/>
      <c r="AC371"/>
      <c r="AD371"/>
      <c r="AE371"/>
      <c r="AF371"/>
      <c r="AG371"/>
      <c r="AH371"/>
    </row>
    <row r="372" spans="2:34" s="3" customFormat="1" ht="20" customHeight="1">
      <c r="E372"/>
      <c r="F372" s="103"/>
      <c r="G372"/>
      <c r="H372"/>
      <c r="I372" s="103"/>
      <c r="K372"/>
      <c r="L372"/>
      <c r="N372"/>
      <c r="O372"/>
      <c r="Q372"/>
      <c r="R372"/>
      <c r="U372"/>
      <c r="W372"/>
      <c r="X372"/>
      <c r="Z372"/>
      <c r="AA372"/>
      <c r="AB372"/>
      <c r="AC372"/>
      <c r="AD372"/>
      <c r="AE372"/>
      <c r="AF372"/>
      <c r="AG372"/>
      <c r="AH372"/>
    </row>
    <row r="373" spans="2:34" s="3" customFormat="1" ht="20" customHeight="1">
      <c r="B373" s="501" t="s">
        <v>4137</v>
      </c>
      <c r="C373" s="502"/>
      <c r="E373" s="501" t="s">
        <v>4129</v>
      </c>
      <c r="F373" s="502"/>
      <c r="H373" s="501" t="s">
        <v>4130</v>
      </c>
      <c r="I373" s="502"/>
      <c r="K373" s="184" t="s">
        <v>4131</v>
      </c>
      <c r="L373" s="188"/>
      <c r="N373" s="184" t="s">
        <v>4132</v>
      </c>
      <c r="O373" s="188"/>
      <c r="Q373" s="501" t="s">
        <v>4133</v>
      </c>
      <c r="R373" s="502"/>
      <c r="T373" s="501" t="s">
        <v>4134</v>
      </c>
      <c r="U373" s="502"/>
      <c r="W373" s="501" t="s">
        <v>4135</v>
      </c>
      <c r="X373" s="502"/>
      <c r="Z373" s="501" t="s">
        <v>4136</v>
      </c>
      <c r="AA373" s="502"/>
      <c r="AB373"/>
      <c r="AC373"/>
      <c r="AD373"/>
      <c r="AE373"/>
      <c r="AF373"/>
      <c r="AG373"/>
      <c r="AH373"/>
    </row>
    <row r="374" spans="2:34" s="3" customFormat="1" ht="20" customHeight="1">
      <c r="B374" s="112" t="s">
        <v>735</v>
      </c>
      <c r="C374" s="113" t="s">
        <v>1231</v>
      </c>
      <c r="E374" s="112" t="s">
        <v>735</v>
      </c>
      <c r="F374" s="113" t="s">
        <v>1231</v>
      </c>
      <c r="H374" s="112" t="s">
        <v>735</v>
      </c>
      <c r="I374" s="113" t="s">
        <v>1231</v>
      </c>
      <c r="K374" s="112" t="s">
        <v>735</v>
      </c>
      <c r="L374" s="113" t="s">
        <v>1231</v>
      </c>
      <c r="N374" s="112" t="s">
        <v>735</v>
      </c>
      <c r="O374" s="113" t="s">
        <v>1231</v>
      </c>
      <c r="Q374" s="112" t="s">
        <v>735</v>
      </c>
      <c r="R374" s="113" t="s">
        <v>1231</v>
      </c>
      <c r="T374" s="112" t="s">
        <v>735</v>
      </c>
      <c r="U374" s="113" t="s">
        <v>1231</v>
      </c>
      <c r="W374" s="112" t="s">
        <v>735</v>
      </c>
      <c r="X374" s="113" t="s">
        <v>1231</v>
      </c>
      <c r="Z374" s="112" t="s">
        <v>735</v>
      </c>
      <c r="AA374" s="113" t="s">
        <v>1231</v>
      </c>
      <c r="AB374"/>
      <c r="AC374"/>
      <c r="AD374"/>
      <c r="AE374"/>
      <c r="AF374"/>
      <c r="AG374"/>
      <c r="AH374"/>
    </row>
    <row r="375" spans="2:34" s="3" customFormat="1" ht="20" customHeight="1">
      <c r="B375" s="21" t="s">
        <v>1243</v>
      </c>
      <c r="C375" s="18" t="str">
        <f>IF(ISBLANK('Name &amp; IP Address Inputs - Rack'!D67),"Value Missing",'Name &amp; IP Address Inputs - Rack'!D67)</f>
        <v>Value Missing</v>
      </c>
      <c r="E375" s="21" t="s">
        <v>1243</v>
      </c>
      <c r="F375" s="18" t="str">
        <f>IF(ISBLANK(input_wld_az2_host1_hostname),"Value Missing",sample_wld_az2_host1_hostname)</f>
        <v>Value Missing</v>
      </c>
      <c r="G375"/>
      <c r="H375"/>
      <c r="I375" s="103"/>
      <c r="K375"/>
      <c r="L375"/>
      <c r="N375"/>
      <c r="O375"/>
      <c r="Q375"/>
      <c r="R375"/>
      <c r="U375"/>
      <c r="W375"/>
      <c r="X375"/>
      <c r="Z375"/>
      <c r="AA375"/>
      <c r="AB375"/>
      <c r="AC375"/>
      <c r="AD375"/>
      <c r="AE375"/>
      <c r="AF375"/>
      <c r="AG375"/>
      <c r="AH375"/>
    </row>
    <row r="376" spans="2:34" s="3" customFormat="1" ht="20" customHeight="1">
      <c r="B376" s="21" t="s">
        <v>1246</v>
      </c>
      <c r="C376" s="18" t="str">
        <f>IF(ISBLANK('Name &amp; IP Address Inputs - Rack'!D68),"Value Missing",'Name &amp; IP Address Inputs - Rack'!D68)</f>
        <v>Value Missing</v>
      </c>
      <c r="E376" s="21" t="s">
        <v>1246</v>
      </c>
      <c r="F376" s="18" t="str">
        <f>IF(ISBLANK(input_wld_az2_host2_hostname),"Value Missing",sample_wld_az2_host2_hostname)</f>
        <v>Value Missing</v>
      </c>
      <c r="G376"/>
      <c r="H376"/>
      <c r="I376" s="103"/>
      <c r="K376"/>
      <c r="L376"/>
      <c r="N376"/>
      <c r="O376"/>
      <c r="Q376"/>
      <c r="R376"/>
      <c r="U376"/>
      <c r="W376"/>
      <c r="X376"/>
      <c r="Z376"/>
      <c r="AA376"/>
      <c r="AB376"/>
      <c r="AC376"/>
      <c r="AD376"/>
      <c r="AE376"/>
      <c r="AF376"/>
      <c r="AG376"/>
      <c r="AH376"/>
    </row>
    <row r="377" spans="2:34" s="3" customFormat="1" ht="20" customHeight="1">
      <c r="B377" s="21" t="s">
        <v>1248</v>
      </c>
      <c r="C377" s="18" t="str">
        <f>IF(ISBLANK('Name &amp; IP Address Inputs - Rack'!D69),"Value Missing",'Name &amp; IP Address Inputs - Rack'!D69)</f>
        <v>Value Missing</v>
      </c>
      <c r="E377" s="21" t="s">
        <v>1248</v>
      </c>
      <c r="F377" s="18" t="str">
        <f>IF(ISBLANK(input_wld_az2_host3_hostname),"Value Missing",sample_wld_az2_host3_hostname)</f>
        <v>Value Missing</v>
      </c>
      <c r="G377"/>
      <c r="H377"/>
      <c r="I377" s="103"/>
      <c r="K377"/>
      <c r="L377"/>
      <c r="N377"/>
      <c r="O377"/>
      <c r="Q377"/>
      <c r="R377"/>
      <c r="U377"/>
      <c r="W377"/>
      <c r="X377"/>
      <c r="Z377"/>
      <c r="AA377"/>
      <c r="AB377"/>
      <c r="AC377"/>
      <c r="AD377"/>
      <c r="AE377"/>
      <c r="AF377"/>
      <c r="AG377"/>
      <c r="AH377"/>
    </row>
    <row r="378" spans="2:34" s="3" customFormat="1" ht="20" customHeight="1">
      <c r="B378" s="21" t="s">
        <v>1251</v>
      </c>
      <c r="C378" s="18" t="str">
        <f>IF(ISBLANK('Name &amp; IP Address Inputs - Rack'!D70),"Value Missing",'Name &amp; IP Address Inputs - Rack'!D70)</f>
        <v>Value Missing</v>
      </c>
      <c r="E378" s="21" t="s">
        <v>1251</v>
      </c>
      <c r="F378" s="18" t="str">
        <f>IF(ISBLANK(input_wld_az2_host4_hostname),"Value Missing",sample_wld_az2_host4_hostname)</f>
        <v>Value Missing</v>
      </c>
      <c r="G378"/>
      <c r="H378"/>
      <c r="I378" s="103"/>
      <c r="K378"/>
      <c r="L378"/>
      <c r="N378"/>
      <c r="O378"/>
      <c r="Q378"/>
      <c r="R378"/>
      <c r="U378"/>
      <c r="W378"/>
      <c r="X378"/>
      <c r="Z378"/>
      <c r="AA378"/>
      <c r="AB378"/>
      <c r="AC378"/>
      <c r="AD378"/>
      <c r="AE378"/>
      <c r="AF378"/>
      <c r="AG378"/>
      <c r="AH378"/>
    </row>
    <row r="379" spans="2:34" s="3" customFormat="1" ht="20" customHeight="1">
      <c r="B379" s="21" t="s">
        <v>3818</v>
      </c>
      <c r="C379" s="18" t="str">
        <f>IF(ISBLANK('Name &amp; IP Address Inputs - Rack'!D71),"Value Missing",'Name &amp; IP Address Inputs - Rack'!D71)</f>
        <v>Value Missing</v>
      </c>
      <c r="E379" s="21" t="s">
        <v>3818</v>
      </c>
      <c r="F379" s="18" t="str">
        <f>IF(ISBLANK(input_wld_az2_host5_hostname),"Value Missing",sample_wld_az2_host5_hostname)</f>
        <v>Value Missing</v>
      </c>
      <c r="G379"/>
      <c r="H379"/>
      <c r="I379" s="103"/>
      <c r="K379"/>
      <c r="L379"/>
      <c r="N379"/>
      <c r="O379"/>
      <c r="Q379"/>
      <c r="R379"/>
      <c r="U379"/>
      <c r="W379"/>
      <c r="X379"/>
      <c r="Z379"/>
      <c r="AA379"/>
      <c r="AB379"/>
      <c r="AC379"/>
      <c r="AD379"/>
      <c r="AE379"/>
      <c r="AF379"/>
      <c r="AG379"/>
      <c r="AH379"/>
    </row>
    <row r="380" spans="2:34" s="3" customFormat="1" ht="20" customHeight="1">
      <c r="B380" s="21" t="s">
        <v>3819</v>
      </c>
      <c r="C380" s="18" t="str">
        <f>IF(ISBLANK('Name &amp; IP Address Inputs - Rack'!D72),"Value Missing",'Name &amp; IP Address Inputs - Rack'!D72)</f>
        <v>Value Missing</v>
      </c>
      <c r="E380" s="21" t="s">
        <v>3819</v>
      </c>
      <c r="F380" s="18" t="str">
        <f>IF(ISBLANK(input_wld_az2_host6_hostname),"Value Missing",sample_wld_az2_host6_hostname)</f>
        <v>Value Missing</v>
      </c>
      <c r="G380"/>
      <c r="H380"/>
      <c r="I380" s="103"/>
      <c r="K380"/>
      <c r="L380"/>
      <c r="N380"/>
      <c r="O380"/>
      <c r="Q380"/>
      <c r="R380"/>
      <c r="U380"/>
      <c r="W380"/>
      <c r="X380"/>
      <c r="Z380"/>
      <c r="AA380"/>
      <c r="AB380"/>
      <c r="AC380"/>
      <c r="AD380"/>
      <c r="AE380"/>
      <c r="AF380"/>
      <c r="AG380"/>
      <c r="AH380"/>
    </row>
    <row r="381" spans="2:34" s="3" customFormat="1" ht="20" customHeight="1">
      <c r="B381" s="21" t="s">
        <v>3820</v>
      </c>
      <c r="C381" s="18" t="str">
        <f>IF(ISBLANK('Name &amp; IP Address Inputs - Rack'!D73),"Value Missing",'Name &amp; IP Address Inputs - Rack'!D73)</f>
        <v>Value Missing</v>
      </c>
      <c r="E381" s="21" t="s">
        <v>3820</v>
      </c>
      <c r="F381" s="18" t="str">
        <f>IF(ISBLANK(input_wld_az2_host7_hostname),"Value Missing",sample_wld_az2_host7_hostname)</f>
        <v>Value Missing</v>
      </c>
      <c r="G381"/>
      <c r="H381"/>
      <c r="I381" s="103"/>
      <c r="K381"/>
      <c r="L381"/>
      <c r="N381"/>
      <c r="O381"/>
      <c r="Q381"/>
      <c r="R381"/>
      <c r="U381"/>
      <c r="W381"/>
      <c r="X381"/>
      <c r="Z381"/>
      <c r="AA381"/>
      <c r="AB381"/>
      <c r="AC381"/>
      <c r="AD381"/>
      <c r="AE381"/>
      <c r="AF381"/>
      <c r="AG381"/>
      <c r="AH381"/>
    </row>
    <row r="382" spans="2:34" s="3" customFormat="1" ht="20" customHeight="1">
      <c r="B382" s="21" t="s">
        <v>3821</v>
      </c>
      <c r="C382" s="18" t="str">
        <f>IF(ISBLANK('Name &amp; IP Address Inputs - Rack'!D74),"Value Missing",'Name &amp; IP Address Inputs - Rack'!D74)</f>
        <v>Value Missing</v>
      </c>
      <c r="E382" s="21" t="s">
        <v>3821</v>
      </c>
      <c r="F382" s="18" t="str">
        <f>IF(ISBLANK(input_wld_az2_host8_hostname),"Value Missing",sample_wld_az2_host8_hostname)</f>
        <v>Value Missing</v>
      </c>
      <c r="G382"/>
      <c r="H382"/>
      <c r="I382" s="103"/>
      <c r="K382"/>
      <c r="L382"/>
      <c r="N382"/>
      <c r="O382"/>
      <c r="Q382"/>
      <c r="R382"/>
      <c r="U382"/>
      <c r="W382"/>
      <c r="X382"/>
      <c r="Z382"/>
      <c r="AA382"/>
      <c r="AB382"/>
      <c r="AC382"/>
      <c r="AD382"/>
      <c r="AE382"/>
      <c r="AF382"/>
      <c r="AG382"/>
      <c r="AH382"/>
    </row>
    <row r="383" spans="2:34" s="3" customFormat="1" ht="20" customHeight="1">
      <c r="B383" s="21" t="s">
        <v>3822</v>
      </c>
      <c r="C383" s="18" t="str">
        <f>IF(ISBLANK('Name &amp; IP Address Inputs - Rack'!D75),"Value Missing",'Name &amp; IP Address Inputs - Rack'!D75)</f>
        <v>Value Missing</v>
      </c>
      <c r="E383" s="21" t="s">
        <v>3822</v>
      </c>
      <c r="F383" s="18" t="str">
        <f>IF(ISBLANK(input_wld_az2_host9_hostname),"Value Missing",sample_wld_az2_host9_hostname)</f>
        <v>Value Missing</v>
      </c>
      <c r="G383"/>
      <c r="H383"/>
      <c r="I383" s="103"/>
      <c r="K383"/>
      <c r="L383"/>
      <c r="N383"/>
      <c r="O383"/>
      <c r="Q383"/>
      <c r="R383"/>
      <c r="U383"/>
      <c r="W383"/>
      <c r="X383"/>
      <c r="Z383"/>
      <c r="AA383"/>
      <c r="AB383"/>
      <c r="AC383"/>
      <c r="AD383"/>
      <c r="AE383"/>
      <c r="AF383"/>
      <c r="AG383"/>
      <c r="AH383"/>
    </row>
    <row r="384" spans="2:34" s="3" customFormat="1" ht="20" customHeight="1">
      <c r="B384" s="21" t="s">
        <v>3823</v>
      </c>
      <c r="C384" s="18" t="str">
        <f>IF(ISBLANK('Name &amp; IP Address Inputs - Rack'!D76),"Value Missing",'Name &amp; IP Address Inputs - Rack'!D76)</f>
        <v>Value Missing</v>
      </c>
      <c r="E384" s="21" t="s">
        <v>3823</v>
      </c>
      <c r="F384" s="18" t="str">
        <f>IF(ISBLANK(input_wld_az2_host10_hostname),"Value Missing",sample_wld_az2_host10_hostname)</f>
        <v>Value Missing</v>
      </c>
      <c r="G384"/>
      <c r="H384"/>
      <c r="I384" s="103"/>
      <c r="K384"/>
      <c r="L384"/>
      <c r="N384"/>
      <c r="O384"/>
      <c r="Q384"/>
      <c r="R384"/>
      <c r="U384"/>
      <c r="W384"/>
      <c r="X384"/>
      <c r="Z384"/>
      <c r="AA384"/>
      <c r="AB384"/>
      <c r="AC384"/>
      <c r="AD384"/>
      <c r="AE384"/>
      <c r="AF384"/>
      <c r="AG384"/>
      <c r="AH384"/>
    </row>
    <row r="385" spans="2:34" s="3" customFormat="1" ht="20" customHeight="1">
      <c r="B385" s="21" t="s">
        <v>3824</v>
      </c>
      <c r="C385" s="18" t="str">
        <f>IF(ISBLANK('Name &amp; IP Address Inputs - Rack'!D77),"Value Missing",'Name &amp; IP Address Inputs - Rack'!D77)</f>
        <v>Value Missing</v>
      </c>
      <c r="E385" s="21" t="s">
        <v>3824</v>
      </c>
      <c r="F385" s="18" t="str">
        <f>IF(ISBLANK(input_wld_az2_host11_hostname),"Value Missing",sample_wld_az2_host11_hostname)</f>
        <v>Value Missing</v>
      </c>
      <c r="G385"/>
      <c r="H385"/>
      <c r="I385" s="103"/>
      <c r="K385"/>
      <c r="L385"/>
      <c r="N385"/>
      <c r="O385"/>
      <c r="Q385"/>
      <c r="R385"/>
      <c r="U385"/>
      <c r="W385"/>
      <c r="X385"/>
      <c r="Z385"/>
      <c r="AA385"/>
      <c r="AB385"/>
      <c r="AC385"/>
      <c r="AD385"/>
      <c r="AE385"/>
      <c r="AF385"/>
      <c r="AG385"/>
      <c r="AH385"/>
    </row>
    <row r="386" spans="2:34" s="3" customFormat="1" ht="20" customHeight="1">
      <c r="B386" s="21" t="s">
        <v>3825</v>
      </c>
      <c r="C386" s="18" t="str">
        <f>IF(ISBLANK('Name &amp; IP Address Inputs - Rack'!D78),"Value Missing",'Name &amp; IP Address Inputs - Rack'!D78)</f>
        <v>Value Missing</v>
      </c>
      <c r="E386" s="21" t="s">
        <v>3825</v>
      </c>
      <c r="F386" s="18" t="str">
        <f>IF(ISBLANK(input_wld_az2_host12_hostname),"Value Missing",sample_wld_az2_host12_hostname)</f>
        <v>Value Missing</v>
      </c>
      <c r="G386"/>
      <c r="H386"/>
      <c r="I386" s="103"/>
      <c r="K386"/>
      <c r="L386"/>
      <c r="N386"/>
      <c r="O386"/>
      <c r="Q386"/>
      <c r="R386"/>
      <c r="U386"/>
      <c r="W386"/>
      <c r="X386"/>
      <c r="Z386"/>
      <c r="AA386"/>
      <c r="AB386"/>
      <c r="AC386"/>
      <c r="AD386"/>
      <c r="AE386"/>
      <c r="AF386"/>
      <c r="AG386"/>
      <c r="AH386"/>
    </row>
    <row r="387" spans="2:34" s="3" customFormat="1" ht="20" customHeight="1">
      <c r="B387" s="21" t="s">
        <v>3826</v>
      </c>
      <c r="C387" s="18" t="str">
        <f>IF(ISBLANK('Name &amp; IP Address Inputs - Rack'!D79),"Value Missing",'Name &amp; IP Address Inputs - Rack'!D79)</f>
        <v>Value Missing</v>
      </c>
      <c r="E387" s="21" t="s">
        <v>3826</v>
      </c>
      <c r="F387" s="18" t="str">
        <f>IF(ISBLANK(input_wld_az2_host13_hostname),"Value Missing",sample_wld_az2_host13_hostname)</f>
        <v>Value Missing</v>
      </c>
      <c r="G387"/>
      <c r="H387"/>
      <c r="I387" s="103"/>
      <c r="K387"/>
      <c r="L387"/>
      <c r="N387"/>
      <c r="O387"/>
      <c r="Q387"/>
      <c r="R387"/>
      <c r="U387"/>
      <c r="W387"/>
      <c r="X387"/>
      <c r="Z387"/>
      <c r="AA387"/>
      <c r="AB387"/>
      <c r="AC387"/>
      <c r="AD387"/>
      <c r="AE387"/>
      <c r="AF387"/>
      <c r="AG387"/>
      <c r="AH387"/>
    </row>
    <row r="388" spans="2:34" s="3" customFormat="1" ht="20" customHeight="1">
      <c r="B388" s="21" t="s">
        <v>3827</v>
      </c>
      <c r="C388" s="18" t="str">
        <f>IF(ISBLANK('Name &amp; IP Address Inputs - Rack'!D80),"Value Missing",'Name &amp; IP Address Inputs - Rack'!D80)</f>
        <v>Value Missing</v>
      </c>
      <c r="E388" s="21" t="s">
        <v>3827</v>
      </c>
      <c r="F388" s="18" t="str">
        <f>IF(ISBLANK(input_wld_az2_host14_hostname),"Value Missing",sample_wld_az2_host14_hostname)</f>
        <v>Value Missing</v>
      </c>
      <c r="G388"/>
      <c r="H388"/>
      <c r="I388" s="103"/>
      <c r="K388"/>
      <c r="L388"/>
      <c r="N388"/>
      <c r="O388"/>
      <c r="Q388"/>
      <c r="R388"/>
      <c r="U388"/>
      <c r="W388"/>
      <c r="X388"/>
      <c r="Z388"/>
      <c r="AA388"/>
      <c r="AB388"/>
      <c r="AC388"/>
      <c r="AD388"/>
      <c r="AE388"/>
      <c r="AF388"/>
      <c r="AG388"/>
      <c r="AH388"/>
    </row>
    <row r="389" spans="2:34" s="3" customFormat="1" ht="20" customHeight="1">
      <c r="B389" s="21" t="s">
        <v>3828</v>
      </c>
      <c r="C389" s="18" t="str">
        <f>IF(ISBLANK('Name &amp; IP Address Inputs - Rack'!D81),"Value Missing",'Name &amp; IP Address Inputs - Rack'!D81)</f>
        <v>Value Missing</v>
      </c>
      <c r="E389" s="21" t="s">
        <v>3828</v>
      </c>
      <c r="F389" s="18" t="str">
        <f>IF(ISBLANK(input_wld_az2_host15_hostname),"Value Missing",sample_wld_az2_host15_hostname)</f>
        <v>Value Missing</v>
      </c>
      <c r="G389"/>
      <c r="H389"/>
      <c r="I389" s="103"/>
      <c r="K389"/>
      <c r="L389"/>
      <c r="N389"/>
      <c r="O389"/>
      <c r="Q389"/>
      <c r="R389"/>
      <c r="U389"/>
      <c r="W389"/>
      <c r="X389"/>
      <c r="Z389"/>
      <c r="AA389"/>
      <c r="AB389"/>
      <c r="AC389"/>
      <c r="AD389"/>
      <c r="AE389"/>
      <c r="AF389"/>
      <c r="AG389"/>
      <c r="AH389"/>
    </row>
    <row r="390" spans="2:34" s="3" customFormat="1" ht="20" customHeight="1">
      <c r="B390" s="21" t="s">
        <v>3829</v>
      </c>
      <c r="C390" s="18" t="str">
        <f>IF(ISBLANK('Name &amp; IP Address Inputs - Rack'!D82),"Value Missing",'Name &amp; IP Address Inputs - Rack'!D82)</f>
        <v>Value Missing</v>
      </c>
      <c r="E390" s="21" t="s">
        <v>3829</v>
      </c>
      <c r="F390" s="18" t="str">
        <f>IF(ISBLANK(input_wld_az2_host16_hostname),"Value Missing",sample_wld_az2_host16_hostname)</f>
        <v>Value Missing</v>
      </c>
      <c r="G390"/>
      <c r="H390"/>
      <c r="I390" s="103"/>
      <c r="K390"/>
      <c r="L390"/>
      <c r="N390"/>
      <c r="O390"/>
      <c r="Q390"/>
      <c r="R390"/>
      <c r="U390"/>
      <c r="W390"/>
      <c r="X390"/>
      <c r="Z390"/>
      <c r="AA390"/>
      <c r="AB390"/>
      <c r="AC390"/>
      <c r="AD390"/>
      <c r="AE390"/>
      <c r="AF390"/>
      <c r="AG390"/>
      <c r="AH390"/>
    </row>
    <row r="391" spans="2:34" s="3" customFormat="1" ht="20" customHeight="1">
      <c r="E391"/>
      <c r="F391" s="103"/>
      <c r="G391"/>
      <c r="H391"/>
      <c r="I391" s="103"/>
      <c r="K391"/>
      <c r="L391"/>
      <c r="N391"/>
      <c r="O391"/>
      <c r="Q391"/>
      <c r="R391"/>
      <c r="U391"/>
      <c r="W391"/>
      <c r="X391"/>
      <c r="Z391"/>
      <c r="AA391"/>
      <c r="AB391"/>
      <c r="AC391"/>
      <c r="AD391"/>
      <c r="AE391"/>
      <c r="AF391"/>
      <c r="AG391"/>
      <c r="AH391"/>
    </row>
    <row r="392" spans="2:34" s="3" customFormat="1" ht="20" customHeight="1">
      <c r="B392" s="184" t="s">
        <v>4138</v>
      </c>
      <c r="C392" s="187"/>
      <c r="E392" s="184" t="s">
        <v>4034</v>
      </c>
      <c r="F392" s="187"/>
      <c r="H392" s="184" t="s">
        <v>3851</v>
      </c>
      <c r="I392" s="187"/>
      <c r="K392" s="184" t="s">
        <v>3850</v>
      </c>
      <c r="L392" s="187"/>
      <c r="N392" s="184" t="s">
        <v>3849</v>
      </c>
      <c r="O392" s="187"/>
      <c r="Q392" s="184" t="s">
        <v>3848</v>
      </c>
      <c r="R392" s="187"/>
      <c r="T392" s="184" t="s">
        <v>3847</v>
      </c>
      <c r="U392" s="187"/>
      <c r="W392" s="184" t="s">
        <v>3846</v>
      </c>
      <c r="X392" s="187"/>
      <c r="Z392" s="184" t="s">
        <v>3845</v>
      </c>
      <c r="AA392" s="187"/>
      <c r="AB392"/>
      <c r="AC392"/>
      <c r="AD392"/>
      <c r="AE392"/>
      <c r="AF392"/>
      <c r="AG392"/>
      <c r="AH392"/>
    </row>
    <row r="393" spans="2:34" s="3" customFormat="1" ht="20" customHeight="1">
      <c r="B393" s="112" t="s">
        <v>735</v>
      </c>
      <c r="C393" s="113" t="s">
        <v>1231</v>
      </c>
      <c r="E393" s="112" t="s">
        <v>735</v>
      </c>
      <c r="F393" s="113" t="s">
        <v>1231</v>
      </c>
      <c r="H393" s="112" t="s">
        <v>735</v>
      </c>
      <c r="I393" s="113" t="s">
        <v>1231</v>
      </c>
      <c r="K393" s="112" t="s">
        <v>735</v>
      </c>
      <c r="L393" s="113" t="s">
        <v>1231</v>
      </c>
      <c r="N393" s="112" t="s">
        <v>735</v>
      </c>
      <c r="O393" s="113" t="s">
        <v>1231</v>
      </c>
      <c r="Q393" s="112" t="s">
        <v>735</v>
      </c>
      <c r="R393" s="113" t="s">
        <v>1231</v>
      </c>
      <c r="T393" s="112" t="s">
        <v>735</v>
      </c>
      <c r="U393" s="113" t="s">
        <v>1231</v>
      </c>
      <c r="W393" s="112" t="s">
        <v>735</v>
      </c>
      <c r="X393" s="113" t="s">
        <v>1231</v>
      </c>
      <c r="Z393" s="112" t="s">
        <v>735</v>
      </c>
      <c r="AA393" s="113" t="s">
        <v>1231</v>
      </c>
      <c r="AB393"/>
      <c r="AC393"/>
      <c r="AD393"/>
      <c r="AE393"/>
      <c r="AF393"/>
      <c r="AG393"/>
      <c r="AH393"/>
    </row>
    <row r="394" spans="2:34" s="3" customFormat="1" ht="20" customHeight="1">
      <c r="B394" s="21" t="s">
        <v>1243</v>
      </c>
      <c r="C394" s="18" t="str">
        <f>(CONCATENATE('Value Reference Tables - MR'!C375,".",(IF(ISBLANK('Name &amp; IP Address Inputs - VM'!D$18),"Value Missing",'Name &amp; IP Address Inputs - VM'!D$18))))</f>
        <v>Value Missing.Value Missing</v>
      </c>
      <c r="E394" s="21" t="s">
        <v>1243</v>
      </c>
      <c r="F394" s="18" t="str">
        <f>(CONCATENATE('Value Reference Tables - MR'!F375,".",(IF(ISBLANK('Name &amp; IP Address Inputs - VM'!D$18),"Value Missing",'Name &amp; IP Address Inputs - VM'!D$18))))</f>
        <v>Value Missing.Value Missing</v>
      </c>
      <c r="G394"/>
      <c r="H394"/>
      <c r="I394" s="103"/>
      <c r="K394"/>
      <c r="L394"/>
      <c r="N394"/>
      <c r="O394"/>
      <c r="Q394"/>
      <c r="R394"/>
      <c r="U394"/>
      <c r="W394"/>
      <c r="X394"/>
      <c r="Z394"/>
      <c r="AA394"/>
      <c r="AB394"/>
      <c r="AC394"/>
      <c r="AD394"/>
      <c r="AE394"/>
      <c r="AF394"/>
      <c r="AG394"/>
      <c r="AH394"/>
    </row>
    <row r="395" spans="2:34" s="3" customFormat="1" ht="20" customHeight="1">
      <c r="B395" s="21" t="s">
        <v>1246</v>
      </c>
      <c r="C395" s="18" t="str">
        <f>(CONCATENATE('Value Reference Tables - MR'!C376,".",(IF(ISBLANK('Name &amp; IP Address Inputs - VM'!D$18),"Value Missing",'Name &amp; IP Address Inputs - VM'!D$18))))</f>
        <v>Value Missing.Value Missing</v>
      </c>
      <c r="E395" s="21" t="s">
        <v>1246</v>
      </c>
      <c r="F395" s="18" t="str">
        <f>(CONCATENATE('Value Reference Tables - MR'!F376,".",(IF(ISBLANK('Name &amp; IP Address Inputs - VM'!D$18),"Value Missing",'Name &amp; IP Address Inputs - VM'!D$18))))</f>
        <v>Value Missing.Value Missing</v>
      </c>
      <c r="G395"/>
      <c r="H395"/>
      <c r="I395" s="103"/>
      <c r="K395"/>
      <c r="L395"/>
      <c r="N395"/>
      <c r="O395"/>
      <c r="Q395"/>
      <c r="R395"/>
      <c r="U395"/>
      <c r="W395"/>
      <c r="X395"/>
      <c r="Z395"/>
      <c r="AA395"/>
      <c r="AB395"/>
      <c r="AC395"/>
      <c r="AD395"/>
      <c r="AE395"/>
      <c r="AF395"/>
      <c r="AG395"/>
      <c r="AH395"/>
    </row>
    <row r="396" spans="2:34" s="3" customFormat="1" ht="20" customHeight="1">
      <c r="B396" s="21" t="s">
        <v>1248</v>
      </c>
      <c r="C396" s="18" t="str">
        <f>(CONCATENATE('Value Reference Tables - MR'!C377,".",(IF(ISBLANK('Name &amp; IP Address Inputs - VM'!D$18),"Value Missing",'Name &amp; IP Address Inputs - VM'!D$18))))</f>
        <v>Value Missing.Value Missing</v>
      </c>
      <c r="E396" s="21" t="s">
        <v>1248</v>
      </c>
      <c r="F396" s="18" t="str">
        <f>(CONCATENATE('Value Reference Tables - MR'!F377,".",(IF(ISBLANK('Name &amp; IP Address Inputs - VM'!D$18),"Value Missing",'Name &amp; IP Address Inputs - VM'!D$18))))</f>
        <v>Value Missing.Value Missing</v>
      </c>
      <c r="G396"/>
      <c r="H396"/>
      <c r="I396" s="103"/>
      <c r="K396"/>
      <c r="L396"/>
      <c r="N396"/>
      <c r="O396"/>
      <c r="Q396"/>
      <c r="R396"/>
      <c r="U396"/>
      <c r="W396"/>
      <c r="X396"/>
      <c r="Z396"/>
      <c r="AA396"/>
      <c r="AB396"/>
      <c r="AC396"/>
      <c r="AD396"/>
      <c r="AE396"/>
      <c r="AF396"/>
      <c r="AG396"/>
      <c r="AH396"/>
    </row>
    <row r="397" spans="2:34" s="3" customFormat="1" ht="20" customHeight="1">
      <c r="B397" s="21" t="s">
        <v>1251</v>
      </c>
      <c r="C397" s="18" t="str">
        <f>(CONCATENATE('Value Reference Tables - MR'!C378,".",(IF(ISBLANK('Name &amp; IP Address Inputs - VM'!D$18),"Value Missing",'Name &amp; IP Address Inputs - VM'!D$18))))</f>
        <v>Value Missing.Value Missing</v>
      </c>
      <c r="E397" s="21" t="s">
        <v>1251</v>
      </c>
      <c r="F397" s="18" t="str">
        <f>(CONCATENATE('Value Reference Tables - MR'!F378,".",(IF(ISBLANK('Name &amp; IP Address Inputs - VM'!D$18),"Value Missing",'Name &amp; IP Address Inputs - VM'!D$18))))</f>
        <v>Value Missing.Value Missing</v>
      </c>
      <c r="G397"/>
      <c r="H397"/>
      <c r="I397" s="103"/>
      <c r="K397"/>
      <c r="L397"/>
      <c r="N397"/>
      <c r="O397"/>
      <c r="Q397"/>
      <c r="R397"/>
      <c r="U397"/>
      <c r="W397"/>
      <c r="X397"/>
      <c r="Z397"/>
      <c r="AA397"/>
      <c r="AB397"/>
      <c r="AC397"/>
      <c r="AD397"/>
      <c r="AE397"/>
      <c r="AF397"/>
      <c r="AG397"/>
      <c r="AH397"/>
    </row>
    <row r="398" spans="2:34" s="3" customFormat="1" ht="20" customHeight="1">
      <c r="B398" s="21" t="s">
        <v>3818</v>
      </c>
      <c r="C398" s="18" t="str">
        <f>(CONCATENATE('Value Reference Tables - MR'!C379,".",(IF(ISBLANK('Name &amp; IP Address Inputs - VM'!D$18),"Value Missing",'Name &amp; IP Address Inputs - VM'!D$18))))</f>
        <v>Value Missing.Value Missing</v>
      </c>
      <c r="E398" s="21" t="s">
        <v>3818</v>
      </c>
      <c r="F398" s="18" t="str">
        <f>(CONCATENATE('Value Reference Tables - MR'!F379,".",(IF(ISBLANK('Name &amp; IP Address Inputs - VM'!D$18),"Value Missing",'Name &amp; IP Address Inputs - VM'!D$18))))</f>
        <v>Value Missing.Value Missing</v>
      </c>
      <c r="G398"/>
      <c r="H398"/>
      <c r="I398" s="103"/>
      <c r="K398"/>
      <c r="L398"/>
      <c r="N398"/>
      <c r="O398"/>
      <c r="Q398"/>
      <c r="R398"/>
      <c r="U398"/>
      <c r="W398"/>
      <c r="X398"/>
      <c r="Z398"/>
      <c r="AA398"/>
      <c r="AB398"/>
      <c r="AC398"/>
      <c r="AD398"/>
      <c r="AE398"/>
      <c r="AF398"/>
      <c r="AG398"/>
      <c r="AH398"/>
    </row>
    <row r="399" spans="2:34" s="3" customFormat="1" ht="20" customHeight="1">
      <c r="B399" s="21" t="s">
        <v>3819</v>
      </c>
      <c r="C399" s="18" t="str">
        <f>(CONCATENATE('Value Reference Tables - MR'!C380,".",(IF(ISBLANK('Name &amp; IP Address Inputs - VM'!D$18),"Value Missing",'Name &amp; IP Address Inputs - VM'!D$18))))</f>
        <v>Value Missing.Value Missing</v>
      </c>
      <c r="E399" s="21" t="s">
        <v>3819</v>
      </c>
      <c r="F399" s="18" t="str">
        <f>(CONCATENATE('Value Reference Tables - MR'!F380,".",(IF(ISBLANK('Name &amp; IP Address Inputs - VM'!D$18),"Value Missing",'Name &amp; IP Address Inputs - VM'!D$18))))</f>
        <v>Value Missing.Value Missing</v>
      </c>
      <c r="G399"/>
      <c r="H399"/>
      <c r="I399" s="103"/>
      <c r="K399"/>
      <c r="L399"/>
      <c r="N399"/>
      <c r="O399"/>
      <c r="Q399"/>
      <c r="R399"/>
      <c r="U399"/>
      <c r="W399"/>
      <c r="X399"/>
      <c r="Z399"/>
      <c r="AA399"/>
      <c r="AB399"/>
      <c r="AC399"/>
      <c r="AD399"/>
      <c r="AE399"/>
      <c r="AF399"/>
      <c r="AG399"/>
      <c r="AH399"/>
    </row>
    <row r="400" spans="2:34" s="3" customFormat="1" ht="20" customHeight="1">
      <c r="B400" s="21" t="s">
        <v>3820</v>
      </c>
      <c r="C400" s="18" t="str">
        <f>(CONCATENATE('Value Reference Tables - MR'!C381,".",(IF(ISBLANK('Name &amp; IP Address Inputs - VM'!D$18),"Value Missing",'Name &amp; IP Address Inputs - VM'!D$18))))</f>
        <v>Value Missing.Value Missing</v>
      </c>
      <c r="E400" s="21" t="s">
        <v>3820</v>
      </c>
      <c r="F400" s="18" t="str">
        <f>(CONCATENATE('Value Reference Tables - MR'!F381,".",(IF(ISBLANK('Name &amp; IP Address Inputs - VM'!D$18),"Value Missing",'Name &amp; IP Address Inputs - VM'!D$18))))</f>
        <v>Value Missing.Value Missing</v>
      </c>
      <c r="G400"/>
      <c r="H400"/>
      <c r="I400" s="103"/>
      <c r="K400"/>
      <c r="L400"/>
      <c r="N400"/>
      <c r="O400"/>
      <c r="Q400"/>
      <c r="R400"/>
      <c r="U400"/>
      <c r="W400"/>
      <c r="X400"/>
      <c r="Z400"/>
      <c r="AA400"/>
      <c r="AB400"/>
      <c r="AC400"/>
      <c r="AD400"/>
      <c r="AE400"/>
      <c r="AF400"/>
      <c r="AG400"/>
      <c r="AH400"/>
    </row>
    <row r="401" spans="2:34" s="3" customFormat="1" ht="20" customHeight="1">
      <c r="B401" s="21" t="s">
        <v>3821</v>
      </c>
      <c r="C401" s="18" t="str">
        <f>(CONCATENATE('Value Reference Tables - MR'!C382,".",(IF(ISBLANK('Name &amp; IP Address Inputs - VM'!D$18),"Value Missing",'Name &amp; IP Address Inputs - VM'!D$18))))</f>
        <v>Value Missing.Value Missing</v>
      </c>
      <c r="E401" s="21" t="s">
        <v>3821</v>
      </c>
      <c r="F401" s="18" t="str">
        <f>(CONCATENATE('Value Reference Tables - MR'!F382,".",(IF(ISBLANK('Name &amp; IP Address Inputs - VM'!D$18),"Value Missing",'Name &amp; IP Address Inputs - VM'!D$18))))</f>
        <v>Value Missing.Value Missing</v>
      </c>
      <c r="G401"/>
      <c r="H401"/>
      <c r="I401" s="103"/>
      <c r="K401"/>
      <c r="L401"/>
      <c r="N401"/>
      <c r="O401"/>
      <c r="Q401"/>
      <c r="R401"/>
      <c r="U401"/>
      <c r="W401"/>
      <c r="X401"/>
      <c r="Z401"/>
      <c r="AA401"/>
      <c r="AB401"/>
      <c r="AC401"/>
      <c r="AD401"/>
      <c r="AE401"/>
      <c r="AF401"/>
      <c r="AG401"/>
      <c r="AH401"/>
    </row>
    <row r="402" spans="2:34" s="3" customFormat="1" ht="20" customHeight="1">
      <c r="B402" s="21" t="s">
        <v>3822</v>
      </c>
      <c r="C402" s="18" t="str">
        <f>(CONCATENATE('Value Reference Tables - MR'!C383,".",(IF(ISBLANK('Name &amp; IP Address Inputs - VM'!D$18),"Value Missing",'Name &amp; IP Address Inputs - VM'!D$18))))</f>
        <v>Value Missing.Value Missing</v>
      </c>
      <c r="E402" s="21" t="s">
        <v>3822</v>
      </c>
      <c r="F402" s="18" t="str">
        <f>(CONCATENATE('Value Reference Tables - MR'!F383,".",(IF(ISBLANK('Name &amp; IP Address Inputs - VM'!D$18),"Value Missing",'Name &amp; IP Address Inputs - VM'!D$18))))</f>
        <v>Value Missing.Value Missing</v>
      </c>
      <c r="G402"/>
      <c r="H402"/>
      <c r="I402" s="103"/>
      <c r="K402"/>
      <c r="L402"/>
      <c r="N402"/>
      <c r="O402"/>
      <c r="Q402"/>
      <c r="R402"/>
      <c r="U402"/>
      <c r="W402"/>
      <c r="X402"/>
      <c r="Z402"/>
      <c r="AA402"/>
      <c r="AB402"/>
      <c r="AC402"/>
      <c r="AD402"/>
      <c r="AE402"/>
      <c r="AF402"/>
      <c r="AG402"/>
      <c r="AH402"/>
    </row>
    <row r="403" spans="2:34" s="3" customFormat="1" ht="20" customHeight="1">
      <c r="B403" s="21" t="s">
        <v>3823</v>
      </c>
      <c r="C403" s="18" t="str">
        <f>(CONCATENATE('Value Reference Tables - MR'!C384,".",(IF(ISBLANK('Name &amp; IP Address Inputs - VM'!D$18),"Value Missing",'Name &amp; IP Address Inputs - VM'!D$18))))</f>
        <v>Value Missing.Value Missing</v>
      </c>
      <c r="E403" s="21" t="s">
        <v>3823</v>
      </c>
      <c r="F403" s="18" t="str">
        <f>(CONCATENATE('Value Reference Tables - MR'!F384,".",(IF(ISBLANK('Name &amp; IP Address Inputs - VM'!D$18),"Value Missing",'Name &amp; IP Address Inputs - VM'!D$18))))</f>
        <v>Value Missing.Value Missing</v>
      </c>
      <c r="G403"/>
      <c r="H403"/>
      <c r="I403" s="103"/>
      <c r="K403"/>
      <c r="L403"/>
      <c r="N403"/>
      <c r="O403"/>
      <c r="Q403"/>
      <c r="R403"/>
      <c r="U403"/>
      <c r="W403"/>
      <c r="X403"/>
      <c r="Z403"/>
      <c r="AA403"/>
      <c r="AB403"/>
      <c r="AC403"/>
      <c r="AD403"/>
      <c r="AE403"/>
      <c r="AF403"/>
      <c r="AG403"/>
      <c r="AH403"/>
    </row>
    <row r="404" spans="2:34" s="3" customFormat="1" ht="20" customHeight="1">
      <c r="B404" s="21" t="s">
        <v>3824</v>
      </c>
      <c r="C404" s="18" t="str">
        <f>(CONCATENATE('Value Reference Tables - MR'!C385,".",(IF(ISBLANK('Name &amp; IP Address Inputs - VM'!D$18),"Value Missing",'Name &amp; IP Address Inputs - VM'!D$18))))</f>
        <v>Value Missing.Value Missing</v>
      </c>
      <c r="E404" s="21" t="s">
        <v>3824</v>
      </c>
      <c r="F404" s="18" t="str">
        <f>(CONCATENATE('Value Reference Tables - MR'!F385,".",(IF(ISBLANK('Name &amp; IP Address Inputs - VM'!D$18),"Value Missing",'Name &amp; IP Address Inputs - VM'!D$18))))</f>
        <v>Value Missing.Value Missing</v>
      </c>
      <c r="G404"/>
      <c r="H404"/>
      <c r="I404" s="103"/>
      <c r="K404"/>
      <c r="L404"/>
      <c r="N404"/>
      <c r="O404"/>
      <c r="Q404"/>
      <c r="R404"/>
      <c r="U404"/>
      <c r="W404"/>
      <c r="X404"/>
      <c r="Z404"/>
      <c r="AA404"/>
      <c r="AB404"/>
      <c r="AC404"/>
      <c r="AD404"/>
      <c r="AE404"/>
      <c r="AF404"/>
      <c r="AG404"/>
      <c r="AH404"/>
    </row>
    <row r="405" spans="2:34" s="3" customFormat="1" ht="20" customHeight="1">
      <c r="B405" s="21" t="s">
        <v>3825</v>
      </c>
      <c r="C405" s="18" t="str">
        <f>(CONCATENATE('Value Reference Tables - MR'!C386,".",(IF(ISBLANK('Name &amp; IP Address Inputs - VM'!D$18),"Value Missing",'Name &amp; IP Address Inputs - VM'!D$18))))</f>
        <v>Value Missing.Value Missing</v>
      </c>
      <c r="E405" s="21" t="s">
        <v>3825</v>
      </c>
      <c r="F405" s="18" t="str">
        <f>(CONCATENATE('Value Reference Tables - MR'!F386,".",(IF(ISBLANK('Name &amp; IP Address Inputs - VM'!D$18),"Value Missing",'Name &amp; IP Address Inputs - VM'!D$18))))</f>
        <v>Value Missing.Value Missing</v>
      </c>
      <c r="G405"/>
      <c r="H405"/>
      <c r="I405" s="103"/>
      <c r="K405"/>
      <c r="L405"/>
      <c r="N405"/>
      <c r="O405"/>
      <c r="Q405"/>
      <c r="R405"/>
      <c r="U405"/>
      <c r="W405"/>
      <c r="X405"/>
      <c r="Z405"/>
      <c r="AA405"/>
      <c r="AB405"/>
      <c r="AC405"/>
      <c r="AD405"/>
      <c r="AE405"/>
      <c r="AF405"/>
      <c r="AG405"/>
      <c r="AH405"/>
    </row>
    <row r="406" spans="2:34" s="3" customFormat="1" ht="20" customHeight="1">
      <c r="B406" s="21" t="s">
        <v>3826</v>
      </c>
      <c r="C406" s="18" t="str">
        <f>(CONCATENATE('Value Reference Tables - MR'!C387,".",(IF(ISBLANK('Name &amp; IP Address Inputs - VM'!D$18),"Value Missing",'Name &amp; IP Address Inputs - VM'!D$18))))</f>
        <v>Value Missing.Value Missing</v>
      </c>
      <c r="E406" s="21" t="s">
        <v>3826</v>
      </c>
      <c r="F406" s="18" t="str">
        <f>(CONCATENATE('Value Reference Tables - MR'!F387,".",(IF(ISBLANK('Name &amp; IP Address Inputs - VM'!D$18),"Value Missing",'Name &amp; IP Address Inputs - VM'!D$18))))</f>
        <v>Value Missing.Value Missing</v>
      </c>
      <c r="G406"/>
      <c r="H406"/>
      <c r="I406" s="103"/>
      <c r="K406"/>
      <c r="L406"/>
      <c r="N406"/>
      <c r="O406"/>
      <c r="Q406"/>
      <c r="R406"/>
      <c r="U406"/>
      <c r="W406"/>
      <c r="X406"/>
      <c r="Z406"/>
      <c r="AA406"/>
      <c r="AB406"/>
      <c r="AC406"/>
      <c r="AD406"/>
      <c r="AE406"/>
      <c r="AF406"/>
      <c r="AG406"/>
      <c r="AH406"/>
    </row>
    <row r="407" spans="2:34" s="3" customFormat="1" ht="20" customHeight="1">
      <c r="B407" s="21" t="s">
        <v>3827</v>
      </c>
      <c r="C407" s="18" t="str">
        <f>(CONCATENATE('Value Reference Tables - MR'!C388,".",(IF(ISBLANK('Name &amp; IP Address Inputs - VM'!D$18),"Value Missing",'Name &amp; IP Address Inputs - VM'!D$18))))</f>
        <v>Value Missing.Value Missing</v>
      </c>
      <c r="E407" s="21" t="s">
        <v>3827</v>
      </c>
      <c r="F407" s="18" t="str">
        <f>(CONCATENATE('Value Reference Tables - MR'!F388,".",(IF(ISBLANK('Name &amp; IP Address Inputs - VM'!D$18),"Value Missing",'Name &amp; IP Address Inputs - VM'!D$18))))</f>
        <v>Value Missing.Value Missing</v>
      </c>
      <c r="G407"/>
      <c r="H407"/>
      <c r="I407" s="103"/>
      <c r="K407"/>
      <c r="L407"/>
      <c r="N407"/>
      <c r="O407"/>
      <c r="Q407"/>
      <c r="R407"/>
      <c r="U407"/>
      <c r="W407"/>
      <c r="X407"/>
      <c r="Z407"/>
      <c r="AA407"/>
      <c r="AB407"/>
      <c r="AC407"/>
      <c r="AD407"/>
      <c r="AE407"/>
      <c r="AF407"/>
      <c r="AG407"/>
      <c r="AH407"/>
    </row>
    <row r="408" spans="2:34" s="3" customFormat="1" ht="20" customHeight="1">
      <c r="B408" s="21" t="s">
        <v>3828</v>
      </c>
      <c r="C408" s="18" t="str">
        <f>(CONCATENATE('Value Reference Tables - MR'!C389,".",(IF(ISBLANK('Name &amp; IP Address Inputs - VM'!D$18),"Value Missing",'Name &amp; IP Address Inputs - VM'!D$18))))</f>
        <v>Value Missing.Value Missing</v>
      </c>
      <c r="E408" s="21" t="s">
        <v>3828</v>
      </c>
      <c r="F408" s="18" t="str">
        <f>(CONCATENATE('Value Reference Tables - MR'!F389,".",(IF(ISBLANK('Name &amp; IP Address Inputs - VM'!D$18),"Value Missing",'Name &amp; IP Address Inputs - VM'!D$18))))</f>
        <v>Value Missing.Value Missing</v>
      </c>
      <c r="G408"/>
      <c r="H408"/>
      <c r="I408" s="103"/>
      <c r="K408"/>
      <c r="L408"/>
      <c r="N408"/>
      <c r="O408"/>
      <c r="Q408"/>
      <c r="R408"/>
      <c r="U408"/>
      <c r="W408"/>
      <c r="X408"/>
      <c r="Z408"/>
      <c r="AA408"/>
      <c r="AB408"/>
      <c r="AC408"/>
      <c r="AD408"/>
      <c r="AE408"/>
      <c r="AF408"/>
      <c r="AG408"/>
      <c r="AH408"/>
    </row>
    <row r="409" spans="2:34" s="3" customFormat="1" ht="20" customHeight="1">
      <c r="B409" s="21" t="s">
        <v>3829</v>
      </c>
      <c r="C409" s="18" t="str">
        <f>(CONCATENATE('Value Reference Tables - MR'!C390,".",(IF(ISBLANK('Name &amp; IP Address Inputs - VM'!D$18),"Value Missing",'Name &amp; IP Address Inputs - VM'!D$18))))</f>
        <v>Value Missing.Value Missing</v>
      </c>
      <c r="E409" s="21" t="s">
        <v>3829</v>
      </c>
      <c r="F409" s="18" t="str">
        <f>(CONCATENATE('Value Reference Tables - MR'!F390,".",(IF(ISBLANK('Name &amp; IP Address Inputs - VM'!D$18),"Value Missing",'Name &amp; IP Address Inputs - VM'!D$18))))</f>
        <v>Value Missing.Value Missing</v>
      </c>
      <c r="G409"/>
      <c r="H409"/>
      <c r="I409" s="103"/>
      <c r="K409"/>
      <c r="L409"/>
      <c r="M409"/>
      <c r="N409"/>
      <c r="O409"/>
      <c r="Q409"/>
      <c r="R409"/>
      <c r="U409"/>
      <c r="W409"/>
      <c r="X409"/>
      <c r="Z409"/>
      <c r="AA409"/>
      <c r="AB409"/>
      <c r="AC409"/>
      <c r="AD409"/>
      <c r="AE409"/>
      <c r="AF409"/>
      <c r="AG409"/>
      <c r="AH409"/>
    </row>
    <row r="410" spans="2:34" s="3" customFormat="1" ht="20" customHeight="1">
      <c r="D410"/>
      <c r="E410"/>
      <c r="F410" s="103"/>
      <c r="G410"/>
      <c r="H410"/>
      <c r="I410" s="103"/>
      <c r="K410"/>
      <c r="L410"/>
      <c r="M410"/>
      <c r="N410"/>
      <c r="O410"/>
      <c r="Q410"/>
      <c r="R410"/>
      <c r="U410"/>
      <c r="W410"/>
      <c r="X410"/>
      <c r="Z410"/>
      <c r="AA410"/>
      <c r="AB410"/>
      <c r="AC410"/>
      <c r="AD410"/>
      <c r="AE410"/>
      <c r="AF410"/>
      <c r="AG410"/>
      <c r="AH410"/>
    </row>
  </sheetData>
  <sheetProtection algorithmName="SHA-512" hashValue="Z7s3jXVDi5uP3ARwYgqr44NkDMtQCeToG83Bnp0teuY4Xey1KcMGrf/1Ms1UhFP0sPy2/EBC2Jeeb532ZWEdFQ==" saltValue="MWBhhQTEY2x1h9rTjpuaEQ==" spinCount="100000" sheet="1" objects="1" scenarios="1"/>
  <mergeCells count="38">
    <mergeCell ref="AD6:AE6"/>
    <mergeCell ref="AD13:AE13"/>
    <mergeCell ref="W107:X107"/>
    <mergeCell ref="Z107:AA107"/>
    <mergeCell ref="H107:I107"/>
    <mergeCell ref="K107:L107"/>
    <mergeCell ref="N107:O107"/>
    <mergeCell ref="Q107:R107"/>
    <mergeCell ref="T107:U107"/>
    <mergeCell ref="W157:X157"/>
    <mergeCell ref="Z157:AA157"/>
    <mergeCell ref="Z117:AA117"/>
    <mergeCell ref="Q117:R117"/>
    <mergeCell ref="T117:U117"/>
    <mergeCell ref="W117:X117"/>
    <mergeCell ref="Q157:R157"/>
    <mergeCell ref="T157:U157"/>
    <mergeCell ref="K157:L157"/>
    <mergeCell ref="H157:I157"/>
    <mergeCell ref="H117:I117"/>
    <mergeCell ref="K117:L117"/>
    <mergeCell ref="N157:O157"/>
    <mergeCell ref="N117:O117"/>
    <mergeCell ref="B107:C107"/>
    <mergeCell ref="B117:C117"/>
    <mergeCell ref="B157:C157"/>
    <mergeCell ref="B373:C373"/>
    <mergeCell ref="E373:F373"/>
    <mergeCell ref="E107:F107"/>
    <mergeCell ref="E117:F117"/>
    <mergeCell ref="E157:F157"/>
    <mergeCell ref="B328:C328"/>
    <mergeCell ref="E328:F328"/>
    <mergeCell ref="W373:X373"/>
    <mergeCell ref="Z373:AA373"/>
    <mergeCell ref="H373:I373"/>
    <mergeCell ref="Q373:R373"/>
    <mergeCell ref="T373:U373"/>
  </mergeCells>
  <conditionalFormatting sqref="I159:I174">
    <cfRule type="containsBlanks" dxfId="2039" priority="704">
      <formula>LEN(TRIM(I159))=0</formula>
    </cfRule>
  </conditionalFormatting>
  <conditionalFormatting sqref="L159:L174">
    <cfRule type="containsBlanks" dxfId="2000" priority="487">
      <formula>LEN(TRIM(L159))=0</formula>
    </cfRule>
  </conditionalFormatting>
  <conditionalFormatting sqref="L234:L264">
    <cfRule type="containsText" dxfId="1993" priority="5" operator="containsText" text="Value Missing">
      <formula>NOT(ISERROR(SEARCH("Value Missing",L234)))</formula>
    </cfRule>
    <cfRule type="expression" dxfId="1992" priority="6">
      <formula>wld_bgp_result="Excluded"</formula>
    </cfRule>
  </conditionalFormatting>
  <conditionalFormatting sqref="L237 L242:L244">
    <cfRule type="expression" dxfId="1991" priority="52">
      <formula>wld_bgp_chosen="VLAN-Backed"</formula>
    </cfRule>
  </conditionalFormatting>
  <conditionalFormatting sqref="L247:L260">
    <cfRule type="expression" dxfId="1990" priority="27">
      <formula>wld_bgp_chosen="VLAN-Backed"</formula>
    </cfRule>
  </conditionalFormatting>
  <conditionalFormatting sqref="O234:O264">
    <cfRule type="expression" dxfId="1954" priority="2">
      <formula>wld_bgp_result="Excluded"</formula>
    </cfRule>
    <cfRule type="containsText" dxfId="1953" priority="1" operator="containsText" text="Value Missing">
      <formula>NOT(ISERROR(SEARCH("Value Missing",O234)))</formula>
    </cfRule>
  </conditionalFormatting>
  <conditionalFormatting sqref="O237 O242:O244">
    <cfRule type="expression" dxfId="1952" priority="4">
      <formula>wld_bgp_chosen="VLAN-Backed"</formula>
    </cfRule>
  </conditionalFormatting>
  <conditionalFormatting sqref="O247:O260">
    <cfRule type="expression" dxfId="1951" priority="3">
      <formula>wld_bgp_chosen="VLAN-Backed"</formula>
    </cfRule>
  </conditionalFormatting>
  <pageMargins left="0.7" right="0.7" top="0.75" bottom="0.75" header="0.3" footer="0.3"/>
  <pageSetup paperSize="9" orientation="portrait" horizontalDpi="0" verticalDpi="0"/>
  <ignoredErrors>
    <ignoredError sqref="AA26" formula="1"/>
  </ignoredErrors>
  <drawing r:id="rId1"/>
  <extLst>
    <ext xmlns:x14="http://schemas.microsoft.com/office/spreadsheetml/2009/9/main" uri="{78C0D931-6437-407d-A8EE-F0AAD7539E65}">
      <x14:conditionalFormattings>
        <x14:conditionalFormatting xmlns:xm="http://schemas.microsoft.com/office/excel/2006/main">
          <x14:cfRule type="notContainsText" priority="395" operator="notContains" id="{4A3EB4B0-FD78-EE44-860A-CB45E3861A25}">
            <xm:f>ISERROR(SEARCH("Value Missing",C8))</xm:f>
            <xm:f>"Value Missing"</xm:f>
            <x14:dxf>
              <font>
                <color rgb="FF006100"/>
              </font>
              <fill>
                <patternFill>
                  <bgColor rgb="FFC6EFCE"/>
                </patternFill>
              </fill>
            </x14:dxf>
          </x14:cfRule>
          <x14:cfRule type="containsText" priority="394" operator="containsText" id="{A802E628-086A-A946-B6B2-FD741418DA38}">
            <xm:f>NOT(ISERROR(SEARCH("Value Missing",C8)))</xm:f>
            <xm:f>"Value Missing"</xm:f>
            <x14:dxf>
              <font>
                <color rgb="FF9C0006"/>
              </font>
              <fill>
                <patternFill>
                  <bgColor rgb="FFFFC7CE"/>
                </patternFill>
              </fill>
            </x14:dxf>
          </x14:cfRule>
          <xm:sqref>C8:C12 C235:C239 C241:C245</xm:sqref>
        </x14:conditionalFormatting>
        <x14:conditionalFormatting xmlns:xm="http://schemas.microsoft.com/office/excel/2006/main">
          <x14:cfRule type="notContainsText" priority="187" operator="notContains" id="{F34D6DD7-CF2F-CC48-A60C-54DB91D1239C}">
            <xm:f>ISERROR(SEARCH("Value Missing",C8))</xm:f>
            <xm:f>"Value Missing"</xm:f>
            <x14:dxf>
              <font>
                <color rgb="FF006100"/>
              </font>
              <fill>
                <patternFill>
                  <bgColor rgb="FFC6EFCE"/>
                </patternFill>
              </fill>
            </x14:dxf>
          </x14:cfRule>
          <xm:sqref>C8:C18</xm:sqref>
        </x14:conditionalFormatting>
        <x14:conditionalFormatting xmlns:xm="http://schemas.microsoft.com/office/excel/2006/main">
          <x14:cfRule type="containsText" priority="186" operator="containsText" id="{ADE09BCC-02E7-C241-A28D-22953DE6FFAA}">
            <xm:f>NOT(ISERROR(SEARCH("Value Missing",C13)))</xm:f>
            <xm:f>"Value Missing"</xm:f>
            <x14:dxf>
              <font>
                <color rgb="FF9C0006"/>
              </font>
              <fill>
                <patternFill>
                  <bgColor rgb="FFFFC7CE"/>
                </patternFill>
              </fill>
            </x14:dxf>
          </x14:cfRule>
          <x14:cfRule type="notContainsText" priority="185" operator="notContains" id="{3E3209A7-9101-D248-9B07-2297DA7E9088}">
            <xm:f>ISERROR(SEARCH("Value Missing",C13))</xm:f>
            <xm:f>"Value Missing"</xm:f>
            <x14:dxf>
              <font>
                <color rgb="FF006100"/>
              </font>
              <fill>
                <patternFill>
                  <bgColor rgb="FFC6EFCE"/>
                </patternFill>
              </fill>
            </x14:dxf>
          </x14:cfRule>
          <xm:sqref>C13</xm:sqref>
        </x14:conditionalFormatting>
        <x14:conditionalFormatting xmlns:xm="http://schemas.microsoft.com/office/excel/2006/main">
          <x14:cfRule type="notContainsText" priority="392" operator="notContains" id="{C68C48EA-15D3-D046-9E31-C474D9208A51}">
            <xm:f>ISERROR(SEARCH("Value Missing",C14))</xm:f>
            <xm:f>"Value Missing"</xm:f>
            <x14:dxf>
              <font>
                <color rgb="FF006100"/>
              </font>
              <fill>
                <patternFill>
                  <bgColor rgb="FFC6EFCE"/>
                </patternFill>
              </fill>
            </x14:dxf>
          </x14:cfRule>
          <x14:cfRule type="containsText" priority="391" operator="containsText" id="{3DED610F-8F37-3B4D-82B9-F4312842E4DB}">
            <xm:f>NOT(ISERROR(SEARCH("Value Missing",C14)))</xm:f>
            <xm:f>"Value Missing"</xm:f>
            <x14:dxf>
              <font>
                <color rgb="FF9C0006"/>
              </font>
              <fill>
                <patternFill>
                  <bgColor rgb="FFFFC7CE"/>
                </patternFill>
              </fill>
            </x14:dxf>
          </x14:cfRule>
          <xm:sqref>C14:C18</xm:sqref>
        </x14:conditionalFormatting>
        <x14:conditionalFormatting xmlns:xm="http://schemas.microsoft.com/office/excel/2006/main">
          <x14:cfRule type="containsText" priority="389" operator="containsText" id="{5ADB5EEE-E55A-BB4A-9154-519126AE67CA}">
            <xm:f>NOT(ISERROR(SEARCH("Value Missing",C22)))</xm:f>
            <xm:f>"Value Missing"</xm:f>
            <x14:dxf>
              <font>
                <color rgb="FF9C0006"/>
              </font>
              <fill>
                <patternFill>
                  <bgColor rgb="FFFFC7CE"/>
                </patternFill>
              </fill>
            </x14:dxf>
          </x14:cfRule>
          <xm:sqref>C22:C26</xm:sqref>
        </x14:conditionalFormatting>
        <x14:conditionalFormatting xmlns:xm="http://schemas.microsoft.com/office/excel/2006/main">
          <x14:cfRule type="notContainsText" priority="190" operator="notContains" id="{5CA92EE2-E51B-0549-A010-A630F249B359}">
            <xm:f>ISERROR(SEARCH("Value Missing",C22))</xm:f>
            <xm:f>"Value Missing"</xm:f>
            <x14:dxf>
              <font>
                <color rgb="FF006100"/>
              </font>
              <fill>
                <patternFill>
                  <bgColor rgb="FFC6EFCE"/>
                </patternFill>
              </fill>
            </x14:dxf>
          </x14:cfRule>
          <xm:sqref>C22:C32</xm:sqref>
        </x14:conditionalFormatting>
        <x14:conditionalFormatting xmlns:xm="http://schemas.microsoft.com/office/excel/2006/main">
          <x14:cfRule type="notContainsText" priority="188" operator="notContains" id="{BF31331E-850B-394E-BF24-A3832DCC488A}">
            <xm:f>ISERROR(SEARCH("Value Missing",C27))</xm:f>
            <xm:f>"Value Missing"</xm:f>
            <x14:dxf>
              <font>
                <color rgb="FF006100"/>
              </font>
              <fill>
                <patternFill>
                  <bgColor rgb="FFC6EFCE"/>
                </patternFill>
              </fill>
            </x14:dxf>
          </x14:cfRule>
          <x14:cfRule type="containsText" priority="189" operator="containsText" id="{D235DD3C-E35D-6D48-8F4D-D3823655AE0D}">
            <xm:f>NOT(ISERROR(SEARCH("Value Missing",C27)))</xm:f>
            <xm:f>"Value Missing"</xm:f>
            <x14:dxf>
              <font>
                <color rgb="FF9C0006"/>
              </font>
              <fill>
                <patternFill>
                  <bgColor rgb="FFFFC7CE"/>
                </patternFill>
              </fill>
            </x14:dxf>
          </x14:cfRule>
          <xm:sqref>C27</xm:sqref>
        </x14:conditionalFormatting>
        <x14:conditionalFormatting xmlns:xm="http://schemas.microsoft.com/office/excel/2006/main">
          <x14:cfRule type="containsText" priority="387" operator="containsText" id="{9F166DC7-F84F-824D-BB36-EF2016B61566}">
            <xm:f>NOT(ISERROR(SEARCH("Value Missing",C28)))</xm:f>
            <xm:f>"Value Missing"</xm:f>
            <x14:dxf>
              <font>
                <color rgb="FF9C0006"/>
              </font>
              <fill>
                <patternFill>
                  <bgColor rgb="FFFFC7CE"/>
                </patternFill>
              </fill>
            </x14:dxf>
          </x14:cfRule>
          <xm:sqref>C28:C32</xm:sqref>
        </x14:conditionalFormatting>
        <x14:conditionalFormatting xmlns:xm="http://schemas.microsoft.com/office/excel/2006/main">
          <x14:cfRule type="containsText" priority="385" operator="containsText" id="{CD7AAA97-8743-9E41-9161-E983E892B98A}">
            <xm:f>NOT(ISERROR(SEARCH("Value Missing",C36)))</xm:f>
            <xm:f>"Value Missing"</xm:f>
            <x14:dxf>
              <font>
                <color rgb="FF9C0006"/>
              </font>
              <fill>
                <patternFill>
                  <bgColor rgb="FFFFC7CE"/>
                </patternFill>
              </fill>
            </x14:dxf>
          </x14:cfRule>
          <xm:sqref>C36:C40</xm:sqref>
        </x14:conditionalFormatting>
        <x14:conditionalFormatting xmlns:xm="http://schemas.microsoft.com/office/excel/2006/main">
          <x14:cfRule type="notContainsText" priority="193" operator="notContains" id="{6217DD3D-3C82-DD44-B7C2-7113130B8668}">
            <xm:f>ISERROR(SEARCH("Value Missing",C36))</xm:f>
            <xm:f>"Value Missing"</xm:f>
            <x14:dxf>
              <font>
                <color rgb="FF006100"/>
              </font>
              <fill>
                <patternFill>
                  <bgColor rgb="FFC6EFCE"/>
                </patternFill>
              </fill>
            </x14:dxf>
          </x14:cfRule>
          <xm:sqref>C36:C46</xm:sqref>
        </x14:conditionalFormatting>
        <x14:conditionalFormatting xmlns:xm="http://schemas.microsoft.com/office/excel/2006/main">
          <x14:cfRule type="notContainsText" priority="191" operator="notContains" id="{234E6066-5E90-4C44-9647-C39F6B104437}">
            <xm:f>ISERROR(SEARCH("Value Missing",C41))</xm:f>
            <xm:f>"Value Missing"</xm:f>
            <x14:dxf>
              <font>
                <color rgb="FF006100"/>
              </font>
              <fill>
                <patternFill>
                  <bgColor rgb="FFC6EFCE"/>
                </patternFill>
              </fill>
            </x14:dxf>
          </x14:cfRule>
          <x14:cfRule type="containsText" priority="192" operator="containsText" id="{5A28F0C8-D0FC-3C4D-86E3-3CC6C496AB50}">
            <xm:f>NOT(ISERROR(SEARCH("Value Missing",C41)))</xm:f>
            <xm:f>"Value Missing"</xm:f>
            <x14:dxf>
              <font>
                <color rgb="FF9C0006"/>
              </font>
              <fill>
                <patternFill>
                  <bgColor rgb="FFFFC7CE"/>
                </patternFill>
              </fill>
            </x14:dxf>
          </x14:cfRule>
          <xm:sqref>C41</xm:sqref>
        </x14:conditionalFormatting>
        <x14:conditionalFormatting xmlns:xm="http://schemas.microsoft.com/office/excel/2006/main">
          <x14:cfRule type="containsText" priority="383" operator="containsText" id="{D660282C-FC73-5544-B537-64BDBFA413B5}">
            <xm:f>NOT(ISERROR(SEARCH("Value Missing",C42)))</xm:f>
            <xm:f>"Value Missing"</xm:f>
            <x14:dxf>
              <font>
                <color rgb="FF9C0006"/>
              </font>
              <fill>
                <patternFill>
                  <bgColor rgb="FFFFC7CE"/>
                </patternFill>
              </fill>
            </x14:dxf>
          </x14:cfRule>
          <xm:sqref>C42:C46</xm:sqref>
        </x14:conditionalFormatting>
        <x14:conditionalFormatting xmlns:xm="http://schemas.microsoft.com/office/excel/2006/main">
          <x14:cfRule type="containsText" priority="381" operator="containsText" id="{584CD209-DC2B-4A48-92B7-24D2A9797756}">
            <xm:f>NOT(ISERROR(SEARCH("Value Missing",C50)))</xm:f>
            <xm:f>"Value Missing"</xm:f>
            <x14:dxf>
              <font>
                <color rgb="FF9C0006"/>
              </font>
              <fill>
                <patternFill>
                  <bgColor rgb="FFFFC7CE"/>
                </patternFill>
              </fill>
            </x14:dxf>
          </x14:cfRule>
          <xm:sqref>C50:C54</xm:sqref>
        </x14:conditionalFormatting>
        <x14:conditionalFormatting xmlns:xm="http://schemas.microsoft.com/office/excel/2006/main">
          <x14:cfRule type="notContainsText" priority="196" operator="notContains" id="{851D3ACE-E9BC-F44F-9B88-30F64FB4F41C}">
            <xm:f>ISERROR(SEARCH("Value Missing",C50))</xm:f>
            <xm:f>"Value Missing"</xm:f>
            <x14:dxf>
              <font>
                <color rgb="FF006100"/>
              </font>
              <fill>
                <patternFill>
                  <bgColor rgb="FFC6EFCE"/>
                </patternFill>
              </fill>
            </x14:dxf>
          </x14:cfRule>
          <xm:sqref>C50:C60</xm:sqref>
        </x14:conditionalFormatting>
        <x14:conditionalFormatting xmlns:xm="http://schemas.microsoft.com/office/excel/2006/main">
          <x14:cfRule type="notContainsText" priority="194" operator="notContains" id="{8D2115D0-98E6-9A45-9920-2F26FB759DA6}">
            <xm:f>ISERROR(SEARCH("Value Missing",C55))</xm:f>
            <xm:f>"Value Missing"</xm:f>
            <x14:dxf>
              <font>
                <color rgb="FF006100"/>
              </font>
              <fill>
                <patternFill>
                  <bgColor rgb="FFC6EFCE"/>
                </patternFill>
              </fill>
            </x14:dxf>
          </x14:cfRule>
          <x14:cfRule type="containsText" priority="195" operator="containsText" id="{5BF1499F-6D17-184F-84EF-4ED471DDC16E}">
            <xm:f>NOT(ISERROR(SEARCH("Value Missing",C55)))</xm:f>
            <xm:f>"Value Missing"</xm:f>
            <x14:dxf>
              <font>
                <color rgb="FF9C0006"/>
              </font>
              <fill>
                <patternFill>
                  <bgColor rgb="FFFFC7CE"/>
                </patternFill>
              </fill>
            </x14:dxf>
          </x14:cfRule>
          <xm:sqref>C55</xm:sqref>
        </x14:conditionalFormatting>
        <x14:conditionalFormatting xmlns:xm="http://schemas.microsoft.com/office/excel/2006/main">
          <x14:cfRule type="containsText" priority="265" operator="containsText" id="{00327332-2736-5D42-99C1-5FDEE1362EC9}">
            <xm:f>NOT(ISERROR(SEARCH("Value Missing",C56)))</xm:f>
            <xm:f>"Value Missing"</xm:f>
            <x14:dxf>
              <font>
                <color rgb="FF9C0006"/>
              </font>
              <fill>
                <patternFill>
                  <bgColor rgb="FFFFC7CE"/>
                </patternFill>
              </fill>
            </x14:dxf>
          </x14:cfRule>
          <xm:sqref>C56:C60</xm:sqref>
        </x14:conditionalFormatting>
        <x14:conditionalFormatting xmlns:xm="http://schemas.microsoft.com/office/excel/2006/main">
          <x14:cfRule type="notContainsText" priority="250" operator="notContains" id="{81E64900-01C1-B344-8DB0-D1E642036D7A}">
            <xm:f>ISERROR(SEARCH("Value Missing",C64))</xm:f>
            <xm:f>"Value Missing"</xm:f>
            <x14:dxf>
              <font>
                <color rgb="FF006100"/>
              </font>
              <fill>
                <patternFill>
                  <bgColor rgb="FFC6EFCE"/>
                </patternFill>
              </fill>
            </x14:dxf>
          </x14:cfRule>
          <x14:cfRule type="containsText" priority="251" operator="containsText" id="{35350444-849B-2743-A412-D85082EDC75F}">
            <xm:f>NOT(ISERROR(SEARCH("Value Missing",C64)))</xm:f>
            <xm:f>"Value Missing"</xm:f>
            <x14:dxf>
              <font>
                <color rgb="FF9C0006"/>
              </font>
              <fill>
                <patternFill>
                  <bgColor rgb="FFFFC7CE"/>
                </patternFill>
              </fill>
            </x14:dxf>
          </x14:cfRule>
          <xm:sqref>C64:C70</xm:sqref>
        </x14:conditionalFormatting>
        <x14:conditionalFormatting xmlns:xm="http://schemas.microsoft.com/office/excel/2006/main">
          <x14:cfRule type="notContainsText" priority="405" operator="notContains" id="{6C6EF43A-0943-D340-9F50-60D00A84AB9C}">
            <xm:f>ISERROR(SEARCH("Value Missing",C74))</xm:f>
            <xm:f>"Value Missing"</xm:f>
            <x14:dxf>
              <font>
                <color rgb="FF006100"/>
              </font>
              <fill>
                <patternFill>
                  <bgColor rgb="FFC6EFCE"/>
                </patternFill>
              </fill>
            </x14:dxf>
          </x14:cfRule>
          <x14:cfRule type="containsText" priority="404" operator="containsText" id="{CBEF277C-4461-744D-8A01-41A6ADB90C6C}">
            <xm:f>NOT(ISERROR(SEARCH("Value Missing",C74)))</xm:f>
            <xm:f>"Value Missing"</xm:f>
            <x14:dxf>
              <font>
                <color rgb="FF9C0006"/>
              </font>
              <fill>
                <patternFill>
                  <bgColor rgb="FFFFC7CE"/>
                </patternFill>
              </fill>
            </x14:dxf>
          </x14:cfRule>
          <x14:cfRule type="notContainsText" priority="403" operator="notContains" id="{6FC26200-1922-C14C-8F66-387FEADF16B6}">
            <xm:f>ISERROR(SEARCH("Value Missing",C74))</xm:f>
            <xm:f>"Value Missing"</xm:f>
            <x14:dxf>
              <font>
                <color rgb="FF006100"/>
              </font>
              <fill>
                <patternFill>
                  <bgColor rgb="FFC6EFCE"/>
                </patternFill>
              </fill>
            </x14:dxf>
          </x14:cfRule>
          <xm:sqref>C74:C79</xm:sqref>
        </x14:conditionalFormatting>
        <x14:conditionalFormatting xmlns:xm="http://schemas.microsoft.com/office/excel/2006/main">
          <x14:cfRule type="notContainsText" priority="199" operator="notContains" id="{4526C842-1B64-3041-89F5-56F98F4DF097}">
            <xm:f>ISERROR(SEARCH("Value Missing",C83))</xm:f>
            <xm:f>"Value Missing"</xm:f>
            <x14:dxf>
              <font>
                <color rgb="FF006100"/>
              </font>
              <fill>
                <patternFill>
                  <bgColor rgb="FFC6EFCE"/>
                </patternFill>
              </fill>
            </x14:dxf>
          </x14:cfRule>
          <xm:sqref>C83:C94</xm:sqref>
        </x14:conditionalFormatting>
        <x14:conditionalFormatting xmlns:xm="http://schemas.microsoft.com/office/excel/2006/main">
          <x14:cfRule type="containsText" priority="198" operator="containsText" id="{45160007-856E-164E-B3C2-2D1453C3788C}">
            <xm:f>NOT(ISERROR(SEARCH("Value Missing",C89)))</xm:f>
            <xm:f>"Value Missing"</xm:f>
            <x14:dxf>
              <font>
                <color rgb="FF9C0006"/>
              </font>
              <fill>
                <patternFill>
                  <bgColor rgb="FFFFC7CE"/>
                </patternFill>
              </fill>
            </x14:dxf>
          </x14:cfRule>
          <x14:cfRule type="notContainsText" priority="197" operator="notContains" id="{A96806CD-C316-F241-B662-EE49B03D0DB6}">
            <xm:f>ISERROR(SEARCH("Value Missing",C89))</xm:f>
            <xm:f>"Value Missing"</xm:f>
            <x14:dxf>
              <font>
                <color rgb="FF006100"/>
              </font>
              <fill>
                <patternFill>
                  <bgColor rgb="FFC6EFCE"/>
                </patternFill>
              </fill>
            </x14:dxf>
          </x14:cfRule>
          <xm:sqref>C89:C92</xm:sqref>
        </x14:conditionalFormatting>
        <x14:conditionalFormatting xmlns:xm="http://schemas.microsoft.com/office/excel/2006/main">
          <x14:cfRule type="notContainsText" priority="436" operator="notContains" id="{F5E61C90-67BC-AB42-822C-C3425CECB9FC}">
            <xm:f>ISERROR(SEARCH("Value Missing",C107))</xm:f>
            <xm:f>"Value Missing"</xm:f>
            <x14:dxf>
              <font>
                <color rgb="FF006100"/>
              </font>
              <fill>
                <patternFill>
                  <bgColor rgb="FFC6EFCE"/>
                </patternFill>
              </fill>
            </x14:dxf>
          </x14:cfRule>
          <x14:cfRule type="containsText" priority="437" operator="containsText" id="{87021602-B2E7-D24A-9127-F132F3E1DE27}">
            <xm:f>NOT(ISERROR(SEARCH("Value Missing",C107)))</xm:f>
            <xm:f>"Value Missing"</xm:f>
            <x14:dxf>
              <font>
                <color rgb="FF9C0006"/>
              </font>
              <fill>
                <patternFill>
                  <bgColor rgb="FFFFC7CE"/>
                </patternFill>
              </fill>
            </x14:dxf>
          </x14:cfRule>
          <xm:sqref>C107:C108 C324:C326</xm:sqref>
        </x14:conditionalFormatting>
        <x14:conditionalFormatting xmlns:xm="http://schemas.microsoft.com/office/excel/2006/main">
          <x14:cfRule type="notContainsText" priority="240" operator="notContains" id="{97EF4645-E915-474D-8973-F530DFD8C452}">
            <xm:f>ISERROR(SEARCH("Value Missing",C107))</xm:f>
            <xm:f>"Value Missing"</xm:f>
            <x14:dxf>
              <font>
                <color rgb="FF006100"/>
              </font>
              <fill>
                <patternFill>
                  <bgColor rgb="FFC6EFCE"/>
                </patternFill>
              </fill>
            </x14:dxf>
          </x14:cfRule>
          <x14:cfRule type="containsText" priority="241" operator="containsText" id="{96A77517-440C-6F46-AAC8-DE4DB73D065D}">
            <xm:f>NOT(ISERROR(SEARCH("Value Missing",C107)))</xm:f>
            <xm:f>"Value Missing"</xm:f>
            <x14:dxf>
              <font>
                <color rgb="FF9C0006"/>
              </font>
              <fill>
                <patternFill>
                  <bgColor rgb="FFFFC7CE"/>
                </patternFill>
              </fill>
            </x14:dxf>
          </x14:cfRule>
          <xm:sqref>C107:C115</xm:sqref>
        </x14:conditionalFormatting>
        <x14:conditionalFormatting xmlns:xm="http://schemas.microsoft.com/office/excel/2006/main">
          <x14:cfRule type="containsText" priority="237" operator="containsText" id="{272ECF05-F14A-D548-9DB3-65A01575E230}">
            <xm:f>NOT(ISERROR(SEARCH("Value Missing",C109)))</xm:f>
            <xm:f>"Value Missing"</xm:f>
            <x14:dxf>
              <font>
                <color rgb="FF9C0006"/>
              </font>
              <fill>
                <patternFill>
                  <bgColor rgb="FFFFC7CE"/>
                </patternFill>
              </fill>
            </x14:dxf>
          </x14:cfRule>
          <x14:cfRule type="containsText" priority="239" operator="containsText" id="{66C6E26A-D729-E944-A393-04C0FF2A9F51}">
            <xm:f>NOT(ISERROR(SEARCH("Value Missing",C109)))</xm:f>
            <xm:f>"Value Missing"</xm:f>
            <x14:dxf>
              <font>
                <color rgb="FF9C0006"/>
              </font>
              <fill>
                <patternFill>
                  <bgColor rgb="FFFFC7CE"/>
                </patternFill>
              </fill>
            </x14:dxf>
          </x14:cfRule>
          <x14:cfRule type="notContainsText" priority="238" operator="notContains" id="{62279B4D-41CC-604C-ABD9-243046FDF8F0}">
            <xm:f>ISERROR(SEARCH("Value Missing",C109))</xm:f>
            <xm:f>"Value Missing"</xm:f>
            <x14:dxf>
              <font>
                <color rgb="FF006100"/>
              </font>
              <fill>
                <patternFill>
                  <bgColor rgb="FFC6EFCE"/>
                </patternFill>
              </fill>
            </x14:dxf>
          </x14:cfRule>
          <x14:cfRule type="notContainsText" priority="236" operator="notContains" id="{086B1DFE-3615-6F4B-9568-26AD2119373A}">
            <xm:f>ISERROR(SEARCH("Value Missing",C109))</xm:f>
            <xm:f>"Value Missing"</xm:f>
            <x14:dxf>
              <font>
                <color rgb="FF006100"/>
              </font>
              <fill>
                <patternFill>
                  <bgColor rgb="FFC6EFCE"/>
                </patternFill>
              </fill>
            </x14:dxf>
          </x14:cfRule>
          <xm:sqref>C109:C115</xm:sqref>
        </x14:conditionalFormatting>
        <x14:conditionalFormatting xmlns:xm="http://schemas.microsoft.com/office/excel/2006/main">
          <x14:cfRule type="notContainsText" priority="428" operator="notContains" id="{3836B3BC-1EAE-484E-8762-73C1A0E21112}">
            <xm:f>ISERROR(SEARCH("Value Missing",C124))</xm:f>
            <xm:f>"Value Missing"</xm:f>
            <x14:dxf>
              <font>
                <color rgb="FF006100"/>
              </font>
              <fill>
                <patternFill>
                  <bgColor rgb="FFC6EFCE"/>
                </patternFill>
              </fill>
            </x14:dxf>
          </x14:cfRule>
          <x14:cfRule type="containsText" priority="429" operator="containsText" id="{385D5915-21FD-3649-B278-4415F3762019}">
            <xm:f>NOT(ISERROR(SEARCH("Value Missing",C124)))</xm:f>
            <xm:f>"Value Missing"</xm:f>
            <x14:dxf>
              <font>
                <color rgb="FF9C0006"/>
              </font>
              <fill>
                <patternFill>
                  <bgColor rgb="FFFFC7CE"/>
                </patternFill>
              </fill>
            </x14:dxf>
          </x14:cfRule>
          <xm:sqref>C124:C155</xm:sqref>
        </x14:conditionalFormatting>
        <x14:conditionalFormatting xmlns:xm="http://schemas.microsoft.com/office/excel/2006/main">
          <x14:cfRule type="notContainsText" priority="432" operator="notContains" id="{2964BA34-780E-6448-A839-D72EA3AE4182}">
            <xm:f>ISERROR(SEARCH("Value Missing",C159))</xm:f>
            <xm:f>"Value Missing"</xm:f>
            <x14:dxf>
              <font>
                <color rgb="FF006100"/>
              </font>
              <fill>
                <patternFill>
                  <bgColor rgb="FFC6EFCE"/>
                </patternFill>
              </fill>
            </x14:dxf>
          </x14:cfRule>
          <x14:cfRule type="containsText" priority="433" operator="containsText" id="{3858CDD9-CF98-E946-90EC-F501F2FAD86F}">
            <xm:f>NOT(ISERROR(SEARCH("Value Missing",C159)))</xm:f>
            <xm:f>"Value Missing"</xm:f>
            <x14:dxf>
              <font>
                <color rgb="FF9C0006"/>
              </font>
              <fill>
                <patternFill>
                  <bgColor rgb="FFFFC7CE"/>
                </patternFill>
              </fill>
            </x14:dxf>
          </x14:cfRule>
          <xm:sqref>C159:C174</xm:sqref>
        </x14:conditionalFormatting>
        <x14:conditionalFormatting xmlns:xm="http://schemas.microsoft.com/office/excel/2006/main">
          <x14:cfRule type="containsText" priority="425" operator="containsText" id="{AF676C3A-9971-464A-ACF0-6F5BF668ACA9}">
            <xm:f>NOT(ISERROR(SEARCH("Value Missing",C178)))</xm:f>
            <xm:f>"Value Missing"</xm:f>
            <x14:dxf>
              <font>
                <color rgb="FF9C0006"/>
              </font>
              <fill>
                <patternFill>
                  <bgColor rgb="FFFFC7CE"/>
                </patternFill>
              </fill>
            </x14:dxf>
          </x14:cfRule>
          <x14:cfRule type="notContainsText" priority="424" operator="notContains" id="{32C38469-072A-634C-B1D1-052977A4FD91}">
            <xm:f>ISERROR(SEARCH("Value Missing",C178))</xm:f>
            <xm:f>"Value Missing"</xm:f>
            <x14:dxf>
              <font>
                <color rgb="FF006100"/>
              </font>
              <fill>
                <patternFill>
                  <bgColor rgb="FFC6EFCE"/>
                </patternFill>
              </fill>
            </x14:dxf>
          </x14:cfRule>
          <xm:sqref>C178:C193</xm:sqref>
        </x14:conditionalFormatting>
        <x14:conditionalFormatting xmlns:xm="http://schemas.microsoft.com/office/excel/2006/main">
          <x14:cfRule type="containsText" priority="213" operator="containsText" id="{4B7DAFE2-5DF7-624B-83A0-FC195669E830}">
            <xm:f>NOT(ISERROR(SEARCH("Value Missing",C196)))</xm:f>
            <xm:f>"Value Missing"</xm:f>
            <x14:dxf>
              <font>
                <color rgb="FF9C0006"/>
              </font>
              <fill>
                <patternFill>
                  <bgColor rgb="FFFFC7CE"/>
                </patternFill>
              </fill>
            </x14:dxf>
          </x14:cfRule>
          <x14:cfRule type="notContainsText" priority="212" operator="notContains" id="{92CB02B4-461F-6E40-9A30-7AE786FE3803}">
            <xm:f>ISERROR(SEARCH("Value Missing",C196))</xm:f>
            <xm:f>"Value Missing"</xm:f>
            <x14:dxf>
              <font>
                <color rgb="FF006100"/>
              </font>
              <fill>
                <patternFill>
                  <bgColor rgb="FFC6EFCE"/>
                </patternFill>
              </fill>
            </x14:dxf>
          </x14:cfRule>
          <xm:sqref>C196:C202</xm:sqref>
        </x14:conditionalFormatting>
        <x14:conditionalFormatting xmlns:xm="http://schemas.microsoft.com/office/excel/2006/main">
          <x14:cfRule type="notContainsText" priority="224" operator="notContains" id="{5C04316A-1917-FB4E-8EE5-F0DA55107A96}">
            <xm:f>ISERROR(SEARCH("Value Missing",C199))</xm:f>
            <xm:f>"Value Missing"</xm:f>
            <x14:dxf>
              <font>
                <color rgb="FF006100"/>
              </font>
              <fill>
                <patternFill>
                  <bgColor rgb="FFC6EFCE"/>
                </patternFill>
              </fill>
            </x14:dxf>
          </x14:cfRule>
          <x14:cfRule type="containsText" priority="225" operator="containsText" id="{F2B81EE6-81E2-4744-B680-D78757DC45F3}">
            <xm:f>NOT(ISERROR(SEARCH("Value Missing",C199)))</xm:f>
            <xm:f>"Value Missing"</xm:f>
            <x14:dxf>
              <font>
                <color rgb="FF9C0006"/>
              </font>
              <fill>
                <patternFill>
                  <bgColor rgb="FFFFC7CE"/>
                </patternFill>
              </fill>
            </x14:dxf>
          </x14:cfRule>
          <xm:sqref>C199:C202</xm:sqref>
        </x14:conditionalFormatting>
        <x14:conditionalFormatting xmlns:xm="http://schemas.microsoft.com/office/excel/2006/main">
          <x14:cfRule type="notContainsText" priority="218" operator="notContains" id="{D764E541-8635-D041-8461-6D73FD47D682}">
            <xm:f>ISERROR(SEARCH("Value Missing",C205))</xm:f>
            <xm:f>"Value Missing"</xm:f>
            <x14:dxf>
              <font>
                <color rgb="FF006100"/>
              </font>
              <fill>
                <patternFill>
                  <bgColor rgb="FFC6EFCE"/>
                </patternFill>
              </fill>
            </x14:dxf>
          </x14:cfRule>
          <x14:cfRule type="containsText" priority="219" operator="containsText" id="{674C88F0-1CA9-194D-AA55-13144DB498AE}">
            <xm:f>NOT(ISERROR(SEARCH("Value Missing",C205)))</xm:f>
            <xm:f>"Value Missing"</xm:f>
            <x14:dxf>
              <font>
                <color rgb="FF9C0006"/>
              </font>
              <fill>
                <patternFill>
                  <bgColor rgb="FFFFC7CE"/>
                </patternFill>
              </fill>
            </x14:dxf>
          </x14:cfRule>
          <xm:sqref>C205:C211</xm:sqref>
        </x14:conditionalFormatting>
        <x14:conditionalFormatting xmlns:xm="http://schemas.microsoft.com/office/excel/2006/main">
          <x14:cfRule type="notContainsText" priority="228" operator="notContains" id="{BDCED431-45F8-3F44-8534-D7D9037E3B4D}">
            <xm:f>ISERROR(SEARCH("Value Missing",C207))</xm:f>
            <xm:f>"Value Missing"</xm:f>
            <x14:dxf>
              <font>
                <color rgb="FF006100"/>
              </font>
              <fill>
                <patternFill>
                  <bgColor rgb="FFC6EFCE"/>
                </patternFill>
              </fill>
            </x14:dxf>
          </x14:cfRule>
          <x14:cfRule type="containsText" priority="229" operator="containsText" id="{4957BBAD-5B1A-234B-8935-B0C0D0E4C9F5}">
            <xm:f>NOT(ISERROR(SEARCH("Value Missing",C207)))</xm:f>
            <xm:f>"Value Missing"</xm:f>
            <x14:dxf>
              <font>
                <color rgb="FF9C0006"/>
              </font>
              <fill>
                <patternFill>
                  <bgColor rgb="FFFFC7CE"/>
                </patternFill>
              </fill>
            </x14:dxf>
          </x14:cfRule>
          <xm:sqref>C207:C211</xm:sqref>
        </x14:conditionalFormatting>
        <x14:conditionalFormatting xmlns:xm="http://schemas.microsoft.com/office/excel/2006/main">
          <x14:cfRule type="notContainsText" priority="182" operator="notContains" id="{BC313E2D-A6B8-664A-ACCF-0122D377EC48}">
            <xm:f>ISERROR(SEARCH("Value Missing",C215))</xm:f>
            <xm:f>"Value Missing"</xm:f>
            <x14:dxf>
              <font>
                <color rgb="FF006100"/>
              </font>
              <fill>
                <patternFill>
                  <bgColor rgb="FFC6EFCE"/>
                </patternFill>
              </fill>
            </x14:dxf>
          </x14:cfRule>
          <x14:cfRule type="containsText" priority="181" operator="containsText" id="{94893ACF-F51A-E141-841C-42B313E95CFD}">
            <xm:f>NOT(ISERROR(SEARCH("Value Missing",C215)))</xm:f>
            <xm:f>"Value Missing"</xm:f>
            <x14:dxf>
              <font>
                <color rgb="FF9C0006"/>
              </font>
              <fill>
                <patternFill>
                  <bgColor rgb="FFFFC7CE"/>
                </patternFill>
              </fill>
            </x14:dxf>
          </x14:cfRule>
          <xm:sqref>C215:C231</xm:sqref>
        </x14:conditionalFormatting>
        <x14:conditionalFormatting xmlns:xm="http://schemas.microsoft.com/office/excel/2006/main">
          <x14:cfRule type="notContainsText" priority="180" operator="notContains" id="{A998FE4A-7A6C-FB42-840A-E18A5D9D28B9}">
            <xm:f>ISERROR(SEARCH("Value Missing",C231))</xm:f>
            <xm:f>"Value Missing"</xm:f>
            <x14:dxf>
              <font>
                <color rgb="FF006100"/>
              </font>
              <fill>
                <patternFill>
                  <bgColor rgb="FFC6EFCE"/>
                </patternFill>
              </fill>
            </x14:dxf>
          </x14:cfRule>
          <xm:sqref>C231</xm:sqref>
        </x14:conditionalFormatting>
        <x14:conditionalFormatting xmlns:xm="http://schemas.microsoft.com/office/excel/2006/main">
          <x14:cfRule type="notContainsText" priority="179" operator="notContains" id="{3F2AF707-F748-574B-9679-E50CF5935DD0}">
            <xm:f>ISERROR(SEARCH("Value Missing",C235))</xm:f>
            <xm:f>"Value Missing"</xm:f>
            <x14:dxf>
              <font>
                <color rgb="FF006100"/>
              </font>
              <fill>
                <patternFill>
                  <bgColor rgb="FFC6EFCE"/>
                </patternFill>
              </fill>
            </x14:dxf>
          </x14:cfRule>
          <xm:sqref>C235:C245</xm:sqref>
        </x14:conditionalFormatting>
        <x14:conditionalFormatting xmlns:xm="http://schemas.microsoft.com/office/excel/2006/main">
          <x14:cfRule type="containsText" priority="178" operator="containsText" id="{46D9F9EA-7FDB-484B-AA58-55E5FCD3B3A1}">
            <xm:f>NOT(ISERROR(SEARCH("Value Missing",C240)))</xm:f>
            <xm:f>"Value Missing"</xm:f>
            <x14:dxf>
              <font>
                <color rgb="FF9C0006"/>
              </font>
              <fill>
                <patternFill>
                  <bgColor rgb="FFFFC7CE"/>
                </patternFill>
              </fill>
            </x14:dxf>
          </x14:cfRule>
          <x14:cfRule type="notContainsText" priority="177" operator="notContains" id="{F350D4FA-FE7D-5644-BB2A-8AE9A815FF2E}">
            <xm:f>ISERROR(SEARCH("Value Missing",C240))</xm:f>
            <xm:f>"Value Missing"</xm:f>
            <x14:dxf>
              <font>
                <color rgb="FF006100"/>
              </font>
              <fill>
                <patternFill>
                  <bgColor rgb="FFC6EFCE"/>
                </patternFill>
              </fill>
            </x14:dxf>
          </x14:cfRule>
          <xm:sqref>C240</xm:sqref>
        </x14:conditionalFormatting>
        <x14:conditionalFormatting xmlns:xm="http://schemas.microsoft.com/office/excel/2006/main">
          <x14:cfRule type="containsText" priority="431" operator="containsText" id="{0DD1F0F6-FBCA-9D47-920D-E8BCEE1EAE1A}">
            <xm:f>NOT(ISERROR(SEARCH("Value Missing",C249)))</xm:f>
            <xm:f>"Value Missing"</xm:f>
            <x14:dxf>
              <font>
                <color rgb="FF9C0006"/>
              </font>
              <fill>
                <patternFill>
                  <bgColor rgb="FFFFC7CE"/>
                </patternFill>
              </fill>
            </x14:dxf>
          </x14:cfRule>
          <xm:sqref>C249:C253 C255:C259 C263:C267 C269:C273 C277:C281 C283:C287</xm:sqref>
        </x14:conditionalFormatting>
        <x14:conditionalFormatting xmlns:xm="http://schemas.microsoft.com/office/excel/2006/main">
          <x14:cfRule type="notContainsText" priority="176" operator="notContains" id="{48231C3F-07F3-4740-A354-72C4990341DF}">
            <xm:f>ISERROR(SEARCH("Value Missing",C249))</xm:f>
            <xm:f>"Value Missing"</xm:f>
            <x14:dxf>
              <font>
                <color rgb="FF006100"/>
              </font>
              <fill>
                <patternFill>
                  <bgColor rgb="FFC6EFCE"/>
                </patternFill>
              </fill>
            </x14:dxf>
          </x14:cfRule>
          <xm:sqref>C249:C259</xm:sqref>
        </x14:conditionalFormatting>
        <x14:conditionalFormatting xmlns:xm="http://schemas.microsoft.com/office/excel/2006/main">
          <x14:cfRule type="containsText" priority="175" operator="containsText" id="{D50284F4-9541-8D41-B3F2-0A94A9205272}">
            <xm:f>NOT(ISERROR(SEARCH("Value Missing",C254)))</xm:f>
            <xm:f>"Value Missing"</xm:f>
            <x14:dxf>
              <font>
                <color rgb="FF9C0006"/>
              </font>
              <fill>
                <patternFill>
                  <bgColor rgb="FFFFC7CE"/>
                </patternFill>
              </fill>
            </x14:dxf>
          </x14:cfRule>
          <x14:cfRule type="notContainsText" priority="174" operator="notContains" id="{DFC59FD0-CCEE-9744-800C-34DC30692A6D}">
            <xm:f>ISERROR(SEARCH("Value Missing",C254))</xm:f>
            <xm:f>"Value Missing"</xm:f>
            <x14:dxf>
              <font>
                <color rgb="FF006100"/>
              </font>
              <fill>
                <patternFill>
                  <bgColor rgb="FFC6EFCE"/>
                </patternFill>
              </fill>
            </x14:dxf>
          </x14:cfRule>
          <xm:sqref>C254</xm:sqref>
        </x14:conditionalFormatting>
        <x14:conditionalFormatting xmlns:xm="http://schemas.microsoft.com/office/excel/2006/main">
          <x14:cfRule type="notContainsText" priority="173" operator="notContains" id="{2A5812AD-9AD1-E740-8335-D7881DCAA0C1}">
            <xm:f>ISERROR(SEARCH("Value Missing",C263))</xm:f>
            <xm:f>"Value Missing"</xm:f>
            <x14:dxf>
              <font>
                <color rgb="FF006100"/>
              </font>
              <fill>
                <patternFill>
                  <bgColor rgb="FFC6EFCE"/>
                </patternFill>
              </fill>
            </x14:dxf>
          </x14:cfRule>
          <xm:sqref>C263:C273</xm:sqref>
        </x14:conditionalFormatting>
        <x14:conditionalFormatting xmlns:xm="http://schemas.microsoft.com/office/excel/2006/main">
          <x14:cfRule type="containsText" priority="172" operator="containsText" id="{79A12B83-BA53-8646-B671-FCB207DE7CE1}">
            <xm:f>NOT(ISERROR(SEARCH("Value Missing",C268)))</xm:f>
            <xm:f>"Value Missing"</xm:f>
            <x14:dxf>
              <font>
                <color rgb="FF9C0006"/>
              </font>
              <fill>
                <patternFill>
                  <bgColor rgb="FFFFC7CE"/>
                </patternFill>
              </fill>
            </x14:dxf>
          </x14:cfRule>
          <x14:cfRule type="notContainsText" priority="171" operator="notContains" id="{6B9BD116-6B6E-724E-BAC4-A2C9856C3BE2}">
            <xm:f>ISERROR(SEARCH("Value Missing",C268))</xm:f>
            <xm:f>"Value Missing"</xm:f>
            <x14:dxf>
              <font>
                <color rgb="FF006100"/>
              </font>
              <fill>
                <patternFill>
                  <bgColor rgb="FFC6EFCE"/>
                </patternFill>
              </fill>
            </x14:dxf>
          </x14:cfRule>
          <xm:sqref>C268</xm:sqref>
        </x14:conditionalFormatting>
        <x14:conditionalFormatting xmlns:xm="http://schemas.microsoft.com/office/excel/2006/main">
          <x14:cfRule type="notContainsText" priority="170" operator="notContains" id="{B952DF3F-B4DC-E542-979A-D6C30FF9D3A2}">
            <xm:f>ISERROR(SEARCH("Value Missing",C277))</xm:f>
            <xm:f>"Value Missing"</xm:f>
            <x14:dxf>
              <font>
                <color rgb="FF006100"/>
              </font>
              <fill>
                <patternFill>
                  <bgColor rgb="FFC6EFCE"/>
                </patternFill>
              </fill>
            </x14:dxf>
          </x14:cfRule>
          <xm:sqref>C277:C287</xm:sqref>
        </x14:conditionalFormatting>
        <x14:conditionalFormatting xmlns:xm="http://schemas.microsoft.com/office/excel/2006/main">
          <x14:cfRule type="containsText" priority="169" operator="containsText" id="{CCECE50E-AB45-EA4D-B367-80711E800532}">
            <xm:f>NOT(ISERROR(SEARCH("Value Missing",C282)))</xm:f>
            <xm:f>"Value Missing"</xm:f>
            <x14:dxf>
              <font>
                <color rgb="FF9C0006"/>
              </font>
              <fill>
                <patternFill>
                  <bgColor rgb="FFFFC7CE"/>
                </patternFill>
              </fill>
            </x14:dxf>
          </x14:cfRule>
          <x14:cfRule type="notContainsText" priority="168" operator="notContains" id="{5F97E46B-ADFE-CB4C-A8BD-79944BF5A0D1}">
            <xm:f>ISERROR(SEARCH("Value Missing",C282))</xm:f>
            <xm:f>"Value Missing"</xm:f>
            <x14:dxf>
              <font>
                <color rgb="FF006100"/>
              </font>
              <fill>
                <patternFill>
                  <bgColor rgb="FFC6EFCE"/>
                </patternFill>
              </fill>
            </x14:dxf>
          </x14:cfRule>
          <xm:sqref>C282</xm:sqref>
        </x14:conditionalFormatting>
        <x14:conditionalFormatting xmlns:xm="http://schemas.microsoft.com/office/excel/2006/main">
          <x14:cfRule type="containsText" priority="305" operator="containsText" id="{EBFD817D-689E-514A-A1EF-CB250BAA8B27}">
            <xm:f>NOT(ISERROR(SEARCH("Value Missing",C291)))</xm:f>
            <xm:f>"Value Missing"</xm:f>
            <x14:dxf>
              <font>
                <color rgb="FF9C0006"/>
              </font>
              <fill>
                <patternFill>
                  <bgColor rgb="FFFFC7CE"/>
                </patternFill>
              </fill>
            </x14:dxf>
          </x14:cfRule>
          <xm:sqref>C291</xm:sqref>
        </x14:conditionalFormatting>
        <x14:conditionalFormatting xmlns:xm="http://schemas.microsoft.com/office/excel/2006/main">
          <x14:cfRule type="notContainsText" priority="302" operator="notContains" id="{8B7CEF69-CAEE-944C-A65E-500F1281EF9F}">
            <xm:f>ISERROR(SEARCH("Value Missing",C291))</xm:f>
            <xm:f>"Value Missing"</xm:f>
            <x14:dxf>
              <font>
                <color rgb="FF006100"/>
              </font>
              <fill>
                <patternFill>
                  <bgColor rgb="FFC6EFCE"/>
                </patternFill>
              </fill>
            </x14:dxf>
          </x14:cfRule>
          <x14:cfRule type="notContainsText" priority="304" operator="notContains" id="{A30B6191-0786-044A-A2A1-9FDC9648D930}">
            <xm:f>ISERROR(SEARCH("Value Missing",C291))</xm:f>
            <xm:f>"Value Missing"</xm:f>
            <x14:dxf>
              <font>
                <color rgb="FF006100"/>
              </font>
              <fill>
                <patternFill>
                  <bgColor rgb="FFC6EFCE"/>
                </patternFill>
              </fill>
            </x14:dxf>
          </x14:cfRule>
          <xm:sqref>C291:C297</xm:sqref>
        </x14:conditionalFormatting>
        <x14:conditionalFormatting xmlns:xm="http://schemas.microsoft.com/office/excel/2006/main">
          <x14:cfRule type="containsText" priority="303" operator="containsText" id="{456730A4-52E7-3341-8DF2-A0508D4202E9}">
            <xm:f>NOT(ISERROR(SEARCH("Value Missing",C292)))</xm:f>
            <xm:f>"Value Missing"</xm:f>
            <x14:dxf>
              <font>
                <color rgb="FF9C0006"/>
              </font>
              <fill>
                <patternFill>
                  <bgColor rgb="FFFFC7CE"/>
                </patternFill>
              </fill>
            </x14:dxf>
          </x14:cfRule>
          <xm:sqref>C292:C297</xm:sqref>
        </x14:conditionalFormatting>
        <x14:conditionalFormatting xmlns:xm="http://schemas.microsoft.com/office/excel/2006/main">
          <x14:cfRule type="containsText" priority="370" operator="containsText" id="{3C48A130-EA52-9045-9DE4-16D11A1E2913}">
            <xm:f>NOT(ISERROR(SEARCH("Value Missing",C301)))</xm:f>
            <xm:f>"Value Missing"</xm:f>
            <x14:dxf>
              <font>
                <color rgb="FF9C0006"/>
              </font>
              <fill>
                <patternFill>
                  <bgColor rgb="FFFFC7CE"/>
                </patternFill>
              </fill>
            </x14:dxf>
          </x14:cfRule>
          <x14:cfRule type="notContainsText" priority="369" operator="notContains" id="{CBAEFEA6-E165-834E-AAD6-9AC8780DB23D}">
            <xm:f>ISERROR(SEARCH("Value Missing",C301))</xm:f>
            <xm:f>"Value Missing"</xm:f>
            <x14:dxf>
              <font>
                <color rgb="FF006100"/>
              </font>
              <fill>
                <patternFill>
                  <bgColor rgb="FFC6EFCE"/>
                </patternFill>
              </fill>
            </x14:dxf>
          </x14:cfRule>
          <xm:sqref>C301:C306</xm:sqref>
        </x14:conditionalFormatting>
        <x14:conditionalFormatting xmlns:xm="http://schemas.microsoft.com/office/excel/2006/main">
          <x14:cfRule type="containsText" priority="316" operator="containsText" id="{5CB56C40-38BE-0148-B95C-279A982F5AFD}">
            <xm:f>NOT(ISERROR(SEARCH("Value Missing",C310)))</xm:f>
            <xm:f>"Value Missing"</xm:f>
            <x14:dxf>
              <font>
                <color rgb="FF9C0006"/>
              </font>
              <fill>
                <patternFill>
                  <bgColor rgb="FFFFC7CE"/>
                </patternFill>
              </fill>
            </x14:dxf>
          </x14:cfRule>
          <xm:sqref>C310:C315</xm:sqref>
        </x14:conditionalFormatting>
        <x14:conditionalFormatting xmlns:xm="http://schemas.microsoft.com/office/excel/2006/main">
          <x14:cfRule type="notContainsText" priority="167" operator="notContains" id="{BB372D34-B0DC-5A4B-B363-355F8CF94902}">
            <xm:f>ISERROR(SEARCH("Value Missing",C310))</xm:f>
            <xm:f>"Value Missing"</xm:f>
            <x14:dxf>
              <font>
                <color rgb="FF006100"/>
              </font>
              <fill>
                <patternFill>
                  <bgColor rgb="FFC6EFCE"/>
                </patternFill>
              </fill>
            </x14:dxf>
          </x14:cfRule>
          <xm:sqref>C310:C317</xm:sqref>
        </x14:conditionalFormatting>
        <x14:conditionalFormatting xmlns:xm="http://schemas.microsoft.com/office/excel/2006/main">
          <x14:cfRule type="containsText" priority="166" operator="containsText" id="{18216934-F741-2145-9F68-E74838C02E66}">
            <xm:f>NOT(ISERROR(SEARCH("Value Missing",C316)))</xm:f>
            <xm:f>"Value Missing"</xm:f>
            <x14:dxf>
              <font>
                <color rgb="FF9C0006"/>
              </font>
              <fill>
                <patternFill>
                  <bgColor rgb="FFFFC7CE"/>
                </patternFill>
              </fill>
            </x14:dxf>
          </x14:cfRule>
          <x14:cfRule type="notContainsText" priority="165" operator="notContains" id="{FD54415F-4B03-A646-AD38-5854E6741B8C}">
            <xm:f>ISERROR(SEARCH("Value Missing",C316))</xm:f>
            <xm:f>"Value Missing"</xm:f>
            <x14:dxf>
              <font>
                <color rgb="FF006100"/>
              </font>
              <fill>
                <patternFill>
                  <bgColor rgb="FFC6EFCE"/>
                </patternFill>
              </fill>
            </x14:dxf>
          </x14:cfRule>
          <xm:sqref>C316:C317</xm:sqref>
        </x14:conditionalFormatting>
        <x14:conditionalFormatting xmlns:xm="http://schemas.microsoft.com/office/excel/2006/main">
          <x14:cfRule type="notContainsText" priority="117" operator="notContains" id="{F1546AD2-10EA-3544-BCD1-0CC5EEE2D161}">
            <xm:f>ISERROR(SEARCH("Value Missing",C323))</xm:f>
            <xm:f>"Value Missing"</xm:f>
            <x14:dxf>
              <font>
                <color rgb="FF006100"/>
              </font>
              <fill>
                <patternFill>
                  <bgColor rgb="FFC6EFCE"/>
                </patternFill>
              </fill>
            </x14:dxf>
          </x14:cfRule>
          <x14:cfRule type="containsText" priority="118" operator="containsText" id="{5D353721-95F1-1B42-BF50-D923E50CCD5A}">
            <xm:f>NOT(ISERROR(SEARCH("Value Missing",C323)))</xm:f>
            <xm:f>"Value Missing"</xm:f>
            <x14:dxf>
              <font>
                <color rgb="FF9C0006"/>
              </font>
              <fill>
                <patternFill>
                  <bgColor rgb="FFFFC7CE"/>
                </patternFill>
              </fill>
            </x14:dxf>
          </x14:cfRule>
          <xm:sqref>C323</xm:sqref>
        </x14:conditionalFormatting>
        <x14:conditionalFormatting xmlns:xm="http://schemas.microsoft.com/office/excel/2006/main">
          <x14:cfRule type="notContainsText" priority="119" operator="notContains" id="{757B9866-F08A-D441-84CB-E014642C2409}">
            <xm:f>ISERROR(SEARCH("Value Missing",C323))</xm:f>
            <xm:f>"Value Missing"</xm:f>
            <x14:dxf>
              <font>
                <color rgb="FF006100"/>
              </font>
              <fill>
                <patternFill>
                  <bgColor rgb="FFC6EFCE"/>
                </patternFill>
              </fill>
            </x14:dxf>
          </x14:cfRule>
          <x14:cfRule type="containsText" priority="120" operator="containsText" id="{A4634F26-9335-B846-9DCB-511AAE1F0A82}">
            <xm:f>NOT(ISERROR(SEARCH("Value Missing",C323)))</xm:f>
            <xm:f>"Value Missing"</xm:f>
            <x14:dxf>
              <font>
                <color rgb="FF9C0006"/>
              </font>
              <fill>
                <patternFill>
                  <bgColor rgb="FFFFC7CE"/>
                </patternFill>
              </fill>
            </x14:dxf>
          </x14:cfRule>
          <xm:sqref>C323:C326</xm:sqref>
        </x14:conditionalFormatting>
        <x14:conditionalFormatting xmlns:xm="http://schemas.microsoft.com/office/excel/2006/main">
          <x14:cfRule type="containsText" priority="402" operator="containsText" id="{34D74EE5-3275-4245-BD0A-D37C67F352A1}">
            <xm:f>NOT(ISERROR(SEARCH("Value Missing",C328)))</xm:f>
            <xm:f>"Value Missing"</xm:f>
            <x14:dxf>
              <font>
                <color rgb="FF9C0006"/>
              </font>
              <fill>
                <patternFill>
                  <bgColor rgb="FFFFC7CE"/>
                </patternFill>
              </fill>
            </x14:dxf>
          </x14:cfRule>
          <x14:cfRule type="notContainsText" priority="401" operator="notContains" id="{2AA1BCD5-30B5-4344-8B4E-3F2E2586D34A}">
            <xm:f>ISERROR(SEARCH("Value Missing",C328))</xm:f>
            <xm:f>"Value Missing"</xm:f>
            <x14:dxf>
              <font>
                <color rgb="FF006100"/>
              </font>
              <fill>
                <patternFill>
                  <bgColor rgb="FFC6EFCE"/>
                </patternFill>
              </fill>
            </x14:dxf>
          </x14:cfRule>
          <x14:cfRule type="containsText" priority="400" operator="containsText" id="{47271066-0AAC-FD45-BA53-D39356742D35}">
            <xm:f>NOT(ISERROR(SEARCH("Value Missing",C328)))</xm:f>
            <xm:f>"Value Missing"</xm:f>
            <x14:dxf>
              <font>
                <color rgb="FF9C0006"/>
              </font>
              <fill>
                <patternFill>
                  <bgColor rgb="FFFFC7CE"/>
                </patternFill>
              </fill>
            </x14:dxf>
          </x14:cfRule>
          <x14:cfRule type="notContainsText" priority="399" operator="notContains" id="{EDFD5C3B-F133-B44C-BE97-E6495F22F82A}">
            <xm:f>ISERROR(SEARCH("Value Missing",C328))</xm:f>
            <xm:f>"Value Missing"</xm:f>
            <x14:dxf>
              <font>
                <color rgb="FF006100"/>
              </font>
              <fill>
                <patternFill>
                  <bgColor rgb="FFC6EFCE"/>
                </patternFill>
              </fill>
            </x14:dxf>
          </x14:cfRule>
          <xm:sqref>C328</xm:sqref>
        </x14:conditionalFormatting>
        <x14:conditionalFormatting xmlns:xm="http://schemas.microsoft.com/office/excel/2006/main">
          <x14:cfRule type="notContainsText" priority="161" operator="notContains" id="{6DD9F55B-FAA0-B247-A8C5-07E192EDF907}">
            <xm:f>ISERROR(SEARCH("Value Missing",C330))</xm:f>
            <xm:f>"Value Missing"</xm:f>
            <x14:dxf>
              <font>
                <color rgb="FF006100"/>
              </font>
              <fill>
                <patternFill>
                  <bgColor rgb="FFC6EFCE"/>
                </patternFill>
              </fill>
            </x14:dxf>
          </x14:cfRule>
          <x14:cfRule type="containsText" priority="162" operator="containsText" id="{7CC184E2-C57F-ED48-9916-DC08E7B3B699}">
            <xm:f>NOT(ISERROR(SEARCH("Value Missing",C330)))</xm:f>
            <xm:f>"Value Missing"</xm:f>
            <x14:dxf>
              <font>
                <color rgb="FF9C0006"/>
              </font>
              <fill>
                <patternFill>
                  <bgColor rgb="FFFFC7CE"/>
                </patternFill>
              </fill>
            </x14:dxf>
          </x14:cfRule>
          <x14:cfRule type="containsText" priority="164" operator="containsText" id="{73536DED-5000-B046-9BE9-904566BEBD7B}">
            <xm:f>NOT(ISERROR(SEARCH("Value Missing",C330)))</xm:f>
            <xm:f>"Value Missing"</xm:f>
            <x14:dxf>
              <font>
                <color rgb="FF9C0006"/>
              </font>
              <fill>
                <patternFill>
                  <bgColor rgb="FFFFC7CE"/>
                </patternFill>
              </fill>
            </x14:dxf>
          </x14:cfRule>
          <x14:cfRule type="notContainsText" priority="163" operator="notContains" id="{65C1E7FF-88A4-594E-855B-1AC5FE962788}">
            <xm:f>ISERROR(SEARCH("Value Missing",C330))</xm:f>
            <xm:f>"Value Missing"</xm:f>
            <x14:dxf>
              <font>
                <color rgb="FF006100"/>
              </font>
              <fill>
                <patternFill>
                  <bgColor rgb="FFC6EFCE"/>
                </patternFill>
              </fill>
            </x14:dxf>
          </x14:cfRule>
          <xm:sqref>C330:C336</xm:sqref>
        </x14:conditionalFormatting>
        <x14:conditionalFormatting xmlns:xm="http://schemas.microsoft.com/office/excel/2006/main">
          <x14:cfRule type="containsText" priority="417" operator="containsText" id="{C47E9737-0FFF-F444-A4A4-737AB9D635EE}">
            <xm:f>NOT(ISERROR(SEARCH("Value Missing",C340)))</xm:f>
            <xm:f>"Value Missing"</xm:f>
            <x14:dxf>
              <font>
                <color rgb="FF9C0006"/>
              </font>
              <fill>
                <patternFill>
                  <bgColor rgb="FFFFC7CE"/>
                </patternFill>
              </fill>
            </x14:dxf>
          </x14:cfRule>
          <x14:cfRule type="notContainsText" priority="416" operator="notContains" id="{F6309E7B-9479-DD4A-A41B-F4D72823F5EE}">
            <xm:f>ISERROR(SEARCH("Value Missing",C340))</xm:f>
            <xm:f>"Value Missing"</xm:f>
            <x14:dxf>
              <font>
                <color rgb="FF006100"/>
              </font>
              <fill>
                <patternFill>
                  <bgColor rgb="FFC6EFCE"/>
                </patternFill>
              </fill>
            </x14:dxf>
          </x14:cfRule>
          <xm:sqref>C340:C371</xm:sqref>
        </x14:conditionalFormatting>
        <x14:conditionalFormatting xmlns:xm="http://schemas.microsoft.com/office/excel/2006/main">
          <x14:cfRule type="containsText" priority="421" operator="containsText" id="{507D5348-B7AB-D84A-AC63-F1340F7E7B2E}">
            <xm:f>NOT(ISERROR(SEARCH("Value Missing",C375)))</xm:f>
            <xm:f>"Value Missing"</xm:f>
            <x14:dxf>
              <font>
                <color rgb="FF9C0006"/>
              </font>
              <fill>
                <patternFill>
                  <bgColor rgb="FFFFC7CE"/>
                </patternFill>
              </fill>
            </x14:dxf>
          </x14:cfRule>
          <x14:cfRule type="notContainsText" priority="420" operator="notContains" id="{560C56CE-0A67-6347-9E72-C785D8930B95}">
            <xm:f>ISERROR(SEARCH("Value Missing",C375))</xm:f>
            <xm:f>"Value Missing"</xm:f>
            <x14:dxf>
              <font>
                <color rgb="FF006100"/>
              </font>
              <fill>
                <patternFill>
                  <bgColor rgb="FFC6EFCE"/>
                </patternFill>
              </fill>
            </x14:dxf>
          </x14:cfRule>
          <xm:sqref>C375:C390</xm:sqref>
        </x14:conditionalFormatting>
        <x14:conditionalFormatting xmlns:xm="http://schemas.microsoft.com/office/excel/2006/main">
          <x14:cfRule type="containsText" priority="413" operator="containsText" id="{3D5204B5-3BF5-1D40-B455-7DD6B379027F}">
            <xm:f>NOT(ISERROR(SEARCH("Value Missing",C394)))</xm:f>
            <xm:f>"Value Missing"</xm:f>
            <x14:dxf>
              <font>
                <color rgb="FF9C0006"/>
              </font>
              <fill>
                <patternFill>
                  <bgColor rgb="FFFFC7CE"/>
                </patternFill>
              </fill>
            </x14:dxf>
          </x14:cfRule>
          <x14:cfRule type="notContainsText" priority="412" operator="notContains" id="{2811DE83-0DCF-274F-B959-8027267ADC20}">
            <xm:f>ISERROR(SEARCH("Value Missing",C394))</xm:f>
            <xm:f>"Value Missing"</xm:f>
            <x14:dxf>
              <font>
                <color rgb="FF006100"/>
              </font>
              <fill>
                <patternFill>
                  <bgColor rgb="FFC6EFCE"/>
                </patternFill>
              </fill>
            </x14:dxf>
          </x14:cfRule>
          <x14:cfRule type="containsText" priority="411" operator="containsText" id="{49DF44DE-DBE1-EE43-89A7-999AAE7CEBD5}">
            <xm:f>NOT(ISERROR(SEARCH("Value Missing",C394)))</xm:f>
            <xm:f>"Value Missing"</xm:f>
            <x14:dxf>
              <font>
                <color rgb="FF9C0006"/>
              </font>
              <fill>
                <patternFill>
                  <bgColor rgb="FFFFC7CE"/>
                </patternFill>
              </fill>
            </x14:dxf>
          </x14:cfRule>
          <x14:cfRule type="notContainsText" priority="410" operator="notContains" id="{74F1CD1E-B4D3-F241-B4FD-996C4D8BA204}">
            <xm:f>ISERROR(SEARCH("Value Missing",C394))</xm:f>
            <xm:f>"Value Missing"</xm:f>
            <x14:dxf>
              <font>
                <color rgb="FF006100"/>
              </font>
              <fill>
                <patternFill>
                  <bgColor rgb="FFC6EFCE"/>
                </patternFill>
              </fill>
            </x14:dxf>
          </x14:cfRule>
          <xm:sqref>C394:C409</xm:sqref>
        </x14:conditionalFormatting>
        <x14:conditionalFormatting xmlns:xm="http://schemas.microsoft.com/office/excel/2006/main">
          <x14:cfRule type="containsText" priority="368" operator="containsText" id="{68BF2533-FCDC-3442-832E-66DC4DE9EB09}">
            <xm:f>NOT(ISERROR(SEARCH("Value Missing",F8)))</xm:f>
            <xm:f>"Value Missing"</xm:f>
            <x14:dxf>
              <font>
                <color rgb="FF9C0006"/>
              </font>
              <fill>
                <patternFill>
                  <bgColor rgb="FFFFC7CE"/>
                </patternFill>
              </fill>
            </x14:dxf>
          </x14:cfRule>
          <x14:cfRule type="notContainsText" priority="367" operator="notContains" id="{A9C35FCF-D997-3247-917B-1C13CCCF95B5}">
            <xm:f>ISERROR(SEARCH("Value Missing",F8))</xm:f>
            <xm:f>"Value Missing"</xm:f>
            <x14:dxf>
              <font>
                <color rgb="FF006100"/>
              </font>
              <fill>
                <patternFill>
                  <bgColor rgb="FFC6EFCE"/>
                </patternFill>
              </fill>
            </x14:dxf>
          </x14:cfRule>
          <xm:sqref>F8:F18</xm:sqref>
        </x14:conditionalFormatting>
        <x14:conditionalFormatting xmlns:xm="http://schemas.microsoft.com/office/excel/2006/main">
          <x14:cfRule type="containsText" priority="366" operator="containsText" id="{07F30B3A-9C8E-064D-971B-3B3584813155}">
            <xm:f>NOT(ISERROR(SEARCH("Value Missing",F22)))</xm:f>
            <xm:f>"Value Missing"</xm:f>
            <x14:dxf>
              <font>
                <color rgb="FF9C0006"/>
              </font>
              <fill>
                <patternFill>
                  <bgColor rgb="FFFFC7CE"/>
                </patternFill>
              </fill>
            </x14:dxf>
          </x14:cfRule>
          <x14:cfRule type="notContainsText" priority="365" operator="notContains" id="{9B9786E7-AD9A-E64C-9C0D-B0CE3D0FCB2E}">
            <xm:f>ISERROR(SEARCH("Value Missing",F22))</xm:f>
            <xm:f>"Value Missing"</xm:f>
            <x14:dxf>
              <font>
                <color rgb="FF006100"/>
              </font>
              <fill>
                <patternFill>
                  <bgColor rgb="FFC6EFCE"/>
                </patternFill>
              </fill>
            </x14:dxf>
          </x14:cfRule>
          <xm:sqref>F22:F32</xm:sqref>
        </x14:conditionalFormatting>
        <x14:conditionalFormatting xmlns:xm="http://schemas.microsoft.com/office/excel/2006/main">
          <x14:cfRule type="containsText" priority="364" operator="containsText" id="{41E0DE7D-4BC7-7449-A6F8-6646157CEFE2}">
            <xm:f>NOT(ISERROR(SEARCH("Value Missing",F36)))</xm:f>
            <xm:f>"Value Missing"</xm:f>
            <x14:dxf>
              <font>
                <color rgb="FF9C0006"/>
              </font>
              <fill>
                <patternFill>
                  <bgColor rgb="FFFFC7CE"/>
                </patternFill>
              </fill>
            </x14:dxf>
          </x14:cfRule>
          <x14:cfRule type="notContainsText" priority="363" operator="notContains" id="{CC1E59A9-64CF-814B-A228-BDC7FBB3F357}">
            <xm:f>ISERROR(SEARCH("Value Missing",F36))</xm:f>
            <xm:f>"Value Missing"</xm:f>
            <x14:dxf>
              <font>
                <color rgb="FF006100"/>
              </font>
              <fill>
                <patternFill>
                  <bgColor rgb="FFC6EFCE"/>
                </patternFill>
              </fill>
            </x14:dxf>
          </x14:cfRule>
          <xm:sqref>F36:F46</xm:sqref>
        </x14:conditionalFormatting>
        <x14:conditionalFormatting xmlns:xm="http://schemas.microsoft.com/office/excel/2006/main">
          <x14:cfRule type="notContainsText" priority="361" operator="notContains" id="{5E91FEF2-9123-CA4E-93FB-4054E1756814}">
            <xm:f>ISERROR(SEARCH("Value Missing",F50))</xm:f>
            <xm:f>"Value Missing"</xm:f>
            <x14:dxf>
              <font>
                <color rgb="FF006100"/>
              </font>
              <fill>
                <patternFill>
                  <bgColor rgb="FFC6EFCE"/>
                </patternFill>
              </fill>
            </x14:dxf>
          </x14:cfRule>
          <x14:cfRule type="containsText" priority="362" operator="containsText" id="{1DC0476C-478C-D04D-9548-EE2CA219FA40}">
            <xm:f>NOT(ISERROR(SEARCH("Value Missing",F50)))</xm:f>
            <xm:f>"Value Missing"</xm:f>
            <x14:dxf>
              <font>
                <color rgb="FF9C0006"/>
              </font>
              <fill>
                <patternFill>
                  <bgColor rgb="FFFFC7CE"/>
                </patternFill>
              </fill>
            </x14:dxf>
          </x14:cfRule>
          <xm:sqref>F50:F60</xm:sqref>
        </x14:conditionalFormatting>
        <x14:conditionalFormatting xmlns:xm="http://schemas.microsoft.com/office/excel/2006/main">
          <x14:cfRule type="notContainsText" priority="359" operator="notContains" id="{8B091194-CAA8-1C4A-9525-46AE218DB4E5}">
            <xm:f>ISERROR(SEARCH("Value Missing",F64))</xm:f>
            <xm:f>"Value Missing"</xm:f>
            <x14:dxf>
              <font>
                <color rgb="FF006100"/>
              </font>
              <fill>
                <patternFill>
                  <bgColor rgb="FFC6EFCE"/>
                </patternFill>
              </fill>
            </x14:dxf>
          </x14:cfRule>
          <x14:cfRule type="containsText" priority="360" operator="containsText" id="{FF394246-CA74-684C-9EE4-59D7855C3BCA}">
            <xm:f>NOT(ISERROR(SEARCH("Value Missing",F64)))</xm:f>
            <xm:f>"Value Missing"</xm:f>
            <x14:dxf>
              <font>
                <color rgb="FF9C0006"/>
              </font>
              <fill>
                <patternFill>
                  <bgColor rgb="FFFFC7CE"/>
                </patternFill>
              </fill>
            </x14:dxf>
          </x14:cfRule>
          <xm:sqref>F64:F70</xm:sqref>
        </x14:conditionalFormatting>
        <x14:conditionalFormatting xmlns:xm="http://schemas.microsoft.com/office/excel/2006/main">
          <x14:cfRule type="notContainsText" priority="355" operator="notContains" id="{04BD849B-3DBE-B643-8104-E5A7A326E60D}">
            <xm:f>ISERROR(SEARCH("Value Missing",F74))</xm:f>
            <xm:f>"Value Missing"</xm:f>
            <x14:dxf>
              <font>
                <color rgb="FF006100"/>
              </font>
              <fill>
                <patternFill>
                  <bgColor rgb="FFC6EFCE"/>
                </patternFill>
              </fill>
            </x14:dxf>
          </x14:cfRule>
          <x14:cfRule type="containsText" priority="356" operator="containsText" id="{C07DF293-1ECE-574C-9D0B-604FE47CEC8B}">
            <xm:f>NOT(ISERROR(SEARCH("Value Missing",F74)))</xm:f>
            <xm:f>"Value Missing"</xm:f>
            <x14:dxf>
              <font>
                <color rgb="FF9C0006"/>
              </font>
              <fill>
                <patternFill>
                  <bgColor rgb="FFFFC7CE"/>
                </patternFill>
              </fill>
            </x14:dxf>
          </x14:cfRule>
          <xm:sqref>F74:F79</xm:sqref>
        </x14:conditionalFormatting>
        <x14:conditionalFormatting xmlns:xm="http://schemas.microsoft.com/office/excel/2006/main">
          <x14:cfRule type="notContainsText" priority="353" operator="notContains" id="{231BA44C-E0C5-5D48-9165-30EB5C86BFC8}">
            <xm:f>ISERROR(SEARCH("Value Missing",F83))</xm:f>
            <xm:f>"Value Missing"</xm:f>
            <x14:dxf>
              <font>
                <color rgb="FF006100"/>
              </font>
              <fill>
                <patternFill>
                  <bgColor rgb="FFC6EFCE"/>
                </patternFill>
              </fill>
            </x14:dxf>
          </x14:cfRule>
          <x14:cfRule type="containsText" priority="354" operator="containsText" id="{A7FC7AB1-7D39-604C-B9E9-51276A92EC34}">
            <xm:f>NOT(ISERROR(SEARCH("Value Missing",F83)))</xm:f>
            <xm:f>"Value Missing"</xm:f>
            <x14:dxf>
              <font>
                <color rgb="FF9C0006"/>
              </font>
              <fill>
                <patternFill>
                  <bgColor rgb="FFFFC7CE"/>
                </patternFill>
              </fill>
            </x14:dxf>
          </x14:cfRule>
          <xm:sqref>F83:F84</xm:sqref>
        </x14:conditionalFormatting>
        <x14:conditionalFormatting xmlns:xm="http://schemas.microsoft.com/office/excel/2006/main">
          <x14:cfRule type="containsText" priority="350" operator="containsText" id="{26ECF640-7CC5-9149-9A4E-CD42EDCEF3F2}">
            <xm:f>NOT(ISERROR(SEARCH("Value Missing",F83)))</xm:f>
            <xm:f>"Value Missing"</xm:f>
            <x14:dxf>
              <font>
                <color rgb="FF9C0006"/>
              </font>
              <fill>
                <patternFill>
                  <bgColor rgb="FFFFC7CE"/>
                </patternFill>
              </fill>
            </x14:dxf>
          </x14:cfRule>
          <x14:cfRule type="notContainsText" priority="349" operator="notContains" id="{D03C3B42-383B-FB4F-B9B8-5B286EC171E9}">
            <xm:f>ISERROR(SEARCH("Value Missing",F83))</xm:f>
            <xm:f>"Value Missing"</xm:f>
            <x14:dxf>
              <font>
                <color rgb="FF006100"/>
              </font>
              <fill>
                <patternFill>
                  <bgColor rgb="FFC6EFCE"/>
                </patternFill>
              </fill>
            </x14:dxf>
          </x14:cfRule>
          <xm:sqref>F83:F85</xm:sqref>
        </x14:conditionalFormatting>
        <x14:conditionalFormatting xmlns:xm="http://schemas.microsoft.com/office/excel/2006/main">
          <x14:cfRule type="notContainsText" priority="345" operator="notContains" id="{E84DF8BC-E191-0649-9DCA-BCE1E70B144F}">
            <xm:f>ISERROR(SEARCH("Value Missing",F85))</xm:f>
            <xm:f>"Value Missing"</xm:f>
            <x14:dxf>
              <font>
                <color rgb="FF006100"/>
              </font>
              <fill>
                <patternFill>
                  <bgColor rgb="FFC6EFCE"/>
                </patternFill>
              </fill>
            </x14:dxf>
          </x14:cfRule>
          <x14:cfRule type="containsText" priority="346" operator="containsText" id="{CBB2F90D-B1A9-234B-BEC4-0D3CD7B18E10}">
            <xm:f>NOT(ISERROR(SEARCH("Value Missing",F85)))</xm:f>
            <xm:f>"Value Missing"</xm:f>
            <x14:dxf>
              <font>
                <color rgb="FF9C0006"/>
              </font>
              <fill>
                <patternFill>
                  <bgColor rgb="FFFFC7CE"/>
                </patternFill>
              </fill>
            </x14:dxf>
          </x14:cfRule>
          <xm:sqref>F85:F86</xm:sqref>
        </x14:conditionalFormatting>
        <x14:conditionalFormatting xmlns:xm="http://schemas.microsoft.com/office/excel/2006/main">
          <x14:cfRule type="notContainsText" priority="341" operator="notContains" id="{32B5059F-BDB4-B34A-80A2-BD749EB62433}">
            <xm:f>ISERROR(SEARCH("Value Missing",F86))</xm:f>
            <xm:f>"Value Missing"</xm:f>
            <x14:dxf>
              <font>
                <color rgb="FF006100"/>
              </font>
              <fill>
                <patternFill>
                  <bgColor rgb="FFC6EFCE"/>
                </patternFill>
              </fill>
            </x14:dxf>
          </x14:cfRule>
          <x14:cfRule type="containsText" priority="342" operator="containsText" id="{7218C064-3FF3-3B4B-B881-FB6E0CAF2368}">
            <xm:f>NOT(ISERROR(SEARCH("Value Missing",F86)))</xm:f>
            <xm:f>"Value Missing"</xm:f>
            <x14:dxf>
              <font>
                <color rgb="FF9C0006"/>
              </font>
              <fill>
                <patternFill>
                  <bgColor rgb="FFFFC7CE"/>
                </patternFill>
              </fill>
            </x14:dxf>
          </x14:cfRule>
          <xm:sqref>F86:F87</xm:sqref>
        </x14:conditionalFormatting>
        <x14:conditionalFormatting xmlns:xm="http://schemas.microsoft.com/office/excel/2006/main">
          <x14:cfRule type="notContainsText" priority="337" operator="notContains" id="{B5655121-38FE-2A42-9C41-E057C7BBFECA}">
            <xm:f>ISERROR(SEARCH("Value Missing",F87))</xm:f>
            <xm:f>"Value Missing"</xm:f>
            <x14:dxf>
              <font>
                <color rgb="FF006100"/>
              </font>
              <fill>
                <patternFill>
                  <bgColor rgb="FFC6EFCE"/>
                </patternFill>
              </fill>
            </x14:dxf>
          </x14:cfRule>
          <x14:cfRule type="containsText" priority="338" operator="containsText" id="{F8A00A14-0854-6E4D-9D95-65BBBC0696BF}">
            <xm:f>NOT(ISERROR(SEARCH("Value Missing",F87)))</xm:f>
            <xm:f>"Value Missing"</xm:f>
            <x14:dxf>
              <font>
                <color rgb="FF9C0006"/>
              </font>
              <fill>
                <patternFill>
                  <bgColor rgb="FFFFC7CE"/>
                </patternFill>
              </fill>
            </x14:dxf>
          </x14:cfRule>
          <xm:sqref>F87:F88</xm:sqref>
        </x14:conditionalFormatting>
        <x14:conditionalFormatting xmlns:xm="http://schemas.microsoft.com/office/excel/2006/main">
          <x14:cfRule type="notContainsText" priority="333" operator="notContains" id="{8574212D-A13D-0A45-BEC1-5CB99D630C85}">
            <xm:f>ISERROR(SEARCH("Value Missing",F88))</xm:f>
            <xm:f>"Value Missing"</xm:f>
            <x14:dxf>
              <font>
                <color rgb="FF006100"/>
              </font>
              <fill>
                <patternFill>
                  <bgColor rgb="FFC6EFCE"/>
                </patternFill>
              </fill>
            </x14:dxf>
          </x14:cfRule>
          <x14:cfRule type="containsText" priority="334" operator="containsText" id="{B5493C7B-A617-4442-A2B2-B47BF5D5A676}">
            <xm:f>NOT(ISERROR(SEARCH("Value Missing",F88)))</xm:f>
            <xm:f>"Value Missing"</xm:f>
            <x14:dxf>
              <font>
                <color rgb="FF9C0006"/>
              </font>
              <fill>
                <patternFill>
                  <bgColor rgb="FFFFC7CE"/>
                </patternFill>
              </fill>
            </x14:dxf>
          </x14:cfRule>
          <xm:sqref>F88:F89</xm:sqref>
        </x14:conditionalFormatting>
        <x14:conditionalFormatting xmlns:xm="http://schemas.microsoft.com/office/excel/2006/main">
          <x14:cfRule type="notContainsText" priority="329" operator="notContains" id="{51422BF2-151F-CA40-8A78-F73EC1BB552E}">
            <xm:f>ISERROR(SEARCH("Value Missing",F89))</xm:f>
            <xm:f>"Value Missing"</xm:f>
            <x14:dxf>
              <font>
                <color rgb="FF006100"/>
              </font>
              <fill>
                <patternFill>
                  <bgColor rgb="FFC6EFCE"/>
                </patternFill>
              </fill>
            </x14:dxf>
          </x14:cfRule>
          <x14:cfRule type="containsText" priority="330" operator="containsText" id="{E96F6D00-54CC-4A45-A712-A333224CF11C}">
            <xm:f>NOT(ISERROR(SEARCH("Value Missing",F89)))</xm:f>
            <xm:f>"Value Missing"</xm:f>
            <x14:dxf>
              <font>
                <color rgb="FF9C0006"/>
              </font>
              <fill>
                <patternFill>
                  <bgColor rgb="FFFFC7CE"/>
                </patternFill>
              </fill>
            </x14:dxf>
          </x14:cfRule>
          <xm:sqref>F89:F92</xm:sqref>
        </x14:conditionalFormatting>
        <x14:conditionalFormatting xmlns:xm="http://schemas.microsoft.com/office/excel/2006/main">
          <x14:cfRule type="containsText" priority="326" operator="containsText" id="{D6E7DCA8-961C-BE47-AB91-503666BF336F}">
            <xm:f>NOT(ISERROR(SEARCH("Value Missing",F90)))</xm:f>
            <xm:f>"Value Missing"</xm:f>
            <x14:dxf>
              <font>
                <color rgb="FF9C0006"/>
              </font>
              <fill>
                <patternFill>
                  <bgColor rgb="FFFFC7CE"/>
                </patternFill>
              </fill>
            </x14:dxf>
          </x14:cfRule>
          <x14:cfRule type="notContainsText" priority="325" operator="notContains" id="{2C6B4E1A-7743-FD4B-93BD-A3E086132C72}">
            <xm:f>ISERROR(SEARCH("Value Missing",F90))</xm:f>
            <xm:f>"Value Missing"</xm:f>
            <x14:dxf>
              <font>
                <color rgb="FF006100"/>
              </font>
              <fill>
                <patternFill>
                  <bgColor rgb="FFC6EFCE"/>
                </patternFill>
              </fill>
            </x14:dxf>
          </x14:cfRule>
          <xm:sqref>F90:F93</xm:sqref>
        </x14:conditionalFormatting>
        <x14:conditionalFormatting xmlns:xm="http://schemas.microsoft.com/office/excel/2006/main">
          <x14:cfRule type="containsText" priority="322" operator="containsText" id="{3747224C-0DCD-5B44-9922-D17D5C555E87}">
            <xm:f>NOT(ISERROR(SEARCH("Value Missing",F93)))</xm:f>
            <xm:f>"Value Missing"</xm:f>
            <x14:dxf>
              <font>
                <color rgb="FF9C0006"/>
              </font>
              <fill>
                <patternFill>
                  <bgColor rgb="FFFFC7CE"/>
                </patternFill>
              </fill>
            </x14:dxf>
          </x14:cfRule>
          <x14:cfRule type="notContainsText" priority="321" operator="notContains" id="{40365D40-2B0A-F644-BBB3-4D922956CBFD}">
            <xm:f>ISERROR(SEARCH("Value Missing",F93))</xm:f>
            <xm:f>"Value Missing"</xm:f>
            <x14:dxf>
              <font>
                <color rgb="FF006100"/>
              </font>
              <fill>
                <patternFill>
                  <bgColor rgb="FFC6EFCE"/>
                </patternFill>
              </fill>
            </x14:dxf>
          </x14:cfRule>
          <xm:sqref>F93:F94</xm:sqref>
        </x14:conditionalFormatting>
        <x14:conditionalFormatting xmlns:xm="http://schemas.microsoft.com/office/excel/2006/main">
          <x14:cfRule type="notContainsText" priority="319" operator="notContains" id="{5FC208B5-5A12-344A-AFCA-3F2522C975BB}">
            <xm:f>ISERROR(SEARCH("Value Missing",F94))</xm:f>
            <xm:f>"Value Missing"</xm:f>
            <x14:dxf>
              <font>
                <color rgb="FF006100"/>
              </font>
              <fill>
                <patternFill>
                  <bgColor rgb="FFC6EFCE"/>
                </patternFill>
              </fill>
            </x14:dxf>
          </x14:cfRule>
          <x14:cfRule type="containsText" priority="320" operator="containsText" id="{0E981C46-5E82-8640-B155-81968590733C}">
            <xm:f>NOT(ISERROR(SEARCH("Value Missing",F94)))</xm:f>
            <xm:f>"Value Missing"</xm:f>
            <x14:dxf>
              <font>
                <color rgb="FF9C0006"/>
              </font>
              <fill>
                <patternFill>
                  <bgColor rgb="FFFFC7CE"/>
                </patternFill>
              </fill>
            </x14:dxf>
          </x14:cfRule>
          <xm:sqref>F94</xm:sqref>
        </x14:conditionalFormatting>
        <x14:conditionalFormatting xmlns:xm="http://schemas.microsoft.com/office/excel/2006/main">
          <x14:cfRule type="containsText" priority="150" operator="containsText" id="{DA807A82-63C4-6D4A-B52F-C3471DA55956}">
            <xm:f>NOT(ISERROR(SEARCH("Value Missing",F98)))</xm:f>
            <xm:f>"Value Missing"</xm:f>
            <x14:dxf>
              <font>
                <color rgb="FF9C0006"/>
              </font>
              <fill>
                <patternFill>
                  <bgColor rgb="FFFFC7CE"/>
                </patternFill>
              </fill>
            </x14:dxf>
          </x14:cfRule>
          <x14:cfRule type="notContainsText" priority="149" operator="notContains" id="{F6FE6846-3CAE-2947-B977-2AB769A1D01E}">
            <xm:f>ISERROR(SEARCH("Value Missing",F98))</xm:f>
            <xm:f>"Value Missing"</xm:f>
            <x14:dxf>
              <font>
                <color rgb="FF006100"/>
              </font>
              <fill>
                <patternFill>
                  <bgColor rgb="FFC6EFCE"/>
                </patternFill>
              </fill>
            </x14:dxf>
          </x14:cfRule>
          <xm:sqref>F98</xm:sqref>
        </x14:conditionalFormatting>
        <x14:conditionalFormatting xmlns:xm="http://schemas.microsoft.com/office/excel/2006/main">
          <x14:cfRule type="containsText" priority="152" operator="containsText" id="{3810BF9F-5C5B-DC48-B596-2B5F005CBFEA}">
            <xm:f>NOT(ISERROR(SEARCH("Value Missing",F98)))</xm:f>
            <xm:f>"Value Missing"</xm:f>
            <x14:dxf>
              <font>
                <color rgb="FF9C0006"/>
              </font>
              <fill>
                <patternFill>
                  <bgColor rgb="FFFFC7CE"/>
                </patternFill>
              </fill>
            </x14:dxf>
          </x14:cfRule>
          <x14:cfRule type="notContainsText" priority="151" operator="notContains" id="{64DC3F9D-B97F-2E4D-985C-CD4BFF348D1D}">
            <xm:f>ISERROR(SEARCH("Value Missing",F98))</xm:f>
            <xm:f>"Value Missing"</xm:f>
            <x14:dxf>
              <font>
                <color rgb="FF006100"/>
              </font>
              <fill>
                <patternFill>
                  <bgColor rgb="FFC6EFCE"/>
                </patternFill>
              </fill>
            </x14:dxf>
          </x14:cfRule>
          <xm:sqref>F98:F102</xm:sqref>
        </x14:conditionalFormatting>
        <x14:conditionalFormatting xmlns:xm="http://schemas.microsoft.com/office/excel/2006/main">
          <x14:cfRule type="containsText" priority="374" operator="containsText" id="{D374E79B-FC8D-C64C-A7BB-AEE362E630E6}">
            <xm:f>NOT(ISERROR(SEARCH("Value Missing",F99)))</xm:f>
            <xm:f>"Value Missing"</xm:f>
            <x14:dxf>
              <font>
                <color rgb="FF9C0006"/>
              </font>
              <fill>
                <patternFill>
                  <bgColor rgb="FFFFC7CE"/>
                </patternFill>
              </fill>
            </x14:dxf>
          </x14:cfRule>
          <x14:cfRule type="notContainsText" priority="373" operator="notContains" id="{D57ABA40-5B6A-E745-9B50-62A72D44DD4C}">
            <xm:f>ISERROR(SEARCH("Value Missing",F99))</xm:f>
            <xm:f>"Value Missing"</xm:f>
            <x14:dxf>
              <font>
                <color rgb="FF006100"/>
              </font>
              <fill>
                <patternFill>
                  <bgColor rgb="FFC6EFCE"/>
                </patternFill>
              </fill>
            </x14:dxf>
          </x14:cfRule>
          <xm:sqref>F99:F102 F104:F105</xm:sqref>
        </x14:conditionalFormatting>
        <x14:conditionalFormatting xmlns:xm="http://schemas.microsoft.com/office/excel/2006/main">
          <x14:cfRule type="notContainsText" priority="85" operator="notContains" id="{A0035C61-E269-7543-B2F7-D3BEBD2207EC}">
            <xm:f>ISERROR(SEARCH("Value Missing",F103))</xm:f>
            <xm:f>"Value Missing"</xm:f>
            <x14:dxf>
              <font>
                <color rgb="FF006100"/>
              </font>
              <fill>
                <patternFill>
                  <bgColor rgb="FFC6EFCE"/>
                </patternFill>
              </fill>
            </x14:dxf>
          </x14:cfRule>
          <x14:cfRule type="containsText" priority="86" operator="containsText" id="{A03885F2-3DEA-114C-BA15-21EDEE729523}">
            <xm:f>NOT(ISERROR(SEARCH("Value Missing",F103)))</xm:f>
            <xm:f>"Value Missing"</xm:f>
            <x14:dxf>
              <font>
                <color rgb="FF9C0006"/>
              </font>
              <fill>
                <patternFill>
                  <bgColor rgb="FFFFC7CE"/>
                </patternFill>
              </fill>
            </x14:dxf>
          </x14:cfRule>
          <xm:sqref>F103</xm:sqref>
        </x14:conditionalFormatting>
        <x14:conditionalFormatting xmlns:xm="http://schemas.microsoft.com/office/excel/2006/main">
          <x14:cfRule type="notContainsText" priority="87" operator="notContains" id="{94FDFC21-78E7-A243-82C2-E30117488EF4}">
            <xm:f>ISERROR(SEARCH("Value Missing",F103))</xm:f>
            <xm:f>"Value Missing"</xm:f>
            <x14:dxf>
              <font>
                <color rgb="FF006100"/>
              </font>
              <fill>
                <patternFill>
                  <bgColor rgb="FFC6EFCE"/>
                </patternFill>
              </fill>
            </x14:dxf>
          </x14:cfRule>
          <x14:cfRule type="containsText" priority="88" operator="containsText" id="{7DBF9AA5-3C85-B241-9352-8DFA44F7439B}">
            <xm:f>NOT(ISERROR(SEARCH("Value Missing",F103)))</xm:f>
            <xm:f>"Value Missing"</xm:f>
            <x14:dxf>
              <font>
                <color rgb="FF9C0006"/>
              </font>
              <fill>
                <patternFill>
                  <bgColor rgb="FFFFC7CE"/>
                </patternFill>
              </fill>
            </x14:dxf>
          </x14:cfRule>
          <xm:sqref>F103:F105</xm:sqref>
        </x14:conditionalFormatting>
        <x14:conditionalFormatting xmlns:xm="http://schemas.microsoft.com/office/excel/2006/main">
          <x14:cfRule type="containsText" priority="477" operator="containsText" id="{46F7B73A-03D1-5044-8E03-65257DC6D950}">
            <xm:f>NOT(ISERROR(SEARCH("Value Missing",C83)))</xm:f>
            <xm:f>"Value Missing"</xm:f>
            <x14:dxf>
              <font>
                <color rgb="FF9C0006"/>
              </font>
              <fill>
                <patternFill>
                  <bgColor rgb="FFFFC7CE"/>
                </patternFill>
              </fill>
            </x14:dxf>
          </x14:cfRule>
          <xm:sqref>F109:F115 C83:C88 C93:C94</xm:sqref>
        </x14:conditionalFormatting>
        <x14:conditionalFormatting xmlns:xm="http://schemas.microsoft.com/office/excel/2006/main">
          <x14:cfRule type="notContainsText" priority="476" operator="notContains" id="{AC00A253-37B7-344A-B37A-E064D0803C3D}">
            <xm:f>ISERROR(SEARCH("Value Missing",F109))</xm:f>
            <xm:f>"Value Missing"</xm:f>
            <x14:dxf>
              <font>
                <color rgb="FF006100"/>
              </font>
              <fill>
                <patternFill>
                  <bgColor rgb="FFC6EFCE"/>
                </patternFill>
              </fill>
            </x14:dxf>
          </x14:cfRule>
          <xm:sqref>F109:F115</xm:sqref>
        </x14:conditionalFormatting>
        <x14:conditionalFormatting xmlns:xm="http://schemas.microsoft.com/office/excel/2006/main">
          <x14:cfRule type="containsText" priority="483" operator="containsText" id="{45782B13-B8ED-0C45-AE2F-3635185F6AB2}">
            <xm:f>NOT(ISERROR(SEARCH("Value Missing",F119)))</xm:f>
            <xm:f>"Value Missing"</xm:f>
            <x14:dxf>
              <font>
                <color rgb="FF9C0006"/>
              </font>
              <fill>
                <patternFill>
                  <bgColor rgb="FFFFC7CE"/>
                </patternFill>
              </fill>
            </x14:dxf>
          </x14:cfRule>
          <xm:sqref>F119:F120</xm:sqref>
        </x14:conditionalFormatting>
        <x14:conditionalFormatting xmlns:xm="http://schemas.microsoft.com/office/excel/2006/main">
          <x14:cfRule type="containsText" priority="234" operator="containsText" id="{54F374E6-13DF-314F-87FB-EE07DED38B7E}">
            <xm:f>NOT(ISERROR(SEARCH("Value Missing",F124)))</xm:f>
            <xm:f>"Value Missing"</xm:f>
            <x14:dxf>
              <font>
                <color rgb="FF9C0006"/>
              </font>
              <fill>
                <patternFill>
                  <bgColor rgb="FFFFC7CE"/>
                </patternFill>
              </fill>
            </x14:dxf>
          </x14:cfRule>
          <xm:sqref>F124:F139</xm:sqref>
        </x14:conditionalFormatting>
        <x14:conditionalFormatting xmlns:xm="http://schemas.microsoft.com/office/excel/2006/main">
          <x14:cfRule type="notContainsText" priority="235" operator="notContains" id="{89A1397F-DCC7-9547-997E-1E69950B27F4}">
            <xm:f>ISERROR(SEARCH("Value Missing",F124))</xm:f>
            <xm:f>"Value Missing"</xm:f>
            <x14:dxf>
              <font>
                <color rgb="FF006100"/>
              </font>
              <fill>
                <patternFill>
                  <bgColor rgb="FFC6EFCE"/>
                </patternFill>
              </fill>
            </x14:dxf>
          </x14:cfRule>
          <xm:sqref>F124:F155</xm:sqref>
        </x14:conditionalFormatting>
        <x14:conditionalFormatting xmlns:xm="http://schemas.microsoft.com/office/excel/2006/main">
          <x14:cfRule type="containsText" priority="423" operator="containsText" id="{4C59E31F-CB0F-8F46-B125-B40D48D842C4}">
            <xm:f>NOT(ISERROR(SEARCH("Value Missing",F140)))</xm:f>
            <xm:f>"Value Missing"</xm:f>
            <x14:dxf>
              <font>
                <color rgb="FF9C0006"/>
              </font>
              <fill>
                <patternFill>
                  <bgColor rgb="FFFFC7CE"/>
                </patternFill>
              </fill>
            </x14:dxf>
          </x14:cfRule>
          <xm:sqref>F140:F155</xm:sqref>
        </x14:conditionalFormatting>
        <x14:conditionalFormatting xmlns:xm="http://schemas.microsoft.com/office/excel/2006/main">
          <x14:cfRule type="containsText" priority="427" operator="containsText" id="{3660C3C0-0D8A-FA4F-AE38-95412CC281B9}">
            <xm:f>NOT(ISERROR(SEARCH("Value Missing",F159)))</xm:f>
            <xm:f>"Value Missing"</xm:f>
            <x14:dxf>
              <font>
                <color rgb="FF9C0006"/>
              </font>
              <fill>
                <patternFill>
                  <bgColor rgb="FFFFC7CE"/>
                </patternFill>
              </fill>
            </x14:dxf>
          </x14:cfRule>
          <x14:cfRule type="notContainsText" priority="426" operator="notContains" id="{6571A1E2-8A0A-7040-980E-B3A629E8F8C2}">
            <xm:f>ISERROR(SEARCH("Value Missing",F159))</xm:f>
            <xm:f>"Value Missing"</xm:f>
            <x14:dxf>
              <font>
                <color rgb="FF006100"/>
              </font>
              <fill>
                <patternFill>
                  <bgColor rgb="FFC6EFCE"/>
                </patternFill>
              </fill>
            </x14:dxf>
          </x14:cfRule>
          <xm:sqref>F159:F174</xm:sqref>
        </x14:conditionalFormatting>
        <x14:conditionalFormatting xmlns:xm="http://schemas.microsoft.com/office/excel/2006/main">
          <x14:cfRule type="notContainsText" priority="482" operator="notContains" id="{4A232EF0-B95B-1748-801A-CB9A48100086}">
            <xm:f>ISERROR(SEARCH("Value Missing",F119))</xm:f>
            <xm:f>"Value Missing"</xm:f>
            <x14:dxf>
              <font>
                <color rgb="FF006100"/>
              </font>
              <fill>
                <patternFill>
                  <bgColor rgb="FFC6EFCE"/>
                </patternFill>
              </fill>
            </x14:dxf>
          </x14:cfRule>
          <xm:sqref>F178:F193 F119:F120</xm:sqref>
        </x14:conditionalFormatting>
        <x14:conditionalFormatting xmlns:xm="http://schemas.microsoft.com/office/excel/2006/main">
          <x14:cfRule type="containsText" priority="466" operator="containsText" id="{38E038BA-1D72-5346-8CDD-13EB18951139}">
            <xm:f>NOT(ISERROR(SEARCH("Value Missing",F178)))</xm:f>
            <xm:f>"Value Missing"</xm:f>
            <x14:dxf>
              <font>
                <color rgb="FF9C0006"/>
              </font>
              <fill>
                <patternFill>
                  <bgColor rgb="FFFFC7CE"/>
                </patternFill>
              </fill>
            </x14:dxf>
          </x14:cfRule>
          <xm:sqref>F178:F193</xm:sqref>
        </x14:conditionalFormatting>
        <x14:conditionalFormatting xmlns:xm="http://schemas.microsoft.com/office/excel/2006/main">
          <x14:cfRule type="notContainsText" priority="216" operator="notContains" id="{FE7F7FE1-F9DB-FD46-BDD3-06A190B31E40}">
            <xm:f>ISERROR(SEARCH("Value Missing",F196))</xm:f>
            <xm:f>"Value Missing"</xm:f>
            <x14:dxf>
              <font>
                <color rgb="FF006100"/>
              </font>
              <fill>
                <patternFill>
                  <bgColor rgb="FFC6EFCE"/>
                </patternFill>
              </fill>
            </x14:dxf>
          </x14:cfRule>
          <x14:cfRule type="containsText" priority="217" operator="containsText" id="{BC71FBAA-3B15-3040-9BDD-5445A17F028E}">
            <xm:f>NOT(ISERROR(SEARCH("Value Missing",F196)))</xm:f>
            <xm:f>"Value Missing"</xm:f>
            <x14:dxf>
              <font>
                <color rgb="FF9C0006"/>
              </font>
              <fill>
                <patternFill>
                  <bgColor rgb="FFFFC7CE"/>
                </patternFill>
              </fill>
            </x14:dxf>
          </x14:cfRule>
          <xm:sqref>F196</xm:sqref>
        </x14:conditionalFormatting>
        <x14:conditionalFormatting xmlns:xm="http://schemas.microsoft.com/office/excel/2006/main">
          <x14:cfRule type="notContainsText" priority="469" operator="notContains" id="{1907329C-27AE-D545-B9B8-A47ACAA363EB}">
            <xm:f>ISERROR(SEARCH("Value Missing",F197))</xm:f>
            <xm:f>"Value Missing"</xm:f>
            <x14:dxf>
              <font>
                <color rgb="FF006100"/>
              </font>
              <fill>
                <patternFill>
                  <bgColor rgb="FFC6EFCE"/>
                </patternFill>
              </fill>
            </x14:dxf>
          </x14:cfRule>
          <xm:sqref>F197</xm:sqref>
        </x14:conditionalFormatting>
        <x14:conditionalFormatting xmlns:xm="http://schemas.microsoft.com/office/excel/2006/main">
          <x14:cfRule type="containsText" priority="233" operator="containsText" id="{86965810-84D8-FF4F-80C9-0C775880D4D6}">
            <xm:f>NOT(ISERROR(SEARCH("Value Missing",F197)))</xm:f>
            <xm:f>"Value Missing"</xm:f>
            <x14:dxf>
              <font>
                <color rgb="FF9C0006"/>
              </font>
              <fill>
                <patternFill>
                  <bgColor rgb="FFFFC7CE"/>
                </patternFill>
              </fill>
            </x14:dxf>
          </x14:cfRule>
          <xm:sqref>F197:F202</xm:sqref>
        </x14:conditionalFormatting>
        <x14:conditionalFormatting xmlns:xm="http://schemas.microsoft.com/office/excel/2006/main">
          <x14:cfRule type="notContainsText" priority="232" operator="notContains" id="{0BF8A0F8-E315-D144-A346-CD8BAB9DF50D}">
            <xm:f>ISERROR(SEARCH("Value Missing",F198))</xm:f>
            <xm:f>"Value Missing"</xm:f>
            <x14:dxf>
              <font>
                <color rgb="FF006100"/>
              </font>
              <fill>
                <patternFill>
                  <bgColor rgb="FFC6EFCE"/>
                </patternFill>
              </fill>
            </x14:dxf>
          </x14:cfRule>
          <xm:sqref>F198:F202</xm:sqref>
        </x14:conditionalFormatting>
        <x14:conditionalFormatting xmlns:xm="http://schemas.microsoft.com/office/excel/2006/main">
          <x14:cfRule type="notContainsText" priority="214" operator="notContains" id="{CFD4E86C-F177-C94C-BD59-CA3B2F4E997C}">
            <xm:f>ISERROR(SEARCH("Value Missing",F205))</xm:f>
            <xm:f>"Value Missing"</xm:f>
            <x14:dxf>
              <font>
                <color rgb="FF006100"/>
              </font>
              <fill>
                <patternFill>
                  <bgColor rgb="FFC6EFCE"/>
                </patternFill>
              </fill>
            </x14:dxf>
          </x14:cfRule>
          <x14:cfRule type="containsText" priority="215" operator="containsText" id="{999E5290-0577-7E41-8099-7A55E2560982}">
            <xm:f>NOT(ISERROR(SEARCH("Value Missing",F205)))</xm:f>
            <xm:f>"Value Missing"</xm:f>
            <x14:dxf>
              <font>
                <color rgb="FF9C0006"/>
              </font>
              <fill>
                <patternFill>
                  <bgColor rgb="FFFFC7CE"/>
                </patternFill>
              </fill>
            </x14:dxf>
          </x14:cfRule>
          <xm:sqref>F205:F211</xm:sqref>
        </x14:conditionalFormatting>
        <x14:conditionalFormatting xmlns:xm="http://schemas.microsoft.com/office/excel/2006/main">
          <x14:cfRule type="containsText" priority="470" operator="containsText" id="{C7E94FC9-0FD1-2240-B6FC-03AB93EF936A}">
            <xm:f>NOT(ISERROR(SEARCH("Value Missing",F215)))</xm:f>
            <xm:f>"Value Missing"</xm:f>
            <x14:dxf>
              <font>
                <color rgb="FF9C0006"/>
              </font>
              <fill>
                <patternFill>
                  <bgColor rgb="FFFFC7CE"/>
                </patternFill>
              </fill>
            </x14:dxf>
          </x14:cfRule>
          <x14:cfRule type="notContainsText" priority="471" operator="notContains" id="{918D3FF7-6CFF-B444-8848-7B9AE7B2CFC1}">
            <xm:f>ISERROR(SEARCH("Value Missing",F215))</xm:f>
            <xm:f>"Value Missing"</xm:f>
            <x14:dxf>
              <font>
                <color rgb="FF006100"/>
              </font>
              <fill>
                <patternFill>
                  <bgColor rgb="FFC6EFCE"/>
                </patternFill>
              </fill>
            </x14:dxf>
          </x14:cfRule>
          <xm:sqref>F215:F230</xm:sqref>
        </x14:conditionalFormatting>
        <x14:conditionalFormatting xmlns:xm="http://schemas.microsoft.com/office/excel/2006/main">
          <x14:cfRule type="notContainsText" priority="300" operator="notContains" id="{77315AB5-1205-1641-A173-2A4E327CB260}">
            <xm:f>ISERROR(SEARCH("Value Missing",F235))</xm:f>
            <xm:f>"Value Missing"</xm:f>
            <x14:dxf>
              <font>
                <color rgb="FF006100"/>
              </font>
              <fill>
                <patternFill>
                  <bgColor rgb="FFC6EFCE"/>
                </patternFill>
              </fill>
            </x14:dxf>
          </x14:cfRule>
          <x14:cfRule type="containsText" priority="301" operator="containsText" id="{E30075C3-CAE0-314F-BD2B-86D6C6F97F4C}">
            <xm:f>NOT(ISERROR(SEARCH("Value Missing",F235)))</xm:f>
            <xm:f>"Value Missing"</xm:f>
            <x14:dxf>
              <font>
                <color rgb="FF9C0006"/>
              </font>
              <fill>
                <patternFill>
                  <bgColor rgb="FFFFC7CE"/>
                </patternFill>
              </fill>
            </x14:dxf>
          </x14:cfRule>
          <xm:sqref>F235:F245</xm:sqref>
        </x14:conditionalFormatting>
        <x14:conditionalFormatting xmlns:xm="http://schemas.microsoft.com/office/excel/2006/main">
          <x14:cfRule type="containsText" priority="293" operator="containsText" id="{60B3430B-183A-6241-A302-2F18BD7C5E44}">
            <xm:f>NOT(ISERROR(SEARCH("Value Missing",F249)))</xm:f>
            <xm:f>"Value Missing"</xm:f>
            <x14:dxf>
              <font>
                <color rgb="FF9C0006"/>
              </font>
              <fill>
                <patternFill>
                  <bgColor rgb="FFFFC7CE"/>
                </patternFill>
              </fill>
            </x14:dxf>
          </x14:cfRule>
          <x14:cfRule type="notContainsText" priority="292" operator="notContains" id="{3557807C-886B-0249-82C7-03C59ADE6B67}">
            <xm:f>ISERROR(SEARCH("Value Missing",F249))</xm:f>
            <xm:f>"Value Missing"</xm:f>
            <x14:dxf>
              <font>
                <color rgb="FF006100"/>
              </font>
              <fill>
                <patternFill>
                  <bgColor rgb="FFC6EFCE"/>
                </patternFill>
              </fill>
            </x14:dxf>
          </x14:cfRule>
          <xm:sqref>F249:F253</xm:sqref>
        </x14:conditionalFormatting>
        <x14:conditionalFormatting xmlns:xm="http://schemas.microsoft.com/office/excel/2006/main">
          <x14:cfRule type="containsText" priority="291" operator="containsText" id="{20FD4D3D-F2F3-0F44-B224-72CAF0755EB6}">
            <xm:f>NOT(ISERROR(SEARCH("Value Missing",F255)))</xm:f>
            <xm:f>"Value Missing"</xm:f>
            <x14:dxf>
              <font>
                <color rgb="FF9C0006"/>
              </font>
              <fill>
                <patternFill>
                  <bgColor rgb="FFFFC7CE"/>
                </patternFill>
              </fill>
            </x14:dxf>
          </x14:cfRule>
          <x14:cfRule type="notContainsText" priority="290" operator="notContains" id="{F970A93C-C5DD-D342-92E8-BA66882AA7EE}">
            <xm:f>ISERROR(SEARCH("Value Missing",F255))</xm:f>
            <xm:f>"Value Missing"</xm:f>
            <x14:dxf>
              <font>
                <color rgb="FF006100"/>
              </font>
              <fill>
                <patternFill>
                  <bgColor rgb="FFC6EFCE"/>
                </patternFill>
              </fill>
            </x14:dxf>
          </x14:cfRule>
          <xm:sqref>F255:F259</xm:sqref>
        </x14:conditionalFormatting>
        <x14:conditionalFormatting xmlns:xm="http://schemas.microsoft.com/office/excel/2006/main">
          <x14:cfRule type="containsText" priority="287" operator="containsText" id="{B6E32316-33EC-9244-A466-6E55FC9DA2CB}">
            <xm:f>NOT(ISERROR(SEARCH("Value Missing",F263)))</xm:f>
            <xm:f>"Value Missing"</xm:f>
            <x14:dxf>
              <font>
                <color rgb="FF9C0006"/>
              </font>
              <fill>
                <patternFill>
                  <bgColor rgb="FFFFC7CE"/>
                </patternFill>
              </fill>
            </x14:dxf>
          </x14:cfRule>
          <x14:cfRule type="notContainsText" priority="286" operator="notContains" id="{90F66F76-5A9A-C449-9667-7CD63127F294}">
            <xm:f>ISERROR(SEARCH("Value Missing",F263))</xm:f>
            <xm:f>"Value Missing"</xm:f>
            <x14:dxf>
              <font>
                <color rgb="FF006100"/>
              </font>
              <fill>
                <patternFill>
                  <bgColor rgb="FFC6EFCE"/>
                </patternFill>
              </fill>
            </x14:dxf>
          </x14:cfRule>
          <xm:sqref>F263:F267</xm:sqref>
        </x14:conditionalFormatting>
        <x14:conditionalFormatting xmlns:xm="http://schemas.microsoft.com/office/excel/2006/main">
          <x14:cfRule type="containsText" priority="285" operator="containsText" id="{8E112358-2EAC-E042-9691-921817D08EE6}">
            <xm:f>NOT(ISERROR(SEARCH("Value Missing",F269)))</xm:f>
            <xm:f>"Value Missing"</xm:f>
            <x14:dxf>
              <font>
                <color rgb="FF9C0006"/>
              </font>
              <fill>
                <patternFill>
                  <bgColor rgb="FFFFC7CE"/>
                </patternFill>
              </fill>
            </x14:dxf>
          </x14:cfRule>
          <x14:cfRule type="notContainsText" priority="284" operator="notContains" id="{AE386C20-ACAA-5A41-9C6B-EE1E5969CB07}">
            <xm:f>ISERROR(SEARCH("Value Missing",F269))</xm:f>
            <xm:f>"Value Missing"</xm:f>
            <x14:dxf>
              <font>
                <color rgb="FF006100"/>
              </font>
              <fill>
                <patternFill>
                  <bgColor rgb="FFC6EFCE"/>
                </patternFill>
              </fill>
            </x14:dxf>
          </x14:cfRule>
          <xm:sqref>F269:F273</xm:sqref>
        </x14:conditionalFormatting>
        <x14:conditionalFormatting xmlns:xm="http://schemas.microsoft.com/office/excel/2006/main">
          <x14:cfRule type="notContainsText" priority="280" operator="notContains" id="{6E582EB3-82E1-454B-BDBD-4EF5F79CA1AD}">
            <xm:f>ISERROR(SEARCH("Value Missing",F277))</xm:f>
            <xm:f>"Value Missing"</xm:f>
            <x14:dxf>
              <font>
                <color rgb="FF006100"/>
              </font>
              <fill>
                <patternFill>
                  <bgColor rgb="FFC6EFCE"/>
                </patternFill>
              </fill>
            </x14:dxf>
          </x14:cfRule>
          <x14:cfRule type="containsText" priority="281" operator="containsText" id="{DDED6EA1-973F-7849-B78C-3F17AC3ED8A2}">
            <xm:f>NOT(ISERROR(SEARCH("Value Missing",F277)))</xm:f>
            <xm:f>"Value Missing"</xm:f>
            <x14:dxf>
              <font>
                <color rgb="FF9C0006"/>
              </font>
              <fill>
                <patternFill>
                  <bgColor rgb="FFFFC7CE"/>
                </patternFill>
              </fill>
            </x14:dxf>
          </x14:cfRule>
          <xm:sqref>F277:F287</xm:sqref>
        </x14:conditionalFormatting>
        <x14:conditionalFormatting xmlns:xm="http://schemas.microsoft.com/office/excel/2006/main">
          <x14:cfRule type="notContainsText" priority="276" operator="notContains" id="{FA9777CC-3B5B-1A46-88FE-662E73C1524C}">
            <xm:f>ISERROR(SEARCH("Value Missing",F291))</xm:f>
            <xm:f>"Value Missing"</xm:f>
            <x14:dxf>
              <font>
                <color rgb="FF006100"/>
              </font>
              <fill>
                <patternFill>
                  <bgColor rgb="FFC6EFCE"/>
                </patternFill>
              </fill>
            </x14:dxf>
          </x14:cfRule>
          <x14:cfRule type="containsText" priority="277" operator="containsText" id="{786BD405-2F45-C34C-9CFA-1EDED0DA29AF}">
            <xm:f>NOT(ISERROR(SEARCH("Value Missing",F291)))</xm:f>
            <xm:f>"Value Missing"</xm:f>
            <x14:dxf>
              <font>
                <color rgb="FF9C0006"/>
              </font>
              <fill>
                <patternFill>
                  <bgColor rgb="FFFFC7CE"/>
                </patternFill>
              </fill>
            </x14:dxf>
          </x14:cfRule>
          <xm:sqref>F291</xm:sqref>
        </x14:conditionalFormatting>
        <x14:conditionalFormatting xmlns:xm="http://schemas.microsoft.com/office/excel/2006/main">
          <x14:cfRule type="notContainsText" priority="278" operator="notContains" id="{23F2D82A-018E-EB47-936B-0F7270C0D452}">
            <xm:f>ISERROR(SEARCH("Value Missing",F291))</xm:f>
            <xm:f>"Value Missing"</xm:f>
            <x14:dxf>
              <font>
                <color rgb="FF006100"/>
              </font>
              <fill>
                <patternFill>
                  <bgColor rgb="FFC6EFCE"/>
                </patternFill>
              </fill>
            </x14:dxf>
          </x14:cfRule>
          <x14:cfRule type="containsText" priority="279" operator="containsText" id="{AF910107-AE3F-5747-8F86-44ED99242CB6}">
            <xm:f>NOT(ISERROR(SEARCH("Value Missing",F291)))</xm:f>
            <xm:f>"Value Missing"</xm:f>
            <x14:dxf>
              <font>
                <color rgb="FF9C0006"/>
              </font>
              <fill>
                <patternFill>
                  <bgColor rgb="FFFFC7CE"/>
                </patternFill>
              </fill>
            </x14:dxf>
          </x14:cfRule>
          <xm:sqref>F291:F297</xm:sqref>
        </x14:conditionalFormatting>
        <x14:conditionalFormatting xmlns:xm="http://schemas.microsoft.com/office/excel/2006/main">
          <x14:cfRule type="containsText" priority="275" operator="containsText" id="{A2787124-39A4-444B-84CD-F7D6FCFDF02F}">
            <xm:f>NOT(ISERROR(SEARCH("Value Missing",F302)))</xm:f>
            <xm:f>"Value Missing"</xm:f>
            <x14:dxf>
              <font>
                <color rgb="FF9C0006"/>
              </font>
              <fill>
                <patternFill>
                  <bgColor rgb="FFFFC7CE"/>
                </patternFill>
              </fill>
            </x14:dxf>
          </x14:cfRule>
          <x14:cfRule type="notContainsText" priority="274" operator="notContains" id="{A5DD591A-B93B-6F4A-BE05-CB309401A920}">
            <xm:f>ISERROR(SEARCH("Value Missing",F302))</xm:f>
            <xm:f>"Value Missing"</xm:f>
            <x14:dxf>
              <font>
                <color rgb="FF006100"/>
              </font>
              <fill>
                <patternFill>
                  <bgColor rgb="FFC6EFCE"/>
                </patternFill>
              </fill>
            </x14:dxf>
          </x14:cfRule>
          <xm:sqref>F302:F304</xm:sqref>
        </x14:conditionalFormatting>
        <x14:conditionalFormatting xmlns:xm="http://schemas.microsoft.com/office/excel/2006/main">
          <x14:cfRule type="containsText" priority="271" operator="containsText" id="{CF53004B-02A2-BF4F-A284-2A826CE14C48}">
            <xm:f>NOT(ISERROR(SEARCH("Value Missing",F310)))</xm:f>
            <xm:f>"Value Missing"</xm:f>
            <x14:dxf>
              <font>
                <color rgb="FF9C0006"/>
              </font>
              <fill>
                <patternFill>
                  <bgColor rgb="FFFFC7CE"/>
                </patternFill>
              </fill>
            </x14:dxf>
          </x14:cfRule>
          <x14:cfRule type="containsText" priority="273" operator="containsText" id="{05074E35-74F2-AB48-8EBA-AA2121C203A2}">
            <xm:f>NOT(ISERROR(SEARCH("Value Missing",F310)))</xm:f>
            <xm:f>"Value Missing"</xm:f>
            <x14:dxf>
              <font>
                <color rgb="FF9C0006"/>
              </font>
              <fill>
                <patternFill>
                  <bgColor rgb="FFFFC7CE"/>
                </patternFill>
              </fill>
            </x14:dxf>
          </x14:cfRule>
          <x14:cfRule type="notContainsText" priority="272" operator="notContains" id="{B8B3CD99-4FE2-C94A-808D-85539C2A6ACC}">
            <xm:f>ISERROR(SEARCH("Value Missing",F310))</xm:f>
            <xm:f>"Value Missing"</xm:f>
            <x14:dxf>
              <font>
                <color rgb="FF006100"/>
              </font>
              <fill>
                <patternFill>
                  <bgColor rgb="FFC6EFCE"/>
                </patternFill>
              </fill>
            </x14:dxf>
          </x14:cfRule>
          <x14:cfRule type="notContainsText" priority="270" operator="notContains" id="{3D05251A-DD18-9F4A-B663-A18BB726C77B}">
            <xm:f>ISERROR(SEARCH("Value Missing",F310))</xm:f>
            <xm:f>"Value Missing"</xm:f>
            <x14:dxf>
              <font>
                <color rgb="FF006100"/>
              </font>
              <fill>
                <patternFill>
                  <bgColor rgb="FFC6EFCE"/>
                </patternFill>
              </fill>
            </x14:dxf>
          </x14:cfRule>
          <xm:sqref>F310:F317</xm:sqref>
        </x14:conditionalFormatting>
        <x14:conditionalFormatting xmlns:xm="http://schemas.microsoft.com/office/excel/2006/main">
          <x14:cfRule type="notContainsText" priority="113" operator="notContains" id="{11B7A176-4BD5-DC47-86D3-054B8F6D3B5B}">
            <xm:f>ISERROR(SEARCH("Value Missing",F323))</xm:f>
            <xm:f>"Value Missing"</xm:f>
            <x14:dxf>
              <font>
                <color rgb="FF006100"/>
              </font>
              <fill>
                <patternFill>
                  <bgColor rgb="FFC6EFCE"/>
                </patternFill>
              </fill>
            </x14:dxf>
          </x14:cfRule>
          <x14:cfRule type="containsText" priority="114" operator="containsText" id="{EFAD9D33-6CDA-2143-BC54-CEE5ACD44098}">
            <xm:f>NOT(ISERROR(SEARCH("Value Missing",F323)))</xm:f>
            <xm:f>"Value Missing"</xm:f>
            <x14:dxf>
              <font>
                <color rgb="FF9C0006"/>
              </font>
              <fill>
                <patternFill>
                  <bgColor rgb="FFFFC7CE"/>
                </patternFill>
              </fill>
            </x14:dxf>
          </x14:cfRule>
          <xm:sqref>F323</xm:sqref>
        </x14:conditionalFormatting>
        <x14:conditionalFormatting xmlns:xm="http://schemas.microsoft.com/office/excel/2006/main">
          <x14:cfRule type="notContainsText" priority="115" operator="notContains" id="{06CCDD0F-3385-0442-84B3-1275AF142D25}">
            <xm:f>ISERROR(SEARCH("Value Missing",F323))</xm:f>
            <xm:f>"Value Missing"</xm:f>
            <x14:dxf>
              <font>
                <color rgb="FF006100"/>
              </font>
              <fill>
                <patternFill>
                  <bgColor rgb="FFC6EFCE"/>
                </patternFill>
              </fill>
            </x14:dxf>
          </x14:cfRule>
          <x14:cfRule type="containsText" priority="116" operator="containsText" id="{15013236-34AB-4F48-8D63-4B60C4AD25B9}">
            <xm:f>NOT(ISERROR(SEARCH("Value Missing",F323)))</xm:f>
            <xm:f>"Value Missing"</xm:f>
            <x14:dxf>
              <font>
                <color rgb="FF9C0006"/>
              </font>
              <fill>
                <patternFill>
                  <bgColor rgb="FFFFC7CE"/>
                </patternFill>
              </fill>
            </x14:dxf>
          </x14:cfRule>
          <xm:sqref>F323:F326</xm:sqref>
        </x14:conditionalFormatting>
        <x14:conditionalFormatting xmlns:xm="http://schemas.microsoft.com/office/excel/2006/main">
          <x14:cfRule type="notContainsText" priority="155" operator="notContains" id="{4CFD6FA3-68AD-F14C-8061-DFC0403F7DA9}">
            <xm:f>ISERROR(SEARCH("Value Missing",F324))</xm:f>
            <xm:f>"Value Missing"</xm:f>
            <x14:dxf>
              <font>
                <color rgb="FF006100"/>
              </font>
              <fill>
                <patternFill>
                  <bgColor rgb="FFC6EFCE"/>
                </patternFill>
              </fill>
            </x14:dxf>
          </x14:cfRule>
          <x14:cfRule type="containsText" priority="156" operator="containsText" id="{756496FA-E221-404B-B76A-B351C35A873C}">
            <xm:f>NOT(ISERROR(SEARCH("Value Missing",F324)))</xm:f>
            <xm:f>"Value Missing"</xm:f>
            <x14:dxf>
              <font>
                <color rgb="FF9C0006"/>
              </font>
              <fill>
                <patternFill>
                  <bgColor rgb="FFFFC7CE"/>
                </patternFill>
              </fill>
            </x14:dxf>
          </x14:cfRule>
          <xm:sqref>F324:F326</xm:sqref>
        </x14:conditionalFormatting>
        <x14:conditionalFormatting xmlns:xm="http://schemas.microsoft.com/office/excel/2006/main">
          <x14:cfRule type="notContainsText" priority="296" operator="notContains" id="{F96F8F45-8A7D-F344-8320-2F4963D9474A}">
            <xm:f>ISERROR(SEARCH("Value Missing",F328))</xm:f>
            <xm:f>"Value Missing"</xm:f>
            <x14:dxf>
              <font>
                <color rgb="FF006100"/>
              </font>
              <fill>
                <patternFill>
                  <bgColor rgb="FFC6EFCE"/>
                </patternFill>
              </fill>
            </x14:dxf>
          </x14:cfRule>
          <x14:cfRule type="containsText" priority="297" operator="containsText" id="{C4BA0344-6ECA-C241-B9B7-4401BED32975}">
            <xm:f>NOT(ISERROR(SEARCH("Value Missing",F328)))</xm:f>
            <xm:f>"Value Missing"</xm:f>
            <x14:dxf>
              <font>
                <color rgb="FF9C0006"/>
              </font>
              <fill>
                <patternFill>
                  <bgColor rgb="FFFFC7CE"/>
                </patternFill>
              </fill>
            </x14:dxf>
          </x14:cfRule>
          <x14:cfRule type="notContainsText" priority="298" operator="notContains" id="{69DA9009-68C8-AB47-ADC3-A7041CAF4182}">
            <xm:f>ISERROR(SEARCH("Value Missing",F328))</xm:f>
            <xm:f>"Value Missing"</xm:f>
            <x14:dxf>
              <font>
                <color rgb="FF006100"/>
              </font>
              <fill>
                <patternFill>
                  <bgColor rgb="FFC6EFCE"/>
                </patternFill>
              </fill>
            </x14:dxf>
          </x14:cfRule>
          <x14:cfRule type="containsText" priority="299" operator="containsText" id="{CFABCD23-C498-AE43-935E-9EB38830B288}">
            <xm:f>NOT(ISERROR(SEARCH("Value Missing",F328)))</xm:f>
            <xm:f>"Value Missing"</xm:f>
            <x14:dxf>
              <font>
                <color rgb="FF9C0006"/>
              </font>
              <fill>
                <patternFill>
                  <bgColor rgb="FFFFC7CE"/>
                </patternFill>
              </fill>
            </x14:dxf>
          </x14:cfRule>
          <xm:sqref>F328</xm:sqref>
        </x14:conditionalFormatting>
        <x14:conditionalFormatting xmlns:xm="http://schemas.microsoft.com/office/excel/2006/main">
          <x14:cfRule type="containsText" priority="160" operator="containsText" id="{F0CB3A31-8359-A34F-A063-2DCCEACDFB60}">
            <xm:f>NOT(ISERROR(SEARCH("Value Missing",F330)))</xm:f>
            <xm:f>"Value Missing"</xm:f>
            <x14:dxf>
              <font>
                <color rgb="FF9C0006"/>
              </font>
              <fill>
                <patternFill>
                  <bgColor rgb="FFFFC7CE"/>
                </patternFill>
              </fill>
            </x14:dxf>
          </x14:cfRule>
          <x14:cfRule type="notContainsText" priority="157" operator="notContains" id="{08348190-AF98-0144-B338-758C42795741}">
            <xm:f>ISERROR(SEARCH("Value Missing",F330))</xm:f>
            <xm:f>"Value Missing"</xm:f>
            <x14:dxf>
              <font>
                <color rgb="FF006100"/>
              </font>
              <fill>
                <patternFill>
                  <bgColor rgb="FFC6EFCE"/>
                </patternFill>
              </fill>
            </x14:dxf>
          </x14:cfRule>
          <x14:cfRule type="containsText" priority="158" operator="containsText" id="{698DC395-1941-FD4A-8368-3B7F8269A253}">
            <xm:f>NOT(ISERROR(SEARCH("Value Missing",F330)))</xm:f>
            <xm:f>"Value Missing"</xm:f>
            <x14:dxf>
              <font>
                <color rgb="FF9C0006"/>
              </font>
              <fill>
                <patternFill>
                  <bgColor rgb="FFFFC7CE"/>
                </patternFill>
              </fill>
            </x14:dxf>
          </x14:cfRule>
          <x14:cfRule type="notContainsText" priority="159" operator="notContains" id="{10264ABB-8E63-A14E-B891-C1300530CAD1}">
            <xm:f>ISERROR(SEARCH("Value Missing",F330))</xm:f>
            <xm:f>"Value Missing"</xm:f>
            <x14:dxf>
              <font>
                <color rgb="FF006100"/>
              </font>
              <fill>
                <patternFill>
                  <bgColor rgb="FFC6EFCE"/>
                </patternFill>
              </fill>
            </x14:dxf>
          </x14:cfRule>
          <xm:sqref>F330:F336</xm:sqref>
        </x14:conditionalFormatting>
        <x14:conditionalFormatting xmlns:xm="http://schemas.microsoft.com/office/excel/2006/main">
          <x14:cfRule type="containsText" priority="415" operator="containsText" id="{CAED10C2-6AB5-CA47-BBE9-75B90DF9CE00}">
            <xm:f>NOT(ISERROR(SEARCH("Value Missing",F340)))</xm:f>
            <xm:f>"Value Missing"</xm:f>
            <x14:dxf>
              <font>
                <color rgb="FF9C0006"/>
              </font>
              <fill>
                <patternFill>
                  <bgColor rgb="FFFFC7CE"/>
                </patternFill>
              </fill>
            </x14:dxf>
          </x14:cfRule>
          <x14:cfRule type="notContainsText" priority="414" operator="notContains" id="{1B64A1A5-3609-1C45-8867-2158DF7E564B}">
            <xm:f>ISERROR(SEARCH("Value Missing",F340))</xm:f>
            <xm:f>"Value Missing"</xm:f>
            <x14:dxf>
              <font>
                <color rgb="FF006100"/>
              </font>
              <fill>
                <patternFill>
                  <bgColor rgb="FFC6EFCE"/>
                </patternFill>
              </fill>
            </x14:dxf>
          </x14:cfRule>
          <xm:sqref>F340:F371</xm:sqref>
        </x14:conditionalFormatting>
        <x14:conditionalFormatting xmlns:xm="http://schemas.microsoft.com/office/excel/2006/main">
          <x14:cfRule type="containsText" priority="419" operator="containsText" id="{648A3B5F-97E5-4C46-B43E-04F5E8237C3A}">
            <xm:f>NOT(ISERROR(SEARCH("Value Missing",F375)))</xm:f>
            <xm:f>"Value Missing"</xm:f>
            <x14:dxf>
              <font>
                <color rgb="FF9C0006"/>
              </font>
              <fill>
                <patternFill>
                  <bgColor rgb="FFFFC7CE"/>
                </patternFill>
              </fill>
            </x14:dxf>
          </x14:cfRule>
          <x14:cfRule type="notContainsText" priority="418" operator="notContains" id="{F8AC45BF-2F01-F44D-9075-1E07FE10D144}">
            <xm:f>ISERROR(SEARCH("Value Missing",F375))</xm:f>
            <xm:f>"Value Missing"</xm:f>
            <x14:dxf>
              <font>
                <color rgb="FF006100"/>
              </font>
              <fill>
                <patternFill>
                  <bgColor rgb="FFC6EFCE"/>
                </patternFill>
              </fill>
            </x14:dxf>
          </x14:cfRule>
          <xm:sqref>F375:F390</xm:sqref>
        </x14:conditionalFormatting>
        <x14:conditionalFormatting xmlns:xm="http://schemas.microsoft.com/office/excel/2006/main">
          <x14:cfRule type="containsText" priority="409" operator="containsText" id="{10D32BCC-6576-8043-BC7B-EE0BD86D13C0}">
            <xm:f>NOT(ISERROR(SEARCH("Value Missing",F394)))</xm:f>
            <xm:f>"Value Missing"</xm:f>
            <x14:dxf>
              <font>
                <color rgb="FF9C0006"/>
              </font>
              <fill>
                <patternFill>
                  <bgColor rgb="FFFFC7CE"/>
                </patternFill>
              </fill>
            </x14:dxf>
          </x14:cfRule>
          <x14:cfRule type="notContainsText" priority="408" operator="notContains" id="{2F08224A-B541-0B41-A661-BE6F863D9BA9}">
            <xm:f>ISERROR(SEARCH("Value Missing",F394))</xm:f>
            <xm:f>"Value Missing"</xm:f>
            <x14:dxf>
              <font>
                <color rgb="FF006100"/>
              </font>
              <fill>
                <patternFill>
                  <bgColor rgb="FFC6EFCE"/>
                </patternFill>
              </fill>
            </x14:dxf>
          </x14:cfRule>
          <x14:cfRule type="containsText" priority="407" operator="containsText" id="{2A60349F-179E-B849-8A27-1C6E12AE9AA5}">
            <xm:f>NOT(ISERROR(SEARCH("Value Missing",F394)))</xm:f>
            <xm:f>"Value Missing"</xm:f>
            <x14:dxf>
              <font>
                <color rgb="FF9C0006"/>
              </font>
              <fill>
                <patternFill>
                  <bgColor rgb="FFFFC7CE"/>
                </patternFill>
              </fill>
            </x14:dxf>
          </x14:cfRule>
          <x14:cfRule type="notContainsText" priority="406" operator="notContains" id="{D04B4232-C205-FC47-AE3A-7384EC465446}">
            <xm:f>ISERROR(SEARCH("Value Missing",F394))</xm:f>
            <xm:f>"Value Missing"</xm:f>
            <x14:dxf>
              <font>
                <color rgb="FF006100"/>
              </font>
              <fill>
                <patternFill>
                  <bgColor rgb="FFC6EFCE"/>
                </patternFill>
              </fill>
            </x14:dxf>
          </x14:cfRule>
          <xm:sqref>F394:F409</xm:sqref>
        </x14:conditionalFormatting>
        <x14:conditionalFormatting xmlns:xm="http://schemas.microsoft.com/office/excel/2006/main">
          <x14:cfRule type="containsText" priority="700" operator="containsText" id="{87CFB413-CC0C-3348-9ED9-DB27A6FE118D}">
            <xm:f>NOT(ISERROR(SEARCH("Value Missing",I8)))</xm:f>
            <xm:f>"Value Missing"</xm:f>
            <x14:dxf>
              <font>
                <color rgb="FF9C0006"/>
              </font>
              <fill>
                <patternFill>
                  <bgColor rgb="FFFFC7CE"/>
                </patternFill>
              </fill>
            </x14:dxf>
          </x14:cfRule>
          <xm:sqref>I8:I18 L8:L18 O8:O18 R8:R18 U8:U18 X8:X18 AA8:AA18 I22:I32 I36:I46 I50:I60 I109:I115 AE14:AE18</xm:sqref>
        </x14:conditionalFormatting>
        <x14:conditionalFormatting xmlns:xm="http://schemas.microsoft.com/office/excel/2006/main">
          <x14:cfRule type="notContainsText" priority="709" operator="notContains" id="{54F42DD5-3D5D-8F4C-99B2-75606CFD3E37}">
            <xm:f>ISERROR(SEARCH("Value Missing",I64))</xm:f>
            <xm:f>"Value Missing"</xm:f>
            <x14:dxf>
              <font>
                <color rgb="FF006100"/>
              </font>
              <fill>
                <patternFill>
                  <bgColor rgb="FFC6EFCE"/>
                </patternFill>
              </fill>
            </x14:dxf>
          </x14:cfRule>
          <x14:cfRule type="containsText" priority="710" operator="containsText" id="{58F6990A-53BB-4049-8791-AABBF911C9F4}">
            <xm:f>NOT(ISERROR(SEARCH("Value Missing",I64)))</xm:f>
            <xm:f>"Value Missing"</xm:f>
            <x14:dxf>
              <font>
                <color rgb="FF9C0006"/>
              </font>
              <fill>
                <patternFill>
                  <bgColor rgb="FFFFC7CE"/>
                </patternFill>
              </fill>
            </x14:dxf>
          </x14:cfRule>
          <xm:sqref>I64:I70</xm:sqref>
        </x14:conditionalFormatting>
        <x14:conditionalFormatting xmlns:xm="http://schemas.microsoft.com/office/excel/2006/main">
          <x14:cfRule type="notContainsText" priority="567" operator="notContains" id="{07DA32E6-7C54-0744-B9F9-0A8E7E5BA9E4}">
            <xm:f>ISERROR(SEARCH("Value Missing",I83))</xm:f>
            <xm:f>"Value Missing"</xm:f>
            <x14:dxf>
              <font>
                <color rgb="FF006100"/>
              </font>
              <fill>
                <patternFill>
                  <bgColor rgb="FFC6EFCE"/>
                </patternFill>
              </fill>
            </x14:dxf>
          </x14:cfRule>
          <x14:cfRule type="containsText" priority="568" operator="containsText" id="{75FCA14A-9EF1-7B49-A744-8D0EE23DC270}">
            <xm:f>NOT(ISERROR(SEARCH("Value Missing",I83)))</xm:f>
            <xm:f>"Value Missing"</xm:f>
            <x14:dxf>
              <font>
                <color rgb="FF9C0006"/>
              </font>
              <fill>
                <patternFill>
                  <bgColor rgb="FFFFC7CE"/>
                </patternFill>
              </fill>
            </x14:dxf>
          </x14:cfRule>
          <xm:sqref>I83:I94 I107 L107 O107 R107 U107 X107 AA107 I109:I115 L109:L115 O109:O115 R109:R115 U109:U115 X109:X115 AA109:AA115</xm:sqref>
        </x14:conditionalFormatting>
        <x14:conditionalFormatting xmlns:xm="http://schemas.microsoft.com/office/excel/2006/main">
          <x14:cfRule type="notContainsText" priority="467" operator="notContains" id="{FC14C3CF-9598-E14D-A71A-7F8B4B37A5C5}">
            <xm:f>ISERROR(SEARCH("Value Missing",I83))</xm:f>
            <xm:f>"Value Missing"</xm:f>
            <x14:dxf>
              <font>
                <color rgb="FF006100"/>
              </font>
              <fill>
                <patternFill>
                  <bgColor rgb="FFC6EFCE"/>
                </patternFill>
              </fill>
            </x14:dxf>
          </x14:cfRule>
          <xm:sqref>I83:I94</xm:sqref>
        </x14:conditionalFormatting>
        <x14:conditionalFormatting xmlns:xm="http://schemas.microsoft.com/office/excel/2006/main">
          <x14:cfRule type="containsText" priority="146" operator="containsText" id="{43EFA672-861F-4C4F-A207-2DCEBEE48A53}">
            <xm:f>NOT(ISERROR(SEARCH("Value Missing",I98)))</xm:f>
            <xm:f>"Value Missing"</xm:f>
            <x14:dxf>
              <font>
                <color rgb="FF9C0006"/>
              </font>
              <fill>
                <patternFill>
                  <bgColor rgb="FFFFC7CE"/>
                </patternFill>
              </fill>
            </x14:dxf>
          </x14:cfRule>
          <x14:cfRule type="notContainsText" priority="145" operator="notContains" id="{868A7D01-72E2-F74E-9A0B-A1826EEB29FE}">
            <xm:f>ISERROR(SEARCH("Value Missing",I98))</xm:f>
            <xm:f>"Value Missing"</xm:f>
            <x14:dxf>
              <font>
                <color rgb="FF006100"/>
              </font>
              <fill>
                <patternFill>
                  <bgColor rgb="FFC6EFCE"/>
                </patternFill>
              </fill>
            </x14:dxf>
          </x14:cfRule>
          <xm:sqref>I98</xm:sqref>
        </x14:conditionalFormatting>
        <x14:conditionalFormatting xmlns:xm="http://schemas.microsoft.com/office/excel/2006/main">
          <x14:cfRule type="containsText" priority="148" operator="containsText" id="{F9B9260F-E5C2-9A47-A5E5-6E5C3E4FDE1B}">
            <xm:f>NOT(ISERROR(SEARCH("Value Missing",I98)))</xm:f>
            <xm:f>"Value Missing"</xm:f>
            <x14:dxf>
              <font>
                <color rgb="FF9C0006"/>
              </font>
              <fill>
                <patternFill>
                  <bgColor rgb="FFFFC7CE"/>
                </patternFill>
              </fill>
            </x14:dxf>
          </x14:cfRule>
          <x14:cfRule type="notContainsText" priority="147" operator="notContains" id="{A969FAD1-F3D7-2946-8E1A-BA29F8BC3372}">
            <xm:f>ISERROR(SEARCH("Value Missing",I98))</xm:f>
            <xm:f>"Value Missing"</xm:f>
            <x14:dxf>
              <font>
                <color rgb="FF006100"/>
              </font>
              <fill>
                <patternFill>
                  <bgColor rgb="FFC6EFCE"/>
                </patternFill>
              </fill>
            </x14:dxf>
          </x14:cfRule>
          <xm:sqref>I98:I105</xm:sqref>
        </x14:conditionalFormatting>
        <x14:conditionalFormatting xmlns:xm="http://schemas.microsoft.com/office/excel/2006/main">
          <x14:cfRule type="notContainsText" priority="464" operator="notContains" id="{7D8A4B26-37A4-8043-B5B8-96D918E31FBB}">
            <xm:f>ISERROR(SEARCH("Value Missing",I99))</xm:f>
            <xm:f>"Value Missing"</xm:f>
            <x14:dxf>
              <font>
                <color rgb="FF006100"/>
              </font>
              <fill>
                <patternFill>
                  <bgColor rgb="FFC6EFCE"/>
                </patternFill>
              </fill>
            </x14:dxf>
          </x14:cfRule>
          <x14:cfRule type="containsText" priority="465" operator="containsText" id="{5B585339-A89A-514F-B548-E4A2BE4B0641}">
            <xm:f>NOT(ISERROR(SEARCH("Value Missing",I99)))</xm:f>
            <xm:f>"Value Missing"</xm:f>
            <x14:dxf>
              <font>
                <color rgb="FF9C0006"/>
              </font>
              <fill>
                <patternFill>
                  <bgColor rgb="FFFFC7CE"/>
                </patternFill>
              </fill>
            </x14:dxf>
          </x14:cfRule>
          <xm:sqref>I99:I105</xm:sqref>
        </x14:conditionalFormatting>
        <x14:conditionalFormatting xmlns:xm="http://schemas.microsoft.com/office/excel/2006/main">
          <x14:cfRule type="containsText" priority="566" operator="containsText" id="{183D162E-13FD-6146-BA3E-B06884B686C2}">
            <xm:f>NOT(ISERROR(SEARCH("Value Missing",I83)))</xm:f>
            <xm:f>"Value Missing"</xm:f>
            <x14:dxf>
              <font>
                <color rgb="FF9C0006"/>
              </font>
              <fill>
                <patternFill>
                  <bgColor rgb="FFFFC7CE"/>
                </patternFill>
              </fill>
            </x14:dxf>
          </x14:cfRule>
          <xm:sqref>I107 L107 O107 R107 U107 X107 AA107 I109:I115 L109:L115 O109:O115 R109:R115 U109:U115 X109:X115 AA109:AA115 I83:I94</xm:sqref>
        </x14:conditionalFormatting>
        <x14:conditionalFormatting xmlns:xm="http://schemas.microsoft.com/office/excel/2006/main">
          <x14:cfRule type="notContainsText" priority="699" operator="notContains" id="{42361591-0823-4349-9D07-9C8B5CEEC80E}">
            <xm:f>ISERROR(SEARCH("Value Missing",I8))</xm:f>
            <xm:f>"Value Missing"</xm:f>
            <x14:dxf>
              <font>
                <color rgb="FF006100"/>
              </font>
              <fill>
                <patternFill>
                  <bgColor rgb="FFC6EFCE"/>
                </patternFill>
              </fill>
            </x14:dxf>
          </x14:cfRule>
          <xm:sqref>I109:I115 I8:I18 L8:L18 O8:O18 R8:R18 U8:U18 X8:X18 AA8:AA18 I22:I32 I36:I46 I50:I60</xm:sqref>
        </x14:conditionalFormatting>
        <x14:conditionalFormatting xmlns:xm="http://schemas.microsoft.com/office/excel/2006/main">
          <x14:cfRule type="containsText" priority="708" operator="containsText" id="{41B19987-727A-0242-87BB-A1F1A72C4AB5}">
            <xm:f>NOT(ISERROR(SEARCH("Value Missing",I74)))</xm:f>
            <xm:f>"Value Missing"</xm:f>
            <x14:dxf>
              <font>
                <color rgb="FF9C0006"/>
              </font>
              <fill>
                <patternFill>
                  <bgColor rgb="FFFFC7CE"/>
                </patternFill>
              </fill>
            </x14:dxf>
          </x14:cfRule>
          <xm:sqref>I119:I120 I74:I79</xm:sqref>
        </x14:conditionalFormatting>
        <x14:conditionalFormatting xmlns:xm="http://schemas.microsoft.com/office/excel/2006/main">
          <x14:cfRule type="containsText" priority="488" operator="containsText" id="{F3B21833-DEB2-EF47-963F-B5921AD1B436}">
            <xm:f>NOT(ISERROR(SEARCH("Value Missing",I124)))</xm:f>
            <xm:f>"Value Missing"</xm:f>
            <x14:dxf>
              <font>
                <color rgb="FF9C0006"/>
              </font>
              <fill>
                <patternFill>
                  <bgColor rgb="FFFFC7CE"/>
                </patternFill>
              </fill>
            </x14:dxf>
          </x14:cfRule>
          <xm:sqref>I124:I155 I159:I174 I178:I193</xm:sqref>
        </x14:conditionalFormatting>
        <x14:conditionalFormatting xmlns:xm="http://schemas.microsoft.com/office/excel/2006/main">
          <x14:cfRule type="notContainsText" priority="707" operator="notContains" id="{9FCFFE27-E6F6-8848-AD98-D8665BBCA7DC}">
            <xm:f>ISERROR(SEARCH("Value Missing",I119))</xm:f>
            <xm:f>"Value Missing"</xm:f>
            <x14:dxf>
              <font>
                <color rgb="FF006100"/>
              </font>
              <fill>
                <patternFill>
                  <bgColor rgb="FFC6EFCE"/>
                </patternFill>
              </fill>
            </x14:dxf>
          </x14:cfRule>
          <xm:sqref>I159:I174 I124:I155 I178:I193 I119:I120</xm:sqref>
        </x14:conditionalFormatting>
        <x14:conditionalFormatting xmlns:xm="http://schemas.microsoft.com/office/excel/2006/main">
          <x14:cfRule type="containsText" priority="525" operator="containsText" id="{2E6C871D-DB0C-9743-BFD5-7964C0A15638}">
            <xm:f>NOT(ISERROR(SEARCH("Value Missing",I196)))</xm:f>
            <xm:f>"Value Missing"</xm:f>
            <x14:dxf>
              <font>
                <color rgb="FF9C0006"/>
              </font>
              <fill>
                <patternFill>
                  <bgColor rgb="FFFFC7CE"/>
                </patternFill>
              </fill>
            </x14:dxf>
          </x14:cfRule>
          <x14:cfRule type="notContainsText" priority="526" operator="notContains" id="{3D381275-0C09-1044-96F2-5E4B0AF77662}">
            <xm:f>ISERROR(SEARCH("Value Missing",I196))</xm:f>
            <xm:f>"Value Missing"</xm:f>
            <x14:dxf>
              <font>
                <color rgb="FF006100"/>
              </font>
              <fill>
                <patternFill>
                  <bgColor rgb="FFC6EFCE"/>
                </patternFill>
              </fill>
            </x14:dxf>
          </x14:cfRule>
          <xm:sqref>I196:I202</xm:sqref>
        </x14:conditionalFormatting>
        <x14:conditionalFormatting xmlns:xm="http://schemas.microsoft.com/office/excel/2006/main">
          <x14:cfRule type="notContainsText" priority="24" operator="notContains" id="{4342B9AB-9ECE-5A45-A1C8-536F14A19518}">
            <xm:f>ISERROR(SEARCH("Value Missing",I205))</xm:f>
            <xm:f>"Value Missing"</xm:f>
            <x14:dxf>
              <font>
                <color rgb="FF006100"/>
              </font>
              <fill>
                <patternFill>
                  <bgColor rgb="FFC6EFCE"/>
                </patternFill>
              </fill>
            </x14:dxf>
          </x14:cfRule>
          <x14:cfRule type="containsText" priority="23" operator="containsText" id="{419206F6-4D86-2B47-A7DB-77084295D681}">
            <xm:f>NOT(ISERROR(SEARCH("Value Missing",I205)))</xm:f>
            <xm:f>"Value Missing"</xm:f>
            <x14:dxf>
              <font>
                <color rgb="FF9C0006"/>
              </font>
              <fill>
                <patternFill>
                  <bgColor rgb="FFFFC7CE"/>
                </patternFill>
              </fill>
            </x14:dxf>
          </x14:cfRule>
          <xm:sqref>I205:I211</xm:sqref>
        </x14:conditionalFormatting>
        <x14:conditionalFormatting xmlns:xm="http://schemas.microsoft.com/office/excel/2006/main">
          <x14:cfRule type="containsText" priority="563" operator="containsText" id="{35F67D2D-F077-634F-9C92-A00E59A39385}">
            <xm:f>NOT(ISERROR(SEARCH("Value Missing",I215)))</xm:f>
            <xm:f>"Value Missing"</xm:f>
            <x14:dxf>
              <font>
                <color rgb="FF9C0006"/>
              </font>
              <fill>
                <patternFill>
                  <bgColor rgb="FFFFC7CE"/>
                </patternFill>
              </fill>
            </x14:dxf>
          </x14:cfRule>
          <x14:cfRule type="notContainsText" priority="564" operator="notContains" id="{5DFE044E-DAE4-4B42-9A91-7FE8E52EB8F4}">
            <xm:f>ISERROR(SEARCH("Value Missing",I215))</xm:f>
            <xm:f>"Value Missing"</xm:f>
            <x14:dxf>
              <font>
                <color rgb="FF006100"/>
              </font>
              <fill>
                <patternFill>
                  <bgColor rgb="FFC6EFCE"/>
                </patternFill>
              </fill>
            </x14:dxf>
          </x14:cfRule>
          <xm:sqref>I215:I230</xm:sqref>
        </x14:conditionalFormatting>
        <x14:conditionalFormatting xmlns:xm="http://schemas.microsoft.com/office/excel/2006/main">
          <x14:cfRule type="notContainsText" priority="621" operator="notContains" id="{DE33D9F6-5860-9546-A633-4A9A84487077}">
            <xm:f>ISERROR(SEARCH("Value Missing",L22))</xm:f>
            <xm:f>"Value Missing"</xm:f>
            <x14:dxf>
              <font>
                <color rgb="FF006100"/>
              </font>
              <fill>
                <patternFill>
                  <bgColor rgb="FFC6EFCE"/>
                </patternFill>
              </fill>
            </x14:dxf>
          </x14:cfRule>
          <x14:cfRule type="containsText" priority="622" operator="containsText" id="{AC2F6013-2481-D045-B035-855761FBE9F9}">
            <xm:f>NOT(ISERROR(SEARCH("Value Missing",L22)))</xm:f>
            <xm:f>"Value Missing"</xm:f>
            <x14:dxf>
              <font>
                <color rgb="FF9C0006"/>
              </font>
              <fill>
                <patternFill>
                  <bgColor rgb="FFFFC7CE"/>
                </patternFill>
              </fill>
            </x14:dxf>
          </x14:cfRule>
          <xm:sqref>L22:L32 L36:L46</xm:sqref>
        </x14:conditionalFormatting>
        <x14:conditionalFormatting xmlns:xm="http://schemas.microsoft.com/office/excel/2006/main">
          <x14:cfRule type="notContainsText" priority="103" operator="notContains" id="{FFD093CB-6E33-A34C-80F9-94B0A406157D}">
            <xm:f>ISERROR(SEARCH("Value Missing",L50))</xm:f>
            <xm:f>"Value Missing"</xm:f>
            <x14:dxf>
              <font>
                <color rgb="FF006100"/>
              </font>
              <fill>
                <patternFill>
                  <bgColor rgb="FFC6EFCE"/>
                </patternFill>
              </fill>
            </x14:dxf>
          </x14:cfRule>
          <x14:cfRule type="containsText" priority="104" operator="containsText" id="{8C5C6DAF-98EA-5541-8D70-24B076DAD780}">
            <xm:f>NOT(ISERROR(SEARCH("Value Missing",L50)))</xm:f>
            <xm:f>"Value Missing"</xm:f>
            <x14:dxf>
              <font>
                <color rgb="FF9C0006"/>
              </font>
              <fill>
                <patternFill>
                  <bgColor rgb="FFFFC7CE"/>
                </patternFill>
              </fill>
            </x14:dxf>
          </x14:cfRule>
          <xm:sqref>L50:L60</xm:sqref>
        </x14:conditionalFormatting>
        <x14:conditionalFormatting xmlns:xm="http://schemas.microsoft.com/office/excel/2006/main">
          <x14:cfRule type="containsText" priority="624" operator="containsText" id="{7D0E1D86-052F-B644-AD2A-5E9999E0FD1D}">
            <xm:f>NOT(ISERROR(SEARCH("Value Missing",L64)))</xm:f>
            <xm:f>"Value Missing"</xm:f>
            <x14:dxf>
              <font>
                <color rgb="FF9C0006"/>
              </font>
              <fill>
                <patternFill>
                  <bgColor rgb="FFFFC7CE"/>
                </patternFill>
              </fill>
            </x14:dxf>
          </x14:cfRule>
          <x14:cfRule type="notContainsText" priority="623" operator="notContains" id="{7F39B031-3622-0442-A2FA-2A595FF79022}">
            <xm:f>ISERROR(SEARCH("Value Missing",L64))</xm:f>
            <xm:f>"Value Missing"</xm:f>
            <x14:dxf>
              <font>
                <color rgb="FF006100"/>
              </font>
              <fill>
                <patternFill>
                  <bgColor rgb="FFC6EFCE"/>
                </patternFill>
              </fill>
            </x14:dxf>
          </x14:cfRule>
          <xm:sqref>L64:L70</xm:sqref>
        </x14:conditionalFormatting>
        <x14:conditionalFormatting xmlns:xm="http://schemas.microsoft.com/office/excel/2006/main">
          <x14:cfRule type="notContainsText" priority="519" operator="notContains" id="{8CB44006-88FD-6449-AB4C-411E5E31B20C}">
            <xm:f>ISERROR(SEARCH("Value Missing",L74))</xm:f>
            <xm:f>"Value Missing"</xm:f>
            <x14:dxf>
              <font>
                <color rgb="FF006100"/>
              </font>
              <fill>
                <patternFill>
                  <bgColor rgb="FFC6EFCE"/>
                </patternFill>
              </fill>
            </x14:dxf>
          </x14:cfRule>
          <x14:cfRule type="containsText" priority="520" operator="containsText" id="{F313BEA6-FB1F-D040-859A-C49C7DD292E1}">
            <xm:f>NOT(ISERROR(SEARCH("Value Missing",L74)))</xm:f>
            <xm:f>"Value Missing"</xm:f>
            <x14:dxf>
              <font>
                <color rgb="FF9C0006"/>
              </font>
              <fill>
                <patternFill>
                  <bgColor rgb="FFFFC7CE"/>
                </patternFill>
              </fill>
            </x14:dxf>
          </x14:cfRule>
          <xm:sqref>L74:L79</xm:sqref>
        </x14:conditionalFormatting>
        <x14:conditionalFormatting xmlns:xm="http://schemas.microsoft.com/office/excel/2006/main">
          <x14:cfRule type="notContainsText" priority="521" operator="notContains" id="{3BDFFE87-4F22-8844-800D-417D82190DDA}">
            <xm:f>ISERROR(SEARCH("Value Missing",L75))</xm:f>
            <xm:f>"Value Missing"</xm:f>
            <x14:dxf>
              <font>
                <color rgb="FF006100"/>
              </font>
              <fill>
                <patternFill>
                  <bgColor rgb="FFC6EFCE"/>
                </patternFill>
              </fill>
            </x14:dxf>
          </x14:cfRule>
          <xm:sqref>L75:L79</xm:sqref>
        </x14:conditionalFormatting>
        <x14:conditionalFormatting xmlns:xm="http://schemas.microsoft.com/office/excel/2006/main">
          <x14:cfRule type="notContainsText" priority="472" operator="notContains" id="{4FD88122-A98D-D044-A323-F312BD7F5E3D}">
            <xm:f>ISERROR(SEARCH("Value Missing",C83))</xm:f>
            <xm:f>"Value Missing"</xm:f>
            <x14:dxf>
              <font>
                <color rgb="FF006100"/>
              </font>
              <fill>
                <patternFill>
                  <bgColor rgb="FFC6EFCE"/>
                </patternFill>
              </fill>
            </x14:dxf>
          </x14:cfRule>
          <x14:cfRule type="containsText" priority="473" operator="containsText" id="{A8F37E94-97AF-E34C-897B-30CBF7BBF1CE}">
            <xm:f>NOT(ISERROR(SEARCH("Value Missing",C83)))</xm:f>
            <xm:f>"Value Missing"</xm:f>
            <x14:dxf>
              <font>
                <color rgb="FF9C0006"/>
              </font>
              <fill>
                <patternFill>
                  <bgColor rgb="FFFFC7CE"/>
                </patternFill>
              </fill>
            </x14:dxf>
          </x14:cfRule>
          <x14:cfRule type="notContainsText" priority="474" operator="notContains" id="{2567164C-6263-D641-A4EE-D8D5DF029D0A}">
            <xm:f>ISERROR(SEARCH("Value Missing",C83))</xm:f>
            <xm:f>"Value Missing"</xm:f>
            <x14:dxf>
              <font>
                <color rgb="FF006100"/>
              </font>
              <fill>
                <patternFill>
                  <bgColor rgb="FFC6EFCE"/>
                </patternFill>
              </fill>
            </x14:dxf>
          </x14:cfRule>
          <x14:cfRule type="containsText" priority="475" operator="containsText" id="{83936CE6-B0E3-A54E-A0E6-ECEACFDEBE92}">
            <xm:f>NOT(ISERROR(SEARCH("Value Missing",C83)))</xm:f>
            <xm:f>"Value Missing"</xm:f>
            <x14:dxf>
              <font>
                <color rgb="FF9C0006"/>
              </font>
              <fill>
                <patternFill>
                  <bgColor rgb="FFFFC7CE"/>
                </patternFill>
              </fill>
            </x14:dxf>
          </x14:cfRule>
          <xm:sqref>L83:L94 O83:O94 R83:R94 U83:U94 X83:X94 AA83:AA94 C98:C105 F107 F109:F115</xm:sqref>
        </x14:conditionalFormatting>
        <x14:conditionalFormatting xmlns:xm="http://schemas.microsoft.com/office/excel/2006/main">
          <x14:cfRule type="containsText" priority="142" operator="containsText" id="{82B4B40B-90BF-804F-8EE2-D888F1AB6FF5}">
            <xm:f>NOT(ISERROR(SEARCH("Value Missing",L98)))</xm:f>
            <xm:f>"Value Missing"</xm:f>
            <x14:dxf>
              <font>
                <color rgb="FF9C0006"/>
              </font>
              <fill>
                <patternFill>
                  <bgColor rgb="FFFFC7CE"/>
                </patternFill>
              </fill>
            </x14:dxf>
          </x14:cfRule>
          <x14:cfRule type="notContainsText" priority="141" operator="notContains" id="{329DF300-B05B-504C-9760-4158253CA1EB}">
            <xm:f>ISERROR(SEARCH("Value Missing",L98))</xm:f>
            <xm:f>"Value Missing"</xm:f>
            <x14:dxf>
              <font>
                <color rgb="FF006100"/>
              </font>
              <fill>
                <patternFill>
                  <bgColor rgb="FFC6EFCE"/>
                </patternFill>
              </fill>
            </x14:dxf>
          </x14:cfRule>
          <xm:sqref>L98</xm:sqref>
        </x14:conditionalFormatting>
        <x14:conditionalFormatting xmlns:xm="http://schemas.microsoft.com/office/excel/2006/main">
          <x14:cfRule type="containsText" priority="144" operator="containsText" id="{9B36FCA1-EF78-F247-9B6A-207A734579BA}">
            <xm:f>NOT(ISERROR(SEARCH("Value Missing",L98)))</xm:f>
            <xm:f>"Value Missing"</xm:f>
            <x14:dxf>
              <font>
                <color rgb="FF9C0006"/>
              </font>
              <fill>
                <patternFill>
                  <bgColor rgb="FFFFC7CE"/>
                </patternFill>
              </fill>
            </x14:dxf>
          </x14:cfRule>
          <x14:cfRule type="notContainsText" priority="143" operator="notContains" id="{3905AFD7-513A-BE47-881E-5516316FD18B}">
            <xm:f>ISERROR(SEARCH("Value Missing",L98))</xm:f>
            <xm:f>"Value Missing"</xm:f>
            <x14:dxf>
              <font>
                <color rgb="FF006100"/>
              </font>
              <fill>
                <patternFill>
                  <bgColor rgb="FFC6EFCE"/>
                </patternFill>
              </fill>
            </x14:dxf>
          </x14:cfRule>
          <xm:sqref>L98:L102</xm:sqref>
        </x14:conditionalFormatting>
        <x14:conditionalFormatting xmlns:xm="http://schemas.microsoft.com/office/excel/2006/main">
          <x14:cfRule type="containsText" priority="461" operator="containsText" id="{FE115180-D9E1-5742-9ADF-75948E0429D9}">
            <xm:f>NOT(ISERROR(SEARCH("Value Missing",L99)))</xm:f>
            <xm:f>"Value Missing"</xm:f>
            <x14:dxf>
              <font>
                <color rgb="FF9C0006"/>
              </font>
              <fill>
                <patternFill>
                  <bgColor rgb="FFFFC7CE"/>
                </patternFill>
              </fill>
            </x14:dxf>
          </x14:cfRule>
          <x14:cfRule type="notContainsText" priority="460" operator="notContains" id="{092F5095-55F1-7745-8641-3EC5F879FC22}">
            <xm:f>ISERROR(SEARCH("Value Missing",L99))</xm:f>
            <xm:f>"Value Missing"</xm:f>
            <x14:dxf>
              <font>
                <color rgb="FF006100"/>
              </font>
              <fill>
                <patternFill>
                  <bgColor rgb="FFC6EFCE"/>
                </patternFill>
              </fill>
            </x14:dxf>
          </x14:cfRule>
          <xm:sqref>L99:L102 L104:L105</xm:sqref>
        </x14:conditionalFormatting>
        <x14:conditionalFormatting xmlns:xm="http://schemas.microsoft.com/office/excel/2006/main">
          <x14:cfRule type="notContainsText" priority="81" operator="notContains" id="{B7258385-0CA2-1349-9615-0465757F2E69}">
            <xm:f>ISERROR(SEARCH("Value Missing",L103))</xm:f>
            <xm:f>"Value Missing"</xm:f>
            <x14:dxf>
              <font>
                <color rgb="FF006100"/>
              </font>
              <fill>
                <patternFill>
                  <bgColor rgb="FFC6EFCE"/>
                </patternFill>
              </fill>
            </x14:dxf>
          </x14:cfRule>
          <x14:cfRule type="containsText" priority="82" operator="containsText" id="{DA48BF84-0052-0B4F-863D-539263278BB2}">
            <xm:f>NOT(ISERROR(SEARCH("Value Missing",L103)))</xm:f>
            <xm:f>"Value Missing"</xm:f>
            <x14:dxf>
              <font>
                <color rgb="FF9C0006"/>
              </font>
              <fill>
                <patternFill>
                  <bgColor rgb="FFFFC7CE"/>
                </patternFill>
              </fill>
            </x14:dxf>
          </x14:cfRule>
          <xm:sqref>L103</xm:sqref>
        </x14:conditionalFormatting>
        <x14:conditionalFormatting xmlns:xm="http://schemas.microsoft.com/office/excel/2006/main">
          <x14:cfRule type="notContainsText" priority="83" operator="notContains" id="{D8D97E29-1F13-5643-B7F5-C0385B69A476}">
            <xm:f>ISERROR(SEARCH("Value Missing",L103))</xm:f>
            <xm:f>"Value Missing"</xm:f>
            <x14:dxf>
              <font>
                <color rgb="FF006100"/>
              </font>
              <fill>
                <patternFill>
                  <bgColor rgb="FFC6EFCE"/>
                </patternFill>
              </fill>
            </x14:dxf>
          </x14:cfRule>
          <x14:cfRule type="containsText" priority="84" operator="containsText" id="{A314778B-8AFF-624F-9D9A-C3B6B0574640}">
            <xm:f>NOT(ISERROR(SEARCH("Value Missing",L103)))</xm:f>
            <xm:f>"Value Missing"</xm:f>
            <x14:dxf>
              <font>
                <color rgb="FF9C0006"/>
              </font>
              <fill>
                <patternFill>
                  <bgColor rgb="FFFFC7CE"/>
                </patternFill>
              </fill>
            </x14:dxf>
          </x14:cfRule>
          <xm:sqref>L103:L105</xm:sqref>
        </x14:conditionalFormatting>
        <x14:conditionalFormatting xmlns:xm="http://schemas.microsoft.com/office/excel/2006/main">
          <x14:cfRule type="notContainsText" priority="565" operator="notContains" id="{CFBB2B03-B4A5-BF47-A9C5-9AC0A75E6526}">
            <xm:f>ISERROR(SEARCH("Value Missing",I107))</xm:f>
            <xm:f>"Value Missing"</xm:f>
            <x14:dxf>
              <font>
                <color rgb="FF006100"/>
              </font>
              <fill>
                <patternFill>
                  <bgColor rgb="FFC6EFCE"/>
                </patternFill>
              </fill>
            </x14:dxf>
          </x14:cfRule>
          <xm:sqref>L109:L115 O109:O115 R109:R115 U109:U115 X109:X115 AA109:AA115 I107 L107 O107 R107 U107 X107 AA107 I109:I115</xm:sqref>
        </x14:conditionalFormatting>
        <x14:conditionalFormatting xmlns:xm="http://schemas.microsoft.com/office/excel/2006/main">
          <x14:cfRule type="containsText" priority="500" operator="containsText" id="{6305E3A7-C754-644A-B8B6-AF516248BCEF}">
            <xm:f>NOT(ISERROR(SEARCH("Value Missing",L109)))</xm:f>
            <xm:f>"Value Missing"</xm:f>
            <x14:dxf>
              <font>
                <color rgb="FF9C0006"/>
              </font>
              <fill>
                <patternFill>
                  <bgColor rgb="FFFFC7CE"/>
                </patternFill>
              </fill>
            </x14:dxf>
          </x14:cfRule>
          <x14:cfRule type="notContainsText" priority="499" operator="notContains" id="{9F9AF332-21D3-F548-BD5D-D941BCB62C53}">
            <xm:f>ISERROR(SEARCH("Value Missing",L109))</xm:f>
            <xm:f>"Value Missing"</xm:f>
            <x14:dxf>
              <font>
                <color rgb="FF006100"/>
              </font>
              <fill>
                <patternFill>
                  <bgColor rgb="FFC6EFCE"/>
                </patternFill>
              </fill>
            </x14:dxf>
          </x14:cfRule>
          <xm:sqref>L109:L115</xm:sqref>
        </x14:conditionalFormatting>
        <x14:conditionalFormatting xmlns:xm="http://schemas.microsoft.com/office/excel/2006/main">
          <x14:cfRule type="notContainsText" priority="635" operator="notContains" id="{1BC8A876-E272-3444-A933-27DEB3B321A4}">
            <xm:f>ISERROR(SEARCH("Value Missing",L119))</xm:f>
            <xm:f>"Value Missing"</xm:f>
            <x14:dxf>
              <font>
                <color rgb="FF006100"/>
              </font>
              <fill>
                <patternFill>
                  <bgColor rgb="FFC6EFCE"/>
                </patternFill>
              </fill>
            </x14:dxf>
          </x14:cfRule>
          <x14:cfRule type="containsText" priority="636" operator="containsText" id="{4FFFB1F2-C9AD-4D4B-9D9C-997A789608C3}">
            <xm:f>NOT(ISERROR(SEARCH("Value Missing",L119)))</xm:f>
            <xm:f>"Value Missing"</xm:f>
            <x14:dxf>
              <font>
                <color rgb="FF9C0006"/>
              </font>
              <fill>
                <patternFill>
                  <bgColor rgb="FFFFC7CE"/>
                </patternFill>
              </fill>
            </x14:dxf>
          </x14:cfRule>
          <xm:sqref>L119:L120</xm:sqref>
        </x14:conditionalFormatting>
        <x14:conditionalFormatting xmlns:xm="http://schemas.microsoft.com/office/excel/2006/main">
          <x14:cfRule type="notContainsText" priority="690" operator="notContains" id="{5142267D-3E8F-D44B-9E1E-2BBB3D8F8B4E}">
            <xm:f>ISERROR(SEARCH("Value Missing",L124))</xm:f>
            <xm:f>"Value Missing"</xm:f>
            <x14:dxf>
              <font>
                <color rgb="FF006100"/>
              </font>
              <fill>
                <patternFill>
                  <bgColor rgb="FFC6EFCE"/>
                </patternFill>
              </fill>
            </x14:dxf>
          </x14:cfRule>
          <x14:cfRule type="containsText" priority="689" operator="containsText" id="{3EDFE9A7-45F5-B045-8DAD-06758F285B30}">
            <xm:f>NOT(ISERROR(SEARCH("Value Missing",L124)))</xm:f>
            <xm:f>"Value Missing"</xm:f>
            <x14:dxf>
              <font>
                <color rgb="FF9C0006"/>
              </font>
              <fill>
                <patternFill>
                  <bgColor rgb="FFFFC7CE"/>
                </patternFill>
              </fill>
            </x14:dxf>
          </x14:cfRule>
          <xm:sqref>L124:L155 L178:L193 O178:O193 R178:R193 U178:U193 X178:X193 AA178:AA193</xm:sqref>
        </x14:conditionalFormatting>
        <x14:conditionalFormatting xmlns:xm="http://schemas.microsoft.com/office/excel/2006/main">
          <x14:cfRule type="containsText" priority="647" operator="containsText" id="{09A7A6C5-CE32-4B47-AFCD-EBD1AE94E255}">
            <xm:f>NOT(ISERROR(SEARCH("Value Missing",L159)))</xm:f>
            <xm:f>"Value Missing"</xm:f>
            <x14:dxf>
              <font>
                <color rgb="FF9C0006"/>
              </font>
              <fill>
                <patternFill>
                  <bgColor rgb="FFFFC7CE"/>
                </patternFill>
              </fill>
            </x14:dxf>
          </x14:cfRule>
          <x14:cfRule type="notContainsText" priority="648" operator="notContains" id="{1259DE97-C598-F843-8912-14E75ECFD6A4}">
            <xm:f>ISERROR(SEARCH("Value Missing",L159))</xm:f>
            <xm:f>"Value Missing"</xm:f>
            <x14:dxf>
              <font>
                <color rgb="FF006100"/>
              </font>
              <fill>
                <patternFill>
                  <bgColor rgb="FFC6EFCE"/>
                </patternFill>
              </fill>
            </x14:dxf>
          </x14:cfRule>
          <xm:sqref>L159:L174</xm:sqref>
        </x14:conditionalFormatting>
        <x14:conditionalFormatting xmlns:xm="http://schemas.microsoft.com/office/excel/2006/main">
          <x14:cfRule type="notContainsText" priority="211" operator="notContains" id="{D636460B-1935-D94E-B0A7-6F4A0466B144}">
            <xm:f>ISERROR(SEARCH("Value Missing",L196))</xm:f>
            <xm:f>"Value Missing"</xm:f>
            <x14:dxf>
              <font>
                <color rgb="FF006100"/>
              </font>
              <fill>
                <patternFill>
                  <bgColor rgb="FFC6EFCE"/>
                </patternFill>
              </fill>
            </x14:dxf>
          </x14:cfRule>
          <x14:cfRule type="containsText" priority="210" operator="containsText" id="{9894F25B-DE2D-9A4A-A724-C4109CA1970C}">
            <xm:f>NOT(ISERROR(SEARCH("Value Missing",L196)))</xm:f>
            <xm:f>"Value Missing"</xm:f>
            <x14:dxf>
              <font>
                <color rgb="FF9C0006"/>
              </font>
              <fill>
                <patternFill>
                  <bgColor rgb="FFFFC7CE"/>
                </patternFill>
              </fill>
            </x14:dxf>
          </x14:cfRule>
          <xm:sqref>L196:L202</xm:sqref>
        </x14:conditionalFormatting>
        <x14:conditionalFormatting xmlns:xm="http://schemas.microsoft.com/office/excel/2006/main">
          <x14:cfRule type="containsText" priority="21" operator="containsText" id="{E2175298-8E6A-7249-B188-B8C46AF15A5E}">
            <xm:f>NOT(ISERROR(SEARCH("Value Missing",L205)))</xm:f>
            <xm:f>"Value Missing"</xm:f>
            <x14:dxf>
              <font>
                <color rgb="FF9C0006"/>
              </font>
              <fill>
                <patternFill>
                  <bgColor rgb="FFFFC7CE"/>
                </patternFill>
              </fill>
            </x14:dxf>
          </x14:cfRule>
          <x14:cfRule type="notContainsText" priority="22" operator="notContains" id="{8D9CC3DA-0249-3E4D-8506-23368D1E10FD}">
            <xm:f>ISERROR(SEARCH("Value Missing",L205))</xm:f>
            <xm:f>"Value Missing"</xm:f>
            <x14:dxf>
              <font>
                <color rgb="FF006100"/>
              </font>
              <fill>
                <patternFill>
                  <bgColor rgb="FFC6EFCE"/>
                </patternFill>
              </fill>
            </x14:dxf>
          </x14:cfRule>
          <xm:sqref>L205:L211</xm:sqref>
        </x14:conditionalFormatting>
        <x14:conditionalFormatting xmlns:xm="http://schemas.microsoft.com/office/excel/2006/main">
          <x14:cfRule type="notContainsText" priority="562" operator="notContains" id="{E739F228-9C86-E341-A55D-30A0992F568D}">
            <xm:f>ISERROR(SEARCH("Value Missing",L215))</xm:f>
            <xm:f>"Value Missing"</xm:f>
            <x14:dxf>
              <font>
                <color rgb="FF006100"/>
              </font>
              <fill>
                <patternFill>
                  <bgColor rgb="FFC6EFCE"/>
                </patternFill>
              </fill>
            </x14:dxf>
          </x14:cfRule>
          <x14:cfRule type="containsText" priority="561" operator="containsText" id="{F02D2D01-7244-D64E-A7A3-B6D0931809B9}">
            <xm:f>NOT(ISERROR(SEARCH("Value Missing",L215)))</xm:f>
            <xm:f>"Value Missing"</xm:f>
            <x14:dxf>
              <font>
                <color rgb="FF9C0006"/>
              </font>
              <fill>
                <patternFill>
                  <bgColor rgb="FFFFC7CE"/>
                </patternFill>
              </fill>
            </x14:dxf>
          </x14:cfRule>
          <xm:sqref>L215:L230</xm:sqref>
        </x14:conditionalFormatting>
        <x14:conditionalFormatting xmlns:xm="http://schemas.microsoft.com/office/excel/2006/main">
          <x14:cfRule type="containsText" priority="696" operator="containsText" id="{19BD6272-CDB1-AC42-AF00-24770253B3F4}">
            <xm:f>NOT(ISERROR(SEARCH("Value Missing",L340)))</xm:f>
            <xm:f>"Value Missing"</xm:f>
            <x14:dxf>
              <font>
                <color rgb="FF9C0006"/>
              </font>
              <fill>
                <patternFill>
                  <bgColor rgb="FFFFC7CE"/>
                </patternFill>
              </fill>
            </x14:dxf>
          </x14:cfRule>
          <x14:cfRule type="notContainsText" priority="691" operator="notContains" id="{BE304E4E-FFFC-834C-AC8F-446CB1ABE52A}">
            <xm:f>ISERROR(SEARCH("Value Missing",L340))</xm:f>
            <xm:f>"Value Missing"</xm:f>
            <x14:dxf>
              <font>
                <color rgb="FF006100"/>
              </font>
              <fill>
                <patternFill>
                  <bgColor rgb="FFC6EFCE"/>
                </patternFill>
              </fill>
            </x14:dxf>
          </x14:cfRule>
          <xm:sqref>L340:L371</xm:sqref>
        </x14:conditionalFormatting>
        <x14:conditionalFormatting xmlns:xm="http://schemas.microsoft.com/office/excel/2006/main">
          <x14:cfRule type="notContainsText" priority="615" operator="notContains" id="{094E8A8A-4E92-384B-91AB-C3469F7CFD86}">
            <xm:f>ISERROR(SEARCH("Value Missing",O22))</xm:f>
            <xm:f>"Value Missing"</xm:f>
            <x14:dxf>
              <font>
                <color rgb="FF006100"/>
              </font>
              <fill>
                <patternFill>
                  <bgColor rgb="FFC6EFCE"/>
                </patternFill>
              </fill>
            </x14:dxf>
          </x14:cfRule>
          <x14:cfRule type="containsText" priority="616" operator="containsText" id="{7520D0A3-1446-EE4E-9240-0A0A990647A7}">
            <xm:f>NOT(ISERROR(SEARCH("Value Missing",O22)))</xm:f>
            <xm:f>"Value Missing"</xm:f>
            <x14:dxf>
              <font>
                <color rgb="FF9C0006"/>
              </font>
              <fill>
                <patternFill>
                  <bgColor rgb="FFFFC7CE"/>
                </patternFill>
              </fill>
            </x14:dxf>
          </x14:cfRule>
          <xm:sqref>O22:O32 O36:O46</xm:sqref>
        </x14:conditionalFormatting>
        <x14:conditionalFormatting xmlns:xm="http://schemas.microsoft.com/office/excel/2006/main">
          <x14:cfRule type="notContainsText" priority="101" operator="notContains" id="{6BFDD0E2-A077-FA44-9932-749F24C0877F}">
            <xm:f>ISERROR(SEARCH("Value Missing",O50))</xm:f>
            <xm:f>"Value Missing"</xm:f>
            <x14:dxf>
              <font>
                <color rgb="FF006100"/>
              </font>
              <fill>
                <patternFill>
                  <bgColor rgb="FFC6EFCE"/>
                </patternFill>
              </fill>
            </x14:dxf>
          </x14:cfRule>
          <x14:cfRule type="containsText" priority="102" operator="containsText" id="{578756F2-0A25-1947-9FE5-FA13AB09B476}">
            <xm:f>NOT(ISERROR(SEARCH("Value Missing",O50)))</xm:f>
            <xm:f>"Value Missing"</xm:f>
            <x14:dxf>
              <font>
                <color rgb="FF9C0006"/>
              </font>
              <fill>
                <patternFill>
                  <bgColor rgb="FFFFC7CE"/>
                </patternFill>
              </fill>
            </x14:dxf>
          </x14:cfRule>
          <xm:sqref>O50:O60</xm:sqref>
        </x14:conditionalFormatting>
        <x14:conditionalFormatting xmlns:xm="http://schemas.microsoft.com/office/excel/2006/main">
          <x14:cfRule type="containsText" priority="618" operator="containsText" id="{A0C2452B-E1C4-6B42-ADC5-C5DBE7F9026E}">
            <xm:f>NOT(ISERROR(SEARCH("Value Missing",O64)))</xm:f>
            <xm:f>"Value Missing"</xm:f>
            <x14:dxf>
              <font>
                <color rgb="FF9C0006"/>
              </font>
              <fill>
                <patternFill>
                  <bgColor rgb="FFFFC7CE"/>
                </patternFill>
              </fill>
            </x14:dxf>
          </x14:cfRule>
          <x14:cfRule type="notContainsText" priority="617" operator="notContains" id="{9FC44CC8-3153-2A41-B2BF-F6518D520B2F}">
            <xm:f>ISERROR(SEARCH("Value Missing",O64))</xm:f>
            <xm:f>"Value Missing"</xm:f>
            <x14:dxf>
              <font>
                <color rgb="FF006100"/>
              </font>
              <fill>
                <patternFill>
                  <bgColor rgb="FFC6EFCE"/>
                </patternFill>
              </fill>
            </x14:dxf>
          </x14:cfRule>
          <xm:sqref>O64:O70</xm:sqref>
        </x14:conditionalFormatting>
        <x14:conditionalFormatting xmlns:xm="http://schemas.microsoft.com/office/excel/2006/main">
          <x14:cfRule type="containsText" priority="517" operator="containsText" id="{3B151BEF-1C22-BB40-9E33-CA117A005800}">
            <xm:f>NOT(ISERROR(SEARCH("Value Missing",O74)))</xm:f>
            <xm:f>"Value Missing"</xm:f>
            <x14:dxf>
              <font>
                <color rgb="FF9C0006"/>
              </font>
              <fill>
                <patternFill>
                  <bgColor rgb="FFFFC7CE"/>
                </patternFill>
              </fill>
            </x14:dxf>
          </x14:cfRule>
          <x14:cfRule type="notContainsText" priority="516" operator="notContains" id="{D047F4C7-8E25-8C4E-912C-3ED5ED8E810D}">
            <xm:f>ISERROR(SEARCH("Value Missing",O74))</xm:f>
            <xm:f>"Value Missing"</xm:f>
            <x14:dxf>
              <font>
                <color rgb="FF006100"/>
              </font>
              <fill>
                <patternFill>
                  <bgColor rgb="FFC6EFCE"/>
                </patternFill>
              </fill>
            </x14:dxf>
          </x14:cfRule>
          <xm:sqref>O74:O79</xm:sqref>
        </x14:conditionalFormatting>
        <x14:conditionalFormatting xmlns:xm="http://schemas.microsoft.com/office/excel/2006/main">
          <x14:cfRule type="notContainsText" priority="518" operator="notContains" id="{742E1AFA-800A-4C44-9DF9-4B34C7896BC6}">
            <xm:f>ISERROR(SEARCH("Value Missing",O75))</xm:f>
            <xm:f>"Value Missing"</xm:f>
            <x14:dxf>
              <font>
                <color rgb="FF006100"/>
              </font>
              <fill>
                <patternFill>
                  <bgColor rgb="FFC6EFCE"/>
                </patternFill>
              </fill>
            </x14:dxf>
          </x14:cfRule>
          <xm:sqref>O75:O79</xm:sqref>
        </x14:conditionalFormatting>
        <x14:conditionalFormatting xmlns:xm="http://schemas.microsoft.com/office/excel/2006/main">
          <x14:cfRule type="containsText" priority="138" operator="containsText" id="{A1E56323-170A-D34C-8EB0-3D6F66AEF5EF}">
            <xm:f>NOT(ISERROR(SEARCH("Value Missing",O98)))</xm:f>
            <xm:f>"Value Missing"</xm:f>
            <x14:dxf>
              <font>
                <color rgb="FF9C0006"/>
              </font>
              <fill>
                <patternFill>
                  <bgColor rgb="FFFFC7CE"/>
                </patternFill>
              </fill>
            </x14:dxf>
          </x14:cfRule>
          <x14:cfRule type="notContainsText" priority="137" operator="notContains" id="{F65C86E1-6385-DD46-AE3E-7B583FFA711E}">
            <xm:f>ISERROR(SEARCH("Value Missing",O98))</xm:f>
            <xm:f>"Value Missing"</xm:f>
            <x14:dxf>
              <font>
                <color rgb="FF006100"/>
              </font>
              <fill>
                <patternFill>
                  <bgColor rgb="FFC6EFCE"/>
                </patternFill>
              </fill>
            </x14:dxf>
          </x14:cfRule>
          <xm:sqref>O98</xm:sqref>
        </x14:conditionalFormatting>
        <x14:conditionalFormatting xmlns:xm="http://schemas.microsoft.com/office/excel/2006/main">
          <x14:cfRule type="containsText" priority="140" operator="containsText" id="{ACDCEAB1-F1C8-C54A-B58C-CF9AE7F8E85C}">
            <xm:f>NOT(ISERROR(SEARCH("Value Missing",O98)))</xm:f>
            <xm:f>"Value Missing"</xm:f>
            <x14:dxf>
              <font>
                <color rgb="FF9C0006"/>
              </font>
              <fill>
                <patternFill>
                  <bgColor rgb="FFFFC7CE"/>
                </patternFill>
              </fill>
            </x14:dxf>
          </x14:cfRule>
          <x14:cfRule type="notContainsText" priority="139" operator="notContains" id="{EF6E7C78-C1C4-5B41-B814-F84986D2D4AA}">
            <xm:f>ISERROR(SEARCH("Value Missing",O98))</xm:f>
            <xm:f>"Value Missing"</xm:f>
            <x14:dxf>
              <font>
                <color rgb="FF006100"/>
              </font>
              <fill>
                <patternFill>
                  <bgColor rgb="FFC6EFCE"/>
                </patternFill>
              </fill>
            </x14:dxf>
          </x14:cfRule>
          <xm:sqref>O98:O102</xm:sqref>
        </x14:conditionalFormatting>
        <x14:conditionalFormatting xmlns:xm="http://schemas.microsoft.com/office/excel/2006/main">
          <x14:cfRule type="notContainsText" priority="456" operator="notContains" id="{80F260AC-8D96-F24B-B705-1D9C036783DD}">
            <xm:f>ISERROR(SEARCH("Value Missing",O99))</xm:f>
            <xm:f>"Value Missing"</xm:f>
            <x14:dxf>
              <font>
                <color rgb="FF006100"/>
              </font>
              <fill>
                <patternFill>
                  <bgColor rgb="FFC6EFCE"/>
                </patternFill>
              </fill>
            </x14:dxf>
          </x14:cfRule>
          <x14:cfRule type="containsText" priority="457" operator="containsText" id="{E6595778-4D14-B14A-9C6A-A8E70504BA43}">
            <xm:f>NOT(ISERROR(SEARCH("Value Missing",O99)))</xm:f>
            <xm:f>"Value Missing"</xm:f>
            <x14:dxf>
              <font>
                <color rgb="FF9C0006"/>
              </font>
              <fill>
                <patternFill>
                  <bgColor rgb="FFFFC7CE"/>
                </patternFill>
              </fill>
            </x14:dxf>
          </x14:cfRule>
          <xm:sqref>O99:O102 O104:O105</xm:sqref>
        </x14:conditionalFormatting>
        <x14:conditionalFormatting xmlns:xm="http://schemas.microsoft.com/office/excel/2006/main">
          <x14:cfRule type="notContainsText" priority="77" operator="notContains" id="{CC083D26-EBB2-0445-BF97-F55F60D6291C}">
            <xm:f>ISERROR(SEARCH("Value Missing",O103))</xm:f>
            <xm:f>"Value Missing"</xm:f>
            <x14:dxf>
              <font>
                <color rgb="FF006100"/>
              </font>
              <fill>
                <patternFill>
                  <bgColor rgb="FFC6EFCE"/>
                </patternFill>
              </fill>
            </x14:dxf>
          </x14:cfRule>
          <x14:cfRule type="containsText" priority="78" operator="containsText" id="{36CCEC95-6319-394F-8E68-23ED24713E69}">
            <xm:f>NOT(ISERROR(SEARCH("Value Missing",O103)))</xm:f>
            <xm:f>"Value Missing"</xm:f>
            <x14:dxf>
              <font>
                <color rgb="FF9C0006"/>
              </font>
              <fill>
                <patternFill>
                  <bgColor rgb="FFFFC7CE"/>
                </patternFill>
              </fill>
            </x14:dxf>
          </x14:cfRule>
          <xm:sqref>O103</xm:sqref>
        </x14:conditionalFormatting>
        <x14:conditionalFormatting xmlns:xm="http://schemas.microsoft.com/office/excel/2006/main">
          <x14:cfRule type="notContainsText" priority="79" operator="notContains" id="{CA757E1B-E1AB-AE4F-8F39-A79DA9405674}">
            <xm:f>ISERROR(SEARCH("Value Missing",O103))</xm:f>
            <xm:f>"Value Missing"</xm:f>
            <x14:dxf>
              <font>
                <color rgb="FF006100"/>
              </font>
              <fill>
                <patternFill>
                  <bgColor rgb="FFC6EFCE"/>
                </patternFill>
              </fill>
            </x14:dxf>
          </x14:cfRule>
          <x14:cfRule type="containsText" priority="80" operator="containsText" id="{BCFA5107-2AB0-F949-8916-F5A159BBC1AA}">
            <xm:f>NOT(ISERROR(SEARCH("Value Missing",O103)))</xm:f>
            <xm:f>"Value Missing"</xm:f>
            <x14:dxf>
              <font>
                <color rgb="FF9C0006"/>
              </font>
              <fill>
                <patternFill>
                  <bgColor rgb="FFFFC7CE"/>
                </patternFill>
              </fill>
            </x14:dxf>
          </x14:cfRule>
          <xm:sqref>O103:O105</xm:sqref>
        </x14:conditionalFormatting>
        <x14:conditionalFormatting xmlns:xm="http://schemas.microsoft.com/office/excel/2006/main">
          <x14:cfRule type="notContainsText" priority="497" operator="notContains" id="{D94B3D40-C40D-294F-832B-54689963CF77}">
            <xm:f>ISERROR(SEARCH("Value Missing",O109))</xm:f>
            <xm:f>"Value Missing"</xm:f>
            <x14:dxf>
              <font>
                <color rgb="FF006100"/>
              </font>
              <fill>
                <patternFill>
                  <bgColor rgb="FFC6EFCE"/>
                </patternFill>
              </fill>
            </x14:dxf>
          </x14:cfRule>
          <x14:cfRule type="containsText" priority="498" operator="containsText" id="{AD62735D-DB38-104A-A4AC-3979389BB985}">
            <xm:f>NOT(ISERROR(SEARCH("Value Missing",O109)))</xm:f>
            <xm:f>"Value Missing"</xm:f>
            <x14:dxf>
              <font>
                <color rgb="FF9C0006"/>
              </font>
              <fill>
                <patternFill>
                  <bgColor rgb="FFFFC7CE"/>
                </patternFill>
              </fill>
            </x14:dxf>
          </x14:cfRule>
          <xm:sqref>O109:O115</xm:sqref>
        </x14:conditionalFormatting>
        <x14:conditionalFormatting xmlns:xm="http://schemas.microsoft.com/office/excel/2006/main">
          <x14:cfRule type="notContainsText" priority="633" operator="notContains" id="{D85E1853-4E58-8A44-8C32-50ED86C3020A}">
            <xm:f>ISERROR(SEARCH("Value Missing",O119))</xm:f>
            <xm:f>"Value Missing"</xm:f>
            <x14:dxf>
              <font>
                <color rgb="FF006100"/>
              </font>
              <fill>
                <patternFill>
                  <bgColor rgb="FFC6EFCE"/>
                </patternFill>
              </fill>
            </x14:dxf>
          </x14:cfRule>
          <x14:cfRule type="containsText" priority="634" operator="containsText" id="{136C8F5A-C935-D04B-949B-D9D5DED76813}">
            <xm:f>NOT(ISERROR(SEARCH("Value Missing",O119)))</xm:f>
            <xm:f>"Value Missing"</xm:f>
            <x14:dxf>
              <font>
                <color rgb="FF9C0006"/>
              </font>
              <fill>
                <patternFill>
                  <bgColor rgb="FFFFC7CE"/>
                </patternFill>
              </fill>
            </x14:dxf>
          </x14:cfRule>
          <xm:sqref>O119:O120</xm:sqref>
        </x14:conditionalFormatting>
        <x14:conditionalFormatting xmlns:xm="http://schemas.microsoft.com/office/excel/2006/main">
          <x14:cfRule type="containsText" priority="687" operator="containsText" id="{96B67B06-2B0B-5E42-A1B2-6CC8F05B4FEE}">
            <xm:f>NOT(ISERROR(SEARCH("Value Missing",O124)))</xm:f>
            <xm:f>"Value Missing"</xm:f>
            <x14:dxf>
              <font>
                <color rgb="FF9C0006"/>
              </font>
              <fill>
                <patternFill>
                  <bgColor rgb="FFFFC7CE"/>
                </patternFill>
              </fill>
            </x14:dxf>
          </x14:cfRule>
          <x14:cfRule type="notContainsText" priority="688" operator="notContains" id="{508E229E-3F88-3F40-9FD1-8B5505D19E50}">
            <xm:f>ISERROR(SEARCH("Value Missing",O124))</xm:f>
            <xm:f>"Value Missing"</xm:f>
            <x14:dxf>
              <font>
                <color rgb="FF006100"/>
              </font>
              <fill>
                <patternFill>
                  <bgColor rgb="FFC6EFCE"/>
                </patternFill>
              </fill>
            </x14:dxf>
          </x14:cfRule>
          <xm:sqref>O124:O155</xm:sqref>
        </x14:conditionalFormatting>
        <x14:conditionalFormatting xmlns:xm="http://schemas.microsoft.com/office/excel/2006/main">
          <x14:cfRule type="containsText" priority="645" operator="containsText" id="{87F984AB-B972-5449-9874-95A691CDB5EC}">
            <xm:f>NOT(ISERROR(SEARCH("Value Missing",O159)))</xm:f>
            <xm:f>"Value Missing"</xm:f>
            <x14:dxf>
              <font>
                <color rgb="FF9C0006"/>
              </font>
              <fill>
                <patternFill>
                  <bgColor rgb="FFFFC7CE"/>
                </patternFill>
              </fill>
            </x14:dxf>
          </x14:cfRule>
          <x14:cfRule type="notContainsText" priority="646" operator="notContains" id="{E0907852-F935-D047-B3F5-5A0C0D3134AF}">
            <xm:f>ISERROR(SEARCH("Value Missing",O159))</xm:f>
            <xm:f>"Value Missing"</xm:f>
            <x14:dxf>
              <font>
                <color rgb="FF006100"/>
              </font>
              <fill>
                <patternFill>
                  <bgColor rgb="FFC6EFCE"/>
                </patternFill>
              </fill>
            </x14:dxf>
          </x14:cfRule>
          <xm:sqref>O159:O174</xm:sqref>
        </x14:conditionalFormatting>
        <x14:conditionalFormatting xmlns:xm="http://schemas.microsoft.com/office/excel/2006/main">
          <x14:cfRule type="containsText" priority="208" operator="containsText" id="{92449758-5432-AB42-8D0E-F7D20D5673EC}">
            <xm:f>NOT(ISERROR(SEARCH("Value Missing",O196)))</xm:f>
            <xm:f>"Value Missing"</xm:f>
            <x14:dxf>
              <font>
                <color rgb="FF9C0006"/>
              </font>
              <fill>
                <patternFill>
                  <bgColor rgb="FFFFC7CE"/>
                </patternFill>
              </fill>
            </x14:dxf>
          </x14:cfRule>
          <x14:cfRule type="notContainsText" priority="209" operator="notContains" id="{E514C34B-9C8B-614A-9B15-4511443BBA1D}">
            <xm:f>ISERROR(SEARCH("Value Missing",O196))</xm:f>
            <xm:f>"Value Missing"</xm:f>
            <x14:dxf>
              <font>
                <color rgb="FF006100"/>
              </font>
              <fill>
                <patternFill>
                  <bgColor rgb="FFC6EFCE"/>
                </patternFill>
              </fill>
            </x14:dxf>
          </x14:cfRule>
          <xm:sqref>O196:O202</xm:sqref>
        </x14:conditionalFormatting>
        <x14:conditionalFormatting xmlns:xm="http://schemas.microsoft.com/office/excel/2006/main">
          <x14:cfRule type="notContainsText" priority="20" operator="notContains" id="{B727C624-48D4-D74A-94CB-35D3C513D89C}">
            <xm:f>ISERROR(SEARCH("Value Missing",O205))</xm:f>
            <xm:f>"Value Missing"</xm:f>
            <x14:dxf>
              <font>
                <color rgb="FF006100"/>
              </font>
              <fill>
                <patternFill>
                  <bgColor rgb="FFC6EFCE"/>
                </patternFill>
              </fill>
            </x14:dxf>
          </x14:cfRule>
          <x14:cfRule type="containsText" priority="19" operator="containsText" id="{8B349F63-049F-2B46-B021-ABAAF8860E53}">
            <xm:f>NOT(ISERROR(SEARCH("Value Missing",O205)))</xm:f>
            <xm:f>"Value Missing"</xm:f>
            <x14:dxf>
              <font>
                <color rgb="FF9C0006"/>
              </font>
              <fill>
                <patternFill>
                  <bgColor rgb="FFFFC7CE"/>
                </patternFill>
              </fill>
            </x14:dxf>
          </x14:cfRule>
          <xm:sqref>O205:O211</xm:sqref>
        </x14:conditionalFormatting>
        <x14:conditionalFormatting xmlns:xm="http://schemas.microsoft.com/office/excel/2006/main">
          <x14:cfRule type="containsText" priority="559" operator="containsText" id="{2411A673-E922-CF4B-8BB3-584F9804EFFE}">
            <xm:f>NOT(ISERROR(SEARCH("Value Missing",O215)))</xm:f>
            <xm:f>"Value Missing"</xm:f>
            <x14:dxf>
              <font>
                <color rgb="FF9C0006"/>
              </font>
              <fill>
                <patternFill>
                  <bgColor rgb="FFFFC7CE"/>
                </patternFill>
              </fill>
            </x14:dxf>
          </x14:cfRule>
          <x14:cfRule type="notContainsText" priority="560" operator="notContains" id="{6043C8CC-4DF6-7B48-9C8D-076D2B05BD35}">
            <xm:f>ISERROR(SEARCH("Value Missing",O215))</xm:f>
            <xm:f>"Value Missing"</xm:f>
            <x14:dxf>
              <font>
                <color rgb="FF006100"/>
              </font>
              <fill>
                <patternFill>
                  <bgColor rgb="FFC6EFCE"/>
                </patternFill>
              </fill>
            </x14:dxf>
          </x14:cfRule>
          <xm:sqref>O215:O230</xm:sqref>
        </x14:conditionalFormatting>
        <x14:conditionalFormatting xmlns:xm="http://schemas.microsoft.com/office/excel/2006/main">
          <x14:cfRule type="notContainsText" priority="681" operator="notContains" id="{371D1008-AD18-A645-810B-27382EFC3E4F}">
            <xm:f>ISERROR(SEARCH("Value Missing",O340))</xm:f>
            <xm:f>"Value Missing"</xm:f>
            <x14:dxf>
              <font>
                <color rgb="FF006100"/>
              </font>
              <fill>
                <patternFill>
                  <bgColor rgb="FFC6EFCE"/>
                </patternFill>
              </fill>
            </x14:dxf>
          </x14:cfRule>
          <x14:cfRule type="containsText" priority="686" operator="containsText" id="{417A8430-C388-9444-BC99-D78F1A4DA9BF}">
            <xm:f>NOT(ISERROR(SEARCH("Value Missing",O340)))</xm:f>
            <xm:f>"Value Missing"</xm:f>
            <x14:dxf>
              <font>
                <color rgb="FF9C0006"/>
              </font>
              <fill>
                <patternFill>
                  <bgColor rgb="FFFFC7CE"/>
                </patternFill>
              </fill>
            </x14:dxf>
          </x14:cfRule>
          <xm:sqref>O340:O371</xm:sqref>
        </x14:conditionalFormatting>
        <x14:conditionalFormatting xmlns:xm="http://schemas.microsoft.com/office/excel/2006/main">
          <x14:cfRule type="containsText" priority="610" operator="containsText" id="{FC908478-D0EB-AD41-856F-2FD0F851B54E}">
            <xm:f>NOT(ISERROR(SEARCH("Value Missing",R22)))</xm:f>
            <xm:f>"Value Missing"</xm:f>
            <x14:dxf>
              <font>
                <color rgb="FF9C0006"/>
              </font>
              <fill>
                <patternFill>
                  <bgColor rgb="FFFFC7CE"/>
                </patternFill>
              </fill>
            </x14:dxf>
          </x14:cfRule>
          <x14:cfRule type="notContainsText" priority="609" operator="notContains" id="{E06249E9-32D4-3C45-86D1-45EE2341BAEF}">
            <xm:f>ISERROR(SEARCH("Value Missing",R22))</xm:f>
            <xm:f>"Value Missing"</xm:f>
            <x14:dxf>
              <font>
                <color rgb="FF006100"/>
              </font>
              <fill>
                <patternFill>
                  <bgColor rgb="FFC6EFCE"/>
                </patternFill>
              </fill>
            </x14:dxf>
          </x14:cfRule>
          <xm:sqref>R22:R32</xm:sqref>
        </x14:conditionalFormatting>
        <x14:conditionalFormatting xmlns:xm="http://schemas.microsoft.com/office/excel/2006/main">
          <x14:cfRule type="notContainsText" priority="111" operator="notContains" id="{E0E2F02D-20C8-FA4B-AC47-09A4210B8CC8}">
            <xm:f>ISERROR(SEARCH("Value Missing",R36))</xm:f>
            <xm:f>"Value Missing"</xm:f>
            <x14:dxf>
              <font>
                <color rgb="FF006100"/>
              </font>
              <fill>
                <patternFill>
                  <bgColor rgb="FFC6EFCE"/>
                </patternFill>
              </fill>
            </x14:dxf>
          </x14:cfRule>
          <x14:cfRule type="containsText" priority="112" operator="containsText" id="{EFE80A83-EF1D-FB46-B588-DA8D286518BE}">
            <xm:f>NOT(ISERROR(SEARCH("Value Missing",R36)))</xm:f>
            <xm:f>"Value Missing"</xm:f>
            <x14:dxf>
              <font>
                <color rgb="FF9C0006"/>
              </font>
              <fill>
                <patternFill>
                  <bgColor rgb="FFFFC7CE"/>
                </patternFill>
              </fill>
            </x14:dxf>
          </x14:cfRule>
          <xm:sqref>R36:R46</xm:sqref>
        </x14:conditionalFormatting>
        <x14:conditionalFormatting xmlns:xm="http://schemas.microsoft.com/office/excel/2006/main">
          <x14:cfRule type="containsText" priority="100" operator="containsText" id="{BB52C12D-5E20-1F4B-BA83-45FAECBACDFE}">
            <xm:f>NOT(ISERROR(SEARCH("Value Missing",R50)))</xm:f>
            <xm:f>"Value Missing"</xm:f>
            <x14:dxf>
              <font>
                <color rgb="FF9C0006"/>
              </font>
              <fill>
                <patternFill>
                  <bgColor rgb="FFFFC7CE"/>
                </patternFill>
              </fill>
            </x14:dxf>
          </x14:cfRule>
          <x14:cfRule type="notContainsText" priority="99" operator="notContains" id="{4C961E79-B954-2A49-9452-63D9274671D9}">
            <xm:f>ISERROR(SEARCH("Value Missing",R50))</xm:f>
            <xm:f>"Value Missing"</xm:f>
            <x14:dxf>
              <font>
                <color rgb="FF006100"/>
              </font>
              <fill>
                <patternFill>
                  <bgColor rgb="FFC6EFCE"/>
                </patternFill>
              </fill>
            </x14:dxf>
          </x14:cfRule>
          <xm:sqref>R50:R60</xm:sqref>
        </x14:conditionalFormatting>
        <x14:conditionalFormatting xmlns:xm="http://schemas.microsoft.com/office/excel/2006/main">
          <x14:cfRule type="containsText" priority="612" operator="containsText" id="{0893B8A1-8D30-2146-8743-B8D850D5B440}">
            <xm:f>NOT(ISERROR(SEARCH("Value Missing",R64)))</xm:f>
            <xm:f>"Value Missing"</xm:f>
            <x14:dxf>
              <font>
                <color rgb="FF9C0006"/>
              </font>
              <fill>
                <patternFill>
                  <bgColor rgb="FFFFC7CE"/>
                </patternFill>
              </fill>
            </x14:dxf>
          </x14:cfRule>
          <x14:cfRule type="notContainsText" priority="611" operator="notContains" id="{DA93AE92-8231-D147-AE34-6FE351C06AEF}">
            <xm:f>ISERROR(SEARCH("Value Missing",R64))</xm:f>
            <xm:f>"Value Missing"</xm:f>
            <x14:dxf>
              <font>
                <color rgb="FF006100"/>
              </font>
              <fill>
                <patternFill>
                  <bgColor rgb="FFC6EFCE"/>
                </patternFill>
              </fill>
            </x14:dxf>
          </x14:cfRule>
          <xm:sqref>R64:R70</xm:sqref>
        </x14:conditionalFormatting>
        <x14:conditionalFormatting xmlns:xm="http://schemas.microsoft.com/office/excel/2006/main">
          <x14:cfRule type="containsText" priority="514" operator="containsText" id="{22DCF21C-C519-224F-A1A6-D1F6ED11ACAB}">
            <xm:f>NOT(ISERROR(SEARCH("Value Missing",R74)))</xm:f>
            <xm:f>"Value Missing"</xm:f>
            <x14:dxf>
              <font>
                <color rgb="FF9C0006"/>
              </font>
              <fill>
                <patternFill>
                  <bgColor rgb="FFFFC7CE"/>
                </patternFill>
              </fill>
            </x14:dxf>
          </x14:cfRule>
          <x14:cfRule type="notContainsText" priority="513" operator="notContains" id="{D849CCBB-A98C-794E-81D6-1D8BCDB3CD48}">
            <xm:f>ISERROR(SEARCH("Value Missing",R74))</xm:f>
            <xm:f>"Value Missing"</xm:f>
            <x14:dxf>
              <font>
                <color rgb="FF006100"/>
              </font>
              <fill>
                <patternFill>
                  <bgColor rgb="FFC6EFCE"/>
                </patternFill>
              </fill>
            </x14:dxf>
          </x14:cfRule>
          <xm:sqref>R74:R79</xm:sqref>
        </x14:conditionalFormatting>
        <x14:conditionalFormatting xmlns:xm="http://schemas.microsoft.com/office/excel/2006/main">
          <x14:cfRule type="notContainsText" priority="515" operator="notContains" id="{F165899D-A4D2-F549-9E67-5011438A575D}">
            <xm:f>ISERROR(SEARCH("Value Missing",R75))</xm:f>
            <xm:f>"Value Missing"</xm:f>
            <x14:dxf>
              <font>
                <color rgb="FF006100"/>
              </font>
              <fill>
                <patternFill>
                  <bgColor rgb="FFC6EFCE"/>
                </patternFill>
              </fill>
            </x14:dxf>
          </x14:cfRule>
          <xm:sqref>R75:R79</xm:sqref>
        </x14:conditionalFormatting>
        <x14:conditionalFormatting xmlns:xm="http://schemas.microsoft.com/office/excel/2006/main">
          <x14:cfRule type="containsText" priority="134" operator="containsText" id="{47FD8B93-7EFC-6E42-B501-A5FE99A96EF6}">
            <xm:f>NOT(ISERROR(SEARCH("Value Missing",R98)))</xm:f>
            <xm:f>"Value Missing"</xm:f>
            <x14:dxf>
              <font>
                <color rgb="FF9C0006"/>
              </font>
              <fill>
                <patternFill>
                  <bgColor rgb="FFFFC7CE"/>
                </patternFill>
              </fill>
            </x14:dxf>
          </x14:cfRule>
          <x14:cfRule type="notContainsText" priority="133" operator="notContains" id="{633E3BDD-BA0E-194F-ACD8-D7026258C1D8}">
            <xm:f>ISERROR(SEARCH("Value Missing",R98))</xm:f>
            <xm:f>"Value Missing"</xm:f>
            <x14:dxf>
              <font>
                <color rgb="FF006100"/>
              </font>
              <fill>
                <patternFill>
                  <bgColor rgb="FFC6EFCE"/>
                </patternFill>
              </fill>
            </x14:dxf>
          </x14:cfRule>
          <xm:sqref>R98</xm:sqref>
        </x14:conditionalFormatting>
        <x14:conditionalFormatting xmlns:xm="http://schemas.microsoft.com/office/excel/2006/main">
          <x14:cfRule type="notContainsText" priority="135" operator="notContains" id="{8F305E52-45DB-334D-AA45-D47F3303F7FE}">
            <xm:f>ISERROR(SEARCH("Value Missing",R98))</xm:f>
            <xm:f>"Value Missing"</xm:f>
            <x14:dxf>
              <font>
                <color rgb="FF006100"/>
              </font>
              <fill>
                <patternFill>
                  <bgColor rgb="FFC6EFCE"/>
                </patternFill>
              </fill>
            </x14:dxf>
          </x14:cfRule>
          <x14:cfRule type="containsText" priority="136" operator="containsText" id="{270BD6E5-ED93-6D46-B982-9F02AB995E9F}">
            <xm:f>NOT(ISERROR(SEARCH("Value Missing",R98)))</xm:f>
            <xm:f>"Value Missing"</xm:f>
            <x14:dxf>
              <font>
                <color rgb="FF9C0006"/>
              </font>
              <fill>
                <patternFill>
                  <bgColor rgb="FFFFC7CE"/>
                </patternFill>
              </fill>
            </x14:dxf>
          </x14:cfRule>
          <xm:sqref>R98:R102</xm:sqref>
        </x14:conditionalFormatting>
        <x14:conditionalFormatting xmlns:xm="http://schemas.microsoft.com/office/excel/2006/main">
          <x14:cfRule type="containsText" priority="453" operator="containsText" id="{5A0907B2-B363-C24E-902C-84458282E1E0}">
            <xm:f>NOT(ISERROR(SEARCH("Value Missing",R99)))</xm:f>
            <xm:f>"Value Missing"</xm:f>
            <x14:dxf>
              <font>
                <color rgb="FF9C0006"/>
              </font>
              <fill>
                <patternFill>
                  <bgColor rgb="FFFFC7CE"/>
                </patternFill>
              </fill>
            </x14:dxf>
          </x14:cfRule>
          <x14:cfRule type="notContainsText" priority="452" operator="notContains" id="{C3F636F1-2B4E-FF4E-8B6A-B07BEF9DBF64}">
            <xm:f>ISERROR(SEARCH("Value Missing",R99))</xm:f>
            <xm:f>"Value Missing"</xm:f>
            <x14:dxf>
              <font>
                <color rgb="FF006100"/>
              </font>
              <fill>
                <patternFill>
                  <bgColor rgb="FFC6EFCE"/>
                </patternFill>
              </fill>
            </x14:dxf>
          </x14:cfRule>
          <xm:sqref>R99:R102 R104:R105</xm:sqref>
        </x14:conditionalFormatting>
        <x14:conditionalFormatting xmlns:xm="http://schemas.microsoft.com/office/excel/2006/main">
          <x14:cfRule type="containsText" priority="74" operator="containsText" id="{3F7B54F5-C1CF-7649-A5F0-FC2AB079630E}">
            <xm:f>NOT(ISERROR(SEARCH("Value Missing",R103)))</xm:f>
            <xm:f>"Value Missing"</xm:f>
            <x14:dxf>
              <font>
                <color rgb="FF9C0006"/>
              </font>
              <fill>
                <patternFill>
                  <bgColor rgb="FFFFC7CE"/>
                </patternFill>
              </fill>
            </x14:dxf>
          </x14:cfRule>
          <x14:cfRule type="notContainsText" priority="73" operator="notContains" id="{2CEC9949-E85A-FE41-9FCC-8E707360FD5B}">
            <xm:f>ISERROR(SEARCH("Value Missing",R103))</xm:f>
            <xm:f>"Value Missing"</xm:f>
            <x14:dxf>
              <font>
                <color rgb="FF006100"/>
              </font>
              <fill>
                <patternFill>
                  <bgColor rgb="FFC6EFCE"/>
                </patternFill>
              </fill>
            </x14:dxf>
          </x14:cfRule>
          <xm:sqref>R103</xm:sqref>
        </x14:conditionalFormatting>
        <x14:conditionalFormatting xmlns:xm="http://schemas.microsoft.com/office/excel/2006/main">
          <x14:cfRule type="containsText" priority="76" operator="containsText" id="{B25627E3-6C2D-F044-A1BE-6554109378BB}">
            <xm:f>NOT(ISERROR(SEARCH("Value Missing",R103)))</xm:f>
            <xm:f>"Value Missing"</xm:f>
            <x14:dxf>
              <font>
                <color rgb="FF9C0006"/>
              </font>
              <fill>
                <patternFill>
                  <bgColor rgb="FFFFC7CE"/>
                </patternFill>
              </fill>
            </x14:dxf>
          </x14:cfRule>
          <x14:cfRule type="notContainsText" priority="75" operator="notContains" id="{6117A362-AC61-904E-B397-C9E0E5E9544D}">
            <xm:f>ISERROR(SEARCH("Value Missing",R103))</xm:f>
            <xm:f>"Value Missing"</xm:f>
            <x14:dxf>
              <font>
                <color rgb="FF006100"/>
              </font>
              <fill>
                <patternFill>
                  <bgColor rgb="FFC6EFCE"/>
                </patternFill>
              </fill>
            </x14:dxf>
          </x14:cfRule>
          <xm:sqref>R103:R105</xm:sqref>
        </x14:conditionalFormatting>
        <x14:conditionalFormatting xmlns:xm="http://schemas.microsoft.com/office/excel/2006/main">
          <x14:cfRule type="notContainsText" priority="495" operator="notContains" id="{156FEA68-BE2C-604A-AA78-5D61789FB6BB}">
            <xm:f>ISERROR(SEARCH("Value Missing",R109))</xm:f>
            <xm:f>"Value Missing"</xm:f>
            <x14:dxf>
              <font>
                <color rgb="FF006100"/>
              </font>
              <fill>
                <patternFill>
                  <bgColor rgb="FFC6EFCE"/>
                </patternFill>
              </fill>
            </x14:dxf>
          </x14:cfRule>
          <x14:cfRule type="containsText" priority="496" operator="containsText" id="{93499F85-694A-E743-A3CC-2AEA9BEF33D2}">
            <xm:f>NOT(ISERROR(SEARCH("Value Missing",R109)))</xm:f>
            <xm:f>"Value Missing"</xm:f>
            <x14:dxf>
              <font>
                <color rgb="FF9C0006"/>
              </font>
              <fill>
                <patternFill>
                  <bgColor rgb="FFFFC7CE"/>
                </patternFill>
              </fill>
            </x14:dxf>
          </x14:cfRule>
          <xm:sqref>R109:R115</xm:sqref>
        </x14:conditionalFormatting>
        <x14:conditionalFormatting xmlns:xm="http://schemas.microsoft.com/office/excel/2006/main">
          <x14:cfRule type="containsText" priority="632" operator="containsText" id="{8FDFDA84-FFEF-A645-AFBB-EF8897D6255B}">
            <xm:f>NOT(ISERROR(SEARCH("Value Missing",R119)))</xm:f>
            <xm:f>"Value Missing"</xm:f>
            <x14:dxf>
              <font>
                <color rgb="FF9C0006"/>
              </font>
              <fill>
                <patternFill>
                  <bgColor rgb="FFFFC7CE"/>
                </patternFill>
              </fill>
            </x14:dxf>
          </x14:cfRule>
          <x14:cfRule type="notContainsText" priority="631" operator="notContains" id="{75C1DD4B-E7D5-AE40-9B86-B912398D18E0}">
            <xm:f>ISERROR(SEARCH("Value Missing",R119))</xm:f>
            <xm:f>"Value Missing"</xm:f>
            <x14:dxf>
              <font>
                <color rgb="FF006100"/>
              </font>
              <fill>
                <patternFill>
                  <bgColor rgb="FFC6EFCE"/>
                </patternFill>
              </fill>
            </x14:dxf>
          </x14:cfRule>
          <xm:sqref>R119:R120</xm:sqref>
        </x14:conditionalFormatting>
        <x14:conditionalFormatting xmlns:xm="http://schemas.microsoft.com/office/excel/2006/main">
          <x14:cfRule type="notContainsText" priority="680" operator="notContains" id="{BEAFA2F2-E07E-EB4B-9D8F-F1217F868ABB}">
            <xm:f>ISERROR(SEARCH("Value Missing",R124))</xm:f>
            <xm:f>"Value Missing"</xm:f>
            <x14:dxf>
              <font>
                <color rgb="FF006100"/>
              </font>
              <fill>
                <patternFill>
                  <bgColor rgb="FFC6EFCE"/>
                </patternFill>
              </fill>
            </x14:dxf>
          </x14:cfRule>
          <x14:cfRule type="containsText" priority="679" operator="containsText" id="{9E815892-1B19-D04D-A471-B3A0729C39B4}">
            <xm:f>NOT(ISERROR(SEARCH("Value Missing",R124)))</xm:f>
            <xm:f>"Value Missing"</xm:f>
            <x14:dxf>
              <font>
                <color rgb="FF9C0006"/>
              </font>
              <fill>
                <patternFill>
                  <bgColor rgb="FFFFC7CE"/>
                </patternFill>
              </fill>
            </x14:dxf>
          </x14:cfRule>
          <xm:sqref>R124:R155</xm:sqref>
        </x14:conditionalFormatting>
        <x14:conditionalFormatting xmlns:xm="http://schemas.microsoft.com/office/excel/2006/main">
          <x14:cfRule type="notContainsText" priority="644" operator="notContains" id="{8C676BD2-CCC8-0445-A3EA-C7B10B6F0078}">
            <xm:f>ISERROR(SEARCH("Value Missing",R159))</xm:f>
            <xm:f>"Value Missing"</xm:f>
            <x14:dxf>
              <font>
                <color rgb="FF006100"/>
              </font>
              <fill>
                <patternFill>
                  <bgColor rgb="FFC6EFCE"/>
                </patternFill>
              </fill>
            </x14:dxf>
          </x14:cfRule>
          <x14:cfRule type="containsText" priority="643" operator="containsText" id="{698526A0-D782-B54E-852D-DE985A78EA7F}">
            <xm:f>NOT(ISERROR(SEARCH("Value Missing",R159)))</xm:f>
            <xm:f>"Value Missing"</xm:f>
            <x14:dxf>
              <font>
                <color rgb="FF9C0006"/>
              </font>
              <fill>
                <patternFill>
                  <bgColor rgb="FFFFC7CE"/>
                </patternFill>
              </fill>
            </x14:dxf>
          </x14:cfRule>
          <xm:sqref>R159:R174</xm:sqref>
        </x14:conditionalFormatting>
        <x14:conditionalFormatting xmlns:xm="http://schemas.microsoft.com/office/excel/2006/main">
          <x14:cfRule type="containsText" priority="206" operator="containsText" id="{3C4B2857-6134-8346-9085-599C55FC9DC6}">
            <xm:f>NOT(ISERROR(SEARCH("Value Missing",R196)))</xm:f>
            <xm:f>"Value Missing"</xm:f>
            <x14:dxf>
              <font>
                <color rgb="FF9C0006"/>
              </font>
              <fill>
                <patternFill>
                  <bgColor rgb="FFFFC7CE"/>
                </patternFill>
              </fill>
            </x14:dxf>
          </x14:cfRule>
          <x14:cfRule type="notContainsText" priority="207" operator="notContains" id="{42D355EC-A594-E947-9D86-4B9E6741B83A}">
            <xm:f>ISERROR(SEARCH("Value Missing",R196))</xm:f>
            <xm:f>"Value Missing"</xm:f>
            <x14:dxf>
              <font>
                <color rgb="FF006100"/>
              </font>
              <fill>
                <patternFill>
                  <bgColor rgb="FFC6EFCE"/>
                </patternFill>
              </fill>
            </x14:dxf>
          </x14:cfRule>
          <xm:sqref>R196:R202</xm:sqref>
        </x14:conditionalFormatting>
        <x14:conditionalFormatting xmlns:xm="http://schemas.microsoft.com/office/excel/2006/main">
          <x14:cfRule type="notContainsText" priority="18" operator="notContains" id="{A6E9414E-ECC0-E844-A3F6-5B52A692F571}">
            <xm:f>ISERROR(SEARCH("Value Missing",R205))</xm:f>
            <xm:f>"Value Missing"</xm:f>
            <x14:dxf>
              <font>
                <color rgb="FF006100"/>
              </font>
              <fill>
                <patternFill>
                  <bgColor rgb="FFC6EFCE"/>
                </patternFill>
              </fill>
            </x14:dxf>
          </x14:cfRule>
          <x14:cfRule type="containsText" priority="17" operator="containsText" id="{F5E45BDE-85FE-D74D-9E8A-CBF3B43AC4B7}">
            <xm:f>NOT(ISERROR(SEARCH("Value Missing",R205)))</xm:f>
            <xm:f>"Value Missing"</xm:f>
            <x14:dxf>
              <font>
                <color rgb="FF9C0006"/>
              </font>
              <fill>
                <patternFill>
                  <bgColor rgb="FFFFC7CE"/>
                </patternFill>
              </fill>
            </x14:dxf>
          </x14:cfRule>
          <xm:sqref>R205:R211</xm:sqref>
        </x14:conditionalFormatting>
        <x14:conditionalFormatting xmlns:xm="http://schemas.microsoft.com/office/excel/2006/main">
          <x14:cfRule type="notContainsText" priority="558" operator="notContains" id="{28C02FC7-CEF1-3648-8AFA-280F831504BC}">
            <xm:f>ISERROR(SEARCH("Value Missing",R215))</xm:f>
            <xm:f>"Value Missing"</xm:f>
            <x14:dxf>
              <font>
                <color rgb="FF006100"/>
              </font>
              <fill>
                <patternFill>
                  <bgColor rgb="FFC6EFCE"/>
                </patternFill>
              </fill>
            </x14:dxf>
          </x14:cfRule>
          <x14:cfRule type="containsText" priority="557" operator="containsText" id="{5A7CAF05-4EFE-D945-B36C-9E0896C28BA1}">
            <xm:f>NOT(ISERROR(SEARCH("Value Missing",R215)))</xm:f>
            <xm:f>"Value Missing"</xm:f>
            <x14:dxf>
              <font>
                <color rgb="FF9C0006"/>
              </font>
              <fill>
                <patternFill>
                  <bgColor rgb="FFFFC7CE"/>
                </patternFill>
              </fill>
            </x14:dxf>
          </x14:cfRule>
          <xm:sqref>R215:R230</xm:sqref>
        </x14:conditionalFormatting>
        <x14:conditionalFormatting xmlns:xm="http://schemas.microsoft.com/office/excel/2006/main">
          <x14:cfRule type="notContainsText" priority="673" operator="notContains" id="{4246EB71-BC26-874D-A133-CB7F25393BE3}">
            <xm:f>ISERROR(SEARCH("Value Missing",R340))</xm:f>
            <xm:f>"Value Missing"</xm:f>
            <x14:dxf>
              <font>
                <color rgb="FF006100"/>
              </font>
              <fill>
                <patternFill>
                  <bgColor rgb="FFC6EFCE"/>
                </patternFill>
              </fill>
            </x14:dxf>
          </x14:cfRule>
          <x14:cfRule type="containsText" priority="678" operator="containsText" id="{D25A2D13-AFB9-0D45-B1A1-D4E25D2F2C3E}">
            <xm:f>NOT(ISERROR(SEARCH("Value Missing",R340)))</xm:f>
            <xm:f>"Value Missing"</xm:f>
            <x14:dxf>
              <font>
                <color rgb="FF9C0006"/>
              </font>
              <fill>
                <patternFill>
                  <bgColor rgb="FFFFC7CE"/>
                </patternFill>
              </fill>
            </x14:dxf>
          </x14:cfRule>
          <xm:sqref>R340:R371</xm:sqref>
        </x14:conditionalFormatting>
        <x14:conditionalFormatting xmlns:xm="http://schemas.microsoft.com/office/excel/2006/main">
          <x14:cfRule type="notContainsText" priority="603" operator="notContains" id="{4BE2EBA3-5534-834B-8B60-31CCDF8332DE}">
            <xm:f>ISERROR(SEARCH("Value Missing",U22))</xm:f>
            <xm:f>"Value Missing"</xm:f>
            <x14:dxf>
              <font>
                <color rgb="FF006100"/>
              </font>
              <fill>
                <patternFill>
                  <bgColor rgb="FFC6EFCE"/>
                </patternFill>
              </fill>
            </x14:dxf>
          </x14:cfRule>
          <x14:cfRule type="containsText" priority="604" operator="containsText" id="{601B6F61-C853-9041-BE67-0C95CB482E8B}">
            <xm:f>NOT(ISERROR(SEARCH("Value Missing",U22)))</xm:f>
            <xm:f>"Value Missing"</xm:f>
            <x14:dxf>
              <font>
                <color rgb="FF9C0006"/>
              </font>
              <fill>
                <patternFill>
                  <bgColor rgb="FFFFC7CE"/>
                </patternFill>
              </fill>
            </x14:dxf>
          </x14:cfRule>
          <xm:sqref>U22:U32</xm:sqref>
        </x14:conditionalFormatting>
        <x14:conditionalFormatting xmlns:xm="http://schemas.microsoft.com/office/excel/2006/main">
          <x14:cfRule type="containsText" priority="110" operator="containsText" id="{EE9D90C2-2CF9-6E4F-B379-AF28813176D7}">
            <xm:f>NOT(ISERROR(SEARCH("Value Missing",U36)))</xm:f>
            <xm:f>"Value Missing"</xm:f>
            <x14:dxf>
              <font>
                <color rgb="FF9C0006"/>
              </font>
              <fill>
                <patternFill>
                  <bgColor rgb="FFFFC7CE"/>
                </patternFill>
              </fill>
            </x14:dxf>
          </x14:cfRule>
          <x14:cfRule type="notContainsText" priority="109" operator="notContains" id="{E8C70884-A94E-114C-8DEC-DCF796FA2ED3}">
            <xm:f>ISERROR(SEARCH("Value Missing",U36))</xm:f>
            <xm:f>"Value Missing"</xm:f>
            <x14:dxf>
              <font>
                <color rgb="FF006100"/>
              </font>
              <fill>
                <patternFill>
                  <bgColor rgb="FFC6EFCE"/>
                </patternFill>
              </fill>
            </x14:dxf>
          </x14:cfRule>
          <xm:sqref>U36:U46</xm:sqref>
        </x14:conditionalFormatting>
        <x14:conditionalFormatting xmlns:xm="http://schemas.microsoft.com/office/excel/2006/main">
          <x14:cfRule type="notContainsText" priority="97" operator="notContains" id="{18F67E9C-1DFC-0144-9E89-6F7F9DCBD5A7}">
            <xm:f>ISERROR(SEARCH("Value Missing",U50))</xm:f>
            <xm:f>"Value Missing"</xm:f>
            <x14:dxf>
              <font>
                <color rgb="FF006100"/>
              </font>
              <fill>
                <patternFill>
                  <bgColor rgb="FFC6EFCE"/>
                </patternFill>
              </fill>
            </x14:dxf>
          </x14:cfRule>
          <x14:cfRule type="containsText" priority="98" operator="containsText" id="{0C555215-ED2E-594A-B2F2-3EADBDC2D1EB}">
            <xm:f>NOT(ISERROR(SEARCH("Value Missing",U50)))</xm:f>
            <xm:f>"Value Missing"</xm:f>
            <x14:dxf>
              <font>
                <color rgb="FF9C0006"/>
              </font>
              <fill>
                <patternFill>
                  <bgColor rgb="FFFFC7CE"/>
                </patternFill>
              </fill>
            </x14:dxf>
          </x14:cfRule>
          <xm:sqref>U50:U60</xm:sqref>
        </x14:conditionalFormatting>
        <x14:conditionalFormatting xmlns:xm="http://schemas.microsoft.com/office/excel/2006/main">
          <x14:cfRule type="notContainsText" priority="605" operator="notContains" id="{F76B2F43-EB3F-E945-8046-F90D5F33BB8E}">
            <xm:f>ISERROR(SEARCH("Value Missing",U64))</xm:f>
            <xm:f>"Value Missing"</xm:f>
            <x14:dxf>
              <font>
                <color rgb="FF006100"/>
              </font>
              <fill>
                <patternFill>
                  <bgColor rgb="FFC6EFCE"/>
                </patternFill>
              </fill>
            </x14:dxf>
          </x14:cfRule>
          <x14:cfRule type="containsText" priority="606" operator="containsText" id="{8598BB15-8558-8844-B1BE-D56BED4A314F}">
            <xm:f>NOT(ISERROR(SEARCH("Value Missing",U64)))</xm:f>
            <xm:f>"Value Missing"</xm:f>
            <x14:dxf>
              <font>
                <color rgb="FF9C0006"/>
              </font>
              <fill>
                <patternFill>
                  <bgColor rgb="FFFFC7CE"/>
                </patternFill>
              </fill>
            </x14:dxf>
          </x14:cfRule>
          <xm:sqref>U64:U70</xm:sqref>
        </x14:conditionalFormatting>
        <x14:conditionalFormatting xmlns:xm="http://schemas.microsoft.com/office/excel/2006/main">
          <x14:cfRule type="notContainsText" priority="510" operator="notContains" id="{174A16EE-7ECB-C346-AEFD-23558EFF795E}">
            <xm:f>ISERROR(SEARCH("Value Missing",U74))</xm:f>
            <xm:f>"Value Missing"</xm:f>
            <x14:dxf>
              <font>
                <color rgb="FF006100"/>
              </font>
              <fill>
                <patternFill>
                  <bgColor rgb="FFC6EFCE"/>
                </patternFill>
              </fill>
            </x14:dxf>
          </x14:cfRule>
          <x14:cfRule type="containsText" priority="511" operator="containsText" id="{48FDEE9D-DCA1-6347-AC6B-BE68CE60A87A}">
            <xm:f>NOT(ISERROR(SEARCH("Value Missing",U74)))</xm:f>
            <xm:f>"Value Missing"</xm:f>
            <x14:dxf>
              <font>
                <color rgb="FF9C0006"/>
              </font>
              <fill>
                <patternFill>
                  <bgColor rgb="FFFFC7CE"/>
                </patternFill>
              </fill>
            </x14:dxf>
          </x14:cfRule>
          <xm:sqref>U74:U79</xm:sqref>
        </x14:conditionalFormatting>
        <x14:conditionalFormatting xmlns:xm="http://schemas.microsoft.com/office/excel/2006/main">
          <x14:cfRule type="notContainsText" priority="512" operator="notContains" id="{88DCF3FC-1C6E-EA47-83DA-4C169688D13F}">
            <xm:f>ISERROR(SEARCH("Value Missing",U75))</xm:f>
            <xm:f>"Value Missing"</xm:f>
            <x14:dxf>
              <font>
                <color rgb="FF006100"/>
              </font>
              <fill>
                <patternFill>
                  <bgColor rgb="FFC6EFCE"/>
                </patternFill>
              </fill>
            </x14:dxf>
          </x14:cfRule>
          <xm:sqref>U75:U79</xm:sqref>
        </x14:conditionalFormatting>
        <x14:conditionalFormatting xmlns:xm="http://schemas.microsoft.com/office/excel/2006/main">
          <x14:cfRule type="containsText" priority="130" operator="containsText" id="{F181C0CA-BAD7-2F45-94AD-A6CE4C096832}">
            <xm:f>NOT(ISERROR(SEARCH("Value Missing",U98)))</xm:f>
            <xm:f>"Value Missing"</xm:f>
            <x14:dxf>
              <font>
                <color rgb="FF9C0006"/>
              </font>
              <fill>
                <patternFill>
                  <bgColor rgb="FFFFC7CE"/>
                </patternFill>
              </fill>
            </x14:dxf>
          </x14:cfRule>
          <x14:cfRule type="notContainsText" priority="129" operator="notContains" id="{78E049BB-C033-A549-A67B-04EDA55FCDE6}">
            <xm:f>ISERROR(SEARCH("Value Missing",U98))</xm:f>
            <xm:f>"Value Missing"</xm:f>
            <x14:dxf>
              <font>
                <color rgb="FF006100"/>
              </font>
              <fill>
                <patternFill>
                  <bgColor rgb="FFC6EFCE"/>
                </patternFill>
              </fill>
            </x14:dxf>
          </x14:cfRule>
          <xm:sqref>U98</xm:sqref>
        </x14:conditionalFormatting>
        <x14:conditionalFormatting xmlns:xm="http://schemas.microsoft.com/office/excel/2006/main">
          <x14:cfRule type="containsText" priority="132" operator="containsText" id="{E8B03D40-57E4-7340-A6F1-BBE83DFBC5E0}">
            <xm:f>NOT(ISERROR(SEARCH("Value Missing",U98)))</xm:f>
            <xm:f>"Value Missing"</xm:f>
            <x14:dxf>
              <font>
                <color rgb="FF9C0006"/>
              </font>
              <fill>
                <patternFill>
                  <bgColor rgb="FFFFC7CE"/>
                </patternFill>
              </fill>
            </x14:dxf>
          </x14:cfRule>
          <x14:cfRule type="notContainsText" priority="131" operator="notContains" id="{810C9A53-8CE4-B341-ABC4-9443FD574B42}">
            <xm:f>ISERROR(SEARCH("Value Missing",U98))</xm:f>
            <xm:f>"Value Missing"</xm:f>
            <x14:dxf>
              <font>
                <color rgb="FF006100"/>
              </font>
              <fill>
                <patternFill>
                  <bgColor rgb="FFC6EFCE"/>
                </patternFill>
              </fill>
            </x14:dxf>
          </x14:cfRule>
          <xm:sqref>U98:U102</xm:sqref>
        </x14:conditionalFormatting>
        <x14:conditionalFormatting xmlns:xm="http://schemas.microsoft.com/office/excel/2006/main">
          <x14:cfRule type="notContainsText" priority="448" operator="notContains" id="{2108A599-C5D8-504A-B4E6-5B2EDC8E3EE3}">
            <xm:f>ISERROR(SEARCH("Value Missing",U99))</xm:f>
            <xm:f>"Value Missing"</xm:f>
            <x14:dxf>
              <font>
                <color rgb="FF006100"/>
              </font>
              <fill>
                <patternFill>
                  <bgColor rgb="FFC6EFCE"/>
                </patternFill>
              </fill>
            </x14:dxf>
          </x14:cfRule>
          <x14:cfRule type="containsText" priority="449" operator="containsText" id="{2573CD91-FA70-604A-8C65-EF5ECAB278C8}">
            <xm:f>NOT(ISERROR(SEARCH("Value Missing",U99)))</xm:f>
            <xm:f>"Value Missing"</xm:f>
            <x14:dxf>
              <font>
                <color rgb="FF9C0006"/>
              </font>
              <fill>
                <patternFill>
                  <bgColor rgb="FFFFC7CE"/>
                </patternFill>
              </fill>
            </x14:dxf>
          </x14:cfRule>
          <xm:sqref>U99:U102 U104:U105</xm:sqref>
        </x14:conditionalFormatting>
        <x14:conditionalFormatting xmlns:xm="http://schemas.microsoft.com/office/excel/2006/main">
          <x14:cfRule type="containsText" priority="70" operator="containsText" id="{AC97D50B-C79C-6D4E-94D1-25F520F38AA2}">
            <xm:f>NOT(ISERROR(SEARCH("Value Missing",U103)))</xm:f>
            <xm:f>"Value Missing"</xm:f>
            <x14:dxf>
              <font>
                <color rgb="FF9C0006"/>
              </font>
              <fill>
                <patternFill>
                  <bgColor rgb="FFFFC7CE"/>
                </patternFill>
              </fill>
            </x14:dxf>
          </x14:cfRule>
          <x14:cfRule type="notContainsText" priority="69" operator="notContains" id="{89E2B47E-34A0-2643-BD2E-2E0C49334AC5}">
            <xm:f>ISERROR(SEARCH("Value Missing",U103))</xm:f>
            <xm:f>"Value Missing"</xm:f>
            <x14:dxf>
              <font>
                <color rgb="FF006100"/>
              </font>
              <fill>
                <patternFill>
                  <bgColor rgb="FFC6EFCE"/>
                </patternFill>
              </fill>
            </x14:dxf>
          </x14:cfRule>
          <xm:sqref>U103</xm:sqref>
        </x14:conditionalFormatting>
        <x14:conditionalFormatting xmlns:xm="http://schemas.microsoft.com/office/excel/2006/main">
          <x14:cfRule type="containsText" priority="72" operator="containsText" id="{7068BD3B-9058-D74A-AB69-F780E21EC8B0}">
            <xm:f>NOT(ISERROR(SEARCH("Value Missing",U103)))</xm:f>
            <xm:f>"Value Missing"</xm:f>
            <x14:dxf>
              <font>
                <color rgb="FF9C0006"/>
              </font>
              <fill>
                <patternFill>
                  <bgColor rgb="FFFFC7CE"/>
                </patternFill>
              </fill>
            </x14:dxf>
          </x14:cfRule>
          <x14:cfRule type="notContainsText" priority="71" operator="notContains" id="{4948BD75-62BA-4F48-ACF7-2A5E93015535}">
            <xm:f>ISERROR(SEARCH("Value Missing",U103))</xm:f>
            <xm:f>"Value Missing"</xm:f>
            <x14:dxf>
              <font>
                <color rgb="FF006100"/>
              </font>
              <fill>
                <patternFill>
                  <bgColor rgb="FFC6EFCE"/>
                </patternFill>
              </fill>
            </x14:dxf>
          </x14:cfRule>
          <xm:sqref>U103:U105</xm:sqref>
        </x14:conditionalFormatting>
        <x14:conditionalFormatting xmlns:xm="http://schemas.microsoft.com/office/excel/2006/main">
          <x14:cfRule type="notContainsText" priority="493" operator="notContains" id="{A02CD435-623C-D448-8F95-D98CDEF9DBF5}">
            <xm:f>ISERROR(SEARCH("Value Missing",U109))</xm:f>
            <xm:f>"Value Missing"</xm:f>
            <x14:dxf>
              <font>
                <color rgb="FF006100"/>
              </font>
              <fill>
                <patternFill>
                  <bgColor rgb="FFC6EFCE"/>
                </patternFill>
              </fill>
            </x14:dxf>
          </x14:cfRule>
          <x14:cfRule type="containsText" priority="494" operator="containsText" id="{69C0C2A9-62CE-E445-B56A-7DF0688E9A9D}">
            <xm:f>NOT(ISERROR(SEARCH("Value Missing",U109)))</xm:f>
            <xm:f>"Value Missing"</xm:f>
            <x14:dxf>
              <font>
                <color rgb="FF9C0006"/>
              </font>
              <fill>
                <patternFill>
                  <bgColor rgb="FFFFC7CE"/>
                </patternFill>
              </fill>
            </x14:dxf>
          </x14:cfRule>
          <xm:sqref>U109:U115</xm:sqref>
        </x14:conditionalFormatting>
        <x14:conditionalFormatting xmlns:xm="http://schemas.microsoft.com/office/excel/2006/main">
          <x14:cfRule type="notContainsText" priority="629" operator="notContains" id="{86ED04FA-1044-EE45-BABE-B979144BDA63}">
            <xm:f>ISERROR(SEARCH("Value Missing",U119))</xm:f>
            <xm:f>"Value Missing"</xm:f>
            <x14:dxf>
              <font>
                <color rgb="FF006100"/>
              </font>
              <fill>
                <patternFill>
                  <bgColor rgb="FFC6EFCE"/>
                </patternFill>
              </fill>
            </x14:dxf>
          </x14:cfRule>
          <x14:cfRule type="containsText" priority="630" operator="containsText" id="{DBB530E3-76BF-834C-AED5-DC680F680B42}">
            <xm:f>NOT(ISERROR(SEARCH("Value Missing",U119)))</xm:f>
            <xm:f>"Value Missing"</xm:f>
            <x14:dxf>
              <font>
                <color rgb="FF9C0006"/>
              </font>
              <fill>
                <patternFill>
                  <bgColor rgb="FFFFC7CE"/>
                </patternFill>
              </fill>
            </x14:dxf>
          </x14:cfRule>
          <xm:sqref>U119:U120</xm:sqref>
        </x14:conditionalFormatting>
        <x14:conditionalFormatting xmlns:xm="http://schemas.microsoft.com/office/excel/2006/main">
          <x14:cfRule type="containsText" priority="671" operator="containsText" id="{0D6224A0-18E6-C141-BE2C-9FDD26ED4C10}">
            <xm:f>NOT(ISERROR(SEARCH("Value Missing",U124)))</xm:f>
            <xm:f>"Value Missing"</xm:f>
            <x14:dxf>
              <font>
                <color rgb="FF9C0006"/>
              </font>
              <fill>
                <patternFill>
                  <bgColor rgb="FFFFC7CE"/>
                </patternFill>
              </fill>
            </x14:dxf>
          </x14:cfRule>
          <x14:cfRule type="notContainsText" priority="672" operator="notContains" id="{9A73F45B-BCA9-9943-B183-A6B7C95EE585}">
            <xm:f>ISERROR(SEARCH("Value Missing",U124))</xm:f>
            <xm:f>"Value Missing"</xm:f>
            <x14:dxf>
              <font>
                <color rgb="FF006100"/>
              </font>
              <fill>
                <patternFill>
                  <bgColor rgb="FFC6EFCE"/>
                </patternFill>
              </fill>
            </x14:dxf>
          </x14:cfRule>
          <xm:sqref>U124:U155</xm:sqref>
        </x14:conditionalFormatting>
        <x14:conditionalFormatting xmlns:xm="http://schemas.microsoft.com/office/excel/2006/main">
          <x14:cfRule type="notContainsText" priority="642" operator="notContains" id="{EB7462B0-5B3A-BF4F-9A9A-82CAD3DE24FC}">
            <xm:f>ISERROR(SEARCH("Value Missing",U159))</xm:f>
            <xm:f>"Value Missing"</xm:f>
            <x14:dxf>
              <font>
                <color rgb="FF006100"/>
              </font>
              <fill>
                <patternFill>
                  <bgColor rgb="FFC6EFCE"/>
                </patternFill>
              </fill>
            </x14:dxf>
          </x14:cfRule>
          <x14:cfRule type="containsText" priority="641" operator="containsText" id="{216F0DD5-D863-2443-B365-BBD61D741846}">
            <xm:f>NOT(ISERROR(SEARCH("Value Missing",U159)))</xm:f>
            <xm:f>"Value Missing"</xm:f>
            <x14:dxf>
              <font>
                <color rgb="FF9C0006"/>
              </font>
              <fill>
                <patternFill>
                  <bgColor rgb="FFFFC7CE"/>
                </patternFill>
              </fill>
            </x14:dxf>
          </x14:cfRule>
          <xm:sqref>U159:U174</xm:sqref>
        </x14:conditionalFormatting>
        <x14:conditionalFormatting xmlns:xm="http://schemas.microsoft.com/office/excel/2006/main">
          <x14:cfRule type="containsText" priority="204" operator="containsText" id="{D2EA4198-E7AA-2D48-9177-B8272E07CBF4}">
            <xm:f>NOT(ISERROR(SEARCH("Value Missing",U196)))</xm:f>
            <xm:f>"Value Missing"</xm:f>
            <x14:dxf>
              <font>
                <color rgb="FF9C0006"/>
              </font>
              <fill>
                <patternFill>
                  <bgColor rgb="FFFFC7CE"/>
                </patternFill>
              </fill>
            </x14:dxf>
          </x14:cfRule>
          <x14:cfRule type="notContainsText" priority="205" operator="notContains" id="{BDD70483-B58A-6546-B3FB-97F85D6C283C}">
            <xm:f>ISERROR(SEARCH("Value Missing",U196))</xm:f>
            <xm:f>"Value Missing"</xm:f>
            <x14:dxf>
              <font>
                <color rgb="FF006100"/>
              </font>
              <fill>
                <patternFill>
                  <bgColor rgb="FFC6EFCE"/>
                </patternFill>
              </fill>
            </x14:dxf>
          </x14:cfRule>
          <xm:sqref>U196:U202</xm:sqref>
        </x14:conditionalFormatting>
        <x14:conditionalFormatting xmlns:xm="http://schemas.microsoft.com/office/excel/2006/main">
          <x14:cfRule type="containsText" priority="15" operator="containsText" id="{78770A9B-4F18-BE40-A652-B8E058237F63}">
            <xm:f>NOT(ISERROR(SEARCH("Value Missing",U205)))</xm:f>
            <xm:f>"Value Missing"</xm:f>
            <x14:dxf>
              <font>
                <color rgb="FF9C0006"/>
              </font>
              <fill>
                <patternFill>
                  <bgColor rgb="FFFFC7CE"/>
                </patternFill>
              </fill>
            </x14:dxf>
          </x14:cfRule>
          <x14:cfRule type="notContainsText" priority="16" operator="notContains" id="{A7AF4346-3C16-6B4A-9CBD-83AC728C367C}">
            <xm:f>ISERROR(SEARCH("Value Missing",U205))</xm:f>
            <xm:f>"Value Missing"</xm:f>
            <x14:dxf>
              <font>
                <color rgb="FF006100"/>
              </font>
              <fill>
                <patternFill>
                  <bgColor rgb="FFC6EFCE"/>
                </patternFill>
              </fill>
            </x14:dxf>
          </x14:cfRule>
          <xm:sqref>U205:U211</xm:sqref>
        </x14:conditionalFormatting>
        <x14:conditionalFormatting xmlns:xm="http://schemas.microsoft.com/office/excel/2006/main">
          <x14:cfRule type="notContainsText" priority="556" operator="notContains" id="{678367D8-3344-A945-9AF8-2E1C035C0C59}">
            <xm:f>ISERROR(SEARCH("Value Missing",U215))</xm:f>
            <xm:f>"Value Missing"</xm:f>
            <x14:dxf>
              <font>
                <color rgb="FF006100"/>
              </font>
              <fill>
                <patternFill>
                  <bgColor rgb="FFC6EFCE"/>
                </patternFill>
              </fill>
            </x14:dxf>
          </x14:cfRule>
          <x14:cfRule type="containsText" priority="555" operator="containsText" id="{0031D66E-20CB-0949-8EBD-8C1E53AC028C}">
            <xm:f>NOT(ISERROR(SEARCH("Value Missing",U215)))</xm:f>
            <xm:f>"Value Missing"</xm:f>
            <x14:dxf>
              <font>
                <color rgb="FF9C0006"/>
              </font>
              <fill>
                <patternFill>
                  <bgColor rgb="FFFFC7CE"/>
                </patternFill>
              </fill>
            </x14:dxf>
          </x14:cfRule>
          <xm:sqref>U215:U230</xm:sqref>
        </x14:conditionalFormatting>
        <x14:conditionalFormatting xmlns:xm="http://schemas.microsoft.com/office/excel/2006/main">
          <x14:cfRule type="notContainsText" priority="665" operator="notContains" id="{28457329-C0CD-6149-A77D-3D1EB054DC6A}">
            <xm:f>ISERROR(SEARCH("Value Missing",U340))</xm:f>
            <xm:f>"Value Missing"</xm:f>
            <x14:dxf>
              <font>
                <color rgb="FF006100"/>
              </font>
              <fill>
                <patternFill>
                  <bgColor rgb="FFC6EFCE"/>
                </patternFill>
              </fill>
            </x14:dxf>
          </x14:cfRule>
          <x14:cfRule type="containsText" priority="670" operator="containsText" id="{C6AB4E2D-E75F-DD42-9D56-24A0DD7555D7}">
            <xm:f>NOT(ISERROR(SEARCH("Value Missing",U340)))</xm:f>
            <xm:f>"Value Missing"</xm:f>
            <x14:dxf>
              <font>
                <color rgb="FF9C0006"/>
              </font>
              <fill>
                <patternFill>
                  <bgColor rgb="FFFFC7CE"/>
                </patternFill>
              </fill>
            </x14:dxf>
          </x14:cfRule>
          <xm:sqref>U340:U371</xm:sqref>
        </x14:conditionalFormatting>
        <x14:conditionalFormatting xmlns:xm="http://schemas.microsoft.com/office/excel/2006/main">
          <x14:cfRule type="notContainsText" priority="597" operator="notContains" id="{BD20F682-947E-7C47-9576-0C0046E2755D}">
            <xm:f>ISERROR(SEARCH("Value Missing",X22))</xm:f>
            <xm:f>"Value Missing"</xm:f>
            <x14:dxf>
              <font>
                <color rgb="FF006100"/>
              </font>
              <fill>
                <patternFill>
                  <bgColor rgb="FFC6EFCE"/>
                </patternFill>
              </fill>
            </x14:dxf>
          </x14:cfRule>
          <x14:cfRule type="containsText" priority="598" operator="containsText" id="{83B82C3F-0038-3846-BE9D-E133ACB2A1B9}">
            <xm:f>NOT(ISERROR(SEARCH("Value Missing",X22)))</xm:f>
            <xm:f>"Value Missing"</xm:f>
            <x14:dxf>
              <font>
                <color rgb="FF9C0006"/>
              </font>
              <fill>
                <patternFill>
                  <bgColor rgb="FFFFC7CE"/>
                </patternFill>
              </fill>
            </x14:dxf>
          </x14:cfRule>
          <xm:sqref>X22:X32</xm:sqref>
        </x14:conditionalFormatting>
        <x14:conditionalFormatting xmlns:xm="http://schemas.microsoft.com/office/excel/2006/main">
          <x14:cfRule type="notContainsText" priority="107" operator="notContains" id="{2CF239DB-F387-764C-A104-F9DFA50825B1}">
            <xm:f>ISERROR(SEARCH("Value Missing",X36))</xm:f>
            <xm:f>"Value Missing"</xm:f>
            <x14:dxf>
              <font>
                <color rgb="FF006100"/>
              </font>
              <fill>
                <patternFill>
                  <bgColor rgb="FFC6EFCE"/>
                </patternFill>
              </fill>
            </x14:dxf>
          </x14:cfRule>
          <x14:cfRule type="containsText" priority="108" operator="containsText" id="{13F8DDF4-DAAD-8A47-AE08-D808BC595F66}">
            <xm:f>NOT(ISERROR(SEARCH("Value Missing",X36)))</xm:f>
            <xm:f>"Value Missing"</xm:f>
            <x14:dxf>
              <font>
                <color rgb="FF9C0006"/>
              </font>
              <fill>
                <patternFill>
                  <bgColor rgb="FFFFC7CE"/>
                </patternFill>
              </fill>
            </x14:dxf>
          </x14:cfRule>
          <xm:sqref>X36:X46</xm:sqref>
        </x14:conditionalFormatting>
        <x14:conditionalFormatting xmlns:xm="http://schemas.microsoft.com/office/excel/2006/main">
          <x14:cfRule type="notContainsText" priority="95" operator="notContains" id="{DB6BA7EC-5035-6D4E-9F06-FD9AD1D435CE}">
            <xm:f>ISERROR(SEARCH("Value Missing",X50))</xm:f>
            <xm:f>"Value Missing"</xm:f>
            <x14:dxf>
              <font>
                <color rgb="FF006100"/>
              </font>
              <fill>
                <patternFill>
                  <bgColor rgb="FFC6EFCE"/>
                </patternFill>
              </fill>
            </x14:dxf>
          </x14:cfRule>
          <x14:cfRule type="containsText" priority="96" operator="containsText" id="{BBDA70DB-C2C2-9149-B5BD-4212FC352DBD}">
            <xm:f>NOT(ISERROR(SEARCH("Value Missing",X50)))</xm:f>
            <xm:f>"Value Missing"</xm:f>
            <x14:dxf>
              <font>
                <color rgb="FF9C0006"/>
              </font>
              <fill>
                <patternFill>
                  <bgColor rgb="FFFFC7CE"/>
                </patternFill>
              </fill>
            </x14:dxf>
          </x14:cfRule>
          <xm:sqref>X50:X60</xm:sqref>
        </x14:conditionalFormatting>
        <x14:conditionalFormatting xmlns:xm="http://schemas.microsoft.com/office/excel/2006/main">
          <x14:cfRule type="notContainsText" priority="599" operator="notContains" id="{C0BC4F20-1983-9845-86A1-545D6634D0A8}">
            <xm:f>ISERROR(SEARCH("Value Missing",X64))</xm:f>
            <xm:f>"Value Missing"</xm:f>
            <x14:dxf>
              <font>
                <color rgb="FF006100"/>
              </font>
              <fill>
                <patternFill>
                  <bgColor rgb="FFC6EFCE"/>
                </patternFill>
              </fill>
            </x14:dxf>
          </x14:cfRule>
          <x14:cfRule type="containsText" priority="600" operator="containsText" id="{23012BF7-B9BC-B34F-A762-22F121BF40C5}">
            <xm:f>NOT(ISERROR(SEARCH("Value Missing",X64)))</xm:f>
            <xm:f>"Value Missing"</xm:f>
            <x14:dxf>
              <font>
                <color rgb="FF9C0006"/>
              </font>
              <fill>
                <patternFill>
                  <bgColor rgb="FFFFC7CE"/>
                </patternFill>
              </fill>
            </x14:dxf>
          </x14:cfRule>
          <xm:sqref>X64:X70</xm:sqref>
        </x14:conditionalFormatting>
        <x14:conditionalFormatting xmlns:xm="http://schemas.microsoft.com/office/excel/2006/main">
          <x14:cfRule type="containsText" priority="508" operator="containsText" id="{A2EBE29B-E732-D14E-A8C4-EBB19F2FFD42}">
            <xm:f>NOT(ISERROR(SEARCH("Value Missing",X74)))</xm:f>
            <xm:f>"Value Missing"</xm:f>
            <x14:dxf>
              <font>
                <color rgb="FF9C0006"/>
              </font>
              <fill>
                <patternFill>
                  <bgColor rgb="FFFFC7CE"/>
                </patternFill>
              </fill>
            </x14:dxf>
          </x14:cfRule>
          <x14:cfRule type="notContainsText" priority="507" operator="notContains" id="{8E3A244D-F3BD-FC4D-9458-AD94C0D059DD}">
            <xm:f>ISERROR(SEARCH("Value Missing",X74))</xm:f>
            <xm:f>"Value Missing"</xm:f>
            <x14:dxf>
              <font>
                <color rgb="FF006100"/>
              </font>
              <fill>
                <patternFill>
                  <bgColor rgb="FFC6EFCE"/>
                </patternFill>
              </fill>
            </x14:dxf>
          </x14:cfRule>
          <xm:sqref>X74:X79</xm:sqref>
        </x14:conditionalFormatting>
        <x14:conditionalFormatting xmlns:xm="http://schemas.microsoft.com/office/excel/2006/main">
          <x14:cfRule type="notContainsText" priority="509" operator="notContains" id="{21F5DA5D-8F2D-BE40-8A18-3CC93743638F}">
            <xm:f>ISERROR(SEARCH("Value Missing",X75))</xm:f>
            <xm:f>"Value Missing"</xm:f>
            <x14:dxf>
              <font>
                <color rgb="FF006100"/>
              </font>
              <fill>
                <patternFill>
                  <bgColor rgb="FFC6EFCE"/>
                </patternFill>
              </fill>
            </x14:dxf>
          </x14:cfRule>
          <xm:sqref>X75:X79</xm:sqref>
        </x14:conditionalFormatting>
        <x14:conditionalFormatting xmlns:xm="http://schemas.microsoft.com/office/excel/2006/main">
          <x14:cfRule type="notContainsText" priority="125" operator="notContains" id="{A4CF5C18-061B-6743-9082-68DAA04B83AB}">
            <xm:f>ISERROR(SEARCH("Value Missing",X98))</xm:f>
            <xm:f>"Value Missing"</xm:f>
            <x14:dxf>
              <font>
                <color rgb="FF006100"/>
              </font>
              <fill>
                <patternFill>
                  <bgColor rgb="FFC6EFCE"/>
                </patternFill>
              </fill>
            </x14:dxf>
          </x14:cfRule>
          <x14:cfRule type="containsText" priority="126" operator="containsText" id="{29E3D915-FD34-9749-BE03-C06619464431}">
            <xm:f>NOT(ISERROR(SEARCH("Value Missing",X98)))</xm:f>
            <xm:f>"Value Missing"</xm:f>
            <x14:dxf>
              <font>
                <color rgb="FF9C0006"/>
              </font>
              <fill>
                <patternFill>
                  <bgColor rgb="FFFFC7CE"/>
                </patternFill>
              </fill>
            </x14:dxf>
          </x14:cfRule>
          <xm:sqref>X98</xm:sqref>
        </x14:conditionalFormatting>
        <x14:conditionalFormatting xmlns:xm="http://schemas.microsoft.com/office/excel/2006/main">
          <x14:cfRule type="containsText" priority="128" operator="containsText" id="{FB104727-02D1-A849-962A-FAE740787435}">
            <xm:f>NOT(ISERROR(SEARCH("Value Missing",X98)))</xm:f>
            <xm:f>"Value Missing"</xm:f>
            <x14:dxf>
              <font>
                <color rgb="FF9C0006"/>
              </font>
              <fill>
                <patternFill>
                  <bgColor rgb="FFFFC7CE"/>
                </patternFill>
              </fill>
            </x14:dxf>
          </x14:cfRule>
          <x14:cfRule type="notContainsText" priority="127" operator="notContains" id="{BF51CCA0-5B83-A343-9693-28BE38F6972E}">
            <xm:f>ISERROR(SEARCH("Value Missing",X98))</xm:f>
            <xm:f>"Value Missing"</xm:f>
            <x14:dxf>
              <font>
                <color rgb="FF006100"/>
              </font>
              <fill>
                <patternFill>
                  <bgColor rgb="FFC6EFCE"/>
                </patternFill>
              </fill>
            </x14:dxf>
          </x14:cfRule>
          <xm:sqref>X98:X102</xm:sqref>
        </x14:conditionalFormatting>
        <x14:conditionalFormatting xmlns:xm="http://schemas.microsoft.com/office/excel/2006/main">
          <x14:cfRule type="containsText" priority="445" operator="containsText" id="{191C643C-F2CB-3544-A6F2-96F0D4BC9700}">
            <xm:f>NOT(ISERROR(SEARCH("Value Missing",X99)))</xm:f>
            <xm:f>"Value Missing"</xm:f>
            <x14:dxf>
              <font>
                <color rgb="FF9C0006"/>
              </font>
              <fill>
                <patternFill>
                  <bgColor rgb="FFFFC7CE"/>
                </patternFill>
              </fill>
            </x14:dxf>
          </x14:cfRule>
          <x14:cfRule type="notContainsText" priority="444" operator="notContains" id="{AC256E6C-5ADE-5E47-B385-8864F0BAEC6E}">
            <xm:f>ISERROR(SEARCH("Value Missing",X99))</xm:f>
            <xm:f>"Value Missing"</xm:f>
            <x14:dxf>
              <font>
                <color rgb="FF006100"/>
              </font>
              <fill>
                <patternFill>
                  <bgColor rgb="FFC6EFCE"/>
                </patternFill>
              </fill>
            </x14:dxf>
          </x14:cfRule>
          <xm:sqref>X99:X102 X104:X105</xm:sqref>
        </x14:conditionalFormatting>
        <x14:conditionalFormatting xmlns:xm="http://schemas.microsoft.com/office/excel/2006/main">
          <x14:cfRule type="containsText" priority="66" operator="containsText" id="{9647FF8E-67EB-7240-8493-50514FA881AB}">
            <xm:f>NOT(ISERROR(SEARCH("Value Missing",X103)))</xm:f>
            <xm:f>"Value Missing"</xm:f>
            <x14:dxf>
              <font>
                <color rgb="FF9C0006"/>
              </font>
              <fill>
                <patternFill>
                  <bgColor rgb="FFFFC7CE"/>
                </patternFill>
              </fill>
            </x14:dxf>
          </x14:cfRule>
          <x14:cfRule type="notContainsText" priority="65" operator="notContains" id="{35444120-B739-074F-B865-F93C295CFF2A}">
            <xm:f>ISERROR(SEARCH("Value Missing",X103))</xm:f>
            <xm:f>"Value Missing"</xm:f>
            <x14:dxf>
              <font>
                <color rgb="FF006100"/>
              </font>
              <fill>
                <patternFill>
                  <bgColor rgb="FFC6EFCE"/>
                </patternFill>
              </fill>
            </x14:dxf>
          </x14:cfRule>
          <xm:sqref>X103</xm:sqref>
        </x14:conditionalFormatting>
        <x14:conditionalFormatting xmlns:xm="http://schemas.microsoft.com/office/excel/2006/main">
          <x14:cfRule type="containsText" priority="68" operator="containsText" id="{F13B964D-3454-6649-97D0-5BD305B2455F}">
            <xm:f>NOT(ISERROR(SEARCH("Value Missing",X103)))</xm:f>
            <xm:f>"Value Missing"</xm:f>
            <x14:dxf>
              <font>
                <color rgb="FF9C0006"/>
              </font>
              <fill>
                <patternFill>
                  <bgColor rgb="FFFFC7CE"/>
                </patternFill>
              </fill>
            </x14:dxf>
          </x14:cfRule>
          <x14:cfRule type="notContainsText" priority="67" operator="notContains" id="{1191C30B-6D3A-464F-B29A-E3E0E076F937}">
            <xm:f>ISERROR(SEARCH("Value Missing",X103))</xm:f>
            <xm:f>"Value Missing"</xm:f>
            <x14:dxf>
              <font>
                <color rgb="FF006100"/>
              </font>
              <fill>
                <patternFill>
                  <bgColor rgb="FFC6EFCE"/>
                </patternFill>
              </fill>
            </x14:dxf>
          </x14:cfRule>
          <xm:sqref>X103:X105</xm:sqref>
        </x14:conditionalFormatting>
        <x14:conditionalFormatting xmlns:xm="http://schemas.microsoft.com/office/excel/2006/main">
          <x14:cfRule type="notContainsText" priority="491" operator="notContains" id="{BA959663-0C7C-0545-B005-FAA45531C990}">
            <xm:f>ISERROR(SEARCH("Value Missing",X109))</xm:f>
            <xm:f>"Value Missing"</xm:f>
            <x14:dxf>
              <font>
                <color rgb="FF006100"/>
              </font>
              <fill>
                <patternFill>
                  <bgColor rgb="FFC6EFCE"/>
                </patternFill>
              </fill>
            </x14:dxf>
          </x14:cfRule>
          <x14:cfRule type="containsText" priority="492" operator="containsText" id="{B6FDA87C-99A0-3A44-81D7-376DE8ECB8D2}">
            <xm:f>NOT(ISERROR(SEARCH("Value Missing",X109)))</xm:f>
            <xm:f>"Value Missing"</xm:f>
            <x14:dxf>
              <font>
                <color rgb="FF9C0006"/>
              </font>
              <fill>
                <patternFill>
                  <bgColor rgb="FFFFC7CE"/>
                </patternFill>
              </fill>
            </x14:dxf>
          </x14:cfRule>
          <xm:sqref>X109:X115</xm:sqref>
        </x14:conditionalFormatting>
        <x14:conditionalFormatting xmlns:xm="http://schemas.microsoft.com/office/excel/2006/main">
          <x14:cfRule type="notContainsText" priority="627" operator="notContains" id="{2EEB65A1-7063-564E-A427-A8AA0E1FC89A}">
            <xm:f>ISERROR(SEARCH("Value Missing",X119))</xm:f>
            <xm:f>"Value Missing"</xm:f>
            <x14:dxf>
              <font>
                <color rgb="FF006100"/>
              </font>
              <fill>
                <patternFill>
                  <bgColor rgb="FFC6EFCE"/>
                </patternFill>
              </fill>
            </x14:dxf>
          </x14:cfRule>
          <x14:cfRule type="containsText" priority="628" operator="containsText" id="{A5D97B62-214C-9C47-8D68-73DE7FD211D0}">
            <xm:f>NOT(ISERROR(SEARCH("Value Missing",X119)))</xm:f>
            <xm:f>"Value Missing"</xm:f>
            <x14:dxf>
              <font>
                <color rgb="FF9C0006"/>
              </font>
              <fill>
                <patternFill>
                  <bgColor rgb="FFFFC7CE"/>
                </patternFill>
              </fill>
            </x14:dxf>
          </x14:cfRule>
          <xm:sqref>X119:X120</xm:sqref>
        </x14:conditionalFormatting>
        <x14:conditionalFormatting xmlns:xm="http://schemas.microsoft.com/office/excel/2006/main">
          <x14:cfRule type="notContainsText" priority="664" operator="notContains" id="{5B096F6D-CD9E-D148-B1A3-9ED890BD9083}">
            <xm:f>ISERROR(SEARCH("Value Missing",X124))</xm:f>
            <xm:f>"Value Missing"</xm:f>
            <x14:dxf>
              <font>
                <color rgb="FF006100"/>
              </font>
              <fill>
                <patternFill>
                  <bgColor rgb="FFC6EFCE"/>
                </patternFill>
              </fill>
            </x14:dxf>
          </x14:cfRule>
          <x14:cfRule type="containsText" priority="663" operator="containsText" id="{4BB2515D-423C-2E41-8BD9-DD0198935419}">
            <xm:f>NOT(ISERROR(SEARCH("Value Missing",X124)))</xm:f>
            <xm:f>"Value Missing"</xm:f>
            <x14:dxf>
              <font>
                <color rgb="FF9C0006"/>
              </font>
              <fill>
                <patternFill>
                  <bgColor rgb="FFFFC7CE"/>
                </patternFill>
              </fill>
            </x14:dxf>
          </x14:cfRule>
          <xm:sqref>X124:X155</xm:sqref>
        </x14:conditionalFormatting>
        <x14:conditionalFormatting xmlns:xm="http://schemas.microsoft.com/office/excel/2006/main">
          <x14:cfRule type="containsText" priority="639" operator="containsText" id="{52B0BE26-33E8-F547-A5EE-D95B0C969F8D}">
            <xm:f>NOT(ISERROR(SEARCH("Value Missing",X159)))</xm:f>
            <xm:f>"Value Missing"</xm:f>
            <x14:dxf>
              <font>
                <color rgb="FF9C0006"/>
              </font>
              <fill>
                <patternFill>
                  <bgColor rgb="FFFFC7CE"/>
                </patternFill>
              </fill>
            </x14:dxf>
          </x14:cfRule>
          <x14:cfRule type="notContainsText" priority="640" operator="notContains" id="{9340E34B-3DE6-7145-89A9-66474D4A814D}">
            <xm:f>ISERROR(SEARCH("Value Missing",X159))</xm:f>
            <xm:f>"Value Missing"</xm:f>
            <x14:dxf>
              <font>
                <color rgb="FF006100"/>
              </font>
              <fill>
                <patternFill>
                  <bgColor rgb="FFC6EFCE"/>
                </patternFill>
              </fill>
            </x14:dxf>
          </x14:cfRule>
          <xm:sqref>X159:X174</xm:sqref>
        </x14:conditionalFormatting>
        <x14:conditionalFormatting xmlns:xm="http://schemas.microsoft.com/office/excel/2006/main">
          <x14:cfRule type="containsText" priority="202" operator="containsText" id="{E8B843EB-3B91-784B-A0FD-356B75B9EDF4}">
            <xm:f>NOT(ISERROR(SEARCH("Value Missing",X196)))</xm:f>
            <xm:f>"Value Missing"</xm:f>
            <x14:dxf>
              <font>
                <color rgb="FF9C0006"/>
              </font>
              <fill>
                <patternFill>
                  <bgColor rgb="FFFFC7CE"/>
                </patternFill>
              </fill>
            </x14:dxf>
          </x14:cfRule>
          <x14:cfRule type="notContainsText" priority="203" operator="notContains" id="{D3B8A6CC-18D7-D040-A20B-9A2C33CF3D7E}">
            <xm:f>ISERROR(SEARCH("Value Missing",X196))</xm:f>
            <xm:f>"Value Missing"</xm:f>
            <x14:dxf>
              <font>
                <color rgb="FF006100"/>
              </font>
              <fill>
                <patternFill>
                  <bgColor rgb="FFC6EFCE"/>
                </patternFill>
              </fill>
            </x14:dxf>
          </x14:cfRule>
          <xm:sqref>X196:X202</xm:sqref>
        </x14:conditionalFormatting>
        <x14:conditionalFormatting xmlns:xm="http://schemas.microsoft.com/office/excel/2006/main">
          <x14:cfRule type="containsText" priority="13" operator="containsText" id="{719A2401-6B9C-ED47-842F-19745E3F8064}">
            <xm:f>NOT(ISERROR(SEARCH("Value Missing",X205)))</xm:f>
            <xm:f>"Value Missing"</xm:f>
            <x14:dxf>
              <font>
                <color rgb="FF9C0006"/>
              </font>
              <fill>
                <patternFill>
                  <bgColor rgb="FFFFC7CE"/>
                </patternFill>
              </fill>
            </x14:dxf>
          </x14:cfRule>
          <x14:cfRule type="notContainsText" priority="14" operator="notContains" id="{6A74FCC1-17DC-134E-8B78-1ED865710830}">
            <xm:f>ISERROR(SEARCH("Value Missing",X205))</xm:f>
            <xm:f>"Value Missing"</xm:f>
            <x14:dxf>
              <font>
                <color rgb="FF006100"/>
              </font>
              <fill>
                <patternFill>
                  <bgColor rgb="FFC6EFCE"/>
                </patternFill>
              </fill>
            </x14:dxf>
          </x14:cfRule>
          <xm:sqref>X205:X211</xm:sqref>
        </x14:conditionalFormatting>
        <x14:conditionalFormatting xmlns:xm="http://schemas.microsoft.com/office/excel/2006/main">
          <x14:cfRule type="containsText" priority="553" operator="containsText" id="{F8480ABC-AFED-7945-9114-621F37A9A9CE}">
            <xm:f>NOT(ISERROR(SEARCH("Value Missing",X215)))</xm:f>
            <xm:f>"Value Missing"</xm:f>
            <x14:dxf>
              <font>
                <color rgb="FF9C0006"/>
              </font>
              <fill>
                <patternFill>
                  <bgColor rgb="FFFFC7CE"/>
                </patternFill>
              </fill>
            </x14:dxf>
          </x14:cfRule>
          <x14:cfRule type="notContainsText" priority="554" operator="notContains" id="{4C94531B-DB3A-4049-9CD8-BCDB414FE2EF}">
            <xm:f>ISERROR(SEARCH("Value Missing",X215))</xm:f>
            <xm:f>"Value Missing"</xm:f>
            <x14:dxf>
              <font>
                <color rgb="FF006100"/>
              </font>
              <fill>
                <patternFill>
                  <bgColor rgb="FFC6EFCE"/>
                </patternFill>
              </fill>
            </x14:dxf>
          </x14:cfRule>
          <xm:sqref>X215:X230</xm:sqref>
        </x14:conditionalFormatting>
        <x14:conditionalFormatting xmlns:xm="http://schemas.microsoft.com/office/excel/2006/main">
          <x14:cfRule type="notContainsText" priority="657" operator="notContains" id="{05B870D5-BA6A-674B-A955-1E6AAADFB961}">
            <xm:f>ISERROR(SEARCH("Value Missing",X340))</xm:f>
            <xm:f>"Value Missing"</xm:f>
            <x14:dxf>
              <font>
                <color rgb="FF006100"/>
              </font>
              <fill>
                <patternFill>
                  <bgColor rgb="FFC6EFCE"/>
                </patternFill>
              </fill>
            </x14:dxf>
          </x14:cfRule>
          <x14:cfRule type="containsText" priority="662" operator="containsText" id="{A16D82AD-4CAC-E94D-AC48-499EF9D0FC00}">
            <xm:f>NOT(ISERROR(SEARCH("Value Missing",X340)))</xm:f>
            <xm:f>"Value Missing"</xm:f>
            <x14:dxf>
              <font>
                <color rgb="FF9C0006"/>
              </font>
              <fill>
                <patternFill>
                  <bgColor rgb="FFFFC7CE"/>
                </patternFill>
              </fill>
            </x14:dxf>
          </x14:cfRule>
          <xm:sqref>X340:X371</xm:sqref>
        </x14:conditionalFormatting>
        <x14:conditionalFormatting xmlns:xm="http://schemas.microsoft.com/office/excel/2006/main">
          <x14:cfRule type="notContainsText" priority="591" operator="notContains" id="{CD00F3D0-E043-014B-9E63-82C0A69F002F}">
            <xm:f>ISERROR(SEARCH("Value Missing",AA22))</xm:f>
            <xm:f>"Value Missing"</xm:f>
            <x14:dxf>
              <font>
                <color rgb="FF006100"/>
              </font>
              <fill>
                <patternFill>
                  <bgColor rgb="FFC6EFCE"/>
                </patternFill>
              </fill>
            </x14:dxf>
          </x14:cfRule>
          <x14:cfRule type="containsText" priority="592" operator="containsText" id="{8F829C00-2E2A-7C46-9DF4-79B42BEB3D5B}">
            <xm:f>NOT(ISERROR(SEARCH("Value Missing",AA22)))</xm:f>
            <xm:f>"Value Missing"</xm:f>
            <x14:dxf>
              <font>
                <color rgb="FF9C0006"/>
              </font>
              <fill>
                <patternFill>
                  <bgColor rgb="FFFFC7CE"/>
                </patternFill>
              </fill>
            </x14:dxf>
          </x14:cfRule>
          <xm:sqref>AA22:AA32</xm:sqref>
        </x14:conditionalFormatting>
        <x14:conditionalFormatting xmlns:xm="http://schemas.microsoft.com/office/excel/2006/main">
          <x14:cfRule type="notContainsText" priority="105" operator="notContains" id="{DD647B37-47C5-D541-92A8-5AC01C47C467}">
            <xm:f>ISERROR(SEARCH("Value Missing",AA36))</xm:f>
            <xm:f>"Value Missing"</xm:f>
            <x14:dxf>
              <font>
                <color rgb="FF006100"/>
              </font>
              <fill>
                <patternFill>
                  <bgColor rgb="FFC6EFCE"/>
                </patternFill>
              </fill>
            </x14:dxf>
          </x14:cfRule>
          <x14:cfRule type="containsText" priority="106" operator="containsText" id="{19D919C9-5D1A-6D4F-BED7-1767845AA09E}">
            <xm:f>NOT(ISERROR(SEARCH("Value Missing",AA36)))</xm:f>
            <xm:f>"Value Missing"</xm:f>
            <x14:dxf>
              <font>
                <color rgb="FF9C0006"/>
              </font>
              <fill>
                <patternFill>
                  <bgColor rgb="FFFFC7CE"/>
                </patternFill>
              </fill>
            </x14:dxf>
          </x14:cfRule>
          <xm:sqref>AA36:AA46</xm:sqref>
        </x14:conditionalFormatting>
        <x14:conditionalFormatting xmlns:xm="http://schemas.microsoft.com/office/excel/2006/main">
          <x14:cfRule type="notContainsText" priority="93" operator="notContains" id="{9FFEF908-F796-0A4F-8ECD-174445C26B02}">
            <xm:f>ISERROR(SEARCH("Value Missing",AA50))</xm:f>
            <xm:f>"Value Missing"</xm:f>
            <x14:dxf>
              <font>
                <color rgb="FF006100"/>
              </font>
              <fill>
                <patternFill>
                  <bgColor rgb="FFC6EFCE"/>
                </patternFill>
              </fill>
            </x14:dxf>
          </x14:cfRule>
          <x14:cfRule type="containsText" priority="94" operator="containsText" id="{BC5E333C-9931-4447-9E16-E70AF6135C6A}">
            <xm:f>NOT(ISERROR(SEARCH("Value Missing",AA50)))</xm:f>
            <xm:f>"Value Missing"</xm:f>
            <x14:dxf>
              <font>
                <color rgb="FF9C0006"/>
              </font>
              <fill>
                <patternFill>
                  <bgColor rgb="FFFFC7CE"/>
                </patternFill>
              </fill>
            </x14:dxf>
          </x14:cfRule>
          <xm:sqref>AA50:AA60</xm:sqref>
        </x14:conditionalFormatting>
        <x14:conditionalFormatting xmlns:xm="http://schemas.microsoft.com/office/excel/2006/main">
          <x14:cfRule type="containsText" priority="594" operator="containsText" id="{A2B95DD2-23F2-114E-A98A-635AAF295462}">
            <xm:f>NOT(ISERROR(SEARCH("Value Missing",AA64)))</xm:f>
            <xm:f>"Value Missing"</xm:f>
            <x14:dxf>
              <font>
                <color rgb="FF9C0006"/>
              </font>
              <fill>
                <patternFill>
                  <bgColor rgb="FFFFC7CE"/>
                </patternFill>
              </fill>
            </x14:dxf>
          </x14:cfRule>
          <x14:cfRule type="notContainsText" priority="593" operator="notContains" id="{646C5640-82AD-4649-BFFC-350384E0F1D7}">
            <xm:f>ISERROR(SEARCH("Value Missing",AA64))</xm:f>
            <xm:f>"Value Missing"</xm:f>
            <x14:dxf>
              <font>
                <color rgb="FF006100"/>
              </font>
              <fill>
                <patternFill>
                  <bgColor rgb="FFC6EFCE"/>
                </patternFill>
              </fill>
            </x14:dxf>
          </x14:cfRule>
          <xm:sqref>AA64:AA70</xm:sqref>
        </x14:conditionalFormatting>
        <x14:conditionalFormatting xmlns:xm="http://schemas.microsoft.com/office/excel/2006/main">
          <x14:cfRule type="containsText" priority="505" operator="containsText" id="{9C1EFB3E-EBC5-5643-AB91-DFB133D53D15}">
            <xm:f>NOT(ISERROR(SEARCH("Value Missing",AA74)))</xm:f>
            <xm:f>"Value Missing"</xm:f>
            <x14:dxf>
              <font>
                <color rgb="FF9C0006"/>
              </font>
              <fill>
                <patternFill>
                  <bgColor rgb="FFFFC7CE"/>
                </patternFill>
              </fill>
            </x14:dxf>
          </x14:cfRule>
          <x14:cfRule type="notContainsText" priority="504" operator="notContains" id="{69EAF616-B381-604D-B99D-CB0DB07E413B}">
            <xm:f>ISERROR(SEARCH("Value Missing",AA74))</xm:f>
            <xm:f>"Value Missing"</xm:f>
            <x14:dxf>
              <font>
                <color rgb="FF006100"/>
              </font>
              <fill>
                <patternFill>
                  <bgColor rgb="FFC6EFCE"/>
                </patternFill>
              </fill>
            </x14:dxf>
          </x14:cfRule>
          <xm:sqref>AA74:AA79</xm:sqref>
        </x14:conditionalFormatting>
        <x14:conditionalFormatting xmlns:xm="http://schemas.microsoft.com/office/excel/2006/main">
          <x14:cfRule type="notContainsText" priority="506" operator="notContains" id="{4F5C4E88-E8FA-E14D-855A-350BEA9EF43D}">
            <xm:f>ISERROR(SEARCH("Value Missing",AA75))</xm:f>
            <xm:f>"Value Missing"</xm:f>
            <x14:dxf>
              <font>
                <color rgb="FF006100"/>
              </font>
              <fill>
                <patternFill>
                  <bgColor rgb="FFC6EFCE"/>
                </patternFill>
              </fill>
            </x14:dxf>
          </x14:cfRule>
          <xm:sqref>AA75:AA79</xm:sqref>
        </x14:conditionalFormatting>
        <x14:conditionalFormatting xmlns:xm="http://schemas.microsoft.com/office/excel/2006/main">
          <x14:cfRule type="notContainsText" priority="121" operator="notContains" id="{A2974527-46E6-BD4A-8FB2-7ECD5FED1418}">
            <xm:f>ISERROR(SEARCH("Value Missing",AA98))</xm:f>
            <xm:f>"Value Missing"</xm:f>
            <x14:dxf>
              <font>
                <color rgb="FF006100"/>
              </font>
              <fill>
                <patternFill>
                  <bgColor rgb="FFC6EFCE"/>
                </patternFill>
              </fill>
            </x14:dxf>
          </x14:cfRule>
          <x14:cfRule type="containsText" priority="122" operator="containsText" id="{832E3CF9-BCEA-EB43-824D-B716A876E357}">
            <xm:f>NOT(ISERROR(SEARCH("Value Missing",AA98)))</xm:f>
            <xm:f>"Value Missing"</xm:f>
            <x14:dxf>
              <font>
                <color rgb="FF9C0006"/>
              </font>
              <fill>
                <patternFill>
                  <bgColor rgb="FFFFC7CE"/>
                </patternFill>
              </fill>
            </x14:dxf>
          </x14:cfRule>
          <xm:sqref>AA98</xm:sqref>
        </x14:conditionalFormatting>
        <x14:conditionalFormatting xmlns:xm="http://schemas.microsoft.com/office/excel/2006/main">
          <x14:cfRule type="notContainsText" priority="123" operator="notContains" id="{9BC3B711-64F4-0947-ACAF-EAEBEBBDBDF4}">
            <xm:f>ISERROR(SEARCH("Value Missing",AA98))</xm:f>
            <xm:f>"Value Missing"</xm:f>
            <x14:dxf>
              <font>
                <color rgb="FF006100"/>
              </font>
              <fill>
                <patternFill>
                  <bgColor rgb="FFC6EFCE"/>
                </patternFill>
              </fill>
            </x14:dxf>
          </x14:cfRule>
          <x14:cfRule type="containsText" priority="124" operator="containsText" id="{2889FE5E-7355-EE48-B050-D6C16F70FAF6}">
            <xm:f>NOT(ISERROR(SEARCH("Value Missing",AA98)))</xm:f>
            <xm:f>"Value Missing"</xm:f>
            <x14:dxf>
              <font>
                <color rgb="FF9C0006"/>
              </font>
              <fill>
                <patternFill>
                  <bgColor rgb="FFFFC7CE"/>
                </patternFill>
              </fill>
            </x14:dxf>
          </x14:cfRule>
          <xm:sqref>AA98:AA102</xm:sqref>
        </x14:conditionalFormatting>
        <x14:conditionalFormatting xmlns:xm="http://schemas.microsoft.com/office/excel/2006/main">
          <x14:cfRule type="containsText" priority="441" operator="containsText" id="{60B2AC44-387C-0440-A7FA-C78312377E59}">
            <xm:f>NOT(ISERROR(SEARCH("Value Missing",AA99)))</xm:f>
            <xm:f>"Value Missing"</xm:f>
            <x14:dxf>
              <font>
                <color rgb="FF9C0006"/>
              </font>
              <fill>
                <patternFill>
                  <bgColor rgb="FFFFC7CE"/>
                </patternFill>
              </fill>
            </x14:dxf>
          </x14:cfRule>
          <x14:cfRule type="notContainsText" priority="440" operator="notContains" id="{3C360081-906A-B34D-8841-A0196FF423BC}">
            <xm:f>ISERROR(SEARCH("Value Missing",AA99))</xm:f>
            <xm:f>"Value Missing"</xm:f>
            <x14:dxf>
              <font>
                <color rgb="FF006100"/>
              </font>
              <fill>
                <patternFill>
                  <bgColor rgb="FFC6EFCE"/>
                </patternFill>
              </fill>
            </x14:dxf>
          </x14:cfRule>
          <xm:sqref>AA99:AA102 AA104:AA105</xm:sqref>
        </x14:conditionalFormatting>
        <x14:conditionalFormatting xmlns:xm="http://schemas.microsoft.com/office/excel/2006/main">
          <x14:cfRule type="notContainsText" priority="61" operator="notContains" id="{0AFB2436-F59E-6C40-A6DC-0C273F349DA8}">
            <xm:f>ISERROR(SEARCH("Value Missing",AA103))</xm:f>
            <xm:f>"Value Missing"</xm:f>
            <x14:dxf>
              <font>
                <color rgb="FF006100"/>
              </font>
              <fill>
                <patternFill>
                  <bgColor rgb="FFC6EFCE"/>
                </patternFill>
              </fill>
            </x14:dxf>
          </x14:cfRule>
          <x14:cfRule type="containsText" priority="62" operator="containsText" id="{F17033CB-0D86-E249-9904-AD8CA327124C}">
            <xm:f>NOT(ISERROR(SEARCH("Value Missing",AA103)))</xm:f>
            <xm:f>"Value Missing"</xm:f>
            <x14:dxf>
              <font>
                <color rgb="FF9C0006"/>
              </font>
              <fill>
                <patternFill>
                  <bgColor rgb="FFFFC7CE"/>
                </patternFill>
              </fill>
            </x14:dxf>
          </x14:cfRule>
          <xm:sqref>AA103</xm:sqref>
        </x14:conditionalFormatting>
        <x14:conditionalFormatting xmlns:xm="http://schemas.microsoft.com/office/excel/2006/main">
          <x14:cfRule type="containsText" priority="64" operator="containsText" id="{DF6FBEB6-3E2B-2E49-914F-57BB6077973B}">
            <xm:f>NOT(ISERROR(SEARCH("Value Missing",AA103)))</xm:f>
            <xm:f>"Value Missing"</xm:f>
            <x14:dxf>
              <font>
                <color rgb="FF9C0006"/>
              </font>
              <fill>
                <patternFill>
                  <bgColor rgb="FFFFC7CE"/>
                </patternFill>
              </fill>
            </x14:dxf>
          </x14:cfRule>
          <x14:cfRule type="notContainsText" priority="63" operator="notContains" id="{3DB9A990-FA03-7040-A262-C2FF8F567FBE}">
            <xm:f>ISERROR(SEARCH("Value Missing",AA103))</xm:f>
            <xm:f>"Value Missing"</xm:f>
            <x14:dxf>
              <font>
                <color rgb="FF006100"/>
              </font>
              <fill>
                <patternFill>
                  <bgColor rgb="FFC6EFCE"/>
                </patternFill>
              </fill>
            </x14:dxf>
          </x14:cfRule>
          <xm:sqref>AA103:AA105</xm:sqref>
        </x14:conditionalFormatting>
        <x14:conditionalFormatting xmlns:xm="http://schemas.microsoft.com/office/excel/2006/main">
          <x14:cfRule type="containsText" priority="490" operator="containsText" id="{3B571E75-200B-1D41-9009-0342DD1A4302}">
            <xm:f>NOT(ISERROR(SEARCH("Value Missing",AA109)))</xm:f>
            <xm:f>"Value Missing"</xm:f>
            <x14:dxf>
              <font>
                <color rgb="FF9C0006"/>
              </font>
              <fill>
                <patternFill>
                  <bgColor rgb="FFFFC7CE"/>
                </patternFill>
              </fill>
            </x14:dxf>
          </x14:cfRule>
          <x14:cfRule type="notContainsText" priority="489" operator="notContains" id="{0B3D1824-6301-8044-A9C8-757AD1CE8497}">
            <xm:f>ISERROR(SEARCH("Value Missing",AA109))</xm:f>
            <xm:f>"Value Missing"</xm:f>
            <x14:dxf>
              <font>
                <color rgb="FF006100"/>
              </font>
              <fill>
                <patternFill>
                  <bgColor rgb="FFC6EFCE"/>
                </patternFill>
              </fill>
            </x14:dxf>
          </x14:cfRule>
          <xm:sqref>AA109:AA115</xm:sqref>
        </x14:conditionalFormatting>
        <x14:conditionalFormatting xmlns:xm="http://schemas.microsoft.com/office/excel/2006/main">
          <x14:cfRule type="notContainsText" priority="625" operator="notContains" id="{91A74C45-1918-F540-B346-3B4F75D4B24A}">
            <xm:f>ISERROR(SEARCH("Value Missing",AA119))</xm:f>
            <xm:f>"Value Missing"</xm:f>
            <x14:dxf>
              <font>
                <color rgb="FF006100"/>
              </font>
              <fill>
                <patternFill>
                  <bgColor rgb="FFC6EFCE"/>
                </patternFill>
              </fill>
            </x14:dxf>
          </x14:cfRule>
          <x14:cfRule type="containsText" priority="626" operator="containsText" id="{AC4B0F00-A568-4B40-BA45-A9BA0F4899F9}">
            <xm:f>NOT(ISERROR(SEARCH("Value Missing",AA119)))</xm:f>
            <xm:f>"Value Missing"</xm:f>
            <x14:dxf>
              <font>
                <color rgb="FF9C0006"/>
              </font>
              <fill>
                <patternFill>
                  <bgColor rgb="FFFFC7CE"/>
                </patternFill>
              </fill>
            </x14:dxf>
          </x14:cfRule>
          <xm:sqref>AA119:AA120</xm:sqref>
        </x14:conditionalFormatting>
        <x14:conditionalFormatting xmlns:xm="http://schemas.microsoft.com/office/excel/2006/main">
          <x14:cfRule type="notContainsText" priority="656" operator="notContains" id="{C53229F0-4195-894C-B44A-C888B6327D0F}">
            <xm:f>ISERROR(SEARCH("Value Missing",AA124))</xm:f>
            <xm:f>"Value Missing"</xm:f>
            <x14:dxf>
              <font>
                <color rgb="FF006100"/>
              </font>
              <fill>
                <patternFill>
                  <bgColor rgb="FFC6EFCE"/>
                </patternFill>
              </fill>
            </x14:dxf>
          </x14:cfRule>
          <x14:cfRule type="containsText" priority="655" operator="containsText" id="{DB429573-3C77-9C4A-89B5-8C6F90DA7017}">
            <xm:f>NOT(ISERROR(SEARCH("Value Missing",AA124)))</xm:f>
            <xm:f>"Value Missing"</xm:f>
            <x14:dxf>
              <font>
                <color rgb="FF9C0006"/>
              </font>
              <fill>
                <patternFill>
                  <bgColor rgb="FFFFC7CE"/>
                </patternFill>
              </fill>
            </x14:dxf>
          </x14:cfRule>
          <xm:sqref>AA124:AA155</xm:sqref>
        </x14:conditionalFormatting>
        <x14:conditionalFormatting xmlns:xm="http://schemas.microsoft.com/office/excel/2006/main">
          <x14:cfRule type="containsText" priority="637" operator="containsText" id="{E165043C-D611-F442-9D04-AC4092D17A06}">
            <xm:f>NOT(ISERROR(SEARCH("Value Missing",AA159)))</xm:f>
            <xm:f>"Value Missing"</xm:f>
            <x14:dxf>
              <font>
                <color rgb="FF9C0006"/>
              </font>
              <fill>
                <patternFill>
                  <bgColor rgb="FFFFC7CE"/>
                </patternFill>
              </fill>
            </x14:dxf>
          </x14:cfRule>
          <x14:cfRule type="notContainsText" priority="638" operator="notContains" id="{2074360A-343B-8A49-B7E7-98B11315C287}">
            <xm:f>ISERROR(SEARCH("Value Missing",AA159))</xm:f>
            <xm:f>"Value Missing"</xm:f>
            <x14:dxf>
              <font>
                <color rgb="FF006100"/>
              </font>
              <fill>
                <patternFill>
                  <bgColor rgb="FFC6EFCE"/>
                </patternFill>
              </fill>
            </x14:dxf>
          </x14:cfRule>
          <xm:sqref>AA159:AA174</xm:sqref>
        </x14:conditionalFormatting>
        <x14:conditionalFormatting xmlns:xm="http://schemas.microsoft.com/office/excel/2006/main">
          <x14:cfRule type="containsText" priority="200" operator="containsText" id="{796CFC4B-1EA4-3045-BBB6-826CEEFC62F3}">
            <xm:f>NOT(ISERROR(SEARCH("Value Missing",AA196)))</xm:f>
            <xm:f>"Value Missing"</xm:f>
            <x14:dxf>
              <font>
                <color rgb="FF9C0006"/>
              </font>
              <fill>
                <patternFill>
                  <bgColor rgb="FFFFC7CE"/>
                </patternFill>
              </fill>
            </x14:dxf>
          </x14:cfRule>
          <x14:cfRule type="notContainsText" priority="201" operator="notContains" id="{4FBC3B9D-A38F-BD4E-9FC5-C51C4333D9F2}">
            <xm:f>ISERROR(SEARCH("Value Missing",AA196))</xm:f>
            <xm:f>"Value Missing"</xm:f>
            <x14:dxf>
              <font>
                <color rgb="FF006100"/>
              </font>
              <fill>
                <patternFill>
                  <bgColor rgb="FFC6EFCE"/>
                </patternFill>
              </fill>
            </x14:dxf>
          </x14:cfRule>
          <xm:sqref>AA196:AA202</xm:sqref>
        </x14:conditionalFormatting>
        <x14:conditionalFormatting xmlns:xm="http://schemas.microsoft.com/office/excel/2006/main">
          <x14:cfRule type="notContainsText" priority="12" operator="notContains" id="{5FBC6257-46F3-B94E-B282-7086F53B322E}">
            <xm:f>ISERROR(SEARCH("Value Missing",AA205))</xm:f>
            <xm:f>"Value Missing"</xm:f>
            <x14:dxf>
              <font>
                <color rgb="FF006100"/>
              </font>
              <fill>
                <patternFill>
                  <bgColor rgb="FFC6EFCE"/>
                </patternFill>
              </fill>
            </x14:dxf>
          </x14:cfRule>
          <x14:cfRule type="containsText" priority="11" operator="containsText" id="{229BF74C-1C31-934C-B4BB-2AE27446BE22}">
            <xm:f>NOT(ISERROR(SEARCH("Value Missing",AA205)))</xm:f>
            <xm:f>"Value Missing"</xm:f>
            <x14:dxf>
              <font>
                <color rgb="FF9C0006"/>
              </font>
              <fill>
                <patternFill>
                  <bgColor rgb="FFFFC7CE"/>
                </patternFill>
              </fill>
            </x14:dxf>
          </x14:cfRule>
          <xm:sqref>AA205:AA211</xm:sqref>
        </x14:conditionalFormatting>
        <x14:conditionalFormatting xmlns:xm="http://schemas.microsoft.com/office/excel/2006/main">
          <x14:cfRule type="containsText" priority="551" operator="containsText" id="{E9602E37-4032-BE41-8C6F-1C9515CBE9ED}">
            <xm:f>NOT(ISERROR(SEARCH("Value Missing",AA215)))</xm:f>
            <xm:f>"Value Missing"</xm:f>
            <x14:dxf>
              <font>
                <color rgb="FF9C0006"/>
              </font>
              <fill>
                <patternFill>
                  <bgColor rgb="FFFFC7CE"/>
                </patternFill>
              </fill>
            </x14:dxf>
          </x14:cfRule>
          <x14:cfRule type="notContainsText" priority="552" operator="notContains" id="{816E67A7-A40E-9A4C-9CF3-D95B7341DB84}">
            <xm:f>ISERROR(SEARCH("Value Missing",AA215))</xm:f>
            <xm:f>"Value Missing"</xm:f>
            <x14:dxf>
              <font>
                <color rgb="FF006100"/>
              </font>
              <fill>
                <patternFill>
                  <bgColor rgb="FFC6EFCE"/>
                </patternFill>
              </fill>
            </x14:dxf>
          </x14:cfRule>
          <xm:sqref>AA215:AA230</xm:sqref>
        </x14:conditionalFormatting>
        <x14:conditionalFormatting xmlns:xm="http://schemas.microsoft.com/office/excel/2006/main">
          <x14:cfRule type="notContainsText" priority="649" operator="notContains" id="{3A700838-8C6C-0D4E-84AF-465964568C38}">
            <xm:f>ISERROR(SEARCH("Value Missing",AA340))</xm:f>
            <xm:f>"Value Missing"</xm:f>
            <x14:dxf>
              <font>
                <color rgb="FF006100"/>
              </font>
              <fill>
                <patternFill>
                  <bgColor rgb="FFC6EFCE"/>
                </patternFill>
              </fill>
            </x14:dxf>
          </x14:cfRule>
          <x14:cfRule type="containsText" priority="654" operator="containsText" id="{281F5755-4BBB-984A-814F-913E7E1451F6}">
            <xm:f>NOT(ISERROR(SEARCH("Value Missing",AA340)))</xm:f>
            <xm:f>"Value Missing"</xm:f>
            <x14:dxf>
              <font>
                <color rgb="FF9C0006"/>
              </font>
              <fill>
                <patternFill>
                  <bgColor rgb="FFFFC7CE"/>
                </patternFill>
              </fill>
            </x14:dxf>
          </x14:cfRule>
          <xm:sqref>AA340:AA371</xm:sqref>
        </x14:conditionalFormatting>
        <x14:conditionalFormatting xmlns:xm="http://schemas.microsoft.com/office/excel/2006/main">
          <x14:cfRule type="notContainsText" priority="703" operator="notContains" id="{7924E4F1-D604-D942-AA96-9E9C4399CF85}">
            <xm:f>ISERROR(SEARCH("Value Missing",I7))</xm:f>
            <xm:f>"Value Missing"</xm:f>
            <x14:dxf>
              <font>
                <color rgb="FF006100"/>
              </font>
              <fill>
                <patternFill>
                  <bgColor rgb="FFC6EFCE"/>
                </patternFill>
              </fill>
            </x14:dxf>
          </x14:cfRule>
          <x14:cfRule type="containsText" priority="711" operator="containsText" id="{672A6E3B-419E-864A-99EC-8B6D480E6F53}">
            <xm:f>NOT(ISERROR(SEARCH("Value Missing",I7)))</xm:f>
            <xm:f>"Value Missing"</xm:f>
            <x14:dxf>
              <font>
                <color rgb="FF9C0006"/>
              </font>
              <fill>
                <patternFill>
                  <bgColor rgb="FFFFC7CE"/>
                </patternFill>
              </fill>
            </x14:dxf>
          </x14:cfRule>
          <xm:sqref>AE7:AE10 I340:I371</xm:sqref>
        </x14:conditionalFormatting>
        <x14:conditionalFormatting xmlns:xm="http://schemas.microsoft.com/office/excel/2006/main">
          <x14:cfRule type="notContainsText" priority="524" operator="notContains" id="{95842F22-E284-584F-AEF6-95E0BC04F597}">
            <xm:f>ISERROR(SEARCH("Value Missing",I14))</xm:f>
            <xm:f>"Value Missing"</xm:f>
            <x14:dxf>
              <font>
                <color rgb="FF006100"/>
              </font>
              <fill>
                <patternFill>
                  <bgColor rgb="FFC6EFCE"/>
                </patternFill>
              </fill>
            </x14:dxf>
          </x14:cfRule>
          <xm:sqref>AE14:AE18 I74:I79</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EC6B1-1DD5-6B40-BACD-7B10242FD837}">
  <sheetPr codeName="Sheet12">
    <tabColor theme="7"/>
  </sheetPr>
  <dimension ref="A1:P3"/>
  <sheetViews>
    <sheetView workbookViewId="0"/>
  </sheetViews>
  <sheetFormatPr baseColWidth="10" defaultColWidth="10.83203125" defaultRowHeight="16"/>
  <cols>
    <col min="1" max="1" width="35.1640625" style="13" bestFit="1" customWidth="1"/>
    <col min="2" max="15" width="30.83203125" style="13" customWidth="1"/>
    <col min="16" max="16" width="20.83203125" style="13" customWidth="1"/>
    <col min="17" max="17" width="10.83203125" style="13" customWidth="1"/>
    <col min="18" max="16384" width="10.83203125" style="13"/>
  </cols>
  <sheetData>
    <row r="1" spans="1:16">
      <c r="A1" s="13" t="s">
        <v>735</v>
      </c>
      <c r="B1" s="13" t="s">
        <v>1661</v>
      </c>
      <c r="C1" s="13" t="s">
        <v>1662</v>
      </c>
      <c r="D1" s="13" t="s">
        <v>1663</v>
      </c>
      <c r="E1" s="13" t="s">
        <v>1664</v>
      </c>
      <c r="F1" s="13" t="s">
        <v>1665</v>
      </c>
      <c r="G1" s="13" t="s">
        <v>1666</v>
      </c>
      <c r="H1" s="13" t="s">
        <v>1667</v>
      </c>
      <c r="I1" s="13" t="s">
        <v>1668</v>
      </c>
      <c r="J1" s="13" t="s">
        <v>1669</v>
      </c>
      <c r="K1" s="13" t="s">
        <v>1670</v>
      </c>
      <c r="L1" s="13" t="s">
        <v>1671</v>
      </c>
      <c r="M1" s="13" t="s">
        <v>1672</v>
      </c>
      <c r="N1" s="13" t="s">
        <v>1673</v>
      </c>
      <c r="O1" s="13" t="s">
        <v>1674</v>
      </c>
      <c r="P1" s="13" t="s">
        <v>1675</v>
      </c>
    </row>
    <row r="2" spans="1:16">
      <c r="A2" s="13" t="s">
        <v>4898</v>
      </c>
      <c r="B2" t="str">
        <f>IF(AND((wld_nsxt_federation_result="Included"),(wld_nsxt_federation_chosen&lt;&gt;"Connect Instance")),wld_nsxt_gm_vip_fqdn,"n/a")</f>
        <v>n/a</v>
      </c>
      <c r="C2" t="str">
        <f>IF(AND((wld_nsxt_federation_result="Included"),(wld_nsxt_federation_chosen&lt;&gt;"Connect Instance")),wld_nsxt_global_mgra_fqdn,"n/a")</f>
        <v>n/a</v>
      </c>
      <c r="D2" t="str">
        <f>IF(AND((wld_nsxt_federation_result="Included"),(wld_nsxt_federation_chosen&lt;&gt;"Connect Instance")),wld_nsxt_global_mgrb_fqdn,"n/a")</f>
        <v>n/a</v>
      </c>
      <c r="E2" t="str">
        <f>IF(AND((wld_nsxt_federation_result="Included"),(wld_nsxt_federation_chosen&lt;&gt;"Connect Instance")),wld_nsxt_global_mgrc_fqdn,"n/a")</f>
        <v>n/a</v>
      </c>
      <c r="F2"/>
      <c r="G2"/>
      <c r="H2"/>
      <c r="I2"/>
      <c r="J2"/>
      <c r="K2"/>
      <c r="L2"/>
      <c r="M2"/>
      <c r="N2"/>
      <c r="O2"/>
      <c r="P2" t="str">
        <f>IF(AND((mgmt_nsxt_federation_result="Included"),(mgmt_nsxt_federation_chosen&lt;&gt;"Connect Instance")),mgmt_nsxt_gm_hostname,"n/a")</f>
        <v>n/a</v>
      </c>
    </row>
    <row r="3" spans="1:16">
      <c r="B3" s="13" t="s">
        <v>1676</v>
      </c>
    </row>
  </sheetData>
  <sheetProtection algorithmName="SHA-512" hashValue="KS/cq/DMLG4eDK0sO0CU9QGUTBGBFkUqVTHW+5DETGZRmVCLHtB2hbcBOpIorV3RgnZhq4ccITgG/lRUM7MB8Q==" saltValue="u6qhHRrZzooVTwX1z2dPUg==" spinCount="100000" sheet="1" objects="1" scenarios="1"/>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00EA4-6628-974A-A96B-225BED5D2C23}">
  <sheetPr codeName="Sheet35">
    <tabColor theme="7"/>
  </sheetPr>
  <dimension ref="B1:R273"/>
  <sheetViews>
    <sheetView showGridLines="0" zoomScaleNormal="100" workbookViewId="0">
      <pane ySplit="4" topLeftCell="A5" activePane="bottomLeft" state="frozen"/>
      <selection pane="bottomLeft"/>
    </sheetView>
  </sheetViews>
  <sheetFormatPr baseColWidth="10" defaultRowHeight="16"/>
  <cols>
    <col min="1" max="1" width="2.83203125" customWidth="1"/>
    <col min="2" max="2" width="70.1640625" customWidth="1"/>
    <col min="3" max="9" width="36.83203125" customWidth="1"/>
    <col min="10" max="10" width="39.5" bestFit="1" customWidth="1"/>
    <col min="11" max="11" width="40.1640625" bestFit="1" customWidth="1"/>
    <col min="12" max="18" width="36.83203125" customWidth="1"/>
    <col min="19" max="19" width="10.83203125" customWidth="1"/>
    <col min="20" max="20" width="68.6640625" bestFit="1" customWidth="1"/>
    <col min="21" max="35" width="28.33203125" customWidth="1"/>
  </cols>
  <sheetData>
    <row r="1" spans="2:18" s="3" customFormat="1" ht="16" customHeight="1"/>
    <row r="2" spans="2:18" s="3" customFormat="1" ht="54" customHeight="1">
      <c r="B2" s="490"/>
      <c r="C2" s="491"/>
      <c r="D2" s="513" t="s">
        <v>2163</v>
      </c>
      <c r="E2" s="514"/>
      <c r="F2" s="514"/>
      <c r="G2" s="514"/>
      <c r="H2" s="514"/>
      <c r="I2" s="514"/>
      <c r="J2" s="514"/>
      <c r="K2" s="514"/>
      <c r="L2" s="514"/>
      <c r="M2" s="514"/>
      <c r="N2" s="514"/>
      <c r="O2" s="514"/>
      <c r="P2" s="514"/>
      <c r="Q2" s="514"/>
      <c r="R2" s="514"/>
    </row>
    <row r="3" spans="2:18" s="3" customFormat="1">
      <c r="B3" s="515" t="s">
        <v>2164</v>
      </c>
      <c r="C3" s="393"/>
      <c r="D3" s="393"/>
      <c r="E3" s="393"/>
      <c r="F3" s="393"/>
      <c r="G3" s="393"/>
      <c r="H3" s="393"/>
      <c r="I3" s="393"/>
      <c r="J3" s="393"/>
      <c r="K3" s="393"/>
      <c r="L3" s="393"/>
      <c r="M3" s="393"/>
      <c r="N3" s="393"/>
      <c r="O3" s="393"/>
      <c r="P3" s="393"/>
      <c r="Q3" s="393"/>
      <c r="R3" s="393"/>
    </row>
    <row r="4" spans="2:18" s="3" customFormat="1">
      <c r="D4" s="7"/>
      <c r="E4" s="7"/>
      <c r="G4" s="7"/>
      <c r="I4" s="7"/>
      <c r="K4" s="7"/>
    </row>
    <row r="5" spans="2:18" ht="18" customHeight="1"/>
    <row r="6" spans="2:18" ht="34" customHeight="1">
      <c r="B6" s="386" t="s">
        <v>2165</v>
      </c>
      <c r="C6" s="386"/>
      <c r="D6" s="386"/>
      <c r="E6" s="386"/>
      <c r="F6" s="386"/>
      <c r="G6" s="386"/>
      <c r="H6" s="386"/>
      <c r="I6" s="386"/>
      <c r="J6" s="386"/>
      <c r="K6" s="386"/>
      <c r="L6" s="386"/>
      <c r="M6" s="386"/>
      <c r="N6" s="386"/>
      <c r="O6" s="386"/>
      <c r="P6" s="386"/>
      <c r="Q6" s="386"/>
      <c r="R6" s="386"/>
    </row>
    <row r="7" spans="2:18" ht="34" customHeight="1">
      <c r="B7" s="505" t="s">
        <v>1694</v>
      </c>
      <c r="C7" s="505"/>
      <c r="D7" s="505"/>
      <c r="E7" s="505"/>
      <c r="F7" s="505"/>
      <c r="G7" s="505"/>
      <c r="H7" s="505"/>
      <c r="I7" s="505"/>
      <c r="J7" s="505"/>
      <c r="K7" s="505"/>
      <c r="L7" s="505"/>
      <c r="M7" s="505"/>
      <c r="N7" s="505"/>
      <c r="O7" s="505"/>
      <c r="P7" s="505"/>
      <c r="Q7" s="505"/>
      <c r="R7" s="505"/>
    </row>
    <row r="8" spans="2:18" ht="20" customHeight="1">
      <c r="B8" s="270" t="s">
        <v>735</v>
      </c>
      <c r="C8" s="270" t="s">
        <v>554</v>
      </c>
      <c r="D8" s="271" t="s">
        <v>555</v>
      </c>
    </row>
    <row r="9" spans="2:18" ht="20" customHeight="1">
      <c r="B9" s="246" t="s">
        <v>1695</v>
      </c>
      <c r="C9" s="22" t="str">
        <f>sample_esxi_root_password</f>
        <v>VMw@re1!</v>
      </c>
      <c r="D9" s="18" t="str">
        <f>esxi_root_password</f>
        <v>Value Missing</v>
      </c>
    </row>
    <row r="10" spans="2:18" ht="16" customHeight="1">
      <c r="D10" s="3"/>
    </row>
    <row r="11" spans="2:18" ht="34" customHeight="1">
      <c r="B11" s="505" t="s">
        <v>4314</v>
      </c>
      <c r="C11" s="505"/>
      <c r="D11" s="505"/>
      <c r="E11" s="505"/>
      <c r="F11" s="505"/>
      <c r="G11" s="505"/>
      <c r="H11" s="505"/>
      <c r="I11" s="505"/>
      <c r="J11" s="505"/>
      <c r="K11" s="505"/>
      <c r="L11" s="505"/>
      <c r="M11" s="505"/>
      <c r="N11" s="505"/>
      <c r="O11" s="505"/>
      <c r="P11" s="505"/>
      <c r="Q11" s="505"/>
      <c r="R11" s="505"/>
    </row>
    <row r="12" spans="2:18" ht="20" customHeight="1">
      <c r="B12" s="427" t="s">
        <v>1696</v>
      </c>
      <c r="C12" s="428"/>
      <c r="D12" s="428"/>
      <c r="E12" s="428"/>
      <c r="F12" s="428"/>
      <c r="G12" s="428"/>
      <c r="H12" s="428"/>
      <c r="I12" s="428"/>
      <c r="J12" s="428"/>
      <c r="K12" s="428"/>
      <c r="L12" s="428"/>
      <c r="M12" s="428"/>
      <c r="N12" s="428"/>
      <c r="O12" s="428"/>
      <c r="P12" s="428"/>
      <c r="Q12" s="428"/>
      <c r="R12" s="428"/>
    </row>
    <row r="13" spans="2:18" ht="20" customHeight="1">
      <c r="B13" s="234" t="s">
        <v>4293</v>
      </c>
      <c r="C13" s="235" t="s">
        <v>2193</v>
      </c>
      <c r="D13" s="236" t="s">
        <v>2194</v>
      </c>
      <c r="E13" s="235" t="s">
        <v>2195</v>
      </c>
      <c r="F13" s="235" t="s">
        <v>2196</v>
      </c>
      <c r="G13" s="235" t="s">
        <v>4175</v>
      </c>
      <c r="H13" s="235" t="s">
        <v>4176</v>
      </c>
      <c r="I13" s="235" t="s">
        <v>4177</v>
      </c>
      <c r="J13" s="235" t="s">
        <v>4178</v>
      </c>
      <c r="K13" s="235" t="s">
        <v>4179</v>
      </c>
      <c r="L13" s="235" t="s">
        <v>4180</v>
      </c>
      <c r="M13" s="235" t="s">
        <v>4181</v>
      </c>
      <c r="N13" s="235" t="s">
        <v>4182</v>
      </c>
      <c r="O13" s="235" t="s">
        <v>4183</v>
      </c>
      <c r="P13" s="235" t="s">
        <v>4184</v>
      </c>
      <c r="Q13" s="235" t="s">
        <v>4185</v>
      </c>
      <c r="R13" s="235" t="s">
        <v>4186</v>
      </c>
    </row>
    <row r="14" spans="2:18" ht="20" customHeight="1">
      <c r="B14" s="21" t="s">
        <v>1686</v>
      </c>
      <c r="C14" s="18" t="str">
        <f t="array" ref="C14:R14">TRANSPOSE(wld_az1_host_hostnames)</f>
        <v>Value Missing</v>
      </c>
      <c r="D14" s="244" t="str">
        <v>Value Missing</v>
      </c>
      <c r="E14" s="18" t="str">
        <v>Value Missing</v>
      </c>
      <c r="F14" s="18" t="str">
        <v>Value Missing</v>
      </c>
      <c r="G14" s="18" t="str">
        <v>Value Missing</v>
      </c>
      <c r="H14" s="18" t="str">
        <v>Value Missing</v>
      </c>
      <c r="I14" s="18" t="str">
        <v>Value Missing</v>
      </c>
      <c r="J14" s="18" t="str">
        <v>Value Missing</v>
      </c>
      <c r="K14" s="18" t="str">
        <v>Value Missing</v>
      </c>
      <c r="L14" s="18" t="str">
        <v>Value Missing</v>
      </c>
      <c r="M14" s="18" t="str">
        <v>Value Missing</v>
      </c>
      <c r="N14" s="18" t="str">
        <v>Value Missing</v>
      </c>
      <c r="O14" s="18" t="str">
        <v>Value Missing</v>
      </c>
      <c r="P14" s="18" t="str">
        <v>Value Missing</v>
      </c>
      <c r="Q14" s="18" t="str">
        <v>Value Missing</v>
      </c>
      <c r="R14" s="18" t="str">
        <v>Value Missing</v>
      </c>
    </row>
    <row r="15" spans="2:18" ht="20" customHeight="1">
      <c r="B15" s="21" t="s">
        <v>1695</v>
      </c>
      <c r="C15" s="18" t="str">
        <f t="shared" ref="C15:R15" si="0">esxi_root_password</f>
        <v>Value Missing</v>
      </c>
      <c r="D15" s="244" t="str">
        <f t="shared" si="0"/>
        <v>Value Missing</v>
      </c>
      <c r="E15" s="18" t="str">
        <f t="shared" si="0"/>
        <v>Value Missing</v>
      </c>
      <c r="F15" s="18" t="str">
        <f t="shared" si="0"/>
        <v>Value Missing</v>
      </c>
      <c r="G15" s="18" t="str">
        <f t="shared" si="0"/>
        <v>Value Missing</v>
      </c>
      <c r="H15" s="18" t="str">
        <f t="shared" si="0"/>
        <v>Value Missing</v>
      </c>
      <c r="I15" s="18" t="str">
        <f t="shared" si="0"/>
        <v>Value Missing</v>
      </c>
      <c r="J15" s="18" t="str">
        <f t="shared" si="0"/>
        <v>Value Missing</v>
      </c>
      <c r="K15" s="18" t="str">
        <f t="shared" si="0"/>
        <v>Value Missing</v>
      </c>
      <c r="L15" s="18" t="str">
        <f t="shared" si="0"/>
        <v>Value Missing</v>
      </c>
      <c r="M15" s="18" t="str">
        <f t="shared" si="0"/>
        <v>Value Missing</v>
      </c>
      <c r="N15" s="18" t="str">
        <f t="shared" si="0"/>
        <v>Value Missing</v>
      </c>
      <c r="O15" s="18" t="str">
        <f t="shared" si="0"/>
        <v>Value Missing</v>
      </c>
      <c r="P15" s="18" t="str">
        <f t="shared" si="0"/>
        <v>Value Missing</v>
      </c>
      <c r="Q15" s="18" t="str">
        <f t="shared" si="0"/>
        <v>Value Missing</v>
      </c>
      <c r="R15" s="18" t="str">
        <f t="shared" si="0"/>
        <v>Value Missing</v>
      </c>
    </row>
    <row r="16" spans="2:18" ht="20" customHeight="1">
      <c r="B16" s="21" t="s">
        <v>4295</v>
      </c>
      <c r="C16" s="18" t="str">
        <f t="shared" ref="C16:R16" si="1">wld_az1_mgmt_vlan</f>
        <v>Value Missing</v>
      </c>
      <c r="D16" s="244" t="str">
        <f t="shared" si="1"/>
        <v>Value Missing</v>
      </c>
      <c r="E16" s="18" t="str">
        <f t="shared" si="1"/>
        <v>Value Missing</v>
      </c>
      <c r="F16" s="18" t="str">
        <f t="shared" si="1"/>
        <v>Value Missing</v>
      </c>
      <c r="G16" s="18" t="str">
        <f t="shared" si="1"/>
        <v>Value Missing</v>
      </c>
      <c r="H16" s="18" t="str">
        <f t="shared" si="1"/>
        <v>Value Missing</v>
      </c>
      <c r="I16" s="18" t="str">
        <f t="shared" si="1"/>
        <v>Value Missing</v>
      </c>
      <c r="J16" s="18" t="str">
        <f t="shared" si="1"/>
        <v>Value Missing</v>
      </c>
      <c r="K16" s="18" t="str">
        <f t="shared" si="1"/>
        <v>Value Missing</v>
      </c>
      <c r="L16" s="18" t="str">
        <f t="shared" si="1"/>
        <v>Value Missing</v>
      </c>
      <c r="M16" s="18" t="str">
        <f t="shared" si="1"/>
        <v>Value Missing</v>
      </c>
      <c r="N16" s="18" t="str">
        <f t="shared" si="1"/>
        <v>Value Missing</v>
      </c>
      <c r="O16" s="18" t="str">
        <f t="shared" si="1"/>
        <v>Value Missing</v>
      </c>
      <c r="P16" s="18" t="str">
        <f t="shared" si="1"/>
        <v>Value Missing</v>
      </c>
      <c r="Q16" s="18" t="str">
        <f t="shared" si="1"/>
        <v>Value Missing</v>
      </c>
      <c r="R16" s="18" t="str">
        <f t="shared" si="1"/>
        <v>Value Missing</v>
      </c>
    </row>
    <row r="17" spans="2:18" ht="20" customHeight="1">
      <c r="B17" s="21" t="s">
        <v>4291</v>
      </c>
      <c r="C17" s="18" t="str">
        <f t="array" ref="C17:R17">TRANSPOSE(wld_az1_host_mgmt_ips)</f>
        <v>Value Missing</v>
      </c>
      <c r="D17" s="244" t="str">
        <v>Value Missing</v>
      </c>
      <c r="E17" s="18" t="str">
        <v>Value Missing</v>
      </c>
      <c r="F17" s="18" t="str">
        <v>Value Missing</v>
      </c>
      <c r="G17" s="18" t="str">
        <v>Value Missing</v>
      </c>
      <c r="H17" s="18" t="str">
        <v>Value Missing</v>
      </c>
      <c r="I17" s="18" t="str">
        <v>Value Missing</v>
      </c>
      <c r="J17" s="18" t="str">
        <v>Value Missing</v>
      </c>
      <c r="K17" s="18" t="str">
        <v>Value Missing</v>
      </c>
      <c r="L17" s="18" t="str">
        <v>Value Missing</v>
      </c>
      <c r="M17" s="18" t="str">
        <v>Value Missing</v>
      </c>
      <c r="N17" s="18" t="str">
        <v>Value Missing</v>
      </c>
      <c r="O17" s="18" t="str">
        <v>Value Missing</v>
      </c>
      <c r="P17" s="18" t="str">
        <v>Value Missing</v>
      </c>
      <c r="Q17" s="18" t="str">
        <v>Value Missing</v>
      </c>
      <c r="R17" s="18" t="str">
        <v>Value Missing</v>
      </c>
    </row>
    <row r="18" spans="2:18" ht="20" customHeight="1">
      <c r="B18" s="21" t="s">
        <v>1702</v>
      </c>
      <c r="C18" s="18" t="str">
        <f t="shared" ref="C18:R18" si="2">wld_az1_mgmt_mask</f>
        <v>Value Missing</v>
      </c>
      <c r="D18" s="244" t="str">
        <f t="shared" si="2"/>
        <v>Value Missing</v>
      </c>
      <c r="E18" s="18" t="str">
        <f t="shared" si="2"/>
        <v>Value Missing</v>
      </c>
      <c r="F18" s="18" t="str">
        <f t="shared" si="2"/>
        <v>Value Missing</v>
      </c>
      <c r="G18" s="18" t="str">
        <f t="shared" si="2"/>
        <v>Value Missing</v>
      </c>
      <c r="H18" s="18" t="str">
        <f t="shared" si="2"/>
        <v>Value Missing</v>
      </c>
      <c r="I18" s="18" t="str">
        <f t="shared" si="2"/>
        <v>Value Missing</v>
      </c>
      <c r="J18" s="18" t="str">
        <f t="shared" si="2"/>
        <v>Value Missing</v>
      </c>
      <c r="K18" s="18" t="str">
        <f t="shared" si="2"/>
        <v>Value Missing</v>
      </c>
      <c r="L18" s="18" t="str">
        <f t="shared" si="2"/>
        <v>Value Missing</v>
      </c>
      <c r="M18" s="18" t="str">
        <f t="shared" si="2"/>
        <v>Value Missing</v>
      </c>
      <c r="N18" s="18" t="str">
        <f t="shared" si="2"/>
        <v>Value Missing</v>
      </c>
      <c r="O18" s="18" t="str">
        <f t="shared" si="2"/>
        <v>Value Missing</v>
      </c>
      <c r="P18" s="18" t="str">
        <f t="shared" si="2"/>
        <v>Value Missing</v>
      </c>
      <c r="Q18" s="18" t="str">
        <f t="shared" si="2"/>
        <v>Value Missing</v>
      </c>
      <c r="R18" s="18" t="str">
        <f t="shared" si="2"/>
        <v>Value Missing</v>
      </c>
    </row>
    <row r="19" spans="2:18" ht="20" customHeight="1">
      <c r="B19" s="21" t="s">
        <v>1689</v>
      </c>
      <c r="C19" s="18" t="str">
        <f t="shared" ref="C19:R19" si="3">wld_az1_mgmt_gateway_ip</f>
        <v>Value Missing</v>
      </c>
      <c r="D19" s="244" t="str">
        <f t="shared" si="3"/>
        <v>Value Missing</v>
      </c>
      <c r="E19" s="18" t="str">
        <f t="shared" si="3"/>
        <v>Value Missing</v>
      </c>
      <c r="F19" s="18" t="str">
        <f t="shared" si="3"/>
        <v>Value Missing</v>
      </c>
      <c r="G19" s="18" t="str">
        <f t="shared" si="3"/>
        <v>Value Missing</v>
      </c>
      <c r="H19" s="18" t="str">
        <f t="shared" si="3"/>
        <v>Value Missing</v>
      </c>
      <c r="I19" s="18" t="str">
        <f t="shared" si="3"/>
        <v>Value Missing</v>
      </c>
      <c r="J19" s="18" t="str">
        <f t="shared" si="3"/>
        <v>Value Missing</v>
      </c>
      <c r="K19" s="18" t="str">
        <f t="shared" si="3"/>
        <v>Value Missing</v>
      </c>
      <c r="L19" s="18" t="str">
        <f t="shared" si="3"/>
        <v>Value Missing</v>
      </c>
      <c r="M19" s="18" t="str">
        <f t="shared" si="3"/>
        <v>Value Missing</v>
      </c>
      <c r="N19" s="18" t="str">
        <f t="shared" si="3"/>
        <v>Value Missing</v>
      </c>
      <c r="O19" s="18" t="str">
        <f t="shared" si="3"/>
        <v>Value Missing</v>
      </c>
      <c r="P19" s="18" t="str">
        <f t="shared" si="3"/>
        <v>Value Missing</v>
      </c>
      <c r="Q19" s="18" t="str">
        <f t="shared" si="3"/>
        <v>Value Missing</v>
      </c>
      <c r="R19" s="18" t="str">
        <f t="shared" si="3"/>
        <v>Value Missing</v>
      </c>
    </row>
    <row r="20" spans="2:18" ht="20" customHeight="1">
      <c r="B20" s="21" t="s">
        <v>1703</v>
      </c>
      <c r="C20" s="18" t="str">
        <f t="shared" ref="C20:R20" si="4">region_dns1_ip</f>
        <v>Value Missing</v>
      </c>
      <c r="D20" s="244" t="str">
        <f t="shared" si="4"/>
        <v>Value Missing</v>
      </c>
      <c r="E20" s="18" t="str">
        <f t="shared" si="4"/>
        <v>Value Missing</v>
      </c>
      <c r="F20" s="18" t="str">
        <f t="shared" si="4"/>
        <v>Value Missing</v>
      </c>
      <c r="G20" s="18" t="str">
        <f t="shared" si="4"/>
        <v>Value Missing</v>
      </c>
      <c r="H20" s="18" t="str">
        <f t="shared" si="4"/>
        <v>Value Missing</v>
      </c>
      <c r="I20" s="18" t="str">
        <f t="shared" si="4"/>
        <v>Value Missing</v>
      </c>
      <c r="J20" s="18" t="str">
        <f t="shared" si="4"/>
        <v>Value Missing</v>
      </c>
      <c r="K20" s="18" t="str">
        <f t="shared" si="4"/>
        <v>Value Missing</v>
      </c>
      <c r="L20" s="18" t="str">
        <f t="shared" si="4"/>
        <v>Value Missing</v>
      </c>
      <c r="M20" s="18" t="str">
        <f t="shared" si="4"/>
        <v>Value Missing</v>
      </c>
      <c r="N20" s="18" t="str">
        <f t="shared" si="4"/>
        <v>Value Missing</v>
      </c>
      <c r="O20" s="18" t="str">
        <f t="shared" si="4"/>
        <v>Value Missing</v>
      </c>
      <c r="P20" s="18" t="str">
        <f t="shared" si="4"/>
        <v>Value Missing</v>
      </c>
      <c r="Q20" s="18" t="str">
        <f t="shared" si="4"/>
        <v>Value Missing</v>
      </c>
      <c r="R20" s="18" t="str">
        <f t="shared" si="4"/>
        <v>Value Missing</v>
      </c>
    </row>
    <row r="21" spans="2:18" ht="20" customHeight="1">
      <c r="B21" s="21" t="s">
        <v>1704</v>
      </c>
      <c r="C21" s="18" t="str">
        <f t="shared" ref="C21:R21" si="5">region_dns2_ip</f>
        <v>Value Missing</v>
      </c>
      <c r="D21" s="244" t="str">
        <f t="shared" si="5"/>
        <v>Value Missing</v>
      </c>
      <c r="E21" s="18" t="str">
        <f t="shared" si="5"/>
        <v>Value Missing</v>
      </c>
      <c r="F21" s="18" t="str">
        <f t="shared" si="5"/>
        <v>Value Missing</v>
      </c>
      <c r="G21" s="18" t="str">
        <f t="shared" si="5"/>
        <v>Value Missing</v>
      </c>
      <c r="H21" s="18" t="str">
        <f t="shared" si="5"/>
        <v>Value Missing</v>
      </c>
      <c r="I21" s="18" t="str">
        <f t="shared" si="5"/>
        <v>Value Missing</v>
      </c>
      <c r="J21" s="18" t="str">
        <f t="shared" si="5"/>
        <v>Value Missing</v>
      </c>
      <c r="K21" s="18" t="str">
        <f t="shared" si="5"/>
        <v>Value Missing</v>
      </c>
      <c r="L21" s="18" t="str">
        <f t="shared" si="5"/>
        <v>Value Missing</v>
      </c>
      <c r="M21" s="18" t="str">
        <f t="shared" si="5"/>
        <v>Value Missing</v>
      </c>
      <c r="N21" s="18" t="str">
        <f t="shared" si="5"/>
        <v>Value Missing</v>
      </c>
      <c r="O21" s="18" t="str">
        <f t="shared" si="5"/>
        <v>Value Missing</v>
      </c>
      <c r="P21" s="18" t="str">
        <f t="shared" si="5"/>
        <v>Value Missing</v>
      </c>
      <c r="Q21" s="18" t="str">
        <f t="shared" si="5"/>
        <v>Value Missing</v>
      </c>
      <c r="R21" s="18" t="str">
        <f t="shared" si="5"/>
        <v>Value Missing</v>
      </c>
    </row>
    <row r="22" spans="2:18" ht="20" customHeight="1">
      <c r="B22" s="427" t="s">
        <v>1709</v>
      </c>
      <c r="C22" s="428"/>
      <c r="D22" s="428"/>
      <c r="E22" s="428"/>
      <c r="F22" s="428"/>
      <c r="G22" s="428"/>
      <c r="H22" s="428"/>
      <c r="I22" s="428"/>
      <c r="J22" s="428"/>
      <c r="K22" s="428"/>
      <c r="L22" s="428"/>
      <c r="M22" s="428"/>
      <c r="N22" s="428"/>
      <c r="O22" s="428"/>
      <c r="P22" s="428"/>
      <c r="Q22" s="428"/>
      <c r="R22" s="428"/>
    </row>
    <row r="23" spans="2:18" ht="20" customHeight="1">
      <c r="B23" s="21" t="s">
        <v>4292</v>
      </c>
      <c r="C23" s="18" t="str">
        <f t="shared" ref="C23:R23" si="6">IF(wld_dpg_separation_result="Included",wld_az1_mgmt_vm_vlan,wld_az1_mgmt_vlan)</f>
        <v>Value Missing</v>
      </c>
      <c r="D23" s="244" t="str">
        <f t="shared" si="6"/>
        <v>Value Missing</v>
      </c>
      <c r="E23" s="18" t="str">
        <f t="shared" si="6"/>
        <v>Value Missing</v>
      </c>
      <c r="F23" s="18" t="str">
        <f t="shared" si="6"/>
        <v>Value Missing</v>
      </c>
      <c r="G23" s="18" t="str">
        <f t="shared" si="6"/>
        <v>Value Missing</v>
      </c>
      <c r="H23" s="18" t="str">
        <f t="shared" si="6"/>
        <v>Value Missing</v>
      </c>
      <c r="I23" s="18" t="str">
        <f t="shared" si="6"/>
        <v>Value Missing</v>
      </c>
      <c r="J23" s="18" t="str">
        <f t="shared" si="6"/>
        <v>Value Missing</v>
      </c>
      <c r="K23" s="18" t="str">
        <f t="shared" si="6"/>
        <v>Value Missing</v>
      </c>
      <c r="L23" s="18" t="str">
        <f t="shared" si="6"/>
        <v>Value Missing</v>
      </c>
      <c r="M23" s="18" t="str">
        <f t="shared" si="6"/>
        <v>Value Missing</v>
      </c>
      <c r="N23" s="18" t="str">
        <f t="shared" si="6"/>
        <v>Value Missing</v>
      </c>
      <c r="O23" s="18" t="str">
        <f t="shared" si="6"/>
        <v>Value Missing</v>
      </c>
      <c r="P23" s="18" t="str">
        <f t="shared" si="6"/>
        <v>Value Missing</v>
      </c>
      <c r="Q23" s="18" t="str">
        <f t="shared" si="6"/>
        <v>Value Missing</v>
      </c>
      <c r="R23" s="18" t="str">
        <f t="shared" si="6"/>
        <v>Value Missing</v>
      </c>
    </row>
    <row r="24" spans="2:18" ht="20" customHeight="1">
      <c r="B24" s="427" t="s">
        <v>1714</v>
      </c>
      <c r="C24" s="428"/>
      <c r="D24" s="428"/>
      <c r="E24" s="428"/>
      <c r="F24" s="428"/>
      <c r="G24" s="428"/>
      <c r="H24" s="428"/>
      <c r="I24" s="428"/>
      <c r="J24" s="428"/>
      <c r="K24" s="428"/>
      <c r="L24" s="428"/>
      <c r="M24" s="428"/>
      <c r="N24" s="428"/>
      <c r="O24" s="428"/>
      <c r="P24" s="428"/>
      <c r="Q24" s="428"/>
      <c r="R24" s="428"/>
    </row>
    <row r="25" spans="2:18" ht="20" customHeight="1">
      <c r="B25" s="52" t="s">
        <v>1716</v>
      </c>
      <c r="C25" s="18" t="str">
        <f t="array" ref="C25:C26">region_ntp_servers_array</f>
        <v>Value Missing</v>
      </c>
      <c r="D25" s="244" t="str">
        <f t="array" ref="D25:D26">region_ntp_servers_array</f>
        <v>Value Missing</v>
      </c>
      <c r="E25" s="18" t="str">
        <f t="array" ref="E25:E26">region_ntp_servers_array</f>
        <v>Value Missing</v>
      </c>
      <c r="F25" s="18" t="str">
        <f t="array" ref="F25:F26">region_ntp_servers_array</f>
        <v>Value Missing</v>
      </c>
      <c r="G25" s="18" t="str">
        <f t="array" ref="G25:G26">region_ntp_servers_array</f>
        <v>Value Missing</v>
      </c>
      <c r="H25" s="18" t="str">
        <f t="array" ref="H25:H26">region_ntp_servers_array</f>
        <v>Value Missing</v>
      </c>
      <c r="I25" s="18" t="str">
        <f t="array" ref="I25:I26">region_ntp_servers_array</f>
        <v>Value Missing</v>
      </c>
      <c r="J25" s="18" t="str">
        <f t="array" ref="J25:J26">region_ntp_servers_array</f>
        <v>Value Missing</v>
      </c>
      <c r="K25" s="18" t="str">
        <f t="array" ref="K25:K26">region_ntp_servers_array</f>
        <v>Value Missing</v>
      </c>
      <c r="L25" s="18" t="str">
        <f t="array" ref="L25:L26">region_ntp_servers_array</f>
        <v>Value Missing</v>
      </c>
      <c r="M25" s="18" t="str">
        <f t="array" ref="M25:M26">region_ntp_servers_array</f>
        <v>Value Missing</v>
      </c>
      <c r="N25" s="18" t="str">
        <f t="array" ref="N25:N26">region_ntp_servers_array</f>
        <v>Value Missing</v>
      </c>
      <c r="O25" s="18" t="str">
        <f t="array" ref="O25:O26">region_ntp_servers_array</f>
        <v>Value Missing</v>
      </c>
      <c r="P25" s="18" t="str">
        <f t="array" ref="P25:P26">region_ntp_servers_array</f>
        <v>Value Missing</v>
      </c>
      <c r="Q25" s="18" t="str">
        <f t="array" ref="Q25:Q26">region_ntp_servers_array</f>
        <v>Value Missing</v>
      </c>
      <c r="R25" s="18" t="str">
        <f t="array" ref="R25:R26">region_ntp_servers_array</f>
        <v>Value Missing</v>
      </c>
    </row>
    <row r="26" spans="2:18" ht="20" customHeight="1">
      <c r="B26" s="52" t="s">
        <v>1716</v>
      </c>
      <c r="C26" s="18" t="str">
        <v>Value Missing</v>
      </c>
      <c r="D26" s="244" t="str">
        <v>Value Missing</v>
      </c>
      <c r="E26" s="18" t="str">
        <v>Value Missing</v>
      </c>
      <c r="F26" s="18" t="str">
        <v>Value Missing</v>
      </c>
      <c r="G26" s="18" t="str">
        <v>Value Missing</v>
      </c>
      <c r="H26" s="18" t="str">
        <v>Value Missing</v>
      </c>
      <c r="I26" s="18" t="str">
        <v>Value Missing</v>
      </c>
      <c r="J26" s="18" t="str">
        <v>Value Missing</v>
      </c>
      <c r="K26" s="18" t="str">
        <v>Value Missing</v>
      </c>
      <c r="L26" s="18" t="str">
        <v>Value Missing</v>
      </c>
      <c r="M26" s="18" t="str">
        <v>Value Missing</v>
      </c>
      <c r="N26" s="18" t="str">
        <v>Value Missing</v>
      </c>
      <c r="O26" s="18" t="str">
        <v>Value Missing</v>
      </c>
      <c r="P26" s="18" t="str">
        <v>Value Missing</v>
      </c>
      <c r="Q26" s="18" t="str">
        <v>Value Missing</v>
      </c>
      <c r="R26" s="18" t="str">
        <v>Value Missing</v>
      </c>
    </row>
    <row r="27" spans="2:18" ht="20" customHeight="1">
      <c r="B27" s="427" t="s">
        <v>1717</v>
      </c>
      <c r="C27" s="428"/>
      <c r="D27" s="428"/>
      <c r="E27" s="428"/>
      <c r="F27" s="428"/>
      <c r="G27" s="428"/>
      <c r="H27" s="428"/>
      <c r="I27" s="428"/>
      <c r="J27" s="428"/>
      <c r="K27" s="428"/>
      <c r="L27" s="428"/>
      <c r="M27" s="428"/>
      <c r="N27" s="428"/>
      <c r="O27" s="428"/>
      <c r="P27" s="428"/>
      <c r="Q27" s="428"/>
      <c r="R27" s="428"/>
    </row>
    <row r="28" spans="2:18" ht="20" customHeight="1">
      <c r="B28" s="239" t="s">
        <v>4293</v>
      </c>
      <c r="C28" s="504" t="s">
        <v>4296</v>
      </c>
      <c r="D28" s="504"/>
      <c r="E28" s="240"/>
      <c r="F28" s="240"/>
      <c r="G28" s="240"/>
      <c r="H28" s="240"/>
      <c r="I28" s="240"/>
      <c r="J28" s="240"/>
      <c r="K28" s="240"/>
      <c r="L28" s="240"/>
      <c r="M28" s="240"/>
      <c r="N28" s="240"/>
      <c r="O28" s="240"/>
      <c r="P28" s="240"/>
      <c r="Q28" s="240"/>
      <c r="R28" s="241"/>
    </row>
    <row r="29" spans="2:18" ht="20" customHeight="1">
      <c r="B29" s="427" t="s">
        <v>1719</v>
      </c>
      <c r="C29" s="428"/>
      <c r="D29" s="428"/>
      <c r="E29" s="428"/>
      <c r="F29" s="428"/>
      <c r="G29" s="428"/>
      <c r="H29" s="428"/>
      <c r="I29" s="428"/>
      <c r="J29" s="428"/>
      <c r="K29" s="428"/>
      <c r="L29" s="428"/>
      <c r="M29" s="428"/>
      <c r="N29" s="428"/>
      <c r="O29" s="428"/>
      <c r="P29" s="428"/>
      <c r="Q29" s="428"/>
      <c r="R29" s="428"/>
    </row>
    <row r="30" spans="2:18" ht="20" customHeight="1">
      <c r="B30" s="239" t="s">
        <v>4293</v>
      </c>
      <c r="C30" s="504" t="s">
        <v>4296</v>
      </c>
      <c r="D30" s="504"/>
      <c r="E30" s="240"/>
      <c r="F30" s="240"/>
      <c r="G30" s="240"/>
      <c r="H30" s="240"/>
      <c r="I30" s="240"/>
      <c r="J30" s="240"/>
      <c r="K30" s="240"/>
      <c r="L30" s="240"/>
      <c r="M30" s="240"/>
      <c r="N30" s="240"/>
      <c r="O30" s="240"/>
      <c r="P30" s="240"/>
      <c r="Q30" s="240"/>
      <c r="R30" s="241"/>
    </row>
    <row r="31" spans="2:18" ht="20" customHeight="1">
      <c r="B31" s="427" t="s">
        <v>2170</v>
      </c>
      <c r="C31" s="428"/>
      <c r="D31" s="428"/>
      <c r="E31" s="428"/>
      <c r="F31" s="428"/>
      <c r="G31" s="428"/>
      <c r="H31" s="428"/>
      <c r="I31" s="428"/>
      <c r="J31" s="428"/>
      <c r="K31" s="428"/>
      <c r="L31" s="428"/>
      <c r="M31" s="428"/>
      <c r="N31" s="428"/>
      <c r="O31" s="428"/>
      <c r="P31" s="428"/>
      <c r="Q31" s="428"/>
      <c r="R31" s="428"/>
    </row>
    <row r="32" spans="2:18" ht="20" customHeight="1">
      <c r="B32" s="236" t="s">
        <v>4293</v>
      </c>
      <c r="C32" s="242" t="s">
        <v>735</v>
      </c>
      <c r="D32" s="236" t="s">
        <v>4297</v>
      </c>
      <c r="E32" s="236" t="s">
        <v>4298</v>
      </c>
      <c r="F32" s="235" t="s">
        <v>4299</v>
      </c>
      <c r="G32" s="235" t="s">
        <v>4300</v>
      </c>
      <c r="H32" s="236" t="s">
        <v>4301</v>
      </c>
      <c r="I32" s="235" t="s">
        <v>4302</v>
      </c>
      <c r="J32" s="235" t="s">
        <v>4303</v>
      </c>
      <c r="K32" s="236" t="s">
        <v>4304</v>
      </c>
      <c r="L32" s="243"/>
      <c r="M32" s="243"/>
      <c r="N32" s="243"/>
      <c r="O32" s="243"/>
      <c r="P32" s="243"/>
      <c r="Q32" s="243"/>
      <c r="R32" s="243"/>
    </row>
    <row r="33" spans="2:18" ht="20" customHeight="1">
      <c r="B33" s="509" t="s">
        <v>4305</v>
      </c>
      <c r="C33" s="510" t="str">
        <f>wld_az1_pool_name</f>
        <v>Value Missing</v>
      </c>
      <c r="D33" s="247" t="s">
        <v>4306</v>
      </c>
      <c r="E33" s="18" t="str">
        <f>wld_az1_principal_storage_vlan</f>
        <v>Value Missing</v>
      </c>
      <c r="F33" s="18" t="str">
        <f>wld_az1_principal_storage_mtu</f>
        <v>Value Missing</v>
      </c>
      <c r="G33" s="18" t="str">
        <f>IF(wld_az1_principal_storage_cidr="Value Missing","Value Missing",LEFT(wld_az1_principal_storage_cidr,(FIND("/",wld_az1_principal_storage_cidr,1)-1)))</f>
        <v>Value Missing</v>
      </c>
      <c r="H33" s="18" t="str">
        <f>wld_az1_principal_storage_mask</f>
        <v>Value Missing</v>
      </c>
      <c r="I33" s="18" t="str">
        <f>wld_az1_principal_storage_gateway_ip</f>
        <v>Value Missing</v>
      </c>
      <c r="J33" s="18" t="str">
        <f>wld_az1_principal_storage_pool_start_ip</f>
        <v>Value Missing</v>
      </c>
      <c r="K33" s="18" t="str">
        <f>wld_az1_principal_storage_pool_end_ip</f>
        <v>Value Missing</v>
      </c>
      <c r="L33" s="243"/>
      <c r="M33" s="243"/>
      <c r="N33" s="243"/>
      <c r="O33" s="243"/>
      <c r="P33" s="243"/>
      <c r="Q33" s="243"/>
      <c r="R33" s="243"/>
    </row>
    <row r="34" spans="2:18" ht="20" customHeight="1">
      <c r="B34" s="509"/>
      <c r="C34" s="511"/>
      <c r="D34" s="247" t="s">
        <v>731</v>
      </c>
      <c r="E34" s="18" t="str">
        <f>wld_az1_vmotion_vlan</f>
        <v>Value Missing</v>
      </c>
      <c r="F34" s="18" t="str">
        <f>wld_az1_vmotion_mtu</f>
        <v>Value Missing</v>
      </c>
      <c r="G34" s="18" t="str">
        <f>IF(wld_az1_vmotion_cidr="Value Missing","Value Missing",LEFT(wld_az1_vmotion_cidr,(FIND("/",wld_az1_vmotion_cidr,1)-1)))</f>
        <v>Value Missing</v>
      </c>
      <c r="H34" s="18" t="str">
        <f>wld_az1_vmotion_mask</f>
        <v>Value Missing</v>
      </c>
      <c r="I34" s="18" t="str">
        <f>wld_az1_vmotion_gateway_ip</f>
        <v>Value Missing</v>
      </c>
      <c r="J34" s="18" t="str">
        <f>wld_az1_vmotion_pool_start_ip</f>
        <v>Value Missing</v>
      </c>
      <c r="K34" s="18" t="str">
        <f>wld_az1_vmotion_pool_end_ip</f>
        <v>Value Missing</v>
      </c>
      <c r="L34" s="243"/>
      <c r="M34" s="243"/>
      <c r="N34" s="243"/>
      <c r="O34" s="243"/>
      <c r="P34" s="243"/>
      <c r="Q34" s="243"/>
      <c r="R34" s="243"/>
    </row>
    <row r="35" spans="2:18" ht="20" customHeight="1">
      <c r="B35" s="509"/>
      <c r="C35" s="512"/>
      <c r="D35" s="247" t="s">
        <v>4307</v>
      </c>
      <c r="E35" s="18" t="str">
        <f>wld_az1_secondary_storage_vlan</f>
        <v>Value Missing</v>
      </c>
      <c r="F35" s="18" t="str">
        <f>wld_az1_secondary_storage_mtu</f>
        <v>Value Missing</v>
      </c>
      <c r="G35" s="18" t="str">
        <f>IF(wld_az1_secondary_storage_cidr="Value Missing","Value Missing",LEFT(wld_az1_secondary_storage_cidr,(FIND("/",wld_az1_secondary_storage_cidr,1)-1)))</f>
        <v>Value Missing</v>
      </c>
      <c r="H35" s="18" t="str">
        <f>IF(wld_az1_secondary_storage_cidr="Value Missing","Value Missing",VLOOKUP(INT(RIGHT(wld_az1_secondary_storage_cidr,LEN(wld_az1_secondary_storage_cidr)-FIND("/",wld_az1_secondary_storage_cidr))),table_cidr_to_mask,2,FALSE))</f>
        <v>Value Missing</v>
      </c>
      <c r="I35" s="18" t="str">
        <f>wld_az1_secondary_storage_gateway_ip</f>
        <v>Value Missing</v>
      </c>
      <c r="J35" s="18" t="str">
        <f>wld_az1_secondary_storage_pool_start_ip</f>
        <v>Value Missing</v>
      </c>
      <c r="K35" s="18" t="str">
        <f>wld_az1_secondary_storage_pool_end_ip</f>
        <v>Value Missing</v>
      </c>
      <c r="L35" s="243"/>
      <c r="M35" s="243"/>
      <c r="N35" s="243"/>
      <c r="O35" s="243"/>
      <c r="P35" s="243"/>
      <c r="Q35" s="243"/>
      <c r="R35" s="243"/>
    </row>
    <row r="36" spans="2:18" ht="20" customHeight="1">
      <c r="B36" s="427" t="s">
        <v>2171</v>
      </c>
      <c r="C36" s="428"/>
      <c r="D36" s="428"/>
      <c r="E36" s="428"/>
      <c r="F36" s="428"/>
      <c r="G36" s="428"/>
      <c r="H36" s="428"/>
      <c r="I36" s="428"/>
      <c r="J36" s="428"/>
      <c r="K36" s="428"/>
      <c r="L36" s="428"/>
      <c r="M36" s="428"/>
      <c r="N36" s="428"/>
      <c r="O36" s="428"/>
      <c r="P36" s="428"/>
      <c r="Q36" s="428"/>
      <c r="R36" s="428"/>
    </row>
    <row r="37" spans="2:18" ht="20" customHeight="1">
      <c r="B37" s="239" t="s">
        <v>4293</v>
      </c>
      <c r="C37" s="240"/>
      <c r="D37" s="240"/>
      <c r="E37" s="240"/>
      <c r="F37" s="240"/>
      <c r="G37" s="240"/>
      <c r="H37" s="240"/>
      <c r="I37" s="240"/>
      <c r="J37" s="240"/>
      <c r="K37" s="240"/>
      <c r="L37" s="240"/>
      <c r="M37" s="240"/>
      <c r="N37" s="240"/>
      <c r="O37" s="240"/>
      <c r="P37" s="240"/>
      <c r="Q37" s="240"/>
      <c r="R37" s="241"/>
    </row>
    <row r="38" spans="2:18" ht="20" customHeight="1">
      <c r="B38" s="52" t="s">
        <v>4163</v>
      </c>
      <c r="C38" s="18" t="str">
        <f t="shared" ref="C38:R38" si="7">IF(wld_principal_storage_chosen="vSAN-ESA","vSAN-ESA",IF(wld_principal_storage_chosen="vSAN-OSA","vSAN-OSA",IF(wld_principal_storage_chosen="NFS","NFS",IF(wld_principal_storage_chosen="VMFS on FC","VMFS on FC","vVOL"))))</f>
        <v>vSAN-ESA</v>
      </c>
      <c r="D38" s="18" t="str">
        <f t="shared" si="7"/>
        <v>vSAN-ESA</v>
      </c>
      <c r="E38" s="18" t="str">
        <f t="shared" si="7"/>
        <v>vSAN-ESA</v>
      </c>
      <c r="F38" s="18" t="str">
        <f t="shared" si="7"/>
        <v>vSAN-ESA</v>
      </c>
      <c r="G38" s="18" t="str">
        <f t="shared" si="7"/>
        <v>vSAN-ESA</v>
      </c>
      <c r="H38" s="18" t="str">
        <f t="shared" si="7"/>
        <v>vSAN-ESA</v>
      </c>
      <c r="I38" s="18" t="str">
        <f t="shared" si="7"/>
        <v>vSAN-ESA</v>
      </c>
      <c r="J38" s="18" t="str">
        <f t="shared" si="7"/>
        <v>vSAN-ESA</v>
      </c>
      <c r="K38" s="18" t="str">
        <f t="shared" si="7"/>
        <v>vSAN-ESA</v>
      </c>
      <c r="L38" s="18" t="str">
        <f t="shared" si="7"/>
        <v>vSAN-ESA</v>
      </c>
      <c r="M38" s="18" t="str">
        <f t="shared" si="7"/>
        <v>vSAN-ESA</v>
      </c>
      <c r="N38" s="18" t="str">
        <f t="shared" si="7"/>
        <v>vSAN-ESA</v>
      </c>
      <c r="O38" s="18" t="str">
        <f t="shared" si="7"/>
        <v>vSAN-ESA</v>
      </c>
      <c r="P38" s="18" t="str">
        <f t="shared" si="7"/>
        <v>vSAN-ESA</v>
      </c>
      <c r="Q38" s="18" t="str">
        <f t="shared" si="7"/>
        <v>vSAN-ESA</v>
      </c>
      <c r="R38" s="18" t="str">
        <f t="shared" si="7"/>
        <v>vSAN-ESA</v>
      </c>
    </row>
    <row r="39" spans="2:18" ht="20" customHeight="1">
      <c r="B39" s="52" t="s">
        <v>4164</v>
      </c>
      <c r="C39" s="18" t="str">
        <f t="shared" ref="C39:R39" si="8">IF(wld_principal_storage_chosen="vSAN-ESA","N/A",IF(wld_principal_storage_chosen="vSAN-OSA","N/A",IF(wld_principal_storage_chosen="NFS","N/A",IF(wld_principal_storage_chosen="VMFS on FC","N/A",RIGHT(wld_principal_storage_chosen,LEN(wld_principal_storage_chosen)-9)))))</f>
        <v>N/A</v>
      </c>
      <c r="D39" s="18" t="str">
        <f t="shared" si="8"/>
        <v>N/A</v>
      </c>
      <c r="E39" s="18" t="str">
        <f t="shared" si="8"/>
        <v>N/A</v>
      </c>
      <c r="F39" s="18" t="str">
        <f t="shared" si="8"/>
        <v>N/A</v>
      </c>
      <c r="G39" s="18" t="str">
        <f t="shared" si="8"/>
        <v>N/A</v>
      </c>
      <c r="H39" s="18" t="str">
        <f t="shared" si="8"/>
        <v>N/A</v>
      </c>
      <c r="I39" s="18" t="str">
        <f t="shared" si="8"/>
        <v>N/A</v>
      </c>
      <c r="J39" s="18" t="str">
        <f t="shared" si="8"/>
        <v>N/A</v>
      </c>
      <c r="K39" s="18" t="str">
        <f t="shared" si="8"/>
        <v>N/A</v>
      </c>
      <c r="L39" s="18" t="str">
        <f t="shared" si="8"/>
        <v>N/A</v>
      </c>
      <c r="M39" s="18" t="str">
        <f t="shared" si="8"/>
        <v>N/A</v>
      </c>
      <c r="N39" s="18" t="str">
        <f t="shared" si="8"/>
        <v>N/A</v>
      </c>
      <c r="O39" s="18" t="str">
        <f t="shared" si="8"/>
        <v>N/A</v>
      </c>
      <c r="P39" s="18" t="str">
        <f t="shared" si="8"/>
        <v>N/A</v>
      </c>
      <c r="Q39" s="18" t="str">
        <f t="shared" si="8"/>
        <v>N/A</v>
      </c>
      <c r="R39" s="18" t="str">
        <f t="shared" si="8"/>
        <v>N/A</v>
      </c>
    </row>
    <row r="40" spans="2:18" ht="20" customHeight="1">
      <c r="B40" s="52" t="s">
        <v>781</v>
      </c>
      <c r="C40" s="18" t="str">
        <f t="shared" ref="C40:R40" si="9">wld_az1_pool_name</f>
        <v>Value Missing</v>
      </c>
      <c r="D40" s="18" t="str">
        <f t="shared" si="9"/>
        <v>Value Missing</v>
      </c>
      <c r="E40" s="18" t="str">
        <f t="shared" si="9"/>
        <v>Value Missing</v>
      </c>
      <c r="F40" s="18" t="str">
        <f t="shared" si="9"/>
        <v>Value Missing</v>
      </c>
      <c r="G40" s="18" t="str">
        <f t="shared" si="9"/>
        <v>Value Missing</v>
      </c>
      <c r="H40" s="18" t="str">
        <f t="shared" si="9"/>
        <v>Value Missing</v>
      </c>
      <c r="I40" s="18" t="str">
        <f t="shared" si="9"/>
        <v>Value Missing</v>
      </c>
      <c r="J40" s="18" t="str">
        <f t="shared" si="9"/>
        <v>Value Missing</v>
      </c>
      <c r="K40" s="18" t="str">
        <f t="shared" si="9"/>
        <v>Value Missing</v>
      </c>
      <c r="L40" s="18" t="str">
        <f t="shared" si="9"/>
        <v>Value Missing</v>
      </c>
      <c r="M40" s="18" t="str">
        <f t="shared" si="9"/>
        <v>Value Missing</v>
      </c>
      <c r="N40" s="18" t="str">
        <f t="shared" si="9"/>
        <v>Value Missing</v>
      </c>
      <c r="O40" s="18" t="str">
        <f t="shared" si="9"/>
        <v>Value Missing</v>
      </c>
      <c r="P40" s="18" t="str">
        <f t="shared" si="9"/>
        <v>Value Missing</v>
      </c>
      <c r="Q40" s="18" t="str">
        <f t="shared" si="9"/>
        <v>Value Missing</v>
      </c>
      <c r="R40" s="18" t="str">
        <f t="shared" si="9"/>
        <v>Value Missing</v>
      </c>
    </row>
    <row r="41" spans="2:18" ht="20" customHeight="1">
      <c r="B41" s="52" t="s">
        <v>4165</v>
      </c>
      <c r="C41" s="18" t="s">
        <v>1352</v>
      </c>
      <c r="D41" s="18" t="s">
        <v>1352</v>
      </c>
      <c r="E41" s="18" t="s">
        <v>1352</v>
      </c>
      <c r="F41" s="18" t="s">
        <v>1352</v>
      </c>
      <c r="G41" s="18" t="s">
        <v>1352</v>
      </c>
      <c r="H41" s="18" t="s">
        <v>1352</v>
      </c>
      <c r="I41" s="18" t="s">
        <v>1352</v>
      </c>
      <c r="J41" s="18" t="s">
        <v>1352</v>
      </c>
      <c r="K41" s="18" t="s">
        <v>1352</v>
      </c>
      <c r="L41" s="18" t="s">
        <v>1352</v>
      </c>
      <c r="M41" s="18" t="s">
        <v>1352</v>
      </c>
      <c r="N41" s="18" t="s">
        <v>1352</v>
      </c>
      <c r="O41" s="18" t="s">
        <v>1352</v>
      </c>
      <c r="P41" s="18" t="s">
        <v>1352</v>
      </c>
      <c r="Q41" s="18" t="s">
        <v>1352</v>
      </c>
      <c r="R41" s="18" t="s">
        <v>1352</v>
      </c>
    </row>
    <row r="42" spans="2:18" ht="20" customHeight="1">
      <c r="B42" s="52" t="s">
        <v>1796</v>
      </c>
      <c r="C42" s="18" t="str">
        <f t="shared" ref="C42:R42" si="10">esxi_root_password</f>
        <v>Value Missing</v>
      </c>
      <c r="D42" s="18" t="str">
        <f t="shared" si="10"/>
        <v>Value Missing</v>
      </c>
      <c r="E42" s="18" t="str">
        <f t="shared" si="10"/>
        <v>Value Missing</v>
      </c>
      <c r="F42" s="18" t="str">
        <f t="shared" si="10"/>
        <v>Value Missing</v>
      </c>
      <c r="G42" s="18" t="str">
        <f t="shared" si="10"/>
        <v>Value Missing</v>
      </c>
      <c r="H42" s="18" t="str">
        <f t="shared" si="10"/>
        <v>Value Missing</v>
      </c>
      <c r="I42" s="18" t="str">
        <f t="shared" si="10"/>
        <v>Value Missing</v>
      </c>
      <c r="J42" s="18" t="str">
        <f t="shared" si="10"/>
        <v>Value Missing</v>
      </c>
      <c r="K42" s="18" t="str">
        <f t="shared" si="10"/>
        <v>Value Missing</v>
      </c>
      <c r="L42" s="18" t="str">
        <f t="shared" si="10"/>
        <v>Value Missing</v>
      </c>
      <c r="M42" s="18" t="str">
        <f t="shared" si="10"/>
        <v>Value Missing</v>
      </c>
      <c r="N42" s="18" t="str">
        <f t="shared" si="10"/>
        <v>Value Missing</v>
      </c>
      <c r="O42" s="18" t="str">
        <f t="shared" si="10"/>
        <v>Value Missing</v>
      </c>
      <c r="P42" s="18" t="str">
        <f t="shared" si="10"/>
        <v>Value Missing</v>
      </c>
      <c r="Q42" s="18" t="str">
        <f t="shared" si="10"/>
        <v>Value Missing</v>
      </c>
      <c r="R42" s="18" t="str">
        <f t="shared" si="10"/>
        <v>Value Missing</v>
      </c>
    </row>
    <row r="43" spans="2:18" ht="16" customHeight="1"/>
    <row r="44" spans="2:18" ht="34" customHeight="1">
      <c r="B44" s="506" t="s">
        <v>4294</v>
      </c>
      <c r="C44" s="507"/>
      <c r="D44" s="507"/>
      <c r="E44" s="507"/>
      <c r="F44" s="507"/>
      <c r="G44" s="507"/>
      <c r="H44" s="507"/>
      <c r="I44" s="507"/>
      <c r="J44" s="507"/>
      <c r="K44" s="507"/>
      <c r="L44" s="507"/>
      <c r="M44" s="507"/>
      <c r="N44" s="507"/>
      <c r="O44" s="507"/>
      <c r="P44" s="507"/>
      <c r="Q44" s="507"/>
      <c r="R44" s="508"/>
    </row>
    <row r="45" spans="2:18" ht="20" customHeight="1">
      <c r="B45" s="427" t="s">
        <v>1696</v>
      </c>
      <c r="C45" s="428"/>
      <c r="D45" s="428"/>
      <c r="E45" s="428"/>
      <c r="F45" s="428"/>
      <c r="G45" s="428"/>
      <c r="H45" s="428"/>
      <c r="I45" s="428"/>
      <c r="J45" s="428"/>
      <c r="K45" s="428"/>
      <c r="L45" s="428"/>
      <c r="M45" s="428"/>
      <c r="N45" s="428"/>
      <c r="O45" s="428"/>
      <c r="P45" s="428"/>
      <c r="Q45" s="428"/>
      <c r="R45" s="428"/>
    </row>
    <row r="46" spans="2:18" ht="20" customHeight="1">
      <c r="B46" s="234" t="s">
        <v>4293</v>
      </c>
      <c r="C46" s="235" t="s">
        <v>2193</v>
      </c>
      <c r="D46" s="236" t="s">
        <v>2194</v>
      </c>
      <c r="E46" s="235" t="s">
        <v>2195</v>
      </c>
      <c r="F46" s="235" t="s">
        <v>2196</v>
      </c>
      <c r="G46" s="235" t="s">
        <v>4175</v>
      </c>
      <c r="H46" s="235" t="s">
        <v>4176</v>
      </c>
      <c r="I46" s="235" t="s">
        <v>4177</v>
      </c>
      <c r="J46" s="235" t="s">
        <v>4178</v>
      </c>
      <c r="K46" s="235" t="s">
        <v>4179</v>
      </c>
      <c r="L46" s="235" t="s">
        <v>4180</v>
      </c>
      <c r="M46" s="235" t="s">
        <v>4181</v>
      </c>
      <c r="N46" s="235" t="s">
        <v>4182</v>
      </c>
      <c r="O46" s="235" t="s">
        <v>4183</v>
      </c>
      <c r="P46" s="235" t="s">
        <v>4184</v>
      </c>
      <c r="Q46" s="235" t="s">
        <v>4185</v>
      </c>
      <c r="R46" s="235" t="s">
        <v>4186</v>
      </c>
    </row>
    <row r="47" spans="2:18" ht="20" customHeight="1">
      <c r="B47" s="21" t="s">
        <v>1686</v>
      </c>
      <c r="C47" s="18" t="str">
        <f t="array" ref="C47:R47">TRANSPOSE(wld_az1_rack2_host_hostnames)</f>
        <v>Value Missing</v>
      </c>
      <c r="D47" s="244" t="str">
        <v>Value Missing</v>
      </c>
      <c r="E47" s="18" t="str">
        <v>Value Missing</v>
      </c>
      <c r="F47" s="18" t="str">
        <v>Value Missing</v>
      </c>
      <c r="G47" s="18" t="str">
        <v>Value Missing</v>
      </c>
      <c r="H47" s="18" t="str">
        <v>Value Missing</v>
      </c>
      <c r="I47" s="18" t="str">
        <v>Value Missing</v>
      </c>
      <c r="J47" s="18" t="str">
        <v>Value Missing</v>
      </c>
      <c r="K47" s="18" t="str">
        <v>Value Missing</v>
      </c>
      <c r="L47" s="18" t="str">
        <v>Value Missing</v>
      </c>
      <c r="M47" s="18" t="str">
        <v>Value Missing</v>
      </c>
      <c r="N47" s="18" t="str">
        <v>Value Missing</v>
      </c>
      <c r="O47" s="18" t="str">
        <v>Value Missing</v>
      </c>
      <c r="P47" s="18" t="str">
        <v>Value Missing</v>
      </c>
      <c r="Q47" s="18" t="str">
        <v>Value Missing</v>
      </c>
      <c r="R47" s="18" t="str">
        <v>Value Missing</v>
      </c>
    </row>
    <row r="48" spans="2:18" ht="20" customHeight="1">
      <c r="B48" s="21" t="s">
        <v>1695</v>
      </c>
      <c r="C48" s="18" t="str">
        <f t="shared" ref="C48:R48" si="11">esxi_root_password</f>
        <v>Value Missing</v>
      </c>
      <c r="D48" s="244" t="str">
        <f t="shared" si="11"/>
        <v>Value Missing</v>
      </c>
      <c r="E48" s="18" t="str">
        <f t="shared" si="11"/>
        <v>Value Missing</v>
      </c>
      <c r="F48" s="18" t="str">
        <f t="shared" si="11"/>
        <v>Value Missing</v>
      </c>
      <c r="G48" s="18" t="str">
        <f t="shared" si="11"/>
        <v>Value Missing</v>
      </c>
      <c r="H48" s="18" t="str">
        <f t="shared" si="11"/>
        <v>Value Missing</v>
      </c>
      <c r="I48" s="18" t="str">
        <f t="shared" si="11"/>
        <v>Value Missing</v>
      </c>
      <c r="J48" s="18" t="str">
        <f t="shared" si="11"/>
        <v>Value Missing</v>
      </c>
      <c r="K48" s="18" t="str">
        <f t="shared" si="11"/>
        <v>Value Missing</v>
      </c>
      <c r="L48" s="18" t="str">
        <f t="shared" si="11"/>
        <v>Value Missing</v>
      </c>
      <c r="M48" s="18" t="str">
        <f t="shared" si="11"/>
        <v>Value Missing</v>
      </c>
      <c r="N48" s="18" t="str">
        <f t="shared" si="11"/>
        <v>Value Missing</v>
      </c>
      <c r="O48" s="18" t="str">
        <f t="shared" si="11"/>
        <v>Value Missing</v>
      </c>
      <c r="P48" s="18" t="str">
        <f t="shared" si="11"/>
        <v>Value Missing</v>
      </c>
      <c r="Q48" s="18" t="str">
        <f t="shared" si="11"/>
        <v>Value Missing</v>
      </c>
      <c r="R48" s="18" t="str">
        <f t="shared" si="11"/>
        <v>Value Missing</v>
      </c>
    </row>
    <row r="49" spans="2:18" ht="20" customHeight="1">
      <c r="B49" s="21" t="s">
        <v>4295</v>
      </c>
      <c r="C49" s="18" t="str">
        <f t="shared" ref="C49:R49" si="12">wld_az1_rack2_mgmt_vlan</f>
        <v>Value Missing</v>
      </c>
      <c r="D49" s="244" t="str">
        <f t="shared" si="12"/>
        <v>Value Missing</v>
      </c>
      <c r="E49" s="18" t="str">
        <f t="shared" si="12"/>
        <v>Value Missing</v>
      </c>
      <c r="F49" s="18" t="str">
        <f t="shared" si="12"/>
        <v>Value Missing</v>
      </c>
      <c r="G49" s="18" t="str">
        <f t="shared" si="12"/>
        <v>Value Missing</v>
      </c>
      <c r="H49" s="18" t="str">
        <f t="shared" si="12"/>
        <v>Value Missing</v>
      </c>
      <c r="I49" s="18" t="str">
        <f t="shared" si="12"/>
        <v>Value Missing</v>
      </c>
      <c r="J49" s="18" t="str">
        <f t="shared" si="12"/>
        <v>Value Missing</v>
      </c>
      <c r="K49" s="18" t="str">
        <f t="shared" si="12"/>
        <v>Value Missing</v>
      </c>
      <c r="L49" s="18" t="str">
        <f t="shared" si="12"/>
        <v>Value Missing</v>
      </c>
      <c r="M49" s="18" t="str">
        <f t="shared" si="12"/>
        <v>Value Missing</v>
      </c>
      <c r="N49" s="18" t="str">
        <f t="shared" si="12"/>
        <v>Value Missing</v>
      </c>
      <c r="O49" s="18" t="str">
        <f t="shared" si="12"/>
        <v>Value Missing</v>
      </c>
      <c r="P49" s="18" t="str">
        <f t="shared" si="12"/>
        <v>Value Missing</v>
      </c>
      <c r="Q49" s="18" t="str">
        <f t="shared" si="12"/>
        <v>Value Missing</v>
      </c>
      <c r="R49" s="18" t="str">
        <f t="shared" si="12"/>
        <v>Value Missing</v>
      </c>
    </row>
    <row r="50" spans="2:18" ht="20" customHeight="1">
      <c r="B50" s="21" t="s">
        <v>4291</v>
      </c>
      <c r="C50" s="18" t="str">
        <f t="array" ref="C50:R50">TRANSPOSE(wld_az1_rack2_host_mgmt_ips)</f>
        <v>Value Missing</v>
      </c>
      <c r="D50" s="244" t="str">
        <v>Value Missing</v>
      </c>
      <c r="E50" s="18" t="str">
        <v>Value Missing</v>
      </c>
      <c r="F50" s="18" t="str">
        <v>Value Missing</v>
      </c>
      <c r="G50" s="18" t="str">
        <v>Value Missing</v>
      </c>
      <c r="H50" s="18" t="str">
        <v>Value Missing</v>
      </c>
      <c r="I50" s="18" t="str">
        <v>Value Missing</v>
      </c>
      <c r="J50" s="18" t="str">
        <v>Value Missing</v>
      </c>
      <c r="K50" s="18" t="str">
        <v>Value Missing</v>
      </c>
      <c r="L50" s="18" t="str">
        <v>Value Missing</v>
      </c>
      <c r="M50" s="18" t="str">
        <v>Value Missing</v>
      </c>
      <c r="N50" s="18" t="str">
        <v>Value Missing</v>
      </c>
      <c r="O50" s="18" t="str">
        <v>Value Missing</v>
      </c>
      <c r="P50" s="18" t="str">
        <v>Value Missing</v>
      </c>
      <c r="Q50" s="18" t="str">
        <v>Value Missing</v>
      </c>
      <c r="R50" s="18" t="str">
        <v>Value Missing</v>
      </c>
    </row>
    <row r="51" spans="2:18" ht="20" customHeight="1">
      <c r="B51" s="21" t="s">
        <v>1702</v>
      </c>
      <c r="C51" s="18" t="str">
        <f t="shared" ref="C51:R51" si="13">wld_az1_rack2_mgmt_mask</f>
        <v>Value Missing</v>
      </c>
      <c r="D51" s="244" t="str">
        <f t="shared" si="13"/>
        <v>Value Missing</v>
      </c>
      <c r="E51" s="18" t="str">
        <f t="shared" si="13"/>
        <v>Value Missing</v>
      </c>
      <c r="F51" s="18" t="str">
        <f t="shared" si="13"/>
        <v>Value Missing</v>
      </c>
      <c r="G51" s="18" t="str">
        <f t="shared" si="13"/>
        <v>Value Missing</v>
      </c>
      <c r="H51" s="18" t="str">
        <f t="shared" si="13"/>
        <v>Value Missing</v>
      </c>
      <c r="I51" s="18" t="str">
        <f t="shared" si="13"/>
        <v>Value Missing</v>
      </c>
      <c r="J51" s="18" t="str">
        <f t="shared" si="13"/>
        <v>Value Missing</v>
      </c>
      <c r="K51" s="18" t="str">
        <f t="shared" si="13"/>
        <v>Value Missing</v>
      </c>
      <c r="L51" s="18" t="str">
        <f t="shared" si="13"/>
        <v>Value Missing</v>
      </c>
      <c r="M51" s="18" t="str">
        <f t="shared" si="13"/>
        <v>Value Missing</v>
      </c>
      <c r="N51" s="18" t="str">
        <f t="shared" si="13"/>
        <v>Value Missing</v>
      </c>
      <c r="O51" s="18" t="str">
        <f t="shared" si="13"/>
        <v>Value Missing</v>
      </c>
      <c r="P51" s="18" t="str">
        <f t="shared" si="13"/>
        <v>Value Missing</v>
      </c>
      <c r="Q51" s="18" t="str">
        <f t="shared" si="13"/>
        <v>Value Missing</v>
      </c>
      <c r="R51" s="18" t="str">
        <f t="shared" si="13"/>
        <v>Value Missing</v>
      </c>
    </row>
    <row r="52" spans="2:18" ht="20" customHeight="1">
      <c r="B52" s="21" t="s">
        <v>1689</v>
      </c>
      <c r="C52" s="18" t="str">
        <f t="shared" ref="C52:R52" si="14">wld_az1_rack2_mgmt_gateway_ip</f>
        <v>Value Missing</v>
      </c>
      <c r="D52" s="244" t="str">
        <f t="shared" si="14"/>
        <v>Value Missing</v>
      </c>
      <c r="E52" s="18" t="str">
        <f t="shared" si="14"/>
        <v>Value Missing</v>
      </c>
      <c r="F52" s="18" t="str">
        <f t="shared" si="14"/>
        <v>Value Missing</v>
      </c>
      <c r="G52" s="18" t="str">
        <f t="shared" si="14"/>
        <v>Value Missing</v>
      </c>
      <c r="H52" s="18" t="str">
        <f t="shared" si="14"/>
        <v>Value Missing</v>
      </c>
      <c r="I52" s="18" t="str">
        <f t="shared" si="14"/>
        <v>Value Missing</v>
      </c>
      <c r="J52" s="18" t="str">
        <f t="shared" si="14"/>
        <v>Value Missing</v>
      </c>
      <c r="K52" s="18" t="str">
        <f t="shared" si="14"/>
        <v>Value Missing</v>
      </c>
      <c r="L52" s="18" t="str">
        <f t="shared" si="14"/>
        <v>Value Missing</v>
      </c>
      <c r="M52" s="18" t="str">
        <f t="shared" si="14"/>
        <v>Value Missing</v>
      </c>
      <c r="N52" s="18" t="str">
        <f t="shared" si="14"/>
        <v>Value Missing</v>
      </c>
      <c r="O52" s="18" t="str">
        <f t="shared" si="14"/>
        <v>Value Missing</v>
      </c>
      <c r="P52" s="18" t="str">
        <f t="shared" si="14"/>
        <v>Value Missing</v>
      </c>
      <c r="Q52" s="18" t="str">
        <f t="shared" si="14"/>
        <v>Value Missing</v>
      </c>
      <c r="R52" s="18" t="str">
        <f t="shared" si="14"/>
        <v>Value Missing</v>
      </c>
    </row>
    <row r="53" spans="2:18" ht="20" customHeight="1">
      <c r="B53" s="21" t="s">
        <v>1703</v>
      </c>
      <c r="C53" s="18" t="str">
        <f t="shared" ref="C53:R53" si="15">region_dns1_ip</f>
        <v>Value Missing</v>
      </c>
      <c r="D53" s="244" t="str">
        <f t="shared" si="15"/>
        <v>Value Missing</v>
      </c>
      <c r="E53" s="18" t="str">
        <f t="shared" si="15"/>
        <v>Value Missing</v>
      </c>
      <c r="F53" s="18" t="str">
        <f t="shared" si="15"/>
        <v>Value Missing</v>
      </c>
      <c r="G53" s="18" t="str">
        <f t="shared" si="15"/>
        <v>Value Missing</v>
      </c>
      <c r="H53" s="18" t="str">
        <f t="shared" si="15"/>
        <v>Value Missing</v>
      </c>
      <c r="I53" s="18" t="str">
        <f t="shared" si="15"/>
        <v>Value Missing</v>
      </c>
      <c r="J53" s="18" t="str">
        <f t="shared" si="15"/>
        <v>Value Missing</v>
      </c>
      <c r="K53" s="18" t="str">
        <f t="shared" si="15"/>
        <v>Value Missing</v>
      </c>
      <c r="L53" s="18" t="str">
        <f t="shared" si="15"/>
        <v>Value Missing</v>
      </c>
      <c r="M53" s="18" t="str">
        <f t="shared" si="15"/>
        <v>Value Missing</v>
      </c>
      <c r="N53" s="18" t="str">
        <f t="shared" si="15"/>
        <v>Value Missing</v>
      </c>
      <c r="O53" s="18" t="str">
        <f t="shared" si="15"/>
        <v>Value Missing</v>
      </c>
      <c r="P53" s="18" t="str">
        <f t="shared" si="15"/>
        <v>Value Missing</v>
      </c>
      <c r="Q53" s="18" t="str">
        <f t="shared" si="15"/>
        <v>Value Missing</v>
      </c>
      <c r="R53" s="18" t="str">
        <f t="shared" si="15"/>
        <v>Value Missing</v>
      </c>
    </row>
    <row r="54" spans="2:18" ht="20" customHeight="1">
      <c r="B54" s="21" t="s">
        <v>1704</v>
      </c>
      <c r="C54" s="18" t="str">
        <f t="shared" ref="C54:R54" si="16">region_dns2_ip</f>
        <v>Value Missing</v>
      </c>
      <c r="D54" s="244" t="str">
        <f t="shared" si="16"/>
        <v>Value Missing</v>
      </c>
      <c r="E54" s="18" t="str">
        <f t="shared" si="16"/>
        <v>Value Missing</v>
      </c>
      <c r="F54" s="18" t="str">
        <f t="shared" si="16"/>
        <v>Value Missing</v>
      </c>
      <c r="G54" s="18" t="str">
        <f t="shared" si="16"/>
        <v>Value Missing</v>
      </c>
      <c r="H54" s="18" t="str">
        <f t="shared" si="16"/>
        <v>Value Missing</v>
      </c>
      <c r="I54" s="18" t="str">
        <f t="shared" si="16"/>
        <v>Value Missing</v>
      </c>
      <c r="J54" s="18" t="str">
        <f t="shared" si="16"/>
        <v>Value Missing</v>
      </c>
      <c r="K54" s="18" t="str">
        <f t="shared" si="16"/>
        <v>Value Missing</v>
      </c>
      <c r="L54" s="18" t="str">
        <f t="shared" si="16"/>
        <v>Value Missing</v>
      </c>
      <c r="M54" s="18" t="str">
        <f t="shared" si="16"/>
        <v>Value Missing</v>
      </c>
      <c r="N54" s="18" t="str">
        <f t="shared" si="16"/>
        <v>Value Missing</v>
      </c>
      <c r="O54" s="18" t="str">
        <f t="shared" si="16"/>
        <v>Value Missing</v>
      </c>
      <c r="P54" s="18" t="str">
        <f t="shared" si="16"/>
        <v>Value Missing</v>
      </c>
      <c r="Q54" s="18" t="str">
        <f t="shared" si="16"/>
        <v>Value Missing</v>
      </c>
      <c r="R54" s="18" t="str">
        <f t="shared" si="16"/>
        <v>Value Missing</v>
      </c>
    </row>
    <row r="55" spans="2:18" ht="20" customHeight="1">
      <c r="B55" s="427" t="s">
        <v>1709</v>
      </c>
      <c r="C55" s="428"/>
      <c r="D55" s="428"/>
      <c r="E55" s="428"/>
      <c r="F55" s="428"/>
      <c r="G55" s="428"/>
      <c r="H55" s="428"/>
      <c r="I55" s="428"/>
      <c r="J55" s="428"/>
      <c r="K55" s="428"/>
      <c r="L55" s="428"/>
      <c r="M55" s="428"/>
      <c r="N55" s="428"/>
      <c r="O55" s="428"/>
      <c r="P55" s="428"/>
      <c r="Q55" s="428"/>
      <c r="R55" s="428"/>
    </row>
    <row r="56" spans="2:18" ht="20" customHeight="1">
      <c r="B56" s="21" t="s">
        <v>4292</v>
      </c>
      <c r="C56" s="18" t="str">
        <f t="shared" ref="C56:R56" si="17">IF(wld_dpg_separation_result="Included",wld_az1_rack2_mgmt_vm_vlan,wld_az1_rack2_mgmt_vlan)</f>
        <v>Value Missing</v>
      </c>
      <c r="D56" s="244" t="str">
        <f t="shared" si="17"/>
        <v>Value Missing</v>
      </c>
      <c r="E56" s="18" t="str">
        <f t="shared" si="17"/>
        <v>Value Missing</v>
      </c>
      <c r="F56" s="18" t="str">
        <f t="shared" si="17"/>
        <v>Value Missing</v>
      </c>
      <c r="G56" s="18" t="str">
        <f t="shared" si="17"/>
        <v>Value Missing</v>
      </c>
      <c r="H56" s="18" t="str">
        <f t="shared" si="17"/>
        <v>Value Missing</v>
      </c>
      <c r="I56" s="18" t="str">
        <f t="shared" si="17"/>
        <v>Value Missing</v>
      </c>
      <c r="J56" s="18" t="str">
        <f t="shared" si="17"/>
        <v>Value Missing</v>
      </c>
      <c r="K56" s="18" t="str">
        <f t="shared" si="17"/>
        <v>Value Missing</v>
      </c>
      <c r="L56" s="18" t="str">
        <f t="shared" si="17"/>
        <v>Value Missing</v>
      </c>
      <c r="M56" s="18" t="str">
        <f t="shared" si="17"/>
        <v>Value Missing</v>
      </c>
      <c r="N56" s="18" t="str">
        <f t="shared" si="17"/>
        <v>Value Missing</v>
      </c>
      <c r="O56" s="18" t="str">
        <f t="shared" si="17"/>
        <v>Value Missing</v>
      </c>
      <c r="P56" s="18" t="str">
        <f t="shared" si="17"/>
        <v>Value Missing</v>
      </c>
      <c r="Q56" s="18" t="str">
        <f t="shared" si="17"/>
        <v>Value Missing</v>
      </c>
      <c r="R56" s="18" t="str">
        <f t="shared" si="17"/>
        <v>Value Missing</v>
      </c>
    </row>
    <row r="57" spans="2:18" ht="20" customHeight="1">
      <c r="B57" s="427" t="s">
        <v>1714</v>
      </c>
      <c r="C57" s="428"/>
      <c r="D57" s="428"/>
      <c r="E57" s="428"/>
      <c r="F57" s="428"/>
      <c r="G57" s="428"/>
      <c r="H57" s="428"/>
      <c r="I57" s="428"/>
      <c r="J57" s="428"/>
      <c r="K57" s="428"/>
      <c r="L57" s="428"/>
      <c r="M57" s="428"/>
      <c r="N57" s="428"/>
      <c r="O57" s="428"/>
      <c r="P57" s="428"/>
      <c r="Q57" s="428"/>
      <c r="R57" s="428"/>
    </row>
    <row r="58" spans="2:18" ht="20" customHeight="1">
      <c r="B58" s="52" t="s">
        <v>1716</v>
      </c>
      <c r="C58" s="18" t="str">
        <f t="array" ref="C58:C59">region_ntp_servers_array</f>
        <v>Value Missing</v>
      </c>
      <c r="D58" s="244" t="str">
        <f t="array" ref="D58:D59">region_ntp_servers_array</f>
        <v>Value Missing</v>
      </c>
      <c r="E58" s="18" t="str">
        <f t="array" ref="E58:E59">region_ntp_servers_array</f>
        <v>Value Missing</v>
      </c>
      <c r="F58" s="18" t="str">
        <f t="array" ref="F58:F59">region_ntp_servers_array</f>
        <v>Value Missing</v>
      </c>
      <c r="G58" s="18" t="str">
        <f t="array" ref="G58:G59">region_ntp_servers_array</f>
        <v>Value Missing</v>
      </c>
      <c r="H58" s="18" t="str">
        <f t="array" ref="H58:H59">region_ntp_servers_array</f>
        <v>Value Missing</v>
      </c>
      <c r="I58" s="18" t="str">
        <f t="array" ref="I58:I59">region_ntp_servers_array</f>
        <v>Value Missing</v>
      </c>
      <c r="J58" s="18" t="str">
        <f t="array" ref="J58:J59">region_ntp_servers_array</f>
        <v>Value Missing</v>
      </c>
      <c r="K58" s="18" t="str">
        <f t="array" ref="K58:K59">region_ntp_servers_array</f>
        <v>Value Missing</v>
      </c>
      <c r="L58" s="18" t="str">
        <f t="array" ref="L58:L59">region_ntp_servers_array</f>
        <v>Value Missing</v>
      </c>
      <c r="M58" s="18" t="str">
        <f t="array" ref="M58:M59">region_ntp_servers_array</f>
        <v>Value Missing</v>
      </c>
      <c r="N58" s="18" t="str">
        <f t="array" ref="N58:N59">region_ntp_servers_array</f>
        <v>Value Missing</v>
      </c>
      <c r="O58" s="18" t="str">
        <f t="array" ref="O58:O59">region_ntp_servers_array</f>
        <v>Value Missing</v>
      </c>
      <c r="P58" s="18" t="str">
        <f t="array" ref="P58:P59">region_ntp_servers_array</f>
        <v>Value Missing</v>
      </c>
      <c r="Q58" s="18" t="str">
        <f t="array" ref="Q58:Q59">region_ntp_servers_array</f>
        <v>Value Missing</v>
      </c>
      <c r="R58" s="18" t="str">
        <f t="array" ref="R58:R59">region_ntp_servers_array</f>
        <v>Value Missing</v>
      </c>
    </row>
    <row r="59" spans="2:18" ht="20" customHeight="1">
      <c r="B59" s="52" t="s">
        <v>1716</v>
      </c>
      <c r="C59" s="18" t="str">
        <v>Value Missing</v>
      </c>
      <c r="D59" s="244" t="str">
        <v>Value Missing</v>
      </c>
      <c r="E59" s="18" t="str">
        <v>Value Missing</v>
      </c>
      <c r="F59" s="18" t="str">
        <v>Value Missing</v>
      </c>
      <c r="G59" s="18" t="str">
        <v>Value Missing</v>
      </c>
      <c r="H59" s="18" t="str">
        <v>Value Missing</v>
      </c>
      <c r="I59" s="18" t="str">
        <v>Value Missing</v>
      </c>
      <c r="J59" s="18" t="str">
        <v>Value Missing</v>
      </c>
      <c r="K59" s="18" t="str">
        <v>Value Missing</v>
      </c>
      <c r="L59" s="18" t="str">
        <v>Value Missing</v>
      </c>
      <c r="M59" s="18" t="str">
        <v>Value Missing</v>
      </c>
      <c r="N59" s="18" t="str">
        <v>Value Missing</v>
      </c>
      <c r="O59" s="18" t="str">
        <v>Value Missing</v>
      </c>
      <c r="P59" s="18" t="str">
        <v>Value Missing</v>
      </c>
      <c r="Q59" s="18" t="str">
        <v>Value Missing</v>
      </c>
      <c r="R59" s="18" t="str">
        <v>Value Missing</v>
      </c>
    </row>
    <row r="60" spans="2:18" ht="20" customHeight="1">
      <c r="B60" s="427" t="s">
        <v>1717</v>
      </c>
      <c r="C60" s="428"/>
      <c r="D60" s="428"/>
      <c r="E60" s="428"/>
      <c r="F60" s="428"/>
      <c r="G60" s="428"/>
      <c r="H60" s="428"/>
      <c r="I60" s="428"/>
      <c r="J60" s="428"/>
      <c r="K60" s="428"/>
      <c r="L60" s="428"/>
      <c r="M60" s="428"/>
      <c r="N60" s="428"/>
      <c r="O60" s="428"/>
      <c r="P60" s="428"/>
      <c r="Q60" s="428"/>
      <c r="R60" s="428"/>
    </row>
    <row r="61" spans="2:18" ht="20" customHeight="1">
      <c r="B61" s="239" t="s">
        <v>4293</v>
      </c>
      <c r="C61" s="504" t="s">
        <v>4296</v>
      </c>
      <c r="D61" s="504"/>
      <c r="E61" s="240"/>
      <c r="F61" s="240"/>
      <c r="G61" s="240"/>
      <c r="H61" s="240"/>
      <c r="I61" s="240"/>
      <c r="J61" s="240"/>
      <c r="K61" s="240"/>
      <c r="L61" s="240"/>
      <c r="M61" s="240"/>
      <c r="N61" s="240"/>
      <c r="O61" s="240"/>
      <c r="P61" s="240"/>
      <c r="Q61" s="240"/>
      <c r="R61" s="241"/>
    </row>
    <row r="62" spans="2:18" ht="20" customHeight="1">
      <c r="B62" s="427" t="s">
        <v>1719</v>
      </c>
      <c r="C62" s="428"/>
      <c r="D62" s="428"/>
      <c r="E62" s="428"/>
      <c r="F62" s="428"/>
      <c r="G62" s="428"/>
      <c r="H62" s="428"/>
      <c r="I62" s="428"/>
      <c r="J62" s="428"/>
      <c r="K62" s="428"/>
      <c r="L62" s="428"/>
      <c r="M62" s="428"/>
      <c r="N62" s="428"/>
      <c r="O62" s="428"/>
      <c r="P62" s="428"/>
      <c r="Q62" s="428"/>
      <c r="R62" s="428"/>
    </row>
    <row r="63" spans="2:18" ht="20" customHeight="1">
      <c r="B63" s="239" t="s">
        <v>4293</v>
      </c>
      <c r="C63" s="504" t="s">
        <v>4296</v>
      </c>
      <c r="D63" s="504"/>
      <c r="E63" s="240"/>
      <c r="F63" s="240"/>
      <c r="G63" s="240"/>
      <c r="H63" s="240"/>
      <c r="I63" s="240"/>
      <c r="J63" s="240"/>
      <c r="K63" s="240"/>
      <c r="L63" s="240"/>
      <c r="M63" s="240"/>
      <c r="N63" s="240"/>
      <c r="O63" s="240"/>
      <c r="P63" s="240"/>
      <c r="Q63" s="240"/>
      <c r="R63" s="241"/>
    </row>
    <row r="64" spans="2:18" ht="20" customHeight="1">
      <c r="B64" s="427" t="s">
        <v>2170</v>
      </c>
      <c r="C64" s="428"/>
      <c r="D64" s="428"/>
      <c r="E64" s="428"/>
      <c r="F64" s="428"/>
      <c r="G64" s="428"/>
      <c r="H64" s="428"/>
      <c r="I64" s="428"/>
      <c r="J64" s="428"/>
      <c r="K64" s="428"/>
      <c r="L64" s="428"/>
      <c r="M64" s="428"/>
      <c r="N64" s="428"/>
      <c r="O64" s="428"/>
      <c r="P64" s="428"/>
      <c r="Q64" s="428"/>
      <c r="R64" s="428"/>
    </row>
    <row r="65" spans="2:18" ht="20" customHeight="1">
      <c r="B65" s="242" t="s">
        <v>4293</v>
      </c>
      <c r="C65" s="242" t="s">
        <v>735</v>
      </c>
      <c r="D65" s="236" t="s">
        <v>4297</v>
      </c>
      <c r="E65" s="236" t="s">
        <v>4298</v>
      </c>
      <c r="F65" s="235" t="s">
        <v>4299</v>
      </c>
      <c r="G65" s="235" t="s">
        <v>4300</v>
      </c>
      <c r="H65" s="236" t="s">
        <v>4301</v>
      </c>
      <c r="I65" s="235" t="s">
        <v>4302</v>
      </c>
      <c r="J65" s="235" t="s">
        <v>4303</v>
      </c>
      <c r="K65" s="236" t="s">
        <v>4304</v>
      </c>
      <c r="L65" s="243"/>
      <c r="M65" s="243"/>
      <c r="N65" s="243"/>
      <c r="O65" s="243"/>
      <c r="P65" s="243"/>
      <c r="Q65" s="243"/>
      <c r="R65" s="243"/>
    </row>
    <row r="66" spans="2:18" ht="20" customHeight="1">
      <c r="B66" s="509" t="s">
        <v>4305</v>
      </c>
      <c r="C66" s="510" t="str">
        <f>wld_az1_rack2_pool_name</f>
        <v>Value Missing</v>
      </c>
      <c r="D66" s="247" t="s">
        <v>4306</v>
      </c>
      <c r="E66" s="18" t="str">
        <f>wld_az1_rack2_principal_storage_vlan</f>
        <v>Value Missing</v>
      </c>
      <c r="F66" s="18" t="str">
        <f>wld_az1_rack2_principal_storage_mtu</f>
        <v>Value Missing</v>
      </c>
      <c r="G66" s="18" t="str">
        <f>IF(wld_az1_rack2_principal_storage_cidr="Value Missing","Value Missing",LEFT(wld_az1_rack2_principal_storage_cidr,(FIND("/",wld_az1_rack2_principal_storage_cidr,1)-1)))</f>
        <v>Value Missing</v>
      </c>
      <c r="H66" s="18" t="str">
        <f>wld_az1_rack2_principal_storage_mask</f>
        <v>Value Missing</v>
      </c>
      <c r="I66" s="18" t="str">
        <f>wld_az1_rack2_principal_storage_gateway_ip</f>
        <v>Value Missing</v>
      </c>
      <c r="J66" s="18" t="str">
        <f>wld_az1_rack2_principal_storage_pool_start_ip</f>
        <v>Value Missing</v>
      </c>
      <c r="K66" s="18" t="str">
        <f>wld_az1_rack2_principal_storage_pool_end_ip</f>
        <v>Value Missing</v>
      </c>
      <c r="L66" s="243"/>
      <c r="M66" s="243"/>
      <c r="N66" s="243"/>
      <c r="O66" s="243"/>
      <c r="P66" s="243"/>
      <c r="Q66" s="243"/>
      <c r="R66" s="243"/>
    </row>
    <row r="67" spans="2:18" ht="20" customHeight="1">
      <c r="B67" s="509"/>
      <c r="C67" s="511"/>
      <c r="D67" s="247" t="s">
        <v>731</v>
      </c>
      <c r="E67" s="18" t="str">
        <f>wld_az1_rack2_vmotion_vlan</f>
        <v>Value Missing</v>
      </c>
      <c r="F67" s="18" t="str">
        <f>wld_az1_rack2_vmotion_mtu</f>
        <v>Value Missing</v>
      </c>
      <c r="G67" s="18" t="str">
        <f>IF(wld_az1_rack2_vmotion_cidr="Value Missing","Value Missing",LEFT(wld_az1_rack2_vmotion_cidr,(FIND("/",wld_az1_rack2_vmotion_cidr,1)-1)))</f>
        <v>Value Missing</v>
      </c>
      <c r="H67" s="18" t="str">
        <f>wld_az1_rack2_vmotion_mask</f>
        <v>Value Missing</v>
      </c>
      <c r="I67" s="18" t="str">
        <f>wld_az1_rack2_vmotion_gateway_ip</f>
        <v>Value Missing</v>
      </c>
      <c r="J67" s="18" t="str">
        <f>wld_az1_rack2_vmotion_pool_start_ip</f>
        <v>Value Missing</v>
      </c>
      <c r="K67" s="18" t="str">
        <f>wld_az1_rack2_vmotion_pool_end_ip</f>
        <v>Value Missing</v>
      </c>
      <c r="L67" s="243"/>
      <c r="M67" s="243"/>
      <c r="N67" s="243"/>
      <c r="O67" s="243"/>
      <c r="P67" s="243"/>
      <c r="Q67" s="243"/>
      <c r="R67" s="243"/>
    </row>
    <row r="68" spans="2:18" ht="20" customHeight="1">
      <c r="B68" s="509"/>
      <c r="C68" s="512"/>
      <c r="D68" s="247" t="s">
        <v>4307</v>
      </c>
      <c r="E68" s="18" t="str">
        <f>wld_az1_rack2_secondary_storage_vlan</f>
        <v>Value Missing</v>
      </c>
      <c r="F68" s="18" t="str">
        <f>wld_az1_rack2_secondary_storage_mtu</f>
        <v>Value Missing</v>
      </c>
      <c r="G68" s="18" t="str">
        <f>IF(wld_az1_rack2_secondary_storage_cidr="Value Missing","Value Missing",LEFT(wld_az1_rack2_secondary_storage_cidr,(FIND("/",wld_az1_rack2_secondary_storage_cidr,1)-1)))</f>
        <v>Value Missing</v>
      </c>
      <c r="H68" s="18" t="str">
        <f>IF(wld_az1_rack2_secondary_storage_cidr="Value Missing","Value Missing",VLOOKUP(INT(RIGHT(wld_az1_rack2_secondary_storage_cidr,LEN(wld_az1_rack2_secondary_storage_cidr)-FIND("/",wld_az1_rack2_secondary_storage_cidr))),table_cidr_to_mask,2,FALSE))</f>
        <v>Value Missing</v>
      </c>
      <c r="I68" s="18" t="str">
        <f>wld_az1_rack2_secondary_storage_gateway_ip</f>
        <v>Value Missing</v>
      </c>
      <c r="J68" s="18" t="str">
        <f>wld_az1_rack2_secondary_storage_pool_start_ip</f>
        <v>Value Missing</v>
      </c>
      <c r="K68" s="18" t="str">
        <f>wld_az1_rack2_secondary_storage_pool_end_ip</f>
        <v>Value Missing</v>
      </c>
      <c r="L68" s="243"/>
      <c r="M68" s="243"/>
      <c r="N68" s="243"/>
      <c r="O68" s="243"/>
      <c r="P68" s="243"/>
      <c r="Q68" s="243"/>
      <c r="R68" s="243"/>
    </row>
    <row r="69" spans="2:18" ht="20" customHeight="1">
      <c r="B69" s="427" t="s">
        <v>2171</v>
      </c>
      <c r="C69" s="428"/>
      <c r="D69" s="428"/>
      <c r="E69" s="428"/>
      <c r="F69" s="428"/>
      <c r="G69" s="428"/>
      <c r="H69" s="428"/>
      <c r="I69" s="428"/>
      <c r="J69" s="428"/>
      <c r="K69" s="428"/>
      <c r="L69" s="428"/>
      <c r="M69" s="428"/>
      <c r="N69" s="428"/>
      <c r="O69" s="428"/>
      <c r="P69" s="428"/>
      <c r="Q69" s="428"/>
      <c r="R69" s="428"/>
    </row>
    <row r="70" spans="2:18" ht="20" customHeight="1">
      <c r="B70" s="239" t="s">
        <v>4293</v>
      </c>
      <c r="C70" s="240"/>
      <c r="D70" s="240"/>
      <c r="E70" s="240"/>
      <c r="F70" s="240"/>
      <c r="G70" s="240"/>
      <c r="H70" s="240"/>
      <c r="I70" s="240"/>
      <c r="J70" s="240"/>
      <c r="K70" s="240"/>
      <c r="L70" s="240"/>
      <c r="M70" s="240"/>
      <c r="N70" s="240"/>
      <c r="O70" s="240"/>
      <c r="P70" s="240"/>
      <c r="Q70" s="240"/>
      <c r="R70" s="241"/>
    </row>
    <row r="71" spans="2:18" ht="20" customHeight="1">
      <c r="B71" s="52" t="s">
        <v>4163</v>
      </c>
      <c r="C71" s="18" t="str">
        <f t="shared" ref="C71:R71" si="18">IF(wld_principal_storage_chosen="vSAN-ESA","vSAN-ESA",IF(wld_principal_storage_chosen="vSAN-OSA","vSAN-OSA",IF(wld_principal_storage_chosen="NFS","NFS",IF(wld_principal_storage_chosen="VMFS on FC","VMFS on FC","vVOL"))))</f>
        <v>vSAN-ESA</v>
      </c>
      <c r="D71" s="244" t="str">
        <f t="shared" si="18"/>
        <v>vSAN-ESA</v>
      </c>
      <c r="E71" s="18" t="str">
        <f t="shared" si="18"/>
        <v>vSAN-ESA</v>
      </c>
      <c r="F71" s="18" t="str">
        <f t="shared" si="18"/>
        <v>vSAN-ESA</v>
      </c>
      <c r="G71" s="18" t="str">
        <f t="shared" si="18"/>
        <v>vSAN-ESA</v>
      </c>
      <c r="H71" s="18" t="str">
        <f t="shared" si="18"/>
        <v>vSAN-ESA</v>
      </c>
      <c r="I71" s="18" t="str">
        <f t="shared" si="18"/>
        <v>vSAN-ESA</v>
      </c>
      <c r="J71" s="18" t="str">
        <f t="shared" si="18"/>
        <v>vSAN-ESA</v>
      </c>
      <c r="K71" s="18" t="str">
        <f t="shared" si="18"/>
        <v>vSAN-ESA</v>
      </c>
      <c r="L71" s="18" t="str">
        <f t="shared" si="18"/>
        <v>vSAN-ESA</v>
      </c>
      <c r="M71" s="18" t="str">
        <f t="shared" si="18"/>
        <v>vSAN-ESA</v>
      </c>
      <c r="N71" s="18" t="str">
        <f t="shared" si="18"/>
        <v>vSAN-ESA</v>
      </c>
      <c r="O71" s="18" t="str">
        <f t="shared" si="18"/>
        <v>vSAN-ESA</v>
      </c>
      <c r="P71" s="18" t="str">
        <f t="shared" si="18"/>
        <v>vSAN-ESA</v>
      </c>
      <c r="Q71" s="18" t="str">
        <f t="shared" si="18"/>
        <v>vSAN-ESA</v>
      </c>
      <c r="R71" s="18" t="str">
        <f t="shared" si="18"/>
        <v>vSAN-ESA</v>
      </c>
    </row>
    <row r="72" spans="2:18" ht="20" customHeight="1">
      <c r="B72" s="52" t="s">
        <v>4164</v>
      </c>
      <c r="C72" s="18" t="str">
        <f t="shared" ref="C72:R72" si="19">IF(wld_principal_storage_chosen="vSAN-ESA","N/A",IF(wld_principal_storage_chosen="vSAN-OSA","N/A",IF(wld_principal_storage_chosen="NFS","N/A",IF(wld_principal_storage_chosen="VMFS on FC","N/A",RIGHT(wld_principal_storage_chosen,LEN(wld_principal_storage_chosen)-9)))))</f>
        <v>N/A</v>
      </c>
      <c r="D72" s="244" t="str">
        <f t="shared" si="19"/>
        <v>N/A</v>
      </c>
      <c r="E72" s="18" t="str">
        <f t="shared" si="19"/>
        <v>N/A</v>
      </c>
      <c r="F72" s="18" t="str">
        <f t="shared" si="19"/>
        <v>N/A</v>
      </c>
      <c r="G72" s="18" t="str">
        <f t="shared" si="19"/>
        <v>N/A</v>
      </c>
      <c r="H72" s="18" t="str">
        <f t="shared" si="19"/>
        <v>N/A</v>
      </c>
      <c r="I72" s="18" t="str">
        <f t="shared" si="19"/>
        <v>N/A</v>
      </c>
      <c r="J72" s="18" t="str">
        <f t="shared" si="19"/>
        <v>N/A</v>
      </c>
      <c r="K72" s="18" t="str">
        <f t="shared" si="19"/>
        <v>N/A</v>
      </c>
      <c r="L72" s="18" t="str">
        <f t="shared" si="19"/>
        <v>N/A</v>
      </c>
      <c r="M72" s="18" t="str">
        <f t="shared" si="19"/>
        <v>N/A</v>
      </c>
      <c r="N72" s="18" t="str">
        <f t="shared" si="19"/>
        <v>N/A</v>
      </c>
      <c r="O72" s="18" t="str">
        <f t="shared" si="19"/>
        <v>N/A</v>
      </c>
      <c r="P72" s="18" t="str">
        <f t="shared" si="19"/>
        <v>N/A</v>
      </c>
      <c r="Q72" s="18" t="str">
        <f t="shared" si="19"/>
        <v>N/A</v>
      </c>
      <c r="R72" s="18" t="str">
        <f t="shared" si="19"/>
        <v>N/A</v>
      </c>
    </row>
    <row r="73" spans="2:18" ht="20" customHeight="1">
      <c r="B73" s="52" t="s">
        <v>781</v>
      </c>
      <c r="C73" s="18" t="str">
        <f t="shared" ref="C73:R73" si="20">wld_az1_rack2_pool_name</f>
        <v>Value Missing</v>
      </c>
      <c r="D73" s="244" t="str">
        <f t="shared" si="20"/>
        <v>Value Missing</v>
      </c>
      <c r="E73" s="18" t="str">
        <f t="shared" si="20"/>
        <v>Value Missing</v>
      </c>
      <c r="F73" s="18" t="str">
        <f t="shared" si="20"/>
        <v>Value Missing</v>
      </c>
      <c r="G73" s="18" t="str">
        <f t="shared" si="20"/>
        <v>Value Missing</v>
      </c>
      <c r="H73" s="18" t="str">
        <f t="shared" si="20"/>
        <v>Value Missing</v>
      </c>
      <c r="I73" s="18" t="str">
        <f t="shared" si="20"/>
        <v>Value Missing</v>
      </c>
      <c r="J73" s="18" t="str">
        <f t="shared" si="20"/>
        <v>Value Missing</v>
      </c>
      <c r="K73" s="18" t="str">
        <f t="shared" si="20"/>
        <v>Value Missing</v>
      </c>
      <c r="L73" s="18" t="str">
        <f t="shared" si="20"/>
        <v>Value Missing</v>
      </c>
      <c r="M73" s="18" t="str">
        <f t="shared" si="20"/>
        <v>Value Missing</v>
      </c>
      <c r="N73" s="18" t="str">
        <f t="shared" si="20"/>
        <v>Value Missing</v>
      </c>
      <c r="O73" s="18" t="str">
        <f t="shared" si="20"/>
        <v>Value Missing</v>
      </c>
      <c r="P73" s="18" t="str">
        <f t="shared" si="20"/>
        <v>Value Missing</v>
      </c>
      <c r="Q73" s="18" t="str">
        <f t="shared" si="20"/>
        <v>Value Missing</v>
      </c>
      <c r="R73" s="18" t="str">
        <f t="shared" si="20"/>
        <v>Value Missing</v>
      </c>
    </row>
    <row r="74" spans="2:18" ht="20" customHeight="1">
      <c r="B74" s="52" t="s">
        <v>4165</v>
      </c>
      <c r="C74" s="18" t="s">
        <v>1352</v>
      </c>
      <c r="D74" s="244" t="s">
        <v>1352</v>
      </c>
      <c r="E74" s="18" t="s">
        <v>1352</v>
      </c>
      <c r="F74" s="18" t="s">
        <v>1352</v>
      </c>
      <c r="G74" s="18" t="s">
        <v>1352</v>
      </c>
      <c r="H74" s="18" t="s">
        <v>1352</v>
      </c>
      <c r="I74" s="18" t="s">
        <v>1352</v>
      </c>
      <c r="J74" s="18" t="s">
        <v>1352</v>
      </c>
      <c r="K74" s="18" t="s">
        <v>1352</v>
      </c>
      <c r="L74" s="18" t="s">
        <v>1352</v>
      </c>
      <c r="M74" s="18" t="s">
        <v>1352</v>
      </c>
      <c r="N74" s="18" t="s">
        <v>1352</v>
      </c>
      <c r="O74" s="18" t="s">
        <v>1352</v>
      </c>
      <c r="P74" s="18" t="s">
        <v>1352</v>
      </c>
      <c r="Q74" s="18" t="s">
        <v>1352</v>
      </c>
      <c r="R74" s="18" t="s">
        <v>1352</v>
      </c>
    </row>
    <row r="75" spans="2:18" ht="20" customHeight="1">
      <c r="B75" s="52" t="s">
        <v>1796</v>
      </c>
      <c r="C75" s="18" t="str">
        <f t="shared" ref="C75:R75" si="21">esxi_root_password</f>
        <v>Value Missing</v>
      </c>
      <c r="D75" s="244" t="str">
        <f t="shared" si="21"/>
        <v>Value Missing</v>
      </c>
      <c r="E75" s="18" t="str">
        <f t="shared" si="21"/>
        <v>Value Missing</v>
      </c>
      <c r="F75" s="18" t="str">
        <f t="shared" si="21"/>
        <v>Value Missing</v>
      </c>
      <c r="G75" s="18" t="str">
        <f t="shared" si="21"/>
        <v>Value Missing</v>
      </c>
      <c r="H75" s="18" t="str">
        <f t="shared" si="21"/>
        <v>Value Missing</v>
      </c>
      <c r="I75" s="18" t="str">
        <f t="shared" si="21"/>
        <v>Value Missing</v>
      </c>
      <c r="J75" s="18" t="str">
        <f t="shared" si="21"/>
        <v>Value Missing</v>
      </c>
      <c r="K75" s="18" t="str">
        <f t="shared" si="21"/>
        <v>Value Missing</v>
      </c>
      <c r="L75" s="18" t="str">
        <f t="shared" si="21"/>
        <v>Value Missing</v>
      </c>
      <c r="M75" s="18" t="str">
        <f t="shared" si="21"/>
        <v>Value Missing</v>
      </c>
      <c r="N75" s="18" t="str">
        <f t="shared" si="21"/>
        <v>Value Missing</v>
      </c>
      <c r="O75" s="18" t="str">
        <f t="shared" si="21"/>
        <v>Value Missing</v>
      </c>
      <c r="P75" s="18" t="str">
        <f t="shared" si="21"/>
        <v>Value Missing</v>
      </c>
      <c r="Q75" s="18" t="str">
        <f t="shared" si="21"/>
        <v>Value Missing</v>
      </c>
      <c r="R75" s="18" t="str">
        <f t="shared" si="21"/>
        <v>Value Missing</v>
      </c>
    </row>
    <row r="76" spans="2:18" ht="16" customHeight="1">
      <c r="B76" s="272"/>
      <c r="C76" s="243"/>
      <c r="D76" s="3"/>
      <c r="E76" s="243"/>
      <c r="F76" s="243"/>
      <c r="G76" s="243"/>
      <c r="H76" s="243"/>
      <c r="I76" s="243"/>
      <c r="J76" s="243"/>
      <c r="K76" s="243"/>
      <c r="L76" s="243"/>
      <c r="M76" s="243"/>
      <c r="N76" s="243"/>
      <c r="O76" s="243"/>
      <c r="P76" s="243"/>
      <c r="Q76" s="243"/>
      <c r="R76" s="243"/>
    </row>
    <row r="77" spans="2:18" ht="34" customHeight="1">
      <c r="B77" s="506" t="s">
        <v>4308</v>
      </c>
      <c r="C77" s="507"/>
      <c r="D77" s="507"/>
      <c r="E77" s="507"/>
      <c r="F77" s="507"/>
      <c r="G77" s="507"/>
      <c r="H77" s="507"/>
      <c r="I77" s="507"/>
      <c r="J77" s="507"/>
      <c r="K77" s="507"/>
      <c r="L77" s="507"/>
      <c r="M77" s="507"/>
      <c r="N77" s="507"/>
      <c r="O77" s="507"/>
      <c r="P77" s="507"/>
      <c r="Q77" s="507"/>
      <c r="R77" s="508"/>
    </row>
    <row r="78" spans="2:18" ht="20" customHeight="1">
      <c r="B78" s="427" t="s">
        <v>2170</v>
      </c>
      <c r="C78" s="428"/>
      <c r="D78" s="428"/>
      <c r="E78" s="428"/>
      <c r="F78" s="428"/>
      <c r="G78" s="428"/>
      <c r="H78" s="428"/>
      <c r="I78" s="428"/>
      <c r="J78" s="428"/>
      <c r="K78" s="428"/>
      <c r="L78" s="428"/>
      <c r="M78" s="428"/>
      <c r="N78" s="428"/>
      <c r="O78" s="428"/>
      <c r="P78" s="428"/>
      <c r="Q78" s="428"/>
      <c r="R78" s="428"/>
    </row>
    <row r="79" spans="2:18" ht="20" customHeight="1">
      <c r="B79" s="234" t="s">
        <v>4293</v>
      </c>
      <c r="C79" s="235" t="s">
        <v>2193</v>
      </c>
      <c r="D79" s="236" t="s">
        <v>2194</v>
      </c>
      <c r="E79" s="235" t="s">
        <v>2195</v>
      </c>
      <c r="F79" s="235" t="s">
        <v>2196</v>
      </c>
      <c r="G79" s="235" t="s">
        <v>4175</v>
      </c>
      <c r="H79" s="235" t="s">
        <v>4176</v>
      </c>
      <c r="I79" s="235" t="s">
        <v>4177</v>
      </c>
      <c r="J79" s="235" t="s">
        <v>4178</v>
      </c>
      <c r="K79" s="235" t="s">
        <v>4179</v>
      </c>
      <c r="L79" s="235" t="s">
        <v>4180</v>
      </c>
      <c r="M79" s="235" t="s">
        <v>4181</v>
      </c>
      <c r="N79" s="235" t="s">
        <v>4182</v>
      </c>
      <c r="O79" s="235" t="s">
        <v>4183</v>
      </c>
      <c r="P79" s="235" t="s">
        <v>4184</v>
      </c>
      <c r="Q79" s="235" t="s">
        <v>4185</v>
      </c>
      <c r="R79" s="235" t="s">
        <v>4186</v>
      </c>
    </row>
    <row r="80" spans="2:18" ht="20" customHeight="1">
      <c r="B80" s="21" t="s">
        <v>1686</v>
      </c>
      <c r="C80" s="18" t="str">
        <f t="array" ref="C80:R80">TRANSPOSE(wld_az1_rack3_host_hostnames)</f>
        <v>Value Missing</v>
      </c>
      <c r="D80" s="244" t="str">
        <v>Value Missing</v>
      </c>
      <c r="E80" s="18" t="str">
        <v>Value Missing</v>
      </c>
      <c r="F80" s="18" t="str">
        <v>Value Missing</v>
      </c>
      <c r="G80" s="18" t="str">
        <v>Value Missing</v>
      </c>
      <c r="H80" s="18" t="str">
        <v>Value Missing</v>
      </c>
      <c r="I80" s="18" t="str">
        <v>Value Missing</v>
      </c>
      <c r="J80" s="18" t="str">
        <v>Value Missing</v>
      </c>
      <c r="K80" s="18" t="str">
        <v>Value Missing</v>
      </c>
      <c r="L80" s="18" t="str">
        <v>Value Missing</v>
      </c>
      <c r="M80" s="18" t="str">
        <v>Value Missing</v>
      </c>
      <c r="N80" s="18" t="str">
        <v>Value Missing</v>
      </c>
      <c r="O80" s="18" t="str">
        <v>Value Missing</v>
      </c>
      <c r="P80" s="18" t="str">
        <v>Value Missing</v>
      </c>
      <c r="Q80" s="18" t="str">
        <v>Value Missing</v>
      </c>
      <c r="R80" s="18" t="str">
        <v>Value Missing</v>
      </c>
    </row>
    <row r="81" spans="2:18" ht="20" customHeight="1">
      <c r="B81" s="21" t="s">
        <v>1695</v>
      </c>
      <c r="C81" s="18" t="str">
        <f t="shared" ref="C81:R81" si="22">esxi_root_password</f>
        <v>Value Missing</v>
      </c>
      <c r="D81" s="244" t="str">
        <f t="shared" si="22"/>
        <v>Value Missing</v>
      </c>
      <c r="E81" s="18" t="str">
        <f t="shared" si="22"/>
        <v>Value Missing</v>
      </c>
      <c r="F81" s="18" t="str">
        <f t="shared" si="22"/>
        <v>Value Missing</v>
      </c>
      <c r="G81" s="18" t="str">
        <f t="shared" si="22"/>
        <v>Value Missing</v>
      </c>
      <c r="H81" s="18" t="str">
        <f t="shared" si="22"/>
        <v>Value Missing</v>
      </c>
      <c r="I81" s="18" t="str">
        <f t="shared" si="22"/>
        <v>Value Missing</v>
      </c>
      <c r="J81" s="18" t="str">
        <f t="shared" si="22"/>
        <v>Value Missing</v>
      </c>
      <c r="K81" s="18" t="str">
        <f t="shared" si="22"/>
        <v>Value Missing</v>
      </c>
      <c r="L81" s="18" t="str">
        <f t="shared" si="22"/>
        <v>Value Missing</v>
      </c>
      <c r="M81" s="18" t="str">
        <f t="shared" si="22"/>
        <v>Value Missing</v>
      </c>
      <c r="N81" s="18" t="str">
        <f t="shared" si="22"/>
        <v>Value Missing</v>
      </c>
      <c r="O81" s="18" t="str">
        <f t="shared" si="22"/>
        <v>Value Missing</v>
      </c>
      <c r="P81" s="18" t="str">
        <f t="shared" si="22"/>
        <v>Value Missing</v>
      </c>
      <c r="Q81" s="18" t="str">
        <f t="shared" si="22"/>
        <v>Value Missing</v>
      </c>
      <c r="R81" s="18" t="str">
        <f t="shared" si="22"/>
        <v>Value Missing</v>
      </c>
    </row>
    <row r="82" spans="2:18" ht="20" customHeight="1">
      <c r="B82" s="21" t="s">
        <v>4295</v>
      </c>
      <c r="C82" s="18" t="str">
        <f t="shared" ref="C82:R82" si="23">wld_az1_rack3_mgmt_vlan</f>
        <v>Value Missing</v>
      </c>
      <c r="D82" s="244" t="str">
        <f t="shared" si="23"/>
        <v>Value Missing</v>
      </c>
      <c r="E82" s="18" t="str">
        <f t="shared" si="23"/>
        <v>Value Missing</v>
      </c>
      <c r="F82" s="18" t="str">
        <f t="shared" si="23"/>
        <v>Value Missing</v>
      </c>
      <c r="G82" s="18" t="str">
        <f t="shared" si="23"/>
        <v>Value Missing</v>
      </c>
      <c r="H82" s="18" t="str">
        <f t="shared" si="23"/>
        <v>Value Missing</v>
      </c>
      <c r="I82" s="18" t="str">
        <f t="shared" si="23"/>
        <v>Value Missing</v>
      </c>
      <c r="J82" s="18" t="str">
        <f t="shared" si="23"/>
        <v>Value Missing</v>
      </c>
      <c r="K82" s="18" t="str">
        <f t="shared" si="23"/>
        <v>Value Missing</v>
      </c>
      <c r="L82" s="18" t="str">
        <f t="shared" si="23"/>
        <v>Value Missing</v>
      </c>
      <c r="M82" s="18" t="str">
        <f t="shared" si="23"/>
        <v>Value Missing</v>
      </c>
      <c r="N82" s="18" t="str">
        <f t="shared" si="23"/>
        <v>Value Missing</v>
      </c>
      <c r="O82" s="18" t="str">
        <f t="shared" si="23"/>
        <v>Value Missing</v>
      </c>
      <c r="P82" s="18" t="str">
        <f t="shared" si="23"/>
        <v>Value Missing</v>
      </c>
      <c r="Q82" s="18" t="str">
        <f t="shared" si="23"/>
        <v>Value Missing</v>
      </c>
      <c r="R82" s="18" t="str">
        <f t="shared" si="23"/>
        <v>Value Missing</v>
      </c>
    </row>
    <row r="83" spans="2:18" ht="20" customHeight="1">
      <c r="B83" s="21" t="s">
        <v>4291</v>
      </c>
      <c r="C83" s="18" t="str">
        <f t="array" ref="C83:R83">TRANSPOSE(wld_az1_rack3_host_mgmt_ips)</f>
        <v>Value Missing</v>
      </c>
      <c r="D83" s="244" t="str">
        <v>Value Missing</v>
      </c>
      <c r="E83" s="18" t="str">
        <v>Value Missing</v>
      </c>
      <c r="F83" s="18" t="str">
        <v>Value Missing</v>
      </c>
      <c r="G83" s="18" t="str">
        <v>Value Missing</v>
      </c>
      <c r="H83" s="18" t="str">
        <v>Value Missing</v>
      </c>
      <c r="I83" s="18" t="str">
        <v>Value Missing</v>
      </c>
      <c r="J83" s="18" t="str">
        <v>Value Missing</v>
      </c>
      <c r="K83" s="18" t="str">
        <v>Value Missing</v>
      </c>
      <c r="L83" s="18" t="str">
        <v>Value Missing</v>
      </c>
      <c r="M83" s="18" t="str">
        <v>Value Missing</v>
      </c>
      <c r="N83" s="18" t="str">
        <v>Value Missing</v>
      </c>
      <c r="O83" s="18" t="str">
        <v>Value Missing</v>
      </c>
      <c r="P83" s="18" t="str">
        <v>Value Missing</v>
      </c>
      <c r="Q83" s="18" t="str">
        <v>Value Missing</v>
      </c>
      <c r="R83" s="18" t="str">
        <v>Value Missing</v>
      </c>
    </row>
    <row r="84" spans="2:18" ht="20" customHeight="1">
      <c r="B84" s="21" t="s">
        <v>1702</v>
      </c>
      <c r="C84" s="18" t="str">
        <f t="shared" ref="C84:R84" si="24">wld_az1_rack3_mgmt_mask</f>
        <v>Value Missing</v>
      </c>
      <c r="D84" s="244" t="str">
        <f t="shared" si="24"/>
        <v>Value Missing</v>
      </c>
      <c r="E84" s="18" t="str">
        <f t="shared" si="24"/>
        <v>Value Missing</v>
      </c>
      <c r="F84" s="18" t="str">
        <f t="shared" si="24"/>
        <v>Value Missing</v>
      </c>
      <c r="G84" s="18" t="str">
        <f t="shared" si="24"/>
        <v>Value Missing</v>
      </c>
      <c r="H84" s="18" t="str">
        <f t="shared" si="24"/>
        <v>Value Missing</v>
      </c>
      <c r="I84" s="18" t="str">
        <f t="shared" si="24"/>
        <v>Value Missing</v>
      </c>
      <c r="J84" s="18" t="str">
        <f t="shared" si="24"/>
        <v>Value Missing</v>
      </c>
      <c r="K84" s="18" t="str">
        <f t="shared" si="24"/>
        <v>Value Missing</v>
      </c>
      <c r="L84" s="18" t="str">
        <f t="shared" si="24"/>
        <v>Value Missing</v>
      </c>
      <c r="M84" s="18" t="str">
        <f t="shared" si="24"/>
        <v>Value Missing</v>
      </c>
      <c r="N84" s="18" t="str">
        <f t="shared" si="24"/>
        <v>Value Missing</v>
      </c>
      <c r="O84" s="18" t="str">
        <f t="shared" si="24"/>
        <v>Value Missing</v>
      </c>
      <c r="P84" s="18" t="str">
        <f t="shared" si="24"/>
        <v>Value Missing</v>
      </c>
      <c r="Q84" s="18" t="str">
        <f t="shared" si="24"/>
        <v>Value Missing</v>
      </c>
      <c r="R84" s="18" t="str">
        <f t="shared" si="24"/>
        <v>Value Missing</v>
      </c>
    </row>
    <row r="85" spans="2:18" ht="20" customHeight="1">
      <c r="B85" s="21" t="s">
        <v>1689</v>
      </c>
      <c r="C85" s="18" t="str">
        <f t="shared" ref="C85:R85" si="25">wld_az1_rack3_mgmt_gateway_ip</f>
        <v>Value Missing</v>
      </c>
      <c r="D85" s="244" t="str">
        <f t="shared" si="25"/>
        <v>Value Missing</v>
      </c>
      <c r="E85" s="18" t="str">
        <f t="shared" si="25"/>
        <v>Value Missing</v>
      </c>
      <c r="F85" s="18" t="str">
        <f t="shared" si="25"/>
        <v>Value Missing</v>
      </c>
      <c r="G85" s="18" t="str">
        <f t="shared" si="25"/>
        <v>Value Missing</v>
      </c>
      <c r="H85" s="18" t="str">
        <f t="shared" si="25"/>
        <v>Value Missing</v>
      </c>
      <c r="I85" s="18" t="str">
        <f t="shared" si="25"/>
        <v>Value Missing</v>
      </c>
      <c r="J85" s="18" t="str">
        <f t="shared" si="25"/>
        <v>Value Missing</v>
      </c>
      <c r="K85" s="18" t="str">
        <f t="shared" si="25"/>
        <v>Value Missing</v>
      </c>
      <c r="L85" s="18" t="str">
        <f t="shared" si="25"/>
        <v>Value Missing</v>
      </c>
      <c r="M85" s="18" t="str">
        <f t="shared" si="25"/>
        <v>Value Missing</v>
      </c>
      <c r="N85" s="18" t="str">
        <f t="shared" si="25"/>
        <v>Value Missing</v>
      </c>
      <c r="O85" s="18" t="str">
        <f t="shared" si="25"/>
        <v>Value Missing</v>
      </c>
      <c r="P85" s="18" t="str">
        <f t="shared" si="25"/>
        <v>Value Missing</v>
      </c>
      <c r="Q85" s="18" t="str">
        <f t="shared" si="25"/>
        <v>Value Missing</v>
      </c>
      <c r="R85" s="18" t="str">
        <f t="shared" si="25"/>
        <v>Value Missing</v>
      </c>
    </row>
    <row r="86" spans="2:18" ht="20" customHeight="1">
      <c r="B86" s="21" t="s">
        <v>1703</v>
      </c>
      <c r="C86" s="18" t="str">
        <f t="shared" ref="C86:R86" si="26">region_dns1_ip</f>
        <v>Value Missing</v>
      </c>
      <c r="D86" s="244" t="str">
        <f t="shared" si="26"/>
        <v>Value Missing</v>
      </c>
      <c r="E86" s="18" t="str">
        <f t="shared" si="26"/>
        <v>Value Missing</v>
      </c>
      <c r="F86" s="18" t="str">
        <f t="shared" si="26"/>
        <v>Value Missing</v>
      </c>
      <c r="G86" s="18" t="str">
        <f t="shared" si="26"/>
        <v>Value Missing</v>
      </c>
      <c r="H86" s="18" t="str">
        <f t="shared" si="26"/>
        <v>Value Missing</v>
      </c>
      <c r="I86" s="18" t="str">
        <f t="shared" si="26"/>
        <v>Value Missing</v>
      </c>
      <c r="J86" s="18" t="str">
        <f t="shared" si="26"/>
        <v>Value Missing</v>
      </c>
      <c r="K86" s="18" t="str">
        <f t="shared" si="26"/>
        <v>Value Missing</v>
      </c>
      <c r="L86" s="18" t="str">
        <f t="shared" si="26"/>
        <v>Value Missing</v>
      </c>
      <c r="M86" s="18" t="str">
        <f t="shared" si="26"/>
        <v>Value Missing</v>
      </c>
      <c r="N86" s="18" t="str">
        <f t="shared" si="26"/>
        <v>Value Missing</v>
      </c>
      <c r="O86" s="18" t="str">
        <f t="shared" si="26"/>
        <v>Value Missing</v>
      </c>
      <c r="P86" s="18" t="str">
        <f t="shared" si="26"/>
        <v>Value Missing</v>
      </c>
      <c r="Q86" s="18" t="str">
        <f t="shared" si="26"/>
        <v>Value Missing</v>
      </c>
      <c r="R86" s="18" t="str">
        <f t="shared" si="26"/>
        <v>Value Missing</v>
      </c>
    </row>
    <row r="87" spans="2:18" ht="20" customHeight="1">
      <c r="B87" s="21" t="s">
        <v>1704</v>
      </c>
      <c r="C87" s="18" t="str">
        <f t="shared" ref="C87:R87" si="27">region_dns2_ip</f>
        <v>Value Missing</v>
      </c>
      <c r="D87" s="244" t="str">
        <f t="shared" si="27"/>
        <v>Value Missing</v>
      </c>
      <c r="E87" s="18" t="str">
        <f t="shared" si="27"/>
        <v>Value Missing</v>
      </c>
      <c r="F87" s="18" t="str">
        <f t="shared" si="27"/>
        <v>Value Missing</v>
      </c>
      <c r="G87" s="18" t="str">
        <f t="shared" si="27"/>
        <v>Value Missing</v>
      </c>
      <c r="H87" s="18" t="str">
        <f t="shared" si="27"/>
        <v>Value Missing</v>
      </c>
      <c r="I87" s="18" t="str">
        <f t="shared" si="27"/>
        <v>Value Missing</v>
      </c>
      <c r="J87" s="18" t="str">
        <f t="shared" si="27"/>
        <v>Value Missing</v>
      </c>
      <c r="K87" s="18" t="str">
        <f t="shared" si="27"/>
        <v>Value Missing</v>
      </c>
      <c r="L87" s="18" t="str">
        <f t="shared" si="27"/>
        <v>Value Missing</v>
      </c>
      <c r="M87" s="18" t="str">
        <f t="shared" si="27"/>
        <v>Value Missing</v>
      </c>
      <c r="N87" s="18" t="str">
        <f t="shared" si="27"/>
        <v>Value Missing</v>
      </c>
      <c r="O87" s="18" t="str">
        <f t="shared" si="27"/>
        <v>Value Missing</v>
      </c>
      <c r="P87" s="18" t="str">
        <f t="shared" si="27"/>
        <v>Value Missing</v>
      </c>
      <c r="Q87" s="18" t="str">
        <f t="shared" si="27"/>
        <v>Value Missing</v>
      </c>
      <c r="R87" s="18" t="str">
        <f t="shared" si="27"/>
        <v>Value Missing</v>
      </c>
    </row>
    <row r="88" spans="2:18" ht="20" customHeight="1">
      <c r="B88" s="68" t="s">
        <v>1709</v>
      </c>
      <c r="C88" s="73"/>
      <c r="D88" s="73"/>
      <c r="E88" s="73"/>
      <c r="F88" s="73"/>
      <c r="G88" s="73"/>
      <c r="H88" s="73"/>
      <c r="I88" s="73"/>
      <c r="J88" s="73"/>
      <c r="K88" s="73"/>
      <c r="L88" s="73"/>
      <c r="M88" s="73"/>
      <c r="N88" s="73"/>
      <c r="O88" s="73"/>
      <c r="P88" s="73"/>
      <c r="Q88" s="73"/>
      <c r="R88" s="73"/>
    </row>
    <row r="89" spans="2:18" ht="20" customHeight="1">
      <c r="B89" s="21" t="s">
        <v>4292</v>
      </c>
      <c r="C89" s="18" t="str">
        <f t="shared" ref="C89:R89" si="28">IF(wld_dpg_separation_result="Included",wld_az1_rack3_mgmt_vm_vlan,wld_az1_rack3_mgmt_vlan)</f>
        <v>Value Missing</v>
      </c>
      <c r="D89" s="244" t="str">
        <f t="shared" si="28"/>
        <v>Value Missing</v>
      </c>
      <c r="E89" s="18" t="str">
        <f t="shared" si="28"/>
        <v>Value Missing</v>
      </c>
      <c r="F89" s="18" t="str">
        <f t="shared" si="28"/>
        <v>Value Missing</v>
      </c>
      <c r="G89" s="18" t="str">
        <f t="shared" si="28"/>
        <v>Value Missing</v>
      </c>
      <c r="H89" s="18" t="str">
        <f t="shared" si="28"/>
        <v>Value Missing</v>
      </c>
      <c r="I89" s="18" t="str">
        <f t="shared" si="28"/>
        <v>Value Missing</v>
      </c>
      <c r="J89" s="18" t="str">
        <f t="shared" si="28"/>
        <v>Value Missing</v>
      </c>
      <c r="K89" s="18" t="str">
        <f t="shared" si="28"/>
        <v>Value Missing</v>
      </c>
      <c r="L89" s="18" t="str">
        <f t="shared" si="28"/>
        <v>Value Missing</v>
      </c>
      <c r="M89" s="18" t="str">
        <f t="shared" si="28"/>
        <v>Value Missing</v>
      </c>
      <c r="N89" s="18" t="str">
        <f t="shared" si="28"/>
        <v>Value Missing</v>
      </c>
      <c r="O89" s="18" t="str">
        <f t="shared" si="28"/>
        <v>Value Missing</v>
      </c>
      <c r="P89" s="18" t="str">
        <f t="shared" si="28"/>
        <v>Value Missing</v>
      </c>
      <c r="Q89" s="18" t="str">
        <f t="shared" si="28"/>
        <v>Value Missing</v>
      </c>
      <c r="R89" s="18" t="str">
        <f t="shared" si="28"/>
        <v>Value Missing</v>
      </c>
    </row>
    <row r="90" spans="2:18" ht="20" customHeight="1">
      <c r="B90" s="68" t="s">
        <v>1714</v>
      </c>
      <c r="C90" s="73"/>
      <c r="D90" s="73"/>
      <c r="E90" s="73"/>
      <c r="F90" s="73"/>
      <c r="G90" s="73"/>
      <c r="H90" s="73"/>
      <c r="I90" s="73"/>
      <c r="J90" s="73"/>
      <c r="K90" s="73"/>
      <c r="L90" s="73"/>
      <c r="M90" s="73"/>
      <c r="N90" s="73"/>
      <c r="O90" s="73"/>
      <c r="P90" s="73"/>
      <c r="Q90" s="73"/>
      <c r="R90" s="73"/>
    </row>
    <row r="91" spans="2:18" ht="20" customHeight="1">
      <c r="B91" s="52" t="s">
        <v>1716</v>
      </c>
      <c r="C91" s="18" t="str">
        <f t="array" ref="C91:C92">region_ntp_servers_array</f>
        <v>Value Missing</v>
      </c>
      <c r="D91" s="244" t="str">
        <f t="array" ref="D91:D92">region_ntp_servers_array</f>
        <v>Value Missing</v>
      </c>
      <c r="E91" s="18" t="str">
        <f t="array" ref="E91:E92">region_ntp_servers_array</f>
        <v>Value Missing</v>
      </c>
      <c r="F91" s="18" t="str">
        <f t="array" ref="F91:F92">region_ntp_servers_array</f>
        <v>Value Missing</v>
      </c>
      <c r="G91" s="18" t="str">
        <f t="array" ref="G91:G92">region_ntp_servers_array</f>
        <v>Value Missing</v>
      </c>
      <c r="H91" s="18" t="str">
        <f t="array" ref="H91:H92">region_ntp_servers_array</f>
        <v>Value Missing</v>
      </c>
      <c r="I91" s="18" t="str">
        <f t="array" ref="I91:I92">region_ntp_servers_array</f>
        <v>Value Missing</v>
      </c>
      <c r="J91" s="18" t="str">
        <f t="array" ref="J91:J92">region_ntp_servers_array</f>
        <v>Value Missing</v>
      </c>
      <c r="K91" s="18" t="str">
        <f t="array" ref="K91:K92">region_ntp_servers_array</f>
        <v>Value Missing</v>
      </c>
      <c r="L91" s="18" t="str">
        <f t="array" ref="L91:L92">region_ntp_servers_array</f>
        <v>Value Missing</v>
      </c>
      <c r="M91" s="18" t="str">
        <f t="array" ref="M91:M92">region_ntp_servers_array</f>
        <v>Value Missing</v>
      </c>
      <c r="N91" s="18" t="str">
        <f t="array" ref="N91:N92">region_ntp_servers_array</f>
        <v>Value Missing</v>
      </c>
      <c r="O91" s="18" t="str">
        <f t="array" ref="O91:O92">region_ntp_servers_array</f>
        <v>Value Missing</v>
      </c>
      <c r="P91" s="18" t="str">
        <f t="array" ref="P91:P92">region_ntp_servers_array</f>
        <v>Value Missing</v>
      </c>
      <c r="Q91" s="18" t="str">
        <f t="array" ref="Q91:Q92">region_ntp_servers_array</f>
        <v>Value Missing</v>
      </c>
      <c r="R91" s="18" t="str">
        <f t="array" ref="R91:R92">region_ntp_servers_array</f>
        <v>Value Missing</v>
      </c>
    </row>
    <row r="92" spans="2:18" ht="20" customHeight="1">
      <c r="B92" s="52" t="s">
        <v>1716</v>
      </c>
      <c r="C92" s="18" t="str">
        <v>Value Missing</v>
      </c>
      <c r="D92" s="244" t="str">
        <v>Value Missing</v>
      </c>
      <c r="E92" s="18" t="str">
        <v>Value Missing</v>
      </c>
      <c r="F92" s="18" t="str">
        <v>Value Missing</v>
      </c>
      <c r="G92" s="18" t="str">
        <v>Value Missing</v>
      </c>
      <c r="H92" s="18" t="str">
        <v>Value Missing</v>
      </c>
      <c r="I92" s="18" t="str">
        <v>Value Missing</v>
      </c>
      <c r="J92" s="18" t="str">
        <v>Value Missing</v>
      </c>
      <c r="K92" s="18" t="str">
        <v>Value Missing</v>
      </c>
      <c r="L92" s="18" t="str">
        <v>Value Missing</v>
      </c>
      <c r="M92" s="18" t="str">
        <v>Value Missing</v>
      </c>
      <c r="N92" s="18" t="str">
        <v>Value Missing</v>
      </c>
      <c r="O92" s="18" t="str">
        <v>Value Missing</v>
      </c>
      <c r="P92" s="18" t="str">
        <v>Value Missing</v>
      </c>
      <c r="Q92" s="18" t="str">
        <v>Value Missing</v>
      </c>
      <c r="R92" s="18" t="str">
        <v>Value Missing</v>
      </c>
    </row>
    <row r="93" spans="2:18" ht="20" customHeight="1">
      <c r="B93" s="427" t="s">
        <v>1717</v>
      </c>
      <c r="C93" s="428"/>
      <c r="D93" s="428"/>
      <c r="E93" s="428"/>
      <c r="F93" s="428"/>
      <c r="G93" s="428"/>
      <c r="H93" s="428"/>
      <c r="I93" s="428"/>
      <c r="J93" s="428"/>
      <c r="K93" s="428"/>
      <c r="L93" s="428"/>
      <c r="M93" s="428"/>
      <c r="N93" s="428"/>
      <c r="O93" s="428"/>
      <c r="P93" s="428"/>
      <c r="Q93" s="428"/>
      <c r="R93" s="428"/>
    </row>
    <row r="94" spans="2:18" ht="20" customHeight="1">
      <c r="B94" s="239" t="s">
        <v>4293</v>
      </c>
      <c r="C94" s="504" t="s">
        <v>4296</v>
      </c>
      <c r="D94" s="504"/>
      <c r="E94" s="240"/>
      <c r="F94" s="240"/>
      <c r="G94" s="240"/>
      <c r="H94" s="240"/>
      <c r="I94" s="240"/>
      <c r="J94" s="240"/>
      <c r="K94" s="240"/>
      <c r="L94" s="240"/>
      <c r="M94" s="240"/>
      <c r="N94" s="240"/>
      <c r="O94" s="240"/>
      <c r="P94" s="240"/>
      <c r="Q94" s="240"/>
      <c r="R94" s="241"/>
    </row>
    <row r="95" spans="2:18" ht="20" customHeight="1">
      <c r="B95" s="427" t="s">
        <v>1719</v>
      </c>
      <c r="C95" s="428"/>
      <c r="D95" s="428"/>
      <c r="E95" s="428"/>
      <c r="F95" s="428"/>
      <c r="G95" s="428"/>
      <c r="H95" s="428"/>
      <c r="I95" s="428"/>
      <c r="J95" s="428"/>
      <c r="K95" s="428"/>
      <c r="L95" s="428"/>
      <c r="M95" s="428"/>
      <c r="N95" s="428"/>
      <c r="O95" s="428"/>
      <c r="P95" s="428"/>
      <c r="Q95" s="428"/>
      <c r="R95" s="428"/>
    </row>
    <row r="96" spans="2:18" ht="20" customHeight="1">
      <c r="B96" s="239" t="s">
        <v>4293</v>
      </c>
      <c r="C96" s="504" t="s">
        <v>4296</v>
      </c>
      <c r="D96" s="504"/>
      <c r="E96" s="240"/>
      <c r="F96" s="240"/>
      <c r="G96" s="240"/>
      <c r="H96" s="240"/>
      <c r="I96" s="240"/>
      <c r="J96" s="240"/>
      <c r="K96" s="240"/>
      <c r="L96" s="240"/>
      <c r="M96" s="240"/>
      <c r="N96" s="240"/>
      <c r="O96" s="240"/>
      <c r="P96" s="240"/>
      <c r="Q96" s="240"/>
      <c r="R96" s="241"/>
    </row>
    <row r="97" spans="2:18" ht="20" customHeight="1">
      <c r="B97" s="427" t="s">
        <v>2170</v>
      </c>
      <c r="C97" s="428"/>
      <c r="D97" s="428"/>
      <c r="E97" s="428"/>
      <c r="F97" s="428"/>
      <c r="G97" s="428"/>
      <c r="H97" s="428"/>
      <c r="I97" s="428"/>
      <c r="J97" s="428"/>
      <c r="K97" s="428"/>
      <c r="L97" s="428"/>
      <c r="M97" s="428"/>
      <c r="N97" s="428"/>
      <c r="O97" s="428"/>
      <c r="P97" s="428"/>
      <c r="Q97" s="428"/>
      <c r="R97" s="428"/>
    </row>
    <row r="98" spans="2:18" ht="20" customHeight="1">
      <c r="B98" s="242" t="s">
        <v>4293</v>
      </c>
      <c r="C98" s="242" t="s">
        <v>735</v>
      </c>
      <c r="D98" s="236" t="s">
        <v>4297</v>
      </c>
      <c r="E98" s="236" t="s">
        <v>4298</v>
      </c>
      <c r="F98" s="235" t="s">
        <v>4299</v>
      </c>
      <c r="G98" s="235" t="s">
        <v>4300</v>
      </c>
      <c r="H98" s="236" t="s">
        <v>4301</v>
      </c>
      <c r="I98" s="235" t="s">
        <v>4302</v>
      </c>
      <c r="J98" s="235" t="s">
        <v>4303</v>
      </c>
      <c r="K98" s="236" t="s">
        <v>4304</v>
      </c>
      <c r="L98" s="243"/>
      <c r="M98" s="243"/>
      <c r="N98" s="243"/>
      <c r="O98" s="243"/>
      <c r="P98" s="243"/>
      <c r="Q98" s="243"/>
      <c r="R98" s="243"/>
    </row>
    <row r="99" spans="2:18" ht="20" customHeight="1">
      <c r="B99" s="509" t="s">
        <v>4305</v>
      </c>
      <c r="C99" s="510" t="str">
        <f>wld_az1_rack3_pool_name</f>
        <v>Value Missing</v>
      </c>
      <c r="D99" s="247" t="s">
        <v>4306</v>
      </c>
      <c r="E99" s="18" t="str">
        <f>wld_az1_rack3_principal_storage_vlan</f>
        <v>Value Missing</v>
      </c>
      <c r="F99" s="18" t="str">
        <f>wld_az1_rack3_principal_storage_mtu</f>
        <v>Value Missing</v>
      </c>
      <c r="G99" s="18" t="str">
        <f>IF(wld_az1_rack3_principal_storage_cidr="Value Missing","Value Missing",LEFT(wld_az1_rack3_principal_storage_cidr,(FIND("/",wld_az1_rack3_principal_storage_cidr,1)-1)))</f>
        <v>Value Missing</v>
      </c>
      <c r="H99" s="18" t="str">
        <f>wld_az1_rack3_principal_storage_mask</f>
        <v>Value Missing</v>
      </c>
      <c r="I99" s="18" t="str">
        <f>wld_az1_rack3_principal_storage_gateway_ip</f>
        <v>Value Missing</v>
      </c>
      <c r="J99" s="18" t="str">
        <f>wld_az1_rack3_principal_storage_pool_start_ip</f>
        <v>Value Missing</v>
      </c>
      <c r="K99" s="18" t="str">
        <f>wld_az1_rack3_principal_storage_pool_end_ip</f>
        <v>Value Missing</v>
      </c>
      <c r="L99" s="243"/>
      <c r="M99" s="243"/>
      <c r="N99" s="243"/>
      <c r="O99" s="243"/>
      <c r="P99" s="243"/>
      <c r="Q99" s="243"/>
      <c r="R99" s="243"/>
    </row>
    <row r="100" spans="2:18" ht="20" customHeight="1">
      <c r="B100" s="509"/>
      <c r="C100" s="511"/>
      <c r="D100" s="247" t="s">
        <v>731</v>
      </c>
      <c r="E100" s="18" t="str">
        <f>wld_az1_rack3_vmotion_vlan</f>
        <v>Value Missing</v>
      </c>
      <c r="F100" s="18" t="str">
        <f>wld_az1_rack3_vmotion_mtu</f>
        <v>Value Missing</v>
      </c>
      <c r="G100" s="18" t="str">
        <f>IF(wld_az1_rack3_vmotion_cidr="Value Missing","Value Missing",LEFT(wld_az1_rack3_vmotion_cidr,(FIND("/",wld_az1_rack3_vmotion_cidr,1)-1)))</f>
        <v>Value Missing</v>
      </c>
      <c r="H100" s="18" t="str">
        <f>wld_az1_rack3_vmotion_mask</f>
        <v>Value Missing</v>
      </c>
      <c r="I100" s="18" t="str">
        <f>wld_az1_rack3_vmotion_gateway_ip</f>
        <v>Value Missing</v>
      </c>
      <c r="J100" s="18" t="str">
        <f>wld_az1_rack3_vmotion_pool_start_ip</f>
        <v>Value Missing</v>
      </c>
      <c r="K100" s="18" t="str">
        <f>wld_az1_rack3_vmotion_pool_end_ip</f>
        <v>Value Missing</v>
      </c>
      <c r="L100" s="243"/>
      <c r="M100" s="243"/>
      <c r="N100" s="243"/>
      <c r="O100" s="243"/>
      <c r="P100" s="243"/>
      <c r="Q100" s="243"/>
      <c r="R100" s="243"/>
    </row>
    <row r="101" spans="2:18" ht="20" customHeight="1">
      <c r="B101" s="509"/>
      <c r="C101" s="512"/>
      <c r="D101" s="247" t="s">
        <v>4307</v>
      </c>
      <c r="E101" s="18" t="str">
        <f>wld_az1_rack3_secondary_storage_vlan</f>
        <v>Value Missing</v>
      </c>
      <c r="F101" s="18" t="str">
        <f>wld_az1_rack3_secondary_storage_mtu</f>
        <v>Value Missing</v>
      </c>
      <c r="G101" s="18" t="str">
        <f>IF(wld_az1_rack3_secondary_storage_cidr="Value Missing","Value Missing",LEFT(wld_az1_rack3_secondary_storage_cidr,(FIND("/",wld_az1_rack3_secondary_storage_cidr,1)-1)))</f>
        <v>Value Missing</v>
      </c>
      <c r="H101" s="18" t="str">
        <f>IF(wld_az1_rack3_secondary_storage_cidr="Value Missing","Value Missing",VLOOKUP(INT(RIGHT(wld_az1_rack3_secondary_storage_cidr,LEN(wld_az1_rack3_secondary_storage_cidr)-FIND("/",wld_az1_rack3_secondary_storage_cidr))),table_cidr_to_mask,2,FALSE))</f>
        <v>Value Missing</v>
      </c>
      <c r="I101" s="18" t="str">
        <f>wld_az1_rack3_secondary_storage_gateway_ip</f>
        <v>Value Missing</v>
      </c>
      <c r="J101" s="18" t="str">
        <f>wld_az1_rack3_secondary_storage_pool_start_ip</f>
        <v>Value Missing</v>
      </c>
      <c r="K101" s="18" t="str">
        <f>wld_az1_rack3_secondary_storage_pool_end_ip</f>
        <v>Value Missing</v>
      </c>
      <c r="L101" s="243"/>
      <c r="M101" s="243"/>
      <c r="N101" s="243"/>
      <c r="O101" s="243"/>
      <c r="P101" s="243"/>
      <c r="Q101" s="243"/>
      <c r="R101" s="243"/>
    </row>
    <row r="102" spans="2:18" ht="20" customHeight="1">
      <c r="B102" s="427" t="s">
        <v>2171</v>
      </c>
      <c r="C102" s="428"/>
      <c r="D102" s="428"/>
      <c r="E102" s="428"/>
      <c r="F102" s="428"/>
      <c r="G102" s="428"/>
      <c r="H102" s="428"/>
      <c r="I102" s="428"/>
      <c r="J102" s="428"/>
      <c r="K102" s="428"/>
      <c r="L102" s="428"/>
      <c r="M102" s="428"/>
      <c r="N102" s="428"/>
      <c r="O102" s="428"/>
      <c r="P102" s="428"/>
      <c r="Q102" s="428"/>
      <c r="R102" s="428"/>
    </row>
    <row r="103" spans="2:18" ht="20" customHeight="1">
      <c r="B103" s="239" t="s">
        <v>4293</v>
      </c>
      <c r="C103" s="240"/>
      <c r="D103" s="240"/>
      <c r="E103" s="240"/>
      <c r="F103" s="240"/>
      <c r="G103" s="240"/>
      <c r="H103" s="240"/>
      <c r="I103" s="240"/>
      <c r="J103" s="240"/>
      <c r="K103" s="240"/>
      <c r="L103" s="240"/>
      <c r="M103" s="240"/>
      <c r="N103" s="240"/>
      <c r="O103" s="240"/>
      <c r="P103" s="240"/>
      <c r="Q103" s="240"/>
      <c r="R103" s="241"/>
    </row>
    <row r="104" spans="2:18" ht="20" customHeight="1">
      <c r="B104" s="52" t="s">
        <v>4163</v>
      </c>
      <c r="C104" s="18" t="str">
        <f t="shared" ref="C104:R104" si="29">IF(wld_principal_storage_chosen="vSAN-ESA","vSAN-ESA",IF(wld_principal_storage_chosen="vSAN-OSA","vSAN-OSA",IF(wld_principal_storage_chosen="NFS","NFS",IF(wld_principal_storage_chosen="VMFS on FC","VMFS on FC","vVOL"))))</f>
        <v>vSAN-ESA</v>
      </c>
      <c r="D104" s="18" t="str">
        <f t="shared" si="29"/>
        <v>vSAN-ESA</v>
      </c>
      <c r="E104" s="18" t="str">
        <f t="shared" si="29"/>
        <v>vSAN-ESA</v>
      </c>
      <c r="F104" s="18" t="str">
        <f t="shared" si="29"/>
        <v>vSAN-ESA</v>
      </c>
      <c r="G104" s="18" t="str">
        <f t="shared" si="29"/>
        <v>vSAN-ESA</v>
      </c>
      <c r="H104" s="18" t="str">
        <f t="shared" si="29"/>
        <v>vSAN-ESA</v>
      </c>
      <c r="I104" s="18" t="str">
        <f t="shared" si="29"/>
        <v>vSAN-ESA</v>
      </c>
      <c r="J104" s="18" t="str">
        <f t="shared" si="29"/>
        <v>vSAN-ESA</v>
      </c>
      <c r="K104" s="18" t="str">
        <f t="shared" si="29"/>
        <v>vSAN-ESA</v>
      </c>
      <c r="L104" s="18" t="str">
        <f t="shared" si="29"/>
        <v>vSAN-ESA</v>
      </c>
      <c r="M104" s="18" t="str">
        <f t="shared" si="29"/>
        <v>vSAN-ESA</v>
      </c>
      <c r="N104" s="18" t="str">
        <f t="shared" si="29"/>
        <v>vSAN-ESA</v>
      </c>
      <c r="O104" s="18" t="str">
        <f t="shared" si="29"/>
        <v>vSAN-ESA</v>
      </c>
      <c r="P104" s="18" t="str">
        <f t="shared" si="29"/>
        <v>vSAN-ESA</v>
      </c>
      <c r="Q104" s="18" t="str">
        <f t="shared" si="29"/>
        <v>vSAN-ESA</v>
      </c>
      <c r="R104" s="18" t="str">
        <f t="shared" si="29"/>
        <v>vSAN-ESA</v>
      </c>
    </row>
    <row r="105" spans="2:18" ht="20" customHeight="1">
      <c r="B105" s="52" t="s">
        <v>4164</v>
      </c>
      <c r="C105" s="18" t="str">
        <f t="shared" ref="C105:R105" si="30">IF(wld_principal_storage_chosen="vSAN-ESA","N/A",IF(wld_principal_storage_chosen="vSAN-OSA","N/A",IF(wld_principal_storage_chosen="NFS","N/A",IF(wld_principal_storage_chosen="VMFS on FC","N/A",RIGHT(wld_principal_storage_chosen,LEN(wld_principal_storage_chosen)-9)))))</f>
        <v>N/A</v>
      </c>
      <c r="D105" s="18" t="str">
        <f t="shared" si="30"/>
        <v>N/A</v>
      </c>
      <c r="E105" s="18" t="str">
        <f t="shared" si="30"/>
        <v>N/A</v>
      </c>
      <c r="F105" s="18" t="str">
        <f t="shared" si="30"/>
        <v>N/A</v>
      </c>
      <c r="G105" s="18" t="str">
        <f t="shared" si="30"/>
        <v>N/A</v>
      </c>
      <c r="H105" s="18" t="str">
        <f t="shared" si="30"/>
        <v>N/A</v>
      </c>
      <c r="I105" s="18" t="str">
        <f t="shared" si="30"/>
        <v>N/A</v>
      </c>
      <c r="J105" s="18" t="str">
        <f t="shared" si="30"/>
        <v>N/A</v>
      </c>
      <c r="K105" s="18" t="str">
        <f t="shared" si="30"/>
        <v>N/A</v>
      </c>
      <c r="L105" s="18" t="str">
        <f t="shared" si="30"/>
        <v>N/A</v>
      </c>
      <c r="M105" s="18" t="str">
        <f t="shared" si="30"/>
        <v>N/A</v>
      </c>
      <c r="N105" s="18" t="str">
        <f t="shared" si="30"/>
        <v>N/A</v>
      </c>
      <c r="O105" s="18" t="str">
        <f t="shared" si="30"/>
        <v>N/A</v>
      </c>
      <c r="P105" s="18" t="str">
        <f t="shared" si="30"/>
        <v>N/A</v>
      </c>
      <c r="Q105" s="18" t="str">
        <f t="shared" si="30"/>
        <v>N/A</v>
      </c>
      <c r="R105" s="18" t="str">
        <f t="shared" si="30"/>
        <v>N/A</v>
      </c>
    </row>
    <row r="106" spans="2:18" ht="20" customHeight="1">
      <c r="B106" s="52" t="s">
        <v>781</v>
      </c>
      <c r="C106" s="18" t="str">
        <f t="shared" ref="C106:R106" si="31">wld_az1_rack3_pool_name</f>
        <v>Value Missing</v>
      </c>
      <c r="D106" s="18" t="str">
        <f t="shared" si="31"/>
        <v>Value Missing</v>
      </c>
      <c r="E106" s="18" t="str">
        <f t="shared" si="31"/>
        <v>Value Missing</v>
      </c>
      <c r="F106" s="18" t="str">
        <f t="shared" si="31"/>
        <v>Value Missing</v>
      </c>
      <c r="G106" s="18" t="str">
        <f t="shared" si="31"/>
        <v>Value Missing</v>
      </c>
      <c r="H106" s="18" t="str">
        <f t="shared" si="31"/>
        <v>Value Missing</v>
      </c>
      <c r="I106" s="18" t="str">
        <f t="shared" si="31"/>
        <v>Value Missing</v>
      </c>
      <c r="J106" s="18" t="str">
        <f t="shared" si="31"/>
        <v>Value Missing</v>
      </c>
      <c r="K106" s="18" t="str">
        <f t="shared" si="31"/>
        <v>Value Missing</v>
      </c>
      <c r="L106" s="18" t="str">
        <f t="shared" si="31"/>
        <v>Value Missing</v>
      </c>
      <c r="M106" s="18" t="str">
        <f t="shared" si="31"/>
        <v>Value Missing</v>
      </c>
      <c r="N106" s="18" t="str">
        <f t="shared" si="31"/>
        <v>Value Missing</v>
      </c>
      <c r="O106" s="18" t="str">
        <f t="shared" si="31"/>
        <v>Value Missing</v>
      </c>
      <c r="P106" s="18" t="str">
        <f t="shared" si="31"/>
        <v>Value Missing</v>
      </c>
      <c r="Q106" s="18" t="str">
        <f t="shared" si="31"/>
        <v>Value Missing</v>
      </c>
      <c r="R106" s="18" t="str">
        <f t="shared" si="31"/>
        <v>Value Missing</v>
      </c>
    </row>
    <row r="107" spans="2:18" ht="20" customHeight="1">
      <c r="B107" s="52" t="s">
        <v>4165</v>
      </c>
      <c r="C107" s="18" t="s">
        <v>1352</v>
      </c>
      <c r="D107" s="18" t="s">
        <v>1352</v>
      </c>
      <c r="E107" s="18" t="s">
        <v>1352</v>
      </c>
      <c r="F107" s="18" t="s">
        <v>1352</v>
      </c>
      <c r="G107" s="18" t="s">
        <v>1352</v>
      </c>
      <c r="H107" s="18" t="s">
        <v>1352</v>
      </c>
      <c r="I107" s="18" t="s">
        <v>1352</v>
      </c>
      <c r="J107" s="18" t="s">
        <v>1352</v>
      </c>
      <c r="K107" s="18" t="s">
        <v>1352</v>
      </c>
      <c r="L107" s="18" t="s">
        <v>1352</v>
      </c>
      <c r="M107" s="18" t="s">
        <v>1352</v>
      </c>
      <c r="N107" s="18" t="s">
        <v>1352</v>
      </c>
      <c r="O107" s="18" t="s">
        <v>1352</v>
      </c>
      <c r="P107" s="18" t="s">
        <v>1352</v>
      </c>
      <c r="Q107" s="18" t="s">
        <v>1352</v>
      </c>
      <c r="R107" s="18" t="s">
        <v>1352</v>
      </c>
    </row>
    <row r="108" spans="2:18" ht="20" customHeight="1">
      <c r="B108" s="52" t="s">
        <v>1796</v>
      </c>
      <c r="C108" s="18" t="str">
        <f t="shared" ref="C108:R108" si="32">esxi_root_password</f>
        <v>Value Missing</v>
      </c>
      <c r="D108" s="18" t="str">
        <f t="shared" si="32"/>
        <v>Value Missing</v>
      </c>
      <c r="E108" s="18" t="str">
        <f t="shared" si="32"/>
        <v>Value Missing</v>
      </c>
      <c r="F108" s="18" t="str">
        <f t="shared" si="32"/>
        <v>Value Missing</v>
      </c>
      <c r="G108" s="18" t="str">
        <f t="shared" si="32"/>
        <v>Value Missing</v>
      </c>
      <c r="H108" s="18" t="str">
        <f t="shared" si="32"/>
        <v>Value Missing</v>
      </c>
      <c r="I108" s="18" t="str">
        <f t="shared" si="32"/>
        <v>Value Missing</v>
      </c>
      <c r="J108" s="18" t="str">
        <f t="shared" si="32"/>
        <v>Value Missing</v>
      </c>
      <c r="K108" s="18" t="str">
        <f t="shared" si="32"/>
        <v>Value Missing</v>
      </c>
      <c r="L108" s="18" t="str">
        <f t="shared" si="32"/>
        <v>Value Missing</v>
      </c>
      <c r="M108" s="18" t="str">
        <f t="shared" si="32"/>
        <v>Value Missing</v>
      </c>
      <c r="N108" s="18" t="str">
        <f t="shared" si="32"/>
        <v>Value Missing</v>
      </c>
      <c r="O108" s="18" t="str">
        <f t="shared" si="32"/>
        <v>Value Missing</v>
      </c>
      <c r="P108" s="18" t="str">
        <f t="shared" si="32"/>
        <v>Value Missing</v>
      </c>
      <c r="Q108" s="18" t="str">
        <f t="shared" si="32"/>
        <v>Value Missing</v>
      </c>
      <c r="R108" s="18" t="str">
        <f t="shared" si="32"/>
        <v>Value Missing</v>
      </c>
    </row>
    <row r="109" spans="2:18" ht="16" customHeight="1"/>
    <row r="110" spans="2:18" ht="34" customHeight="1">
      <c r="B110" s="505" t="s">
        <v>4309</v>
      </c>
      <c r="C110" s="505"/>
      <c r="D110" s="505"/>
      <c r="E110" s="505"/>
      <c r="F110" s="505"/>
      <c r="G110" s="505"/>
      <c r="H110" s="505"/>
      <c r="I110" s="505"/>
      <c r="J110" s="505"/>
      <c r="K110" s="505"/>
      <c r="L110" s="505"/>
      <c r="M110" s="505"/>
      <c r="N110" s="505"/>
      <c r="O110" s="505"/>
      <c r="P110" s="505"/>
      <c r="Q110" s="505"/>
      <c r="R110" s="505"/>
    </row>
    <row r="111" spans="2:18" ht="20" customHeight="1">
      <c r="B111" s="427" t="s">
        <v>1696</v>
      </c>
      <c r="C111" s="428"/>
      <c r="D111" s="428"/>
      <c r="E111" s="428"/>
      <c r="F111" s="428"/>
      <c r="G111" s="428"/>
      <c r="H111" s="428"/>
      <c r="I111" s="428"/>
      <c r="J111" s="428"/>
      <c r="K111" s="428"/>
      <c r="L111" s="428"/>
      <c r="M111" s="428"/>
      <c r="N111" s="428"/>
      <c r="O111" s="428"/>
      <c r="P111" s="428"/>
      <c r="Q111" s="428"/>
      <c r="R111" s="428"/>
    </row>
    <row r="112" spans="2:18" ht="20" customHeight="1">
      <c r="B112" s="234" t="s">
        <v>4293</v>
      </c>
      <c r="C112" s="235" t="s">
        <v>2193</v>
      </c>
      <c r="D112" s="236" t="s">
        <v>2194</v>
      </c>
      <c r="E112" s="235" t="s">
        <v>2195</v>
      </c>
      <c r="F112" s="235" t="s">
        <v>2196</v>
      </c>
      <c r="G112" s="235" t="s">
        <v>4175</v>
      </c>
      <c r="H112" s="235" t="s">
        <v>4176</v>
      </c>
      <c r="I112" s="235" t="s">
        <v>4177</v>
      </c>
      <c r="J112" s="235" t="s">
        <v>4178</v>
      </c>
      <c r="K112" s="235" t="s">
        <v>4179</v>
      </c>
      <c r="L112" s="235" t="s">
        <v>4180</v>
      </c>
      <c r="M112" s="235" t="s">
        <v>4181</v>
      </c>
      <c r="N112" s="235" t="s">
        <v>4182</v>
      </c>
      <c r="O112" s="235" t="s">
        <v>4183</v>
      </c>
      <c r="P112" s="235" t="s">
        <v>4184</v>
      </c>
      <c r="Q112" s="235" t="s">
        <v>4185</v>
      </c>
      <c r="R112" s="235" t="s">
        <v>4186</v>
      </c>
    </row>
    <row r="113" spans="2:18" ht="20" customHeight="1">
      <c r="B113" s="21" t="s">
        <v>1686</v>
      </c>
      <c r="C113" s="18" t="str">
        <f t="array" ref="C113:R113">TRANSPOSE(wld_az1_rack4_host_hostnames)</f>
        <v>Value Missing</v>
      </c>
      <c r="D113" s="18" t="str">
        <v>Value Missing</v>
      </c>
      <c r="E113" s="18" t="str">
        <v>Value Missing</v>
      </c>
      <c r="F113" s="18" t="str">
        <v>Value Missing</v>
      </c>
      <c r="G113" s="18" t="str">
        <v>Value Missing</v>
      </c>
      <c r="H113" s="18" t="str">
        <v>Value Missing</v>
      </c>
      <c r="I113" s="18" t="str">
        <v>Value Missing</v>
      </c>
      <c r="J113" s="18" t="str">
        <v>Value Missing</v>
      </c>
      <c r="K113" s="18" t="str">
        <v>Value Missing</v>
      </c>
      <c r="L113" s="18" t="str">
        <v>Value Missing</v>
      </c>
      <c r="M113" s="18" t="str">
        <v>Value Missing</v>
      </c>
      <c r="N113" s="18" t="str">
        <v>Value Missing</v>
      </c>
      <c r="O113" s="18" t="str">
        <v>Value Missing</v>
      </c>
      <c r="P113" s="18" t="str">
        <v>Value Missing</v>
      </c>
      <c r="Q113" s="18" t="str">
        <v>Value Missing</v>
      </c>
      <c r="R113" s="18" t="str">
        <v>Value Missing</v>
      </c>
    </row>
    <row r="114" spans="2:18" ht="20" customHeight="1">
      <c r="B114" s="21" t="s">
        <v>1695</v>
      </c>
      <c r="C114" s="18" t="str">
        <f t="shared" ref="C114:R114" si="33">esxi_root_password</f>
        <v>Value Missing</v>
      </c>
      <c r="D114" s="18" t="str">
        <f t="shared" si="33"/>
        <v>Value Missing</v>
      </c>
      <c r="E114" s="18" t="str">
        <f t="shared" si="33"/>
        <v>Value Missing</v>
      </c>
      <c r="F114" s="18" t="str">
        <f t="shared" si="33"/>
        <v>Value Missing</v>
      </c>
      <c r="G114" s="18" t="str">
        <f t="shared" si="33"/>
        <v>Value Missing</v>
      </c>
      <c r="H114" s="18" t="str">
        <f t="shared" si="33"/>
        <v>Value Missing</v>
      </c>
      <c r="I114" s="18" t="str">
        <f t="shared" si="33"/>
        <v>Value Missing</v>
      </c>
      <c r="J114" s="18" t="str">
        <f t="shared" si="33"/>
        <v>Value Missing</v>
      </c>
      <c r="K114" s="18" t="str">
        <f t="shared" si="33"/>
        <v>Value Missing</v>
      </c>
      <c r="L114" s="18" t="str">
        <f t="shared" si="33"/>
        <v>Value Missing</v>
      </c>
      <c r="M114" s="18" t="str">
        <f t="shared" si="33"/>
        <v>Value Missing</v>
      </c>
      <c r="N114" s="18" t="str">
        <f t="shared" si="33"/>
        <v>Value Missing</v>
      </c>
      <c r="O114" s="18" t="str">
        <f t="shared" si="33"/>
        <v>Value Missing</v>
      </c>
      <c r="P114" s="18" t="str">
        <f t="shared" si="33"/>
        <v>Value Missing</v>
      </c>
      <c r="Q114" s="18" t="str">
        <f t="shared" si="33"/>
        <v>Value Missing</v>
      </c>
      <c r="R114" s="18" t="str">
        <f t="shared" si="33"/>
        <v>Value Missing</v>
      </c>
    </row>
    <row r="115" spans="2:18" ht="20" customHeight="1">
      <c r="B115" s="21" t="s">
        <v>4295</v>
      </c>
      <c r="C115" s="18" t="str">
        <f t="shared" ref="C115:R115" si="34">wld_az1_rack4_mgmt_vlan</f>
        <v>Value Missing</v>
      </c>
      <c r="D115" s="18" t="str">
        <f t="shared" si="34"/>
        <v>Value Missing</v>
      </c>
      <c r="E115" s="18" t="str">
        <f t="shared" si="34"/>
        <v>Value Missing</v>
      </c>
      <c r="F115" s="18" t="str">
        <f t="shared" si="34"/>
        <v>Value Missing</v>
      </c>
      <c r="G115" s="18" t="str">
        <f t="shared" si="34"/>
        <v>Value Missing</v>
      </c>
      <c r="H115" s="18" t="str">
        <f t="shared" si="34"/>
        <v>Value Missing</v>
      </c>
      <c r="I115" s="18" t="str">
        <f t="shared" si="34"/>
        <v>Value Missing</v>
      </c>
      <c r="J115" s="18" t="str">
        <f t="shared" si="34"/>
        <v>Value Missing</v>
      </c>
      <c r="K115" s="18" t="str">
        <f t="shared" si="34"/>
        <v>Value Missing</v>
      </c>
      <c r="L115" s="18" t="str">
        <f t="shared" si="34"/>
        <v>Value Missing</v>
      </c>
      <c r="M115" s="18" t="str">
        <f t="shared" si="34"/>
        <v>Value Missing</v>
      </c>
      <c r="N115" s="18" t="str">
        <f t="shared" si="34"/>
        <v>Value Missing</v>
      </c>
      <c r="O115" s="18" t="str">
        <f t="shared" si="34"/>
        <v>Value Missing</v>
      </c>
      <c r="P115" s="18" t="str">
        <f t="shared" si="34"/>
        <v>Value Missing</v>
      </c>
      <c r="Q115" s="18" t="str">
        <f t="shared" si="34"/>
        <v>Value Missing</v>
      </c>
      <c r="R115" s="18" t="str">
        <f t="shared" si="34"/>
        <v>Value Missing</v>
      </c>
    </row>
    <row r="116" spans="2:18" ht="20" customHeight="1">
      <c r="B116" s="21" t="s">
        <v>4291</v>
      </c>
      <c r="C116" s="18" t="str">
        <f t="array" ref="C116:R116">TRANSPOSE(wld_az1_rack4_host_mgmt_ips)</f>
        <v>Value Missing</v>
      </c>
      <c r="D116" s="18" t="str">
        <v>Value Missing</v>
      </c>
      <c r="E116" s="18" t="str">
        <v>Value Missing</v>
      </c>
      <c r="F116" s="18" t="str">
        <v>Value Missing</v>
      </c>
      <c r="G116" s="18" t="str">
        <v>Value Missing</v>
      </c>
      <c r="H116" s="18" t="str">
        <v>Value Missing</v>
      </c>
      <c r="I116" s="18" t="str">
        <v>Value Missing</v>
      </c>
      <c r="J116" s="18" t="str">
        <v>Value Missing</v>
      </c>
      <c r="K116" s="18" t="str">
        <v>Value Missing</v>
      </c>
      <c r="L116" s="18" t="str">
        <v>Value Missing</v>
      </c>
      <c r="M116" s="18" t="str">
        <v>Value Missing</v>
      </c>
      <c r="N116" s="18" t="str">
        <v>Value Missing</v>
      </c>
      <c r="O116" s="18" t="str">
        <v>Value Missing</v>
      </c>
      <c r="P116" s="18" t="str">
        <v>Value Missing</v>
      </c>
      <c r="Q116" s="18" t="str">
        <v>Value Missing</v>
      </c>
      <c r="R116" s="18" t="str">
        <v>Value Missing</v>
      </c>
    </row>
    <row r="117" spans="2:18" ht="20" customHeight="1">
      <c r="B117" s="21" t="s">
        <v>1702</v>
      </c>
      <c r="C117" s="18" t="str">
        <f t="shared" ref="C117:R117" si="35">wld_az1_rack4_mgmt_mask</f>
        <v>Value Missing</v>
      </c>
      <c r="D117" s="18" t="str">
        <f t="shared" si="35"/>
        <v>Value Missing</v>
      </c>
      <c r="E117" s="18" t="str">
        <f t="shared" si="35"/>
        <v>Value Missing</v>
      </c>
      <c r="F117" s="18" t="str">
        <f t="shared" si="35"/>
        <v>Value Missing</v>
      </c>
      <c r="G117" s="18" t="str">
        <f t="shared" si="35"/>
        <v>Value Missing</v>
      </c>
      <c r="H117" s="18" t="str">
        <f t="shared" si="35"/>
        <v>Value Missing</v>
      </c>
      <c r="I117" s="18" t="str">
        <f t="shared" si="35"/>
        <v>Value Missing</v>
      </c>
      <c r="J117" s="18" t="str">
        <f t="shared" si="35"/>
        <v>Value Missing</v>
      </c>
      <c r="K117" s="18" t="str">
        <f t="shared" si="35"/>
        <v>Value Missing</v>
      </c>
      <c r="L117" s="18" t="str">
        <f t="shared" si="35"/>
        <v>Value Missing</v>
      </c>
      <c r="M117" s="18" t="str">
        <f t="shared" si="35"/>
        <v>Value Missing</v>
      </c>
      <c r="N117" s="18" t="str">
        <f t="shared" si="35"/>
        <v>Value Missing</v>
      </c>
      <c r="O117" s="18" t="str">
        <f t="shared" si="35"/>
        <v>Value Missing</v>
      </c>
      <c r="P117" s="18" t="str">
        <f t="shared" si="35"/>
        <v>Value Missing</v>
      </c>
      <c r="Q117" s="18" t="str">
        <f t="shared" si="35"/>
        <v>Value Missing</v>
      </c>
      <c r="R117" s="18" t="str">
        <f t="shared" si="35"/>
        <v>Value Missing</v>
      </c>
    </row>
    <row r="118" spans="2:18" ht="20" customHeight="1">
      <c r="B118" s="21" t="s">
        <v>1689</v>
      </c>
      <c r="C118" s="18" t="str">
        <f t="shared" ref="C118:R118" si="36">wld_az1_rack4_mgmt_gateway_ip</f>
        <v>Value Missing</v>
      </c>
      <c r="D118" s="18" t="str">
        <f t="shared" si="36"/>
        <v>Value Missing</v>
      </c>
      <c r="E118" s="18" t="str">
        <f t="shared" si="36"/>
        <v>Value Missing</v>
      </c>
      <c r="F118" s="18" t="str">
        <f t="shared" si="36"/>
        <v>Value Missing</v>
      </c>
      <c r="G118" s="18" t="str">
        <f t="shared" si="36"/>
        <v>Value Missing</v>
      </c>
      <c r="H118" s="18" t="str">
        <f t="shared" si="36"/>
        <v>Value Missing</v>
      </c>
      <c r="I118" s="18" t="str">
        <f t="shared" si="36"/>
        <v>Value Missing</v>
      </c>
      <c r="J118" s="18" t="str">
        <f t="shared" si="36"/>
        <v>Value Missing</v>
      </c>
      <c r="K118" s="18" t="str">
        <f t="shared" si="36"/>
        <v>Value Missing</v>
      </c>
      <c r="L118" s="18" t="str">
        <f t="shared" si="36"/>
        <v>Value Missing</v>
      </c>
      <c r="M118" s="18" t="str">
        <f t="shared" si="36"/>
        <v>Value Missing</v>
      </c>
      <c r="N118" s="18" t="str">
        <f t="shared" si="36"/>
        <v>Value Missing</v>
      </c>
      <c r="O118" s="18" t="str">
        <f t="shared" si="36"/>
        <v>Value Missing</v>
      </c>
      <c r="P118" s="18" t="str">
        <f t="shared" si="36"/>
        <v>Value Missing</v>
      </c>
      <c r="Q118" s="18" t="str">
        <f t="shared" si="36"/>
        <v>Value Missing</v>
      </c>
      <c r="R118" s="18" t="str">
        <f t="shared" si="36"/>
        <v>Value Missing</v>
      </c>
    </row>
    <row r="119" spans="2:18" ht="20" customHeight="1">
      <c r="B119" s="21" t="s">
        <v>1703</v>
      </c>
      <c r="C119" s="18" t="str">
        <f t="shared" ref="C119:R119" si="37">region_dns1_ip</f>
        <v>Value Missing</v>
      </c>
      <c r="D119" s="18" t="str">
        <f t="shared" si="37"/>
        <v>Value Missing</v>
      </c>
      <c r="E119" s="18" t="str">
        <f t="shared" si="37"/>
        <v>Value Missing</v>
      </c>
      <c r="F119" s="18" t="str">
        <f t="shared" si="37"/>
        <v>Value Missing</v>
      </c>
      <c r="G119" s="18" t="str">
        <f t="shared" si="37"/>
        <v>Value Missing</v>
      </c>
      <c r="H119" s="18" t="str">
        <f t="shared" si="37"/>
        <v>Value Missing</v>
      </c>
      <c r="I119" s="18" t="str">
        <f t="shared" si="37"/>
        <v>Value Missing</v>
      </c>
      <c r="J119" s="18" t="str">
        <f t="shared" si="37"/>
        <v>Value Missing</v>
      </c>
      <c r="K119" s="18" t="str">
        <f t="shared" si="37"/>
        <v>Value Missing</v>
      </c>
      <c r="L119" s="18" t="str">
        <f t="shared" si="37"/>
        <v>Value Missing</v>
      </c>
      <c r="M119" s="18" t="str">
        <f t="shared" si="37"/>
        <v>Value Missing</v>
      </c>
      <c r="N119" s="18" t="str">
        <f t="shared" si="37"/>
        <v>Value Missing</v>
      </c>
      <c r="O119" s="18" t="str">
        <f t="shared" si="37"/>
        <v>Value Missing</v>
      </c>
      <c r="P119" s="18" t="str">
        <f t="shared" si="37"/>
        <v>Value Missing</v>
      </c>
      <c r="Q119" s="18" t="str">
        <f t="shared" si="37"/>
        <v>Value Missing</v>
      </c>
      <c r="R119" s="18" t="str">
        <f t="shared" si="37"/>
        <v>Value Missing</v>
      </c>
    </row>
    <row r="120" spans="2:18" ht="20" customHeight="1">
      <c r="B120" s="21" t="s">
        <v>1704</v>
      </c>
      <c r="C120" s="18" t="str">
        <f t="shared" ref="C120:R120" si="38">region_dns2_ip</f>
        <v>Value Missing</v>
      </c>
      <c r="D120" s="18" t="str">
        <f t="shared" si="38"/>
        <v>Value Missing</v>
      </c>
      <c r="E120" s="18" t="str">
        <f t="shared" si="38"/>
        <v>Value Missing</v>
      </c>
      <c r="F120" s="18" t="str">
        <f t="shared" si="38"/>
        <v>Value Missing</v>
      </c>
      <c r="G120" s="18" t="str">
        <f t="shared" si="38"/>
        <v>Value Missing</v>
      </c>
      <c r="H120" s="18" t="str">
        <f t="shared" si="38"/>
        <v>Value Missing</v>
      </c>
      <c r="I120" s="18" t="str">
        <f t="shared" si="38"/>
        <v>Value Missing</v>
      </c>
      <c r="J120" s="18" t="str">
        <f t="shared" si="38"/>
        <v>Value Missing</v>
      </c>
      <c r="K120" s="18" t="str">
        <f t="shared" si="38"/>
        <v>Value Missing</v>
      </c>
      <c r="L120" s="18" t="str">
        <f t="shared" si="38"/>
        <v>Value Missing</v>
      </c>
      <c r="M120" s="18" t="str">
        <f t="shared" si="38"/>
        <v>Value Missing</v>
      </c>
      <c r="N120" s="18" t="str">
        <f t="shared" si="38"/>
        <v>Value Missing</v>
      </c>
      <c r="O120" s="18" t="str">
        <f t="shared" si="38"/>
        <v>Value Missing</v>
      </c>
      <c r="P120" s="18" t="str">
        <f t="shared" si="38"/>
        <v>Value Missing</v>
      </c>
      <c r="Q120" s="18" t="str">
        <f t="shared" si="38"/>
        <v>Value Missing</v>
      </c>
      <c r="R120" s="18" t="str">
        <f t="shared" si="38"/>
        <v>Value Missing</v>
      </c>
    </row>
    <row r="121" spans="2:18" ht="20" customHeight="1">
      <c r="B121" s="427" t="s">
        <v>1709</v>
      </c>
      <c r="C121" s="428"/>
      <c r="D121" s="428"/>
      <c r="E121" s="428"/>
      <c r="F121" s="428"/>
      <c r="G121" s="428"/>
      <c r="H121" s="428"/>
      <c r="I121" s="428"/>
      <c r="J121" s="428"/>
      <c r="K121" s="428"/>
      <c r="L121" s="428"/>
      <c r="M121" s="428"/>
      <c r="N121" s="428"/>
      <c r="O121" s="428"/>
      <c r="P121" s="428"/>
      <c r="Q121" s="428"/>
      <c r="R121" s="428"/>
    </row>
    <row r="122" spans="2:18" ht="20" customHeight="1">
      <c r="B122" s="21" t="s">
        <v>4292</v>
      </c>
      <c r="C122" s="18" t="str">
        <f t="shared" ref="C122:R122" si="39">IF(wld_dpg_separation_result="Included",wld_az1_rack4_mgmt_vm_vlan,wld_az1_rack4_mgmt_vlan)</f>
        <v>Value Missing</v>
      </c>
      <c r="D122" s="18" t="str">
        <f t="shared" si="39"/>
        <v>Value Missing</v>
      </c>
      <c r="E122" s="18" t="str">
        <f t="shared" si="39"/>
        <v>Value Missing</v>
      </c>
      <c r="F122" s="18" t="str">
        <f t="shared" si="39"/>
        <v>Value Missing</v>
      </c>
      <c r="G122" s="18" t="str">
        <f t="shared" si="39"/>
        <v>Value Missing</v>
      </c>
      <c r="H122" s="18" t="str">
        <f t="shared" si="39"/>
        <v>Value Missing</v>
      </c>
      <c r="I122" s="18" t="str">
        <f t="shared" si="39"/>
        <v>Value Missing</v>
      </c>
      <c r="J122" s="18" t="str">
        <f t="shared" si="39"/>
        <v>Value Missing</v>
      </c>
      <c r="K122" s="18" t="str">
        <f t="shared" si="39"/>
        <v>Value Missing</v>
      </c>
      <c r="L122" s="18" t="str">
        <f t="shared" si="39"/>
        <v>Value Missing</v>
      </c>
      <c r="M122" s="18" t="str">
        <f t="shared" si="39"/>
        <v>Value Missing</v>
      </c>
      <c r="N122" s="18" t="str">
        <f t="shared" si="39"/>
        <v>Value Missing</v>
      </c>
      <c r="O122" s="18" t="str">
        <f t="shared" si="39"/>
        <v>Value Missing</v>
      </c>
      <c r="P122" s="18" t="str">
        <f t="shared" si="39"/>
        <v>Value Missing</v>
      </c>
      <c r="Q122" s="18" t="str">
        <f t="shared" si="39"/>
        <v>Value Missing</v>
      </c>
      <c r="R122" s="18" t="str">
        <f t="shared" si="39"/>
        <v>Value Missing</v>
      </c>
    </row>
    <row r="123" spans="2:18" ht="20" customHeight="1">
      <c r="B123" s="427" t="s">
        <v>1714</v>
      </c>
      <c r="C123" s="428"/>
      <c r="D123" s="428"/>
      <c r="E123" s="428"/>
      <c r="F123" s="428"/>
      <c r="G123" s="428"/>
      <c r="H123" s="428"/>
      <c r="I123" s="428"/>
      <c r="J123" s="428"/>
      <c r="K123" s="428"/>
      <c r="L123" s="428"/>
      <c r="M123" s="428"/>
      <c r="N123" s="428"/>
      <c r="O123" s="428"/>
      <c r="P123" s="428"/>
      <c r="Q123" s="428"/>
      <c r="R123" s="428"/>
    </row>
    <row r="124" spans="2:18" ht="20" customHeight="1">
      <c r="B124" s="52" t="s">
        <v>1716</v>
      </c>
      <c r="C124" s="18" t="str">
        <f t="array" ref="C124:C125">region_ntp_servers_array</f>
        <v>Value Missing</v>
      </c>
      <c r="D124" s="18" t="str">
        <f t="array" ref="D124:D125">region_ntp_servers_array</f>
        <v>Value Missing</v>
      </c>
      <c r="E124" s="18" t="str">
        <f t="array" ref="E124:E125">region_ntp_servers_array</f>
        <v>Value Missing</v>
      </c>
      <c r="F124" s="18" t="str">
        <f t="array" ref="F124:F125">region_ntp_servers_array</f>
        <v>Value Missing</v>
      </c>
      <c r="G124" s="18" t="str">
        <f t="array" ref="G124:G125">region_ntp_servers_array</f>
        <v>Value Missing</v>
      </c>
      <c r="H124" s="18" t="str">
        <f t="array" ref="H124:H125">region_ntp_servers_array</f>
        <v>Value Missing</v>
      </c>
      <c r="I124" s="18" t="str">
        <f t="array" ref="I124:I125">region_ntp_servers_array</f>
        <v>Value Missing</v>
      </c>
      <c r="J124" s="18" t="str">
        <f t="array" ref="J124:J125">region_ntp_servers_array</f>
        <v>Value Missing</v>
      </c>
      <c r="K124" s="18" t="str">
        <f t="array" ref="K124:K125">region_ntp_servers_array</f>
        <v>Value Missing</v>
      </c>
      <c r="L124" s="18" t="str">
        <f t="array" ref="L124:L125">region_ntp_servers_array</f>
        <v>Value Missing</v>
      </c>
      <c r="M124" s="18" t="str">
        <f t="array" ref="M124:M125">region_ntp_servers_array</f>
        <v>Value Missing</v>
      </c>
      <c r="N124" s="18" t="str">
        <f t="array" ref="N124:N125">region_ntp_servers_array</f>
        <v>Value Missing</v>
      </c>
      <c r="O124" s="18" t="str">
        <f t="array" ref="O124:O125">region_ntp_servers_array</f>
        <v>Value Missing</v>
      </c>
      <c r="P124" s="18" t="str">
        <f t="array" ref="P124:P125">region_ntp_servers_array</f>
        <v>Value Missing</v>
      </c>
      <c r="Q124" s="18" t="str">
        <f t="array" ref="Q124:Q125">region_ntp_servers_array</f>
        <v>Value Missing</v>
      </c>
      <c r="R124" s="18" t="str">
        <f t="array" ref="R124:R125">region_ntp_servers_array</f>
        <v>Value Missing</v>
      </c>
    </row>
    <row r="125" spans="2:18" ht="20" customHeight="1">
      <c r="B125" s="52" t="s">
        <v>1716</v>
      </c>
      <c r="C125" s="18" t="str">
        <v>Value Missing</v>
      </c>
      <c r="D125" s="18" t="str">
        <v>Value Missing</v>
      </c>
      <c r="E125" s="18" t="str">
        <v>Value Missing</v>
      </c>
      <c r="F125" s="18" t="str">
        <v>Value Missing</v>
      </c>
      <c r="G125" s="18" t="str">
        <v>Value Missing</v>
      </c>
      <c r="H125" s="18" t="str">
        <v>Value Missing</v>
      </c>
      <c r="I125" s="18" t="str">
        <v>Value Missing</v>
      </c>
      <c r="J125" s="18" t="str">
        <v>Value Missing</v>
      </c>
      <c r="K125" s="18" t="str">
        <v>Value Missing</v>
      </c>
      <c r="L125" s="18" t="str">
        <v>Value Missing</v>
      </c>
      <c r="M125" s="18" t="str">
        <v>Value Missing</v>
      </c>
      <c r="N125" s="18" t="str">
        <v>Value Missing</v>
      </c>
      <c r="O125" s="18" t="str">
        <v>Value Missing</v>
      </c>
      <c r="P125" s="18" t="str">
        <v>Value Missing</v>
      </c>
      <c r="Q125" s="18" t="str">
        <v>Value Missing</v>
      </c>
      <c r="R125" s="18" t="str">
        <v>Value Missing</v>
      </c>
    </row>
    <row r="126" spans="2:18" ht="20" customHeight="1">
      <c r="B126" s="427" t="s">
        <v>1717</v>
      </c>
      <c r="C126" s="428"/>
      <c r="D126" s="428"/>
      <c r="E126" s="428"/>
      <c r="F126" s="428"/>
      <c r="G126" s="428"/>
      <c r="H126" s="428"/>
      <c r="I126" s="428"/>
      <c r="J126" s="428"/>
      <c r="K126" s="428"/>
      <c r="L126" s="428"/>
      <c r="M126" s="428"/>
      <c r="N126" s="428"/>
      <c r="O126" s="428"/>
      <c r="P126" s="428"/>
      <c r="Q126" s="428"/>
      <c r="R126" s="428"/>
    </row>
    <row r="127" spans="2:18" ht="20" customHeight="1">
      <c r="B127" s="239" t="s">
        <v>4293</v>
      </c>
      <c r="C127" s="504" t="s">
        <v>4296</v>
      </c>
      <c r="D127" s="504"/>
      <c r="E127" s="240"/>
      <c r="F127" s="240"/>
      <c r="G127" s="240"/>
      <c r="H127" s="240"/>
      <c r="I127" s="240"/>
      <c r="J127" s="240"/>
      <c r="K127" s="240"/>
      <c r="L127" s="240"/>
      <c r="M127" s="240"/>
      <c r="N127" s="240"/>
      <c r="O127" s="240"/>
      <c r="P127" s="240"/>
      <c r="Q127" s="240"/>
      <c r="R127" s="241"/>
    </row>
    <row r="128" spans="2:18" ht="20" customHeight="1">
      <c r="B128" s="427" t="s">
        <v>1719</v>
      </c>
      <c r="C128" s="428"/>
      <c r="D128" s="428"/>
      <c r="E128" s="428"/>
      <c r="F128" s="428"/>
      <c r="G128" s="428"/>
      <c r="H128" s="428"/>
      <c r="I128" s="428"/>
      <c r="J128" s="428"/>
      <c r="K128" s="428"/>
      <c r="L128" s="428"/>
      <c r="M128" s="428"/>
      <c r="N128" s="428"/>
      <c r="O128" s="428"/>
      <c r="P128" s="428"/>
      <c r="Q128" s="428"/>
      <c r="R128" s="428"/>
    </row>
    <row r="129" spans="2:18" ht="20" customHeight="1">
      <c r="B129" s="239" t="s">
        <v>4293</v>
      </c>
      <c r="C129" s="504" t="s">
        <v>4296</v>
      </c>
      <c r="D129" s="504"/>
      <c r="E129" s="240"/>
      <c r="F129" s="240"/>
      <c r="G129" s="240"/>
      <c r="H129" s="240"/>
      <c r="I129" s="240"/>
      <c r="J129" s="240"/>
      <c r="K129" s="240"/>
      <c r="L129" s="240"/>
      <c r="M129" s="240"/>
      <c r="N129" s="240"/>
      <c r="O129" s="240"/>
      <c r="P129" s="240"/>
      <c r="Q129" s="240"/>
      <c r="R129" s="241"/>
    </row>
    <row r="130" spans="2:18" ht="20" customHeight="1">
      <c r="B130" s="427" t="s">
        <v>2170</v>
      </c>
      <c r="C130" s="428"/>
      <c r="D130" s="428"/>
      <c r="E130" s="428"/>
      <c r="F130" s="428"/>
      <c r="G130" s="428"/>
      <c r="H130" s="428"/>
      <c r="I130" s="428"/>
      <c r="J130" s="428"/>
      <c r="K130" s="428"/>
      <c r="L130" s="428"/>
      <c r="M130" s="428"/>
      <c r="N130" s="428"/>
      <c r="O130" s="428"/>
      <c r="P130" s="428"/>
      <c r="Q130" s="428"/>
      <c r="R130" s="428"/>
    </row>
    <row r="131" spans="2:18" ht="20" customHeight="1">
      <c r="B131" s="242" t="s">
        <v>4293</v>
      </c>
      <c r="C131" s="242" t="s">
        <v>735</v>
      </c>
      <c r="D131" s="236" t="s">
        <v>4297</v>
      </c>
      <c r="E131" s="236" t="s">
        <v>4298</v>
      </c>
      <c r="F131" s="235" t="s">
        <v>4299</v>
      </c>
      <c r="G131" s="235" t="s">
        <v>4300</v>
      </c>
      <c r="H131" s="236" t="s">
        <v>4301</v>
      </c>
      <c r="I131" s="235" t="s">
        <v>4302</v>
      </c>
      <c r="J131" s="235" t="s">
        <v>4303</v>
      </c>
      <c r="K131" s="236" t="s">
        <v>4304</v>
      </c>
      <c r="L131" s="243"/>
      <c r="M131" s="243"/>
      <c r="N131" s="243"/>
      <c r="O131" s="243"/>
      <c r="P131" s="243"/>
      <c r="Q131" s="243"/>
      <c r="R131" s="243"/>
    </row>
    <row r="132" spans="2:18" ht="20" customHeight="1">
      <c r="B132" s="509" t="s">
        <v>4305</v>
      </c>
      <c r="C132" s="510" t="str">
        <f>wld_az1_rack4_pool_name</f>
        <v>Value Missing</v>
      </c>
      <c r="D132" s="247" t="s">
        <v>4306</v>
      </c>
      <c r="E132" s="18" t="str">
        <f>wld_az1_rack4_principal_storage_vlan</f>
        <v>Value Missing</v>
      </c>
      <c r="F132" s="18" t="str">
        <f>wld_az1_rack4_principal_storage_mtu</f>
        <v>Value Missing</v>
      </c>
      <c r="G132" s="18" t="str">
        <f>IF(wld_az1_rack4_principal_storage_cidr="Value Missing","Value Missing",LEFT(wld_az1_rack4_principal_storage_cidr,(FIND("/",wld_az1_rack4_principal_storage_cidr,1)-1)))</f>
        <v>Value Missing</v>
      </c>
      <c r="H132" s="18" t="str">
        <f>wld_az1_rack4_principal_storage_mask</f>
        <v>Value Missing</v>
      </c>
      <c r="I132" s="18" t="str">
        <f>wld_az1_rack4_principal_storage_gateway_ip</f>
        <v>Value Missing</v>
      </c>
      <c r="J132" s="18" t="str">
        <f>wld_az1_rack4_principal_storage_pool_start_ip</f>
        <v>Value Missing</v>
      </c>
      <c r="K132" s="18" t="str">
        <f>wld_az1_rack4_principal_storage_pool_end_ip</f>
        <v>Value Missing</v>
      </c>
      <c r="L132" s="243"/>
      <c r="M132" s="243"/>
      <c r="N132" s="243"/>
      <c r="O132" s="243"/>
      <c r="P132" s="243"/>
      <c r="Q132" s="243"/>
      <c r="R132" s="243"/>
    </row>
    <row r="133" spans="2:18" ht="20" customHeight="1">
      <c r="B133" s="509"/>
      <c r="C133" s="511"/>
      <c r="D133" s="247" t="s">
        <v>731</v>
      </c>
      <c r="E133" s="18" t="str">
        <f>wld_az1_rack4_vmotion_vlan</f>
        <v>Value Missing</v>
      </c>
      <c r="F133" s="18" t="str">
        <f>wld_az1_rack4_vmotion_mtu</f>
        <v>Value Missing</v>
      </c>
      <c r="G133" s="18" t="str">
        <f>IF(wld_az1_rack4_vmotion_cidr="Value Missing","Value Missing",LEFT(wld_az1_rack4_vmotion_cidr,(FIND("/",wld_az1_rack4_vmotion_cidr,1)-1)))</f>
        <v>Value Missing</v>
      </c>
      <c r="H133" s="18" t="str">
        <f>wld_az1_rack4_vmotion_mask</f>
        <v>Value Missing</v>
      </c>
      <c r="I133" s="18" t="str">
        <f>wld_az1_rack4_vmotion_gateway_ip</f>
        <v>Value Missing</v>
      </c>
      <c r="J133" s="18" t="str">
        <f>wld_az1_rack4_vmotion_pool_start_ip</f>
        <v>Value Missing</v>
      </c>
      <c r="K133" s="18" t="str">
        <f>wld_az1_rack4_vmotion_pool_end_ip</f>
        <v>Value Missing</v>
      </c>
      <c r="L133" s="243"/>
      <c r="M133" s="243"/>
      <c r="N133" s="243"/>
      <c r="O133" s="243"/>
      <c r="P133" s="243"/>
      <c r="Q133" s="243"/>
      <c r="R133" s="243"/>
    </row>
    <row r="134" spans="2:18" ht="20" customHeight="1">
      <c r="B134" s="509"/>
      <c r="C134" s="512"/>
      <c r="D134" s="247" t="s">
        <v>4307</v>
      </c>
      <c r="E134" s="18" t="str">
        <f>wld_az1_rack4_secondary_storage_vlan</f>
        <v>Value Missing</v>
      </c>
      <c r="F134" s="18" t="str">
        <f>wld_az1_rack4_secondary_storage_mtu</f>
        <v>Value Missing</v>
      </c>
      <c r="G134" s="18" t="str">
        <f>IF(wld_az1_rack4_secondary_storage_cidr="Value Missing","Value Missing",LEFT(wld_az1_rack4_secondary_storage_cidr,(FIND("/",wld_az1_rack4_secondary_storage_cidr,1)-1)))</f>
        <v>Value Missing</v>
      </c>
      <c r="H134" s="18" t="str">
        <f>IF(wld_az1_rack4_secondary_storage_cidr="Value Missing","Value Missing",VLOOKUP(INT(RIGHT(wld_az1_rack4_secondary_storage_cidr,LEN(wld_az1_rack4_secondary_storage_cidr)-FIND("/",wld_az1_rack4_secondary_storage_cidr))),table_cidr_to_mask,2,FALSE))</f>
        <v>Value Missing</v>
      </c>
      <c r="I134" s="18" t="str">
        <f>wld_az1_rack4_secondary_storage_gateway_ip</f>
        <v>Value Missing</v>
      </c>
      <c r="J134" s="18" t="str">
        <f>wld_az1_rack4_secondary_storage_pool_start_ip</f>
        <v>Value Missing</v>
      </c>
      <c r="K134" s="18" t="str">
        <f>wld_az1_rack4_secondary_storage_pool_end_ip</f>
        <v>Value Missing</v>
      </c>
      <c r="L134" s="243"/>
      <c r="M134" s="243"/>
      <c r="N134" s="243"/>
      <c r="O134" s="243"/>
      <c r="P134" s="243"/>
      <c r="Q134" s="243"/>
      <c r="R134" s="243"/>
    </row>
    <row r="135" spans="2:18" ht="20" customHeight="1">
      <c r="B135" s="427" t="s">
        <v>2171</v>
      </c>
      <c r="C135" s="428"/>
      <c r="D135" s="428"/>
      <c r="E135" s="428"/>
      <c r="F135" s="428"/>
      <c r="G135" s="428"/>
      <c r="H135" s="428"/>
      <c r="I135" s="428"/>
      <c r="J135" s="428"/>
      <c r="K135" s="428"/>
      <c r="L135" s="428"/>
      <c r="M135" s="428"/>
      <c r="N135" s="428"/>
      <c r="O135" s="428"/>
      <c r="P135" s="428"/>
      <c r="Q135" s="428"/>
      <c r="R135" s="428"/>
    </row>
    <row r="136" spans="2:18" ht="20" customHeight="1">
      <c r="B136" s="239" t="s">
        <v>4293</v>
      </c>
      <c r="C136" s="240"/>
      <c r="D136" s="240"/>
      <c r="E136" s="245"/>
      <c r="F136" s="240"/>
      <c r="G136" s="240"/>
      <c r="H136" s="240"/>
      <c r="I136" s="240"/>
      <c r="J136" s="240"/>
      <c r="K136" s="240"/>
      <c r="L136" s="240"/>
      <c r="M136" s="240"/>
      <c r="N136" s="240"/>
      <c r="O136" s="240"/>
      <c r="P136" s="240"/>
      <c r="Q136" s="240"/>
      <c r="R136" s="241"/>
    </row>
    <row r="137" spans="2:18" ht="20" customHeight="1">
      <c r="B137" s="52" t="s">
        <v>4163</v>
      </c>
      <c r="C137" s="18" t="str">
        <f t="shared" ref="C137:R137" si="40">IF(wld_principal_storage_chosen="vSAN-ESA","vSAN-ESA",IF(wld_principal_storage_chosen="vSAN-OSA","vSAN-OSA",IF(wld_principal_storage_chosen="NFS","NFS",IF(wld_principal_storage_chosen="VMFS on FC","VMFS on FC","vVOL"))))</f>
        <v>vSAN-ESA</v>
      </c>
      <c r="D137" s="18" t="str">
        <f t="shared" si="40"/>
        <v>vSAN-ESA</v>
      </c>
      <c r="E137" s="18" t="str">
        <f t="shared" si="40"/>
        <v>vSAN-ESA</v>
      </c>
      <c r="F137" s="18" t="str">
        <f t="shared" si="40"/>
        <v>vSAN-ESA</v>
      </c>
      <c r="G137" s="18" t="str">
        <f t="shared" si="40"/>
        <v>vSAN-ESA</v>
      </c>
      <c r="H137" s="18" t="str">
        <f t="shared" si="40"/>
        <v>vSAN-ESA</v>
      </c>
      <c r="I137" s="18" t="str">
        <f t="shared" si="40"/>
        <v>vSAN-ESA</v>
      </c>
      <c r="J137" s="18" t="str">
        <f t="shared" si="40"/>
        <v>vSAN-ESA</v>
      </c>
      <c r="K137" s="18" t="str">
        <f t="shared" si="40"/>
        <v>vSAN-ESA</v>
      </c>
      <c r="L137" s="18" t="str">
        <f t="shared" si="40"/>
        <v>vSAN-ESA</v>
      </c>
      <c r="M137" s="18" t="str">
        <f t="shared" si="40"/>
        <v>vSAN-ESA</v>
      </c>
      <c r="N137" s="18" t="str">
        <f t="shared" si="40"/>
        <v>vSAN-ESA</v>
      </c>
      <c r="O137" s="18" t="str">
        <f t="shared" si="40"/>
        <v>vSAN-ESA</v>
      </c>
      <c r="P137" s="18" t="str">
        <f t="shared" si="40"/>
        <v>vSAN-ESA</v>
      </c>
      <c r="Q137" s="18" t="str">
        <f t="shared" si="40"/>
        <v>vSAN-ESA</v>
      </c>
      <c r="R137" s="18" t="str">
        <f t="shared" si="40"/>
        <v>vSAN-ESA</v>
      </c>
    </row>
    <row r="138" spans="2:18" ht="20" customHeight="1">
      <c r="B138" s="52" t="s">
        <v>4164</v>
      </c>
      <c r="C138" s="18" t="str">
        <f t="shared" ref="C138:R138" si="41">IF(wld_principal_storage_chosen="vSAN-ESA","N/A",IF(wld_principal_storage_chosen="vSAN-OSA","N/A",IF(wld_principal_storage_chosen="NFS","N/A",IF(wld_principal_storage_chosen="VMFS on FC","N/A",RIGHT(wld_principal_storage_chosen,LEN(wld_principal_storage_chosen)-9)))))</f>
        <v>N/A</v>
      </c>
      <c r="D138" s="18" t="str">
        <f t="shared" si="41"/>
        <v>N/A</v>
      </c>
      <c r="E138" s="18" t="str">
        <f t="shared" si="41"/>
        <v>N/A</v>
      </c>
      <c r="F138" s="18" t="str">
        <f t="shared" si="41"/>
        <v>N/A</v>
      </c>
      <c r="G138" s="18" t="str">
        <f t="shared" si="41"/>
        <v>N/A</v>
      </c>
      <c r="H138" s="18" t="str">
        <f t="shared" si="41"/>
        <v>N/A</v>
      </c>
      <c r="I138" s="18" t="str">
        <f t="shared" si="41"/>
        <v>N/A</v>
      </c>
      <c r="J138" s="18" t="str">
        <f t="shared" si="41"/>
        <v>N/A</v>
      </c>
      <c r="K138" s="18" t="str">
        <f t="shared" si="41"/>
        <v>N/A</v>
      </c>
      <c r="L138" s="18" t="str">
        <f t="shared" si="41"/>
        <v>N/A</v>
      </c>
      <c r="M138" s="18" t="str">
        <f t="shared" si="41"/>
        <v>N/A</v>
      </c>
      <c r="N138" s="18" t="str">
        <f t="shared" si="41"/>
        <v>N/A</v>
      </c>
      <c r="O138" s="18" t="str">
        <f t="shared" si="41"/>
        <v>N/A</v>
      </c>
      <c r="P138" s="18" t="str">
        <f t="shared" si="41"/>
        <v>N/A</v>
      </c>
      <c r="Q138" s="18" t="str">
        <f t="shared" si="41"/>
        <v>N/A</v>
      </c>
      <c r="R138" s="18" t="str">
        <f t="shared" si="41"/>
        <v>N/A</v>
      </c>
    </row>
    <row r="139" spans="2:18" ht="20" customHeight="1">
      <c r="B139" s="52" t="s">
        <v>781</v>
      </c>
      <c r="C139" s="18" t="str">
        <f t="shared" ref="C139:R139" si="42">wld_az1_rack4_pool_name</f>
        <v>Value Missing</v>
      </c>
      <c r="D139" s="18" t="str">
        <f t="shared" si="42"/>
        <v>Value Missing</v>
      </c>
      <c r="E139" s="18" t="str">
        <f t="shared" si="42"/>
        <v>Value Missing</v>
      </c>
      <c r="F139" s="18" t="str">
        <f t="shared" si="42"/>
        <v>Value Missing</v>
      </c>
      <c r="G139" s="18" t="str">
        <f t="shared" si="42"/>
        <v>Value Missing</v>
      </c>
      <c r="H139" s="18" t="str">
        <f t="shared" si="42"/>
        <v>Value Missing</v>
      </c>
      <c r="I139" s="18" t="str">
        <f t="shared" si="42"/>
        <v>Value Missing</v>
      </c>
      <c r="J139" s="18" t="str">
        <f t="shared" si="42"/>
        <v>Value Missing</v>
      </c>
      <c r="K139" s="18" t="str">
        <f t="shared" si="42"/>
        <v>Value Missing</v>
      </c>
      <c r="L139" s="18" t="str">
        <f t="shared" si="42"/>
        <v>Value Missing</v>
      </c>
      <c r="M139" s="18" t="str">
        <f t="shared" si="42"/>
        <v>Value Missing</v>
      </c>
      <c r="N139" s="18" t="str">
        <f t="shared" si="42"/>
        <v>Value Missing</v>
      </c>
      <c r="O139" s="18" t="str">
        <f t="shared" si="42"/>
        <v>Value Missing</v>
      </c>
      <c r="P139" s="18" t="str">
        <f t="shared" si="42"/>
        <v>Value Missing</v>
      </c>
      <c r="Q139" s="18" t="str">
        <f t="shared" si="42"/>
        <v>Value Missing</v>
      </c>
      <c r="R139" s="18" t="str">
        <f t="shared" si="42"/>
        <v>Value Missing</v>
      </c>
    </row>
    <row r="140" spans="2:18" ht="20" customHeight="1">
      <c r="B140" s="52" t="s">
        <v>4165</v>
      </c>
      <c r="C140" s="18" t="s">
        <v>1352</v>
      </c>
      <c r="D140" s="18" t="s">
        <v>1352</v>
      </c>
      <c r="E140" s="18" t="s">
        <v>1352</v>
      </c>
      <c r="F140" s="18" t="s">
        <v>1352</v>
      </c>
      <c r="G140" s="18" t="s">
        <v>1352</v>
      </c>
      <c r="H140" s="18" t="s">
        <v>1352</v>
      </c>
      <c r="I140" s="18" t="s">
        <v>1352</v>
      </c>
      <c r="J140" s="18" t="s">
        <v>1352</v>
      </c>
      <c r="K140" s="18" t="s">
        <v>1352</v>
      </c>
      <c r="L140" s="18" t="s">
        <v>1352</v>
      </c>
      <c r="M140" s="18" t="s">
        <v>1352</v>
      </c>
      <c r="N140" s="18" t="s">
        <v>1352</v>
      </c>
      <c r="O140" s="18" t="s">
        <v>1352</v>
      </c>
      <c r="P140" s="18" t="s">
        <v>1352</v>
      </c>
      <c r="Q140" s="18" t="s">
        <v>1352</v>
      </c>
      <c r="R140" s="18" t="s">
        <v>1352</v>
      </c>
    </row>
    <row r="141" spans="2:18" ht="20" customHeight="1">
      <c r="B141" s="52" t="s">
        <v>1796</v>
      </c>
      <c r="C141" s="18" t="str">
        <f t="shared" ref="C141:R141" si="43">esxi_root_password</f>
        <v>Value Missing</v>
      </c>
      <c r="D141" s="18" t="str">
        <f t="shared" si="43"/>
        <v>Value Missing</v>
      </c>
      <c r="E141" s="18" t="str">
        <f t="shared" si="43"/>
        <v>Value Missing</v>
      </c>
      <c r="F141" s="18" t="str">
        <f t="shared" si="43"/>
        <v>Value Missing</v>
      </c>
      <c r="G141" s="18" t="str">
        <f t="shared" si="43"/>
        <v>Value Missing</v>
      </c>
      <c r="H141" s="18" t="str">
        <f t="shared" si="43"/>
        <v>Value Missing</v>
      </c>
      <c r="I141" s="18" t="str">
        <f t="shared" si="43"/>
        <v>Value Missing</v>
      </c>
      <c r="J141" s="18" t="str">
        <f t="shared" si="43"/>
        <v>Value Missing</v>
      </c>
      <c r="K141" s="18" t="str">
        <f t="shared" si="43"/>
        <v>Value Missing</v>
      </c>
      <c r="L141" s="18" t="str">
        <f t="shared" si="43"/>
        <v>Value Missing</v>
      </c>
      <c r="M141" s="18" t="str">
        <f t="shared" si="43"/>
        <v>Value Missing</v>
      </c>
      <c r="N141" s="18" t="str">
        <f t="shared" si="43"/>
        <v>Value Missing</v>
      </c>
      <c r="O141" s="18" t="str">
        <f t="shared" si="43"/>
        <v>Value Missing</v>
      </c>
      <c r="P141" s="18" t="str">
        <f t="shared" si="43"/>
        <v>Value Missing</v>
      </c>
      <c r="Q141" s="18" t="str">
        <f t="shared" si="43"/>
        <v>Value Missing</v>
      </c>
      <c r="R141" s="18" t="str">
        <f t="shared" si="43"/>
        <v>Value Missing</v>
      </c>
    </row>
    <row r="142" spans="2:18" ht="16" customHeight="1"/>
    <row r="143" spans="2:18" ht="34" customHeight="1">
      <c r="B143" s="505" t="s">
        <v>4310</v>
      </c>
      <c r="C143" s="505"/>
      <c r="D143" s="505"/>
      <c r="E143" s="505"/>
      <c r="F143" s="505"/>
      <c r="G143" s="505"/>
      <c r="H143" s="505"/>
      <c r="I143" s="505"/>
      <c r="J143" s="505"/>
      <c r="K143" s="505"/>
      <c r="L143" s="505"/>
      <c r="M143" s="505"/>
      <c r="N143" s="505"/>
      <c r="O143" s="505"/>
      <c r="P143" s="505"/>
      <c r="Q143" s="505"/>
      <c r="R143" s="505"/>
    </row>
    <row r="144" spans="2:18" ht="20" customHeight="1">
      <c r="B144" s="427" t="s">
        <v>1696</v>
      </c>
      <c r="C144" s="428"/>
      <c r="D144" s="428"/>
      <c r="E144" s="428"/>
      <c r="F144" s="428"/>
      <c r="G144" s="428"/>
      <c r="H144" s="428"/>
      <c r="I144" s="428"/>
      <c r="J144" s="428"/>
      <c r="K144" s="428"/>
      <c r="L144" s="428"/>
      <c r="M144" s="428"/>
      <c r="N144" s="428"/>
      <c r="O144" s="428"/>
      <c r="P144" s="428"/>
      <c r="Q144" s="428"/>
      <c r="R144" s="428"/>
    </row>
    <row r="145" spans="2:18" ht="20" customHeight="1">
      <c r="B145" s="234" t="s">
        <v>4293</v>
      </c>
      <c r="C145" s="235" t="s">
        <v>2193</v>
      </c>
      <c r="D145" s="236" t="s">
        <v>2194</v>
      </c>
      <c r="E145" s="235" t="s">
        <v>2195</v>
      </c>
      <c r="F145" s="235" t="s">
        <v>2196</v>
      </c>
      <c r="G145" s="235" t="s">
        <v>4175</v>
      </c>
      <c r="H145" s="235" t="s">
        <v>4176</v>
      </c>
      <c r="I145" s="235" t="s">
        <v>4177</v>
      </c>
      <c r="J145" s="235" t="s">
        <v>4178</v>
      </c>
      <c r="K145" s="235" t="s">
        <v>4179</v>
      </c>
      <c r="L145" s="235" t="s">
        <v>4180</v>
      </c>
      <c r="M145" s="235" t="s">
        <v>4181</v>
      </c>
      <c r="N145" s="235" t="s">
        <v>4182</v>
      </c>
      <c r="O145" s="235" t="s">
        <v>4183</v>
      </c>
      <c r="P145" s="235" t="s">
        <v>4184</v>
      </c>
      <c r="Q145" s="235" t="s">
        <v>4185</v>
      </c>
      <c r="R145" s="235" t="s">
        <v>4186</v>
      </c>
    </row>
    <row r="146" spans="2:18" ht="20" customHeight="1">
      <c r="B146" s="21" t="s">
        <v>1686</v>
      </c>
      <c r="C146" s="18" t="str">
        <f t="array" ref="C146:R146">TRANSPOSE(wld_az1_rack5_host_hostnames)</f>
        <v>Value Missing</v>
      </c>
      <c r="D146" s="244" t="str">
        <v>Value Missing</v>
      </c>
      <c r="E146" s="18" t="str">
        <v>Value Missing</v>
      </c>
      <c r="F146" s="18" t="str">
        <v>Value Missing</v>
      </c>
      <c r="G146" s="18" t="str">
        <v>Value Missing</v>
      </c>
      <c r="H146" s="18" t="str">
        <v>Value Missing</v>
      </c>
      <c r="I146" s="18" t="str">
        <v>Value Missing</v>
      </c>
      <c r="J146" s="18" t="str">
        <v>Value Missing</v>
      </c>
      <c r="K146" s="18" t="str">
        <v>Value Missing</v>
      </c>
      <c r="L146" s="18" t="str">
        <v>Value Missing</v>
      </c>
      <c r="M146" s="18" t="str">
        <v>Value Missing</v>
      </c>
      <c r="N146" s="18" t="str">
        <v>Value Missing</v>
      </c>
      <c r="O146" s="18" t="str">
        <v>Value Missing</v>
      </c>
      <c r="P146" s="18" t="str">
        <v>Value Missing</v>
      </c>
      <c r="Q146" s="18" t="str">
        <v>Value Missing</v>
      </c>
      <c r="R146" s="18" t="str">
        <v>Value Missing</v>
      </c>
    </row>
    <row r="147" spans="2:18" ht="20" customHeight="1">
      <c r="B147" s="21" t="s">
        <v>1695</v>
      </c>
      <c r="C147" s="18" t="str">
        <f t="shared" ref="C147:R147" si="44">esxi_root_password</f>
        <v>Value Missing</v>
      </c>
      <c r="D147" s="244" t="str">
        <f t="shared" si="44"/>
        <v>Value Missing</v>
      </c>
      <c r="E147" s="18" t="str">
        <f t="shared" si="44"/>
        <v>Value Missing</v>
      </c>
      <c r="F147" s="18" t="str">
        <f t="shared" si="44"/>
        <v>Value Missing</v>
      </c>
      <c r="G147" s="18" t="str">
        <f t="shared" si="44"/>
        <v>Value Missing</v>
      </c>
      <c r="H147" s="18" t="str">
        <f t="shared" si="44"/>
        <v>Value Missing</v>
      </c>
      <c r="I147" s="18" t="str">
        <f t="shared" si="44"/>
        <v>Value Missing</v>
      </c>
      <c r="J147" s="18" t="str">
        <f t="shared" si="44"/>
        <v>Value Missing</v>
      </c>
      <c r="K147" s="18" t="str">
        <f t="shared" si="44"/>
        <v>Value Missing</v>
      </c>
      <c r="L147" s="18" t="str">
        <f t="shared" si="44"/>
        <v>Value Missing</v>
      </c>
      <c r="M147" s="18" t="str">
        <f t="shared" si="44"/>
        <v>Value Missing</v>
      </c>
      <c r="N147" s="18" t="str">
        <f t="shared" si="44"/>
        <v>Value Missing</v>
      </c>
      <c r="O147" s="18" t="str">
        <f t="shared" si="44"/>
        <v>Value Missing</v>
      </c>
      <c r="P147" s="18" t="str">
        <f t="shared" si="44"/>
        <v>Value Missing</v>
      </c>
      <c r="Q147" s="18" t="str">
        <f t="shared" si="44"/>
        <v>Value Missing</v>
      </c>
      <c r="R147" s="18" t="str">
        <f t="shared" si="44"/>
        <v>Value Missing</v>
      </c>
    </row>
    <row r="148" spans="2:18" ht="20" customHeight="1">
      <c r="B148" s="21" t="s">
        <v>4295</v>
      </c>
      <c r="C148" s="18" t="str">
        <f t="shared" ref="C148:R148" si="45">wld_az1_rack5_mgmt_vlan</f>
        <v>Value Missing</v>
      </c>
      <c r="D148" s="244" t="str">
        <f t="shared" si="45"/>
        <v>Value Missing</v>
      </c>
      <c r="E148" s="18" t="str">
        <f t="shared" si="45"/>
        <v>Value Missing</v>
      </c>
      <c r="F148" s="18" t="str">
        <f t="shared" si="45"/>
        <v>Value Missing</v>
      </c>
      <c r="G148" s="18" t="str">
        <f t="shared" si="45"/>
        <v>Value Missing</v>
      </c>
      <c r="H148" s="18" t="str">
        <f t="shared" si="45"/>
        <v>Value Missing</v>
      </c>
      <c r="I148" s="18" t="str">
        <f t="shared" si="45"/>
        <v>Value Missing</v>
      </c>
      <c r="J148" s="18" t="str">
        <f t="shared" si="45"/>
        <v>Value Missing</v>
      </c>
      <c r="K148" s="18" t="str">
        <f t="shared" si="45"/>
        <v>Value Missing</v>
      </c>
      <c r="L148" s="18" t="str">
        <f t="shared" si="45"/>
        <v>Value Missing</v>
      </c>
      <c r="M148" s="18" t="str">
        <f t="shared" si="45"/>
        <v>Value Missing</v>
      </c>
      <c r="N148" s="18" t="str">
        <f t="shared" si="45"/>
        <v>Value Missing</v>
      </c>
      <c r="O148" s="18" t="str">
        <f t="shared" si="45"/>
        <v>Value Missing</v>
      </c>
      <c r="P148" s="18" t="str">
        <f t="shared" si="45"/>
        <v>Value Missing</v>
      </c>
      <c r="Q148" s="18" t="str">
        <f t="shared" si="45"/>
        <v>Value Missing</v>
      </c>
      <c r="R148" s="18" t="str">
        <f t="shared" si="45"/>
        <v>Value Missing</v>
      </c>
    </row>
    <row r="149" spans="2:18" ht="20" customHeight="1">
      <c r="B149" s="21" t="s">
        <v>4291</v>
      </c>
      <c r="C149" s="18" t="str">
        <f t="array" ref="C149:R149">TRANSPOSE(wld_az1_rack5_host_mgmt_ips)</f>
        <v>Value Missing</v>
      </c>
      <c r="D149" s="244" t="str">
        <v>Value Missing</v>
      </c>
      <c r="E149" s="18" t="str">
        <v>Value Missing</v>
      </c>
      <c r="F149" s="18" t="str">
        <v>Value Missing</v>
      </c>
      <c r="G149" s="18" t="str">
        <v>Value Missing</v>
      </c>
      <c r="H149" s="18" t="str">
        <v>Value Missing</v>
      </c>
      <c r="I149" s="18" t="str">
        <v>Value Missing</v>
      </c>
      <c r="J149" s="18" t="str">
        <v>Value Missing</v>
      </c>
      <c r="K149" s="18" t="str">
        <v>Value Missing</v>
      </c>
      <c r="L149" s="18" t="str">
        <v>Value Missing</v>
      </c>
      <c r="M149" s="18" t="str">
        <v>Value Missing</v>
      </c>
      <c r="N149" s="18" t="str">
        <v>Value Missing</v>
      </c>
      <c r="O149" s="18" t="str">
        <v>Value Missing</v>
      </c>
      <c r="P149" s="18" t="str">
        <v>Value Missing</v>
      </c>
      <c r="Q149" s="18" t="str">
        <v>Value Missing</v>
      </c>
      <c r="R149" s="18" t="str">
        <v>Value Missing</v>
      </c>
    </row>
    <row r="150" spans="2:18" ht="20" customHeight="1">
      <c r="B150" s="21" t="s">
        <v>1702</v>
      </c>
      <c r="C150" s="18" t="str">
        <f t="shared" ref="C150:R150" si="46">wld_az1_rack5_mgmt_mask</f>
        <v>Value Missing</v>
      </c>
      <c r="D150" s="244" t="str">
        <f t="shared" si="46"/>
        <v>Value Missing</v>
      </c>
      <c r="E150" s="18" t="str">
        <f t="shared" si="46"/>
        <v>Value Missing</v>
      </c>
      <c r="F150" s="18" t="str">
        <f t="shared" si="46"/>
        <v>Value Missing</v>
      </c>
      <c r="G150" s="18" t="str">
        <f t="shared" si="46"/>
        <v>Value Missing</v>
      </c>
      <c r="H150" s="18" t="str">
        <f t="shared" si="46"/>
        <v>Value Missing</v>
      </c>
      <c r="I150" s="18" t="str">
        <f t="shared" si="46"/>
        <v>Value Missing</v>
      </c>
      <c r="J150" s="18" t="str">
        <f t="shared" si="46"/>
        <v>Value Missing</v>
      </c>
      <c r="K150" s="18" t="str">
        <f t="shared" si="46"/>
        <v>Value Missing</v>
      </c>
      <c r="L150" s="18" t="str">
        <f t="shared" si="46"/>
        <v>Value Missing</v>
      </c>
      <c r="M150" s="18" t="str">
        <f t="shared" si="46"/>
        <v>Value Missing</v>
      </c>
      <c r="N150" s="18" t="str">
        <f t="shared" si="46"/>
        <v>Value Missing</v>
      </c>
      <c r="O150" s="18" t="str">
        <f t="shared" si="46"/>
        <v>Value Missing</v>
      </c>
      <c r="P150" s="18" t="str">
        <f t="shared" si="46"/>
        <v>Value Missing</v>
      </c>
      <c r="Q150" s="18" t="str">
        <f t="shared" si="46"/>
        <v>Value Missing</v>
      </c>
      <c r="R150" s="18" t="str">
        <f t="shared" si="46"/>
        <v>Value Missing</v>
      </c>
    </row>
    <row r="151" spans="2:18" ht="20" customHeight="1">
      <c r="B151" s="21" t="s">
        <v>1689</v>
      </c>
      <c r="C151" s="18" t="str">
        <f t="shared" ref="C151:R151" si="47">wld_az1_rack5_mgmt_gateway_ip</f>
        <v>Value Missing</v>
      </c>
      <c r="D151" s="244" t="str">
        <f t="shared" si="47"/>
        <v>Value Missing</v>
      </c>
      <c r="E151" s="18" t="str">
        <f t="shared" si="47"/>
        <v>Value Missing</v>
      </c>
      <c r="F151" s="18" t="str">
        <f t="shared" si="47"/>
        <v>Value Missing</v>
      </c>
      <c r="G151" s="18" t="str">
        <f t="shared" si="47"/>
        <v>Value Missing</v>
      </c>
      <c r="H151" s="18" t="str">
        <f t="shared" si="47"/>
        <v>Value Missing</v>
      </c>
      <c r="I151" s="18" t="str">
        <f t="shared" si="47"/>
        <v>Value Missing</v>
      </c>
      <c r="J151" s="18" t="str">
        <f t="shared" si="47"/>
        <v>Value Missing</v>
      </c>
      <c r="K151" s="18" t="str">
        <f t="shared" si="47"/>
        <v>Value Missing</v>
      </c>
      <c r="L151" s="18" t="str">
        <f t="shared" si="47"/>
        <v>Value Missing</v>
      </c>
      <c r="M151" s="18" t="str">
        <f t="shared" si="47"/>
        <v>Value Missing</v>
      </c>
      <c r="N151" s="18" t="str">
        <f t="shared" si="47"/>
        <v>Value Missing</v>
      </c>
      <c r="O151" s="18" t="str">
        <f t="shared" si="47"/>
        <v>Value Missing</v>
      </c>
      <c r="P151" s="18" t="str">
        <f t="shared" si="47"/>
        <v>Value Missing</v>
      </c>
      <c r="Q151" s="18" t="str">
        <f t="shared" si="47"/>
        <v>Value Missing</v>
      </c>
      <c r="R151" s="18" t="str">
        <f t="shared" si="47"/>
        <v>Value Missing</v>
      </c>
    </row>
    <row r="152" spans="2:18" ht="20" customHeight="1">
      <c r="B152" s="21" t="s">
        <v>1703</v>
      </c>
      <c r="C152" s="18" t="str">
        <f t="shared" ref="C152:R152" si="48">region_dns1_ip</f>
        <v>Value Missing</v>
      </c>
      <c r="D152" s="244" t="str">
        <f t="shared" si="48"/>
        <v>Value Missing</v>
      </c>
      <c r="E152" s="18" t="str">
        <f t="shared" si="48"/>
        <v>Value Missing</v>
      </c>
      <c r="F152" s="18" t="str">
        <f t="shared" si="48"/>
        <v>Value Missing</v>
      </c>
      <c r="G152" s="18" t="str">
        <f t="shared" si="48"/>
        <v>Value Missing</v>
      </c>
      <c r="H152" s="18" t="str">
        <f t="shared" si="48"/>
        <v>Value Missing</v>
      </c>
      <c r="I152" s="18" t="str">
        <f t="shared" si="48"/>
        <v>Value Missing</v>
      </c>
      <c r="J152" s="18" t="str">
        <f t="shared" si="48"/>
        <v>Value Missing</v>
      </c>
      <c r="K152" s="18" t="str">
        <f t="shared" si="48"/>
        <v>Value Missing</v>
      </c>
      <c r="L152" s="18" t="str">
        <f t="shared" si="48"/>
        <v>Value Missing</v>
      </c>
      <c r="M152" s="18" t="str">
        <f t="shared" si="48"/>
        <v>Value Missing</v>
      </c>
      <c r="N152" s="18" t="str">
        <f t="shared" si="48"/>
        <v>Value Missing</v>
      </c>
      <c r="O152" s="18" t="str">
        <f t="shared" si="48"/>
        <v>Value Missing</v>
      </c>
      <c r="P152" s="18" t="str">
        <f t="shared" si="48"/>
        <v>Value Missing</v>
      </c>
      <c r="Q152" s="18" t="str">
        <f t="shared" si="48"/>
        <v>Value Missing</v>
      </c>
      <c r="R152" s="18" t="str">
        <f t="shared" si="48"/>
        <v>Value Missing</v>
      </c>
    </row>
    <row r="153" spans="2:18" ht="20" customHeight="1">
      <c r="B153" s="21" t="s">
        <v>1704</v>
      </c>
      <c r="C153" s="18" t="str">
        <f t="shared" ref="C153:R153" si="49">region_dns2_ip</f>
        <v>Value Missing</v>
      </c>
      <c r="D153" s="244" t="str">
        <f t="shared" si="49"/>
        <v>Value Missing</v>
      </c>
      <c r="E153" s="18" t="str">
        <f t="shared" si="49"/>
        <v>Value Missing</v>
      </c>
      <c r="F153" s="18" t="str">
        <f t="shared" si="49"/>
        <v>Value Missing</v>
      </c>
      <c r="G153" s="18" t="str">
        <f t="shared" si="49"/>
        <v>Value Missing</v>
      </c>
      <c r="H153" s="18" t="str">
        <f t="shared" si="49"/>
        <v>Value Missing</v>
      </c>
      <c r="I153" s="18" t="str">
        <f t="shared" si="49"/>
        <v>Value Missing</v>
      </c>
      <c r="J153" s="18" t="str">
        <f t="shared" si="49"/>
        <v>Value Missing</v>
      </c>
      <c r="K153" s="18" t="str">
        <f t="shared" si="49"/>
        <v>Value Missing</v>
      </c>
      <c r="L153" s="18" t="str">
        <f t="shared" si="49"/>
        <v>Value Missing</v>
      </c>
      <c r="M153" s="18" t="str">
        <f t="shared" si="49"/>
        <v>Value Missing</v>
      </c>
      <c r="N153" s="18" t="str">
        <f t="shared" si="49"/>
        <v>Value Missing</v>
      </c>
      <c r="O153" s="18" t="str">
        <f t="shared" si="49"/>
        <v>Value Missing</v>
      </c>
      <c r="P153" s="18" t="str">
        <f t="shared" si="49"/>
        <v>Value Missing</v>
      </c>
      <c r="Q153" s="18" t="str">
        <f t="shared" si="49"/>
        <v>Value Missing</v>
      </c>
      <c r="R153" s="18" t="str">
        <f t="shared" si="49"/>
        <v>Value Missing</v>
      </c>
    </row>
    <row r="154" spans="2:18" ht="20" customHeight="1">
      <c r="B154" s="427" t="s">
        <v>1709</v>
      </c>
      <c r="C154" s="428"/>
      <c r="D154" s="428"/>
      <c r="E154" s="428"/>
      <c r="F154" s="428"/>
      <c r="G154" s="428"/>
      <c r="H154" s="428"/>
      <c r="I154" s="428"/>
      <c r="J154" s="428"/>
      <c r="K154" s="428"/>
      <c r="L154" s="428"/>
      <c r="M154" s="428"/>
      <c r="N154" s="428"/>
      <c r="O154" s="428"/>
      <c r="P154" s="428"/>
      <c r="Q154" s="428"/>
      <c r="R154" s="428"/>
    </row>
    <row r="155" spans="2:18" ht="20" customHeight="1">
      <c r="B155" s="21" t="s">
        <v>4292</v>
      </c>
      <c r="C155" s="18" t="str">
        <f t="shared" ref="C155:R155" si="50">IF(wld_dpg_separation_result="Included",wld_az1_rack5_mgmt_vm_vlan,wld_az1_rack5_mgmt_vlan)</f>
        <v>Value Missing</v>
      </c>
      <c r="D155" s="244" t="str">
        <f t="shared" si="50"/>
        <v>Value Missing</v>
      </c>
      <c r="E155" s="18" t="str">
        <f t="shared" si="50"/>
        <v>Value Missing</v>
      </c>
      <c r="F155" s="18" t="str">
        <f t="shared" si="50"/>
        <v>Value Missing</v>
      </c>
      <c r="G155" s="18" t="str">
        <f t="shared" si="50"/>
        <v>Value Missing</v>
      </c>
      <c r="H155" s="18" t="str">
        <f t="shared" si="50"/>
        <v>Value Missing</v>
      </c>
      <c r="I155" s="18" t="str">
        <f t="shared" si="50"/>
        <v>Value Missing</v>
      </c>
      <c r="J155" s="18" t="str">
        <f t="shared" si="50"/>
        <v>Value Missing</v>
      </c>
      <c r="K155" s="18" t="str">
        <f t="shared" si="50"/>
        <v>Value Missing</v>
      </c>
      <c r="L155" s="18" t="str">
        <f t="shared" si="50"/>
        <v>Value Missing</v>
      </c>
      <c r="M155" s="18" t="str">
        <f t="shared" si="50"/>
        <v>Value Missing</v>
      </c>
      <c r="N155" s="18" t="str">
        <f t="shared" si="50"/>
        <v>Value Missing</v>
      </c>
      <c r="O155" s="18" t="str">
        <f t="shared" si="50"/>
        <v>Value Missing</v>
      </c>
      <c r="P155" s="18" t="str">
        <f t="shared" si="50"/>
        <v>Value Missing</v>
      </c>
      <c r="Q155" s="18" t="str">
        <f t="shared" si="50"/>
        <v>Value Missing</v>
      </c>
      <c r="R155" s="18" t="str">
        <f t="shared" si="50"/>
        <v>Value Missing</v>
      </c>
    </row>
    <row r="156" spans="2:18" ht="20" customHeight="1">
      <c r="B156" s="427" t="s">
        <v>1714</v>
      </c>
      <c r="C156" s="428"/>
      <c r="D156" s="428"/>
      <c r="E156" s="428"/>
      <c r="F156" s="428"/>
      <c r="G156" s="428"/>
      <c r="H156" s="428"/>
      <c r="I156" s="428"/>
      <c r="J156" s="428"/>
      <c r="K156" s="428"/>
      <c r="L156" s="428"/>
      <c r="M156" s="428"/>
      <c r="N156" s="428"/>
      <c r="O156" s="428"/>
      <c r="P156" s="428"/>
      <c r="Q156" s="428"/>
      <c r="R156" s="428"/>
    </row>
    <row r="157" spans="2:18" ht="20" customHeight="1">
      <c r="B157" s="52" t="s">
        <v>1716</v>
      </c>
      <c r="C157" s="18" t="str">
        <f t="array" ref="C157:C158">region_ntp_servers_array</f>
        <v>Value Missing</v>
      </c>
      <c r="D157" s="244" t="str">
        <f t="array" ref="D157:D158">region_ntp_servers_array</f>
        <v>Value Missing</v>
      </c>
      <c r="E157" s="18" t="str">
        <f t="array" ref="E157:E158">region_ntp_servers_array</f>
        <v>Value Missing</v>
      </c>
      <c r="F157" s="18" t="str">
        <f t="array" ref="F157:F158">region_ntp_servers_array</f>
        <v>Value Missing</v>
      </c>
      <c r="G157" s="18" t="str">
        <f t="array" ref="G157:G158">region_ntp_servers_array</f>
        <v>Value Missing</v>
      </c>
      <c r="H157" s="18" t="str">
        <f t="array" ref="H157:H158">region_ntp_servers_array</f>
        <v>Value Missing</v>
      </c>
      <c r="I157" s="18" t="str">
        <f t="array" ref="I157:I158">region_ntp_servers_array</f>
        <v>Value Missing</v>
      </c>
      <c r="J157" s="18" t="str">
        <f t="array" ref="J157:J158">region_ntp_servers_array</f>
        <v>Value Missing</v>
      </c>
      <c r="K157" s="18" t="str">
        <f t="array" ref="K157:K158">region_ntp_servers_array</f>
        <v>Value Missing</v>
      </c>
      <c r="L157" s="18" t="str">
        <f t="array" ref="L157:L158">region_ntp_servers_array</f>
        <v>Value Missing</v>
      </c>
      <c r="M157" s="18" t="str">
        <f t="array" ref="M157:M158">region_ntp_servers_array</f>
        <v>Value Missing</v>
      </c>
      <c r="N157" s="18" t="str">
        <f t="array" ref="N157:N158">region_ntp_servers_array</f>
        <v>Value Missing</v>
      </c>
      <c r="O157" s="18" t="str">
        <f t="array" ref="O157:O158">region_ntp_servers_array</f>
        <v>Value Missing</v>
      </c>
      <c r="P157" s="18" t="str">
        <f t="array" ref="P157:P158">region_ntp_servers_array</f>
        <v>Value Missing</v>
      </c>
      <c r="Q157" s="18" t="str">
        <f t="array" ref="Q157:Q158">region_ntp_servers_array</f>
        <v>Value Missing</v>
      </c>
      <c r="R157" s="18" t="str">
        <f t="array" ref="R157:R158">region_ntp_servers_array</f>
        <v>Value Missing</v>
      </c>
    </row>
    <row r="158" spans="2:18" ht="20" customHeight="1">
      <c r="B158" s="52" t="s">
        <v>1716</v>
      </c>
      <c r="C158" s="18" t="str">
        <v>Value Missing</v>
      </c>
      <c r="D158" s="244" t="str">
        <v>Value Missing</v>
      </c>
      <c r="E158" s="18" t="str">
        <v>Value Missing</v>
      </c>
      <c r="F158" s="18" t="str">
        <v>Value Missing</v>
      </c>
      <c r="G158" s="18" t="str">
        <v>Value Missing</v>
      </c>
      <c r="H158" s="18" t="str">
        <v>Value Missing</v>
      </c>
      <c r="I158" s="18" t="str">
        <v>Value Missing</v>
      </c>
      <c r="J158" s="18" t="str">
        <v>Value Missing</v>
      </c>
      <c r="K158" s="18" t="str">
        <v>Value Missing</v>
      </c>
      <c r="L158" s="18" t="str">
        <v>Value Missing</v>
      </c>
      <c r="M158" s="18" t="str">
        <v>Value Missing</v>
      </c>
      <c r="N158" s="18" t="str">
        <v>Value Missing</v>
      </c>
      <c r="O158" s="18" t="str">
        <v>Value Missing</v>
      </c>
      <c r="P158" s="18" t="str">
        <v>Value Missing</v>
      </c>
      <c r="Q158" s="18" t="str">
        <v>Value Missing</v>
      </c>
      <c r="R158" s="18" t="str">
        <v>Value Missing</v>
      </c>
    </row>
    <row r="159" spans="2:18" ht="20" customHeight="1">
      <c r="B159" s="427" t="s">
        <v>1717</v>
      </c>
      <c r="C159" s="428"/>
      <c r="D159" s="428"/>
      <c r="E159" s="428"/>
      <c r="F159" s="428"/>
      <c r="G159" s="428"/>
      <c r="H159" s="428"/>
      <c r="I159" s="428"/>
      <c r="J159" s="428"/>
      <c r="K159" s="428"/>
      <c r="L159" s="428"/>
      <c r="M159" s="428"/>
      <c r="N159" s="428"/>
      <c r="O159" s="428"/>
      <c r="P159" s="428"/>
      <c r="Q159" s="428"/>
      <c r="R159" s="428"/>
    </row>
    <row r="160" spans="2:18" ht="20" customHeight="1">
      <c r="B160" s="239" t="s">
        <v>4293</v>
      </c>
      <c r="C160" s="504" t="s">
        <v>4296</v>
      </c>
      <c r="D160" s="504"/>
      <c r="E160" s="240"/>
      <c r="F160" s="240"/>
      <c r="G160" s="240"/>
      <c r="H160" s="240"/>
      <c r="I160" s="240"/>
      <c r="J160" s="240"/>
      <c r="K160" s="240"/>
      <c r="L160" s="240"/>
      <c r="M160" s="240"/>
      <c r="N160" s="240"/>
      <c r="O160" s="240"/>
      <c r="P160" s="240"/>
      <c r="Q160" s="240"/>
      <c r="R160" s="241"/>
    </row>
    <row r="161" spans="2:18" ht="20" customHeight="1">
      <c r="B161" s="427" t="s">
        <v>1719</v>
      </c>
      <c r="C161" s="428"/>
      <c r="D161" s="428"/>
      <c r="E161" s="428"/>
      <c r="F161" s="428"/>
      <c r="G161" s="428"/>
      <c r="H161" s="428"/>
      <c r="I161" s="428"/>
      <c r="J161" s="428"/>
      <c r="K161" s="428"/>
      <c r="L161" s="428"/>
      <c r="M161" s="428"/>
      <c r="N161" s="428"/>
      <c r="O161" s="428"/>
      <c r="P161" s="428"/>
      <c r="Q161" s="428"/>
      <c r="R161" s="428"/>
    </row>
    <row r="162" spans="2:18" ht="20" customHeight="1">
      <c r="B162" s="239" t="s">
        <v>4293</v>
      </c>
      <c r="C162" s="504" t="s">
        <v>4296</v>
      </c>
      <c r="D162" s="504"/>
      <c r="E162" s="240"/>
      <c r="F162" s="240"/>
      <c r="G162" s="240"/>
      <c r="H162" s="240"/>
      <c r="I162" s="240"/>
      <c r="J162" s="240"/>
      <c r="K162" s="240"/>
      <c r="L162" s="240"/>
      <c r="M162" s="240"/>
      <c r="N162" s="240"/>
      <c r="O162" s="240"/>
      <c r="P162" s="240"/>
      <c r="Q162" s="240"/>
      <c r="R162" s="241"/>
    </row>
    <row r="163" spans="2:18" ht="20" customHeight="1">
      <c r="B163" s="427" t="s">
        <v>2170</v>
      </c>
      <c r="C163" s="428"/>
      <c r="D163" s="428"/>
      <c r="E163" s="428"/>
      <c r="F163" s="428"/>
      <c r="G163" s="428"/>
      <c r="H163" s="428"/>
      <c r="I163" s="428"/>
      <c r="J163" s="428"/>
      <c r="K163" s="428"/>
      <c r="L163" s="428"/>
      <c r="M163" s="428"/>
      <c r="N163" s="428"/>
      <c r="O163" s="428"/>
      <c r="P163" s="428"/>
      <c r="Q163" s="428"/>
      <c r="R163" s="428"/>
    </row>
    <row r="164" spans="2:18" ht="20" customHeight="1">
      <c r="B164" s="242" t="s">
        <v>4293</v>
      </c>
      <c r="C164" s="242" t="s">
        <v>735</v>
      </c>
      <c r="D164" s="236" t="s">
        <v>4297</v>
      </c>
      <c r="E164" s="236" t="s">
        <v>4298</v>
      </c>
      <c r="F164" s="235" t="s">
        <v>4299</v>
      </c>
      <c r="G164" s="235" t="s">
        <v>4300</v>
      </c>
      <c r="H164" s="236" t="s">
        <v>4301</v>
      </c>
      <c r="I164" s="235" t="s">
        <v>4302</v>
      </c>
      <c r="J164" s="235" t="s">
        <v>4303</v>
      </c>
      <c r="K164" s="236" t="s">
        <v>4304</v>
      </c>
      <c r="L164" s="243"/>
      <c r="M164" s="243"/>
      <c r="N164" s="243"/>
      <c r="O164" s="243"/>
      <c r="P164" s="243"/>
      <c r="Q164" s="243"/>
      <c r="R164" s="243"/>
    </row>
    <row r="165" spans="2:18" ht="20" customHeight="1">
      <c r="B165" s="509" t="s">
        <v>4305</v>
      </c>
      <c r="C165" s="510" t="str">
        <f>wld_az1_rack5_pool_name</f>
        <v>Value Missing</v>
      </c>
      <c r="D165" s="247" t="s">
        <v>4306</v>
      </c>
      <c r="E165" s="18" t="str">
        <f>wld_az1_rack5_principal_storage_vlan</f>
        <v>Value Missing</v>
      </c>
      <c r="F165" s="18" t="str">
        <f>wld_az1_rack5_principal_storage_mtu</f>
        <v>Value Missing</v>
      </c>
      <c r="G165" s="18" t="str">
        <f>IF(wld_az1_rack5_principal_storage_cidr="Value Missing","Value Missing",LEFT(wld_az1_rack5_principal_storage_cidr,(FIND("/",wld_az1_rack5_principal_storage_cidr,1)-1)))</f>
        <v>Value Missing</v>
      </c>
      <c r="H165" s="18" t="str">
        <f>wld_az1_rack5_principal_storage_mask</f>
        <v>Value Missing</v>
      </c>
      <c r="I165" s="18" t="str">
        <f>wld_az1_rack5_principal_storage_gateway_ip</f>
        <v>Value Missing</v>
      </c>
      <c r="J165" s="18" t="str">
        <f>wld_az1_rack5_principal_storage_pool_start_ip</f>
        <v>Value Missing</v>
      </c>
      <c r="K165" s="18" t="str">
        <f>wld_az1_rack5_principal_storage_pool_end_ip</f>
        <v>Value Missing</v>
      </c>
      <c r="L165" s="243"/>
      <c r="M165" s="243"/>
      <c r="N165" s="243"/>
      <c r="O165" s="243"/>
      <c r="P165" s="243"/>
      <c r="Q165" s="243"/>
      <c r="R165" s="243"/>
    </row>
    <row r="166" spans="2:18" ht="20" customHeight="1">
      <c r="B166" s="509"/>
      <c r="C166" s="511"/>
      <c r="D166" s="247" t="s">
        <v>731</v>
      </c>
      <c r="E166" s="18" t="str">
        <f>wld_az1_rack5_vmotion_vlan</f>
        <v>Value Missing</v>
      </c>
      <c r="F166" s="18" t="str">
        <f>wld_az1_rack5_vmotion_mtu</f>
        <v>Value Missing</v>
      </c>
      <c r="G166" s="18" t="str">
        <f>IF(wld_az1_rack5_vmotion_cidr="Value Missing","Value Missing",LEFT(wld_az1_rack5_vmotion_cidr,(FIND("/",wld_az1_rack5_vmotion_cidr,1)-1)))</f>
        <v>Value Missing</v>
      </c>
      <c r="H166" s="18" t="str">
        <f>wld_az1_rack5_vmotion_mask</f>
        <v>Value Missing</v>
      </c>
      <c r="I166" s="18" t="str">
        <f>wld_az1_rack5_vmotion_gateway_ip</f>
        <v>Value Missing</v>
      </c>
      <c r="J166" s="18" t="str">
        <f>wld_az1_rack5_vmotion_pool_start_ip</f>
        <v>Value Missing</v>
      </c>
      <c r="K166" s="18" t="str">
        <f>wld_az1_rack5_vmotion_pool_end_ip</f>
        <v>Value Missing</v>
      </c>
      <c r="L166" s="243"/>
      <c r="M166" s="243"/>
      <c r="N166" s="243"/>
      <c r="O166" s="243"/>
      <c r="P166" s="243"/>
      <c r="Q166" s="243"/>
      <c r="R166" s="243"/>
    </row>
    <row r="167" spans="2:18" ht="20" customHeight="1">
      <c r="B167" s="509"/>
      <c r="C167" s="512"/>
      <c r="D167" s="247" t="s">
        <v>4307</v>
      </c>
      <c r="E167" s="18" t="str">
        <f>wld_az1_rack5_secondary_storage_vlan</f>
        <v>Value Missing</v>
      </c>
      <c r="F167" s="18" t="str">
        <f>wld_az1_rack5_secondary_storage_mtu</f>
        <v>Value Missing</v>
      </c>
      <c r="G167" s="18" t="str">
        <f>IF(wld_az1_rack5_secondary_storage_cidr="Value Missing","Value Missing",LEFT(wld_az1_rack5_secondary_storage_cidr,(FIND("/",wld_az1_rack5_secondary_storage_cidr,1)-1)))</f>
        <v>Value Missing</v>
      </c>
      <c r="H167" s="18" t="str">
        <f>IF(wld_az1_rack5_secondary_storage_cidr="Value Missing","Value Missing",VLOOKUP(INT(RIGHT(wld_az1_rack5_secondary_storage_cidr,LEN(wld_az1_rack5_secondary_storage_cidr)-FIND("/",wld_az1_rack5_secondary_storage_cidr))),table_cidr_to_mask,2,FALSE))</f>
        <v>Value Missing</v>
      </c>
      <c r="I167" s="18" t="str">
        <f>wld_az1_rack5_secondary_storage_gateway_ip</f>
        <v>Value Missing</v>
      </c>
      <c r="J167" s="18" t="str">
        <f>wld_az1_rack5_secondary_storage_pool_start_ip</f>
        <v>Value Missing</v>
      </c>
      <c r="K167" s="18" t="str">
        <f>wld_az1_rack5_secondary_storage_pool_end_ip</f>
        <v>Value Missing</v>
      </c>
      <c r="L167" s="243"/>
      <c r="M167" s="243"/>
      <c r="N167" s="243"/>
      <c r="O167" s="243"/>
      <c r="P167" s="243"/>
      <c r="Q167" s="243"/>
      <c r="R167" s="243"/>
    </row>
    <row r="168" spans="2:18" ht="20" customHeight="1">
      <c r="B168" s="427" t="s">
        <v>2171</v>
      </c>
      <c r="C168" s="428"/>
      <c r="D168" s="428"/>
      <c r="E168" s="428"/>
      <c r="F168" s="428"/>
      <c r="G168" s="428"/>
      <c r="H168" s="428"/>
      <c r="I168" s="428"/>
      <c r="J168" s="428"/>
      <c r="K168" s="428"/>
      <c r="L168" s="428"/>
      <c r="M168" s="428"/>
      <c r="N168" s="428"/>
      <c r="O168" s="428"/>
      <c r="P168" s="428"/>
      <c r="Q168" s="428"/>
      <c r="R168" s="428"/>
    </row>
    <row r="169" spans="2:18" ht="20" customHeight="1">
      <c r="B169" s="239" t="s">
        <v>4293</v>
      </c>
      <c r="C169" s="240"/>
      <c r="D169" s="240"/>
      <c r="E169" s="240"/>
      <c r="F169" s="240"/>
      <c r="G169" s="240"/>
      <c r="H169" s="240"/>
      <c r="I169" s="240"/>
      <c r="J169" s="240"/>
      <c r="K169" s="240"/>
      <c r="L169" s="240"/>
      <c r="M169" s="240"/>
      <c r="N169" s="240"/>
      <c r="O169" s="240"/>
      <c r="P169" s="240"/>
      <c r="Q169" s="240"/>
      <c r="R169" s="241"/>
    </row>
    <row r="170" spans="2:18" ht="20" customHeight="1">
      <c r="B170" s="52" t="s">
        <v>4163</v>
      </c>
      <c r="C170" s="18" t="str">
        <f t="shared" ref="C170:R170" si="51">IF(wld_principal_storage_chosen="vSAN-ESA","vSAN-ESA",IF(wld_principal_storage_chosen="vSAN-OSA","vSAN-OSA",IF(wld_principal_storage_chosen="NFS","NFS",IF(wld_principal_storage_chosen="VMFS on FC","VMFS on FC","vVOL"))))</f>
        <v>vSAN-ESA</v>
      </c>
      <c r="D170" s="18" t="str">
        <f t="shared" si="51"/>
        <v>vSAN-ESA</v>
      </c>
      <c r="E170" s="18" t="str">
        <f t="shared" si="51"/>
        <v>vSAN-ESA</v>
      </c>
      <c r="F170" s="18" t="str">
        <f t="shared" si="51"/>
        <v>vSAN-ESA</v>
      </c>
      <c r="G170" s="18" t="str">
        <f t="shared" si="51"/>
        <v>vSAN-ESA</v>
      </c>
      <c r="H170" s="18" t="str">
        <f t="shared" si="51"/>
        <v>vSAN-ESA</v>
      </c>
      <c r="I170" s="18" t="str">
        <f t="shared" si="51"/>
        <v>vSAN-ESA</v>
      </c>
      <c r="J170" s="18" t="str">
        <f t="shared" si="51"/>
        <v>vSAN-ESA</v>
      </c>
      <c r="K170" s="18" t="str">
        <f t="shared" si="51"/>
        <v>vSAN-ESA</v>
      </c>
      <c r="L170" s="18" t="str">
        <f t="shared" si="51"/>
        <v>vSAN-ESA</v>
      </c>
      <c r="M170" s="18" t="str">
        <f t="shared" si="51"/>
        <v>vSAN-ESA</v>
      </c>
      <c r="N170" s="18" t="str">
        <f t="shared" si="51"/>
        <v>vSAN-ESA</v>
      </c>
      <c r="O170" s="18" t="str">
        <f t="shared" si="51"/>
        <v>vSAN-ESA</v>
      </c>
      <c r="P170" s="18" t="str">
        <f t="shared" si="51"/>
        <v>vSAN-ESA</v>
      </c>
      <c r="Q170" s="18" t="str">
        <f t="shared" si="51"/>
        <v>vSAN-ESA</v>
      </c>
      <c r="R170" s="18" t="str">
        <f t="shared" si="51"/>
        <v>vSAN-ESA</v>
      </c>
    </row>
    <row r="171" spans="2:18" ht="20" customHeight="1">
      <c r="B171" s="52" t="s">
        <v>4164</v>
      </c>
      <c r="C171" s="18" t="str">
        <f t="shared" ref="C171:R171" si="52">IF(wld_principal_storage_chosen="vSAN-ESA","N/A",IF(wld_principal_storage_chosen="vSAN-OSA","N/A",IF(wld_principal_storage_chosen="NFS","N/A",IF(wld_principal_storage_chosen="VMFS on FC","N/A",RIGHT(wld_principal_storage_chosen,LEN(wld_principal_storage_chosen)-9)))))</f>
        <v>N/A</v>
      </c>
      <c r="D171" s="18" t="str">
        <f t="shared" si="52"/>
        <v>N/A</v>
      </c>
      <c r="E171" s="18" t="str">
        <f t="shared" si="52"/>
        <v>N/A</v>
      </c>
      <c r="F171" s="18" t="str">
        <f t="shared" si="52"/>
        <v>N/A</v>
      </c>
      <c r="G171" s="18" t="str">
        <f t="shared" si="52"/>
        <v>N/A</v>
      </c>
      <c r="H171" s="18" t="str">
        <f t="shared" si="52"/>
        <v>N/A</v>
      </c>
      <c r="I171" s="18" t="str">
        <f t="shared" si="52"/>
        <v>N/A</v>
      </c>
      <c r="J171" s="18" t="str">
        <f t="shared" si="52"/>
        <v>N/A</v>
      </c>
      <c r="K171" s="18" t="str">
        <f t="shared" si="52"/>
        <v>N/A</v>
      </c>
      <c r="L171" s="18" t="str">
        <f t="shared" si="52"/>
        <v>N/A</v>
      </c>
      <c r="M171" s="18" t="str">
        <f t="shared" si="52"/>
        <v>N/A</v>
      </c>
      <c r="N171" s="18" t="str">
        <f t="shared" si="52"/>
        <v>N/A</v>
      </c>
      <c r="O171" s="18" t="str">
        <f t="shared" si="52"/>
        <v>N/A</v>
      </c>
      <c r="P171" s="18" t="str">
        <f t="shared" si="52"/>
        <v>N/A</v>
      </c>
      <c r="Q171" s="18" t="str">
        <f t="shared" si="52"/>
        <v>N/A</v>
      </c>
      <c r="R171" s="18" t="str">
        <f t="shared" si="52"/>
        <v>N/A</v>
      </c>
    </row>
    <row r="172" spans="2:18" ht="20" customHeight="1">
      <c r="B172" s="52" t="s">
        <v>781</v>
      </c>
      <c r="C172" s="18" t="str">
        <f t="shared" ref="C172:R172" si="53">wld_az1_rack5_pool_name</f>
        <v>Value Missing</v>
      </c>
      <c r="D172" s="18" t="str">
        <f t="shared" si="53"/>
        <v>Value Missing</v>
      </c>
      <c r="E172" s="18" t="str">
        <f t="shared" si="53"/>
        <v>Value Missing</v>
      </c>
      <c r="F172" s="18" t="str">
        <f t="shared" si="53"/>
        <v>Value Missing</v>
      </c>
      <c r="G172" s="18" t="str">
        <f t="shared" si="53"/>
        <v>Value Missing</v>
      </c>
      <c r="H172" s="18" t="str">
        <f t="shared" si="53"/>
        <v>Value Missing</v>
      </c>
      <c r="I172" s="18" t="str">
        <f t="shared" si="53"/>
        <v>Value Missing</v>
      </c>
      <c r="J172" s="18" t="str">
        <f t="shared" si="53"/>
        <v>Value Missing</v>
      </c>
      <c r="K172" s="18" t="str">
        <f t="shared" si="53"/>
        <v>Value Missing</v>
      </c>
      <c r="L172" s="18" t="str">
        <f t="shared" si="53"/>
        <v>Value Missing</v>
      </c>
      <c r="M172" s="18" t="str">
        <f t="shared" si="53"/>
        <v>Value Missing</v>
      </c>
      <c r="N172" s="18" t="str">
        <f t="shared" si="53"/>
        <v>Value Missing</v>
      </c>
      <c r="O172" s="18" t="str">
        <f t="shared" si="53"/>
        <v>Value Missing</v>
      </c>
      <c r="P172" s="18" t="str">
        <f t="shared" si="53"/>
        <v>Value Missing</v>
      </c>
      <c r="Q172" s="18" t="str">
        <f t="shared" si="53"/>
        <v>Value Missing</v>
      </c>
      <c r="R172" s="18" t="str">
        <f t="shared" si="53"/>
        <v>Value Missing</v>
      </c>
    </row>
    <row r="173" spans="2:18" ht="20" customHeight="1">
      <c r="B173" s="52" t="s">
        <v>4165</v>
      </c>
      <c r="C173" s="18" t="s">
        <v>1352</v>
      </c>
      <c r="D173" s="18" t="s">
        <v>1352</v>
      </c>
      <c r="E173" s="18" t="s">
        <v>1352</v>
      </c>
      <c r="F173" s="18" t="s">
        <v>1352</v>
      </c>
      <c r="G173" s="18" t="s">
        <v>1352</v>
      </c>
      <c r="H173" s="18" t="s">
        <v>1352</v>
      </c>
      <c r="I173" s="18" t="s">
        <v>1352</v>
      </c>
      <c r="J173" s="18" t="s">
        <v>1352</v>
      </c>
      <c r="K173" s="18" t="s">
        <v>1352</v>
      </c>
      <c r="L173" s="18" t="s">
        <v>1352</v>
      </c>
      <c r="M173" s="18" t="s">
        <v>1352</v>
      </c>
      <c r="N173" s="18" t="s">
        <v>1352</v>
      </c>
      <c r="O173" s="18" t="s">
        <v>1352</v>
      </c>
      <c r="P173" s="18" t="s">
        <v>1352</v>
      </c>
      <c r="Q173" s="18" t="s">
        <v>1352</v>
      </c>
      <c r="R173" s="18" t="s">
        <v>1352</v>
      </c>
    </row>
    <row r="174" spans="2:18" ht="20" customHeight="1">
      <c r="B174" s="52" t="s">
        <v>1796</v>
      </c>
      <c r="C174" s="18" t="str">
        <f t="shared" ref="C174:R174" si="54">esxi_root_password</f>
        <v>Value Missing</v>
      </c>
      <c r="D174" s="18" t="str">
        <f t="shared" si="54"/>
        <v>Value Missing</v>
      </c>
      <c r="E174" s="18" t="str">
        <f t="shared" si="54"/>
        <v>Value Missing</v>
      </c>
      <c r="F174" s="18" t="str">
        <f t="shared" si="54"/>
        <v>Value Missing</v>
      </c>
      <c r="G174" s="18" t="str">
        <f t="shared" si="54"/>
        <v>Value Missing</v>
      </c>
      <c r="H174" s="18" t="str">
        <f t="shared" si="54"/>
        <v>Value Missing</v>
      </c>
      <c r="I174" s="18" t="str">
        <f t="shared" si="54"/>
        <v>Value Missing</v>
      </c>
      <c r="J174" s="18" t="str">
        <f t="shared" si="54"/>
        <v>Value Missing</v>
      </c>
      <c r="K174" s="18" t="str">
        <f t="shared" si="54"/>
        <v>Value Missing</v>
      </c>
      <c r="L174" s="18" t="str">
        <f t="shared" si="54"/>
        <v>Value Missing</v>
      </c>
      <c r="M174" s="18" t="str">
        <f t="shared" si="54"/>
        <v>Value Missing</v>
      </c>
      <c r="N174" s="18" t="str">
        <f t="shared" si="54"/>
        <v>Value Missing</v>
      </c>
      <c r="O174" s="18" t="str">
        <f t="shared" si="54"/>
        <v>Value Missing</v>
      </c>
      <c r="P174" s="18" t="str">
        <f t="shared" si="54"/>
        <v>Value Missing</v>
      </c>
      <c r="Q174" s="18" t="str">
        <f t="shared" si="54"/>
        <v>Value Missing</v>
      </c>
      <c r="R174" s="18" t="str">
        <f t="shared" si="54"/>
        <v>Value Missing</v>
      </c>
    </row>
    <row r="175" spans="2:18" ht="16" customHeight="1">
      <c r="B175" s="181"/>
      <c r="C175" s="243"/>
      <c r="D175" s="3"/>
      <c r="E175" s="243"/>
      <c r="F175" s="243"/>
      <c r="G175" s="243"/>
      <c r="H175" s="243"/>
      <c r="I175" s="243"/>
      <c r="J175" s="243"/>
      <c r="K175" s="243"/>
      <c r="L175" s="243"/>
      <c r="M175" s="243"/>
      <c r="N175" s="243"/>
      <c r="O175" s="243"/>
      <c r="P175" s="243"/>
      <c r="Q175" s="243"/>
      <c r="R175" s="243"/>
    </row>
    <row r="176" spans="2:18" ht="34" customHeight="1">
      <c r="B176" s="505" t="s">
        <v>4311</v>
      </c>
      <c r="C176" s="505"/>
      <c r="D176" s="505"/>
      <c r="E176" s="505"/>
      <c r="F176" s="505"/>
      <c r="G176" s="505"/>
      <c r="H176" s="505"/>
      <c r="I176" s="505"/>
      <c r="J176" s="505"/>
      <c r="K176" s="505"/>
      <c r="L176" s="505"/>
      <c r="M176" s="505"/>
      <c r="N176" s="505"/>
      <c r="O176" s="505"/>
      <c r="P176" s="505"/>
      <c r="Q176" s="505"/>
      <c r="R176" s="505"/>
    </row>
    <row r="177" spans="2:18" ht="20" customHeight="1">
      <c r="B177" s="427" t="s">
        <v>1696</v>
      </c>
      <c r="C177" s="428"/>
      <c r="D177" s="428"/>
      <c r="E177" s="428"/>
      <c r="F177" s="428"/>
      <c r="G177" s="428"/>
      <c r="H177" s="428"/>
      <c r="I177" s="428"/>
      <c r="J177" s="428"/>
      <c r="K177" s="428"/>
      <c r="L177" s="428"/>
      <c r="M177" s="428"/>
      <c r="N177" s="428"/>
      <c r="O177" s="428"/>
      <c r="P177" s="428"/>
      <c r="Q177" s="428"/>
      <c r="R177" s="428"/>
    </row>
    <row r="178" spans="2:18" ht="20" customHeight="1">
      <c r="B178" s="234" t="s">
        <v>4293</v>
      </c>
      <c r="C178" s="235" t="s">
        <v>2193</v>
      </c>
      <c r="D178" s="236" t="s">
        <v>2194</v>
      </c>
      <c r="E178" s="235" t="s">
        <v>2195</v>
      </c>
      <c r="F178" s="235" t="s">
        <v>2196</v>
      </c>
      <c r="G178" s="235" t="s">
        <v>4175</v>
      </c>
      <c r="H178" s="235" t="s">
        <v>4176</v>
      </c>
      <c r="I178" s="235" t="s">
        <v>4177</v>
      </c>
      <c r="J178" s="235" t="s">
        <v>4178</v>
      </c>
      <c r="K178" s="235" t="s">
        <v>4179</v>
      </c>
      <c r="L178" s="235" t="s">
        <v>4180</v>
      </c>
      <c r="M178" s="235" t="s">
        <v>4181</v>
      </c>
      <c r="N178" s="235" t="s">
        <v>4182</v>
      </c>
      <c r="O178" s="235" t="s">
        <v>4183</v>
      </c>
      <c r="P178" s="235" t="s">
        <v>4184</v>
      </c>
      <c r="Q178" s="235" t="s">
        <v>4185</v>
      </c>
      <c r="R178" s="235" t="s">
        <v>4186</v>
      </c>
    </row>
    <row r="179" spans="2:18" ht="20" customHeight="1">
      <c r="B179" s="21" t="s">
        <v>1686</v>
      </c>
      <c r="C179" s="18" t="str">
        <f t="array" ref="C179:R179">TRANSPOSE(wld_az1_rack6_host_hostnames)</f>
        <v>Value Missing</v>
      </c>
      <c r="D179" s="244" t="str">
        <v>Value Missing</v>
      </c>
      <c r="E179" s="18" t="str">
        <v>Value Missing</v>
      </c>
      <c r="F179" s="18" t="str">
        <v>Value Missing</v>
      </c>
      <c r="G179" s="18" t="str">
        <v>Value Missing</v>
      </c>
      <c r="H179" s="18" t="str">
        <v>Value Missing</v>
      </c>
      <c r="I179" s="18" t="str">
        <v>Value Missing</v>
      </c>
      <c r="J179" s="18" t="str">
        <v>Value Missing</v>
      </c>
      <c r="K179" s="18" t="str">
        <v>Value Missing</v>
      </c>
      <c r="L179" s="18" t="str">
        <v>Value Missing</v>
      </c>
      <c r="M179" s="18" t="str">
        <v>Value Missing</v>
      </c>
      <c r="N179" s="18" t="str">
        <v>Value Missing</v>
      </c>
      <c r="O179" s="18" t="str">
        <v>Value Missing</v>
      </c>
      <c r="P179" s="18" t="str">
        <v>Value Missing</v>
      </c>
      <c r="Q179" s="18" t="str">
        <v>Value Missing</v>
      </c>
      <c r="R179" s="18" t="str">
        <v>Value Missing</v>
      </c>
    </row>
    <row r="180" spans="2:18" ht="20" customHeight="1">
      <c r="B180" s="21" t="s">
        <v>1695</v>
      </c>
      <c r="C180" s="18" t="str">
        <f t="shared" ref="C180:R180" si="55">esxi_root_password</f>
        <v>Value Missing</v>
      </c>
      <c r="D180" s="244" t="str">
        <f t="shared" si="55"/>
        <v>Value Missing</v>
      </c>
      <c r="E180" s="18" t="str">
        <f t="shared" si="55"/>
        <v>Value Missing</v>
      </c>
      <c r="F180" s="18" t="str">
        <f t="shared" si="55"/>
        <v>Value Missing</v>
      </c>
      <c r="G180" s="18" t="str">
        <f t="shared" si="55"/>
        <v>Value Missing</v>
      </c>
      <c r="H180" s="18" t="str">
        <f t="shared" si="55"/>
        <v>Value Missing</v>
      </c>
      <c r="I180" s="18" t="str">
        <f t="shared" si="55"/>
        <v>Value Missing</v>
      </c>
      <c r="J180" s="18" t="str">
        <f t="shared" si="55"/>
        <v>Value Missing</v>
      </c>
      <c r="K180" s="18" t="str">
        <f t="shared" si="55"/>
        <v>Value Missing</v>
      </c>
      <c r="L180" s="18" t="str">
        <f t="shared" si="55"/>
        <v>Value Missing</v>
      </c>
      <c r="M180" s="18" t="str">
        <f t="shared" si="55"/>
        <v>Value Missing</v>
      </c>
      <c r="N180" s="18" t="str">
        <f t="shared" si="55"/>
        <v>Value Missing</v>
      </c>
      <c r="O180" s="18" t="str">
        <f t="shared" si="55"/>
        <v>Value Missing</v>
      </c>
      <c r="P180" s="18" t="str">
        <f t="shared" si="55"/>
        <v>Value Missing</v>
      </c>
      <c r="Q180" s="18" t="str">
        <f t="shared" si="55"/>
        <v>Value Missing</v>
      </c>
      <c r="R180" s="18" t="str">
        <f t="shared" si="55"/>
        <v>Value Missing</v>
      </c>
    </row>
    <row r="181" spans="2:18" ht="20" customHeight="1">
      <c r="B181" s="21" t="s">
        <v>4295</v>
      </c>
      <c r="C181" s="18" t="str">
        <f t="shared" ref="C181:R181" si="56">wld_az1_rack6_mgmt_vlan</f>
        <v>Value Missing</v>
      </c>
      <c r="D181" s="244" t="str">
        <f t="shared" si="56"/>
        <v>Value Missing</v>
      </c>
      <c r="E181" s="18" t="str">
        <f t="shared" si="56"/>
        <v>Value Missing</v>
      </c>
      <c r="F181" s="18" t="str">
        <f t="shared" si="56"/>
        <v>Value Missing</v>
      </c>
      <c r="G181" s="18" t="str">
        <f t="shared" si="56"/>
        <v>Value Missing</v>
      </c>
      <c r="H181" s="18" t="str">
        <f t="shared" si="56"/>
        <v>Value Missing</v>
      </c>
      <c r="I181" s="18" t="str">
        <f t="shared" si="56"/>
        <v>Value Missing</v>
      </c>
      <c r="J181" s="18" t="str">
        <f t="shared" si="56"/>
        <v>Value Missing</v>
      </c>
      <c r="K181" s="18" t="str">
        <f t="shared" si="56"/>
        <v>Value Missing</v>
      </c>
      <c r="L181" s="18" t="str">
        <f t="shared" si="56"/>
        <v>Value Missing</v>
      </c>
      <c r="M181" s="18" t="str">
        <f t="shared" si="56"/>
        <v>Value Missing</v>
      </c>
      <c r="N181" s="18" t="str">
        <f t="shared" si="56"/>
        <v>Value Missing</v>
      </c>
      <c r="O181" s="18" t="str">
        <f t="shared" si="56"/>
        <v>Value Missing</v>
      </c>
      <c r="P181" s="18" t="str">
        <f t="shared" si="56"/>
        <v>Value Missing</v>
      </c>
      <c r="Q181" s="18" t="str">
        <f t="shared" si="56"/>
        <v>Value Missing</v>
      </c>
      <c r="R181" s="18" t="str">
        <f t="shared" si="56"/>
        <v>Value Missing</v>
      </c>
    </row>
    <row r="182" spans="2:18" ht="20" customHeight="1">
      <c r="B182" s="21" t="s">
        <v>4291</v>
      </c>
      <c r="C182" s="18" t="str">
        <f t="array" ref="C182:R182">TRANSPOSE(wld_az1_rack6_host_mgmt_ips)</f>
        <v>Value Missing</v>
      </c>
      <c r="D182" s="244" t="str">
        <v>Value Missing</v>
      </c>
      <c r="E182" s="18" t="str">
        <v>Value Missing</v>
      </c>
      <c r="F182" s="18" t="str">
        <v>Value Missing</v>
      </c>
      <c r="G182" s="18" t="str">
        <v>Value Missing</v>
      </c>
      <c r="H182" s="18" t="str">
        <v>Value Missing</v>
      </c>
      <c r="I182" s="18" t="str">
        <v>Value Missing</v>
      </c>
      <c r="J182" s="18" t="str">
        <v>Value Missing</v>
      </c>
      <c r="K182" s="18" t="str">
        <v>Value Missing</v>
      </c>
      <c r="L182" s="18" t="str">
        <v>Value Missing</v>
      </c>
      <c r="M182" s="18" t="str">
        <v>Value Missing</v>
      </c>
      <c r="N182" s="18" t="str">
        <v>Value Missing</v>
      </c>
      <c r="O182" s="18" t="str">
        <v>Value Missing</v>
      </c>
      <c r="P182" s="18" t="str">
        <v>Value Missing</v>
      </c>
      <c r="Q182" s="18" t="str">
        <v>Value Missing</v>
      </c>
      <c r="R182" s="18" t="str">
        <v>Value Missing</v>
      </c>
    </row>
    <row r="183" spans="2:18" ht="20" customHeight="1">
      <c r="B183" s="21" t="s">
        <v>1702</v>
      </c>
      <c r="C183" s="18" t="str">
        <f t="shared" ref="C183:R183" si="57">wld_az1_rack6_mgmt_mask</f>
        <v>Value Missing</v>
      </c>
      <c r="D183" s="244" t="str">
        <f t="shared" si="57"/>
        <v>Value Missing</v>
      </c>
      <c r="E183" s="18" t="str">
        <f t="shared" si="57"/>
        <v>Value Missing</v>
      </c>
      <c r="F183" s="18" t="str">
        <f t="shared" si="57"/>
        <v>Value Missing</v>
      </c>
      <c r="G183" s="18" t="str">
        <f t="shared" si="57"/>
        <v>Value Missing</v>
      </c>
      <c r="H183" s="18" t="str">
        <f t="shared" si="57"/>
        <v>Value Missing</v>
      </c>
      <c r="I183" s="18" t="str">
        <f t="shared" si="57"/>
        <v>Value Missing</v>
      </c>
      <c r="J183" s="18" t="str">
        <f t="shared" si="57"/>
        <v>Value Missing</v>
      </c>
      <c r="K183" s="18" t="str">
        <f t="shared" si="57"/>
        <v>Value Missing</v>
      </c>
      <c r="L183" s="18" t="str">
        <f t="shared" si="57"/>
        <v>Value Missing</v>
      </c>
      <c r="M183" s="18" t="str">
        <f t="shared" si="57"/>
        <v>Value Missing</v>
      </c>
      <c r="N183" s="18" t="str">
        <f t="shared" si="57"/>
        <v>Value Missing</v>
      </c>
      <c r="O183" s="18" t="str">
        <f t="shared" si="57"/>
        <v>Value Missing</v>
      </c>
      <c r="P183" s="18" t="str">
        <f t="shared" si="57"/>
        <v>Value Missing</v>
      </c>
      <c r="Q183" s="18" t="str">
        <f t="shared" si="57"/>
        <v>Value Missing</v>
      </c>
      <c r="R183" s="18" t="str">
        <f t="shared" si="57"/>
        <v>Value Missing</v>
      </c>
    </row>
    <row r="184" spans="2:18" ht="20" customHeight="1">
      <c r="B184" s="21" t="s">
        <v>1689</v>
      </c>
      <c r="C184" s="18" t="str">
        <f t="shared" ref="C184:R184" si="58">wld_az1_rack6_mgmt_gateway_ip</f>
        <v>Value Missing</v>
      </c>
      <c r="D184" s="244" t="str">
        <f t="shared" si="58"/>
        <v>Value Missing</v>
      </c>
      <c r="E184" s="18" t="str">
        <f t="shared" si="58"/>
        <v>Value Missing</v>
      </c>
      <c r="F184" s="18" t="str">
        <f t="shared" si="58"/>
        <v>Value Missing</v>
      </c>
      <c r="G184" s="18" t="str">
        <f t="shared" si="58"/>
        <v>Value Missing</v>
      </c>
      <c r="H184" s="18" t="str">
        <f t="shared" si="58"/>
        <v>Value Missing</v>
      </c>
      <c r="I184" s="18" t="str">
        <f t="shared" si="58"/>
        <v>Value Missing</v>
      </c>
      <c r="J184" s="18" t="str">
        <f t="shared" si="58"/>
        <v>Value Missing</v>
      </c>
      <c r="K184" s="18" t="str">
        <f t="shared" si="58"/>
        <v>Value Missing</v>
      </c>
      <c r="L184" s="18" t="str">
        <f t="shared" si="58"/>
        <v>Value Missing</v>
      </c>
      <c r="M184" s="18" t="str">
        <f t="shared" si="58"/>
        <v>Value Missing</v>
      </c>
      <c r="N184" s="18" t="str">
        <f t="shared" si="58"/>
        <v>Value Missing</v>
      </c>
      <c r="O184" s="18" t="str">
        <f t="shared" si="58"/>
        <v>Value Missing</v>
      </c>
      <c r="P184" s="18" t="str">
        <f t="shared" si="58"/>
        <v>Value Missing</v>
      </c>
      <c r="Q184" s="18" t="str">
        <f t="shared" si="58"/>
        <v>Value Missing</v>
      </c>
      <c r="R184" s="18" t="str">
        <f t="shared" si="58"/>
        <v>Value Missing</v>
      </c>
    </row>
    <row r="185" spans="2:18" ht="20" customHeight="1">
      <c r="B185" s="21" t="s">
        <v>1703</v>
      </c>
      <c r="C185" s="18" t="str">
        <f t="shared" ref="C185:R185" si="59">region_dns1_ip</f>
        <v>Value Missing</v>
      </c>
      <c r="D185" s="244" t="str">
        <f t="shared" si="59"/>
        <v>Value Missing</v>
      </c>
      <c r="E185" s="18" t="str">
        <f t="shared" si="59"/>
        <v>Value Missing</v>
      </c>
      <c r="F185" s="18" t="str">
        <f t="shared" si="59"/>
        <v>Value Missing</v>
      </c>
      <c r="G185" s="18" t="str">
        <f t="shared" si="59"/>
        <v>Value Missing</v>
      </c>
      <c r="H185" s="18" t="str">
        <f t="shared" si="59"/>
        <v>Value Missing</v>
      </c>
      <c r="I185" s="18" t="str">
        <f t="shared" si="59"/>
        <v>Value Missing</v>
      </c>
      <c r="J185" s="18" t="str">
        <f t="shared" si="59"/>
        <v>Value Missing</v>
      </c>
      <c r="K185" s="18" t="str">
        <f t="shared" si="59"/>
        <v>Value Missing</v>
      </c>
      <c r="L185" s="18" t="str">
        <f t="shared" si="59"/>
        <v>Value Missing</v>
      </c>
      <c r="M185" s="18" t="str">
        <f t="shared" si="59"/>
        <v>Value Missing</v>
      </c>
      <c r="N185" s="18" t="str">
        <f t="shared" si="59"/>
        <v>Value Missing</v>
      </c>
      <c r="O185" s="18" t="str">
        <f t="shared" si="59"/>
        <v>Value Missing</v>
      </c>
      <c r="P185" s="18" t="str">
        <f t="shared" si="59"/>
        <v>Value Missing</v>
      </c>
      <c r="Q185" s="18" t="str">
        <f t="shared" si="59"/>
        <v>Value Missing</v>
      </c>
      <c r="R185" s="18" t="str">
        <f t="shared" si="59"/>
        <v>Value Missing</v>
      </c>
    </row>
    <row r="186" spans="2:18" ht="20" customHeight="1">
      <c r="B186" s="21" t="s">
        <v>1704</v>
      </c>
      <c r="C186" s="18" t="str">
        <f t="shared" ref="C186:R186" si="60">region_dns2_ip</f>
        <v>Value Missing</v>
      </c>
      <c r="D186" s="244" t="str">
        <f t="shared" si="60"/>
        <v>Value Missing</v>
      </c>
      <c r="E186" s="18" t="str">
        <f t="shared" si="60"/>
        <v>Value Missing</v>
      </c>
      <c r="F186" s="18" t="str">
        <f t="shared" si="60"/>
        <v>Value Missing</v>
      </c>
      <c r="G186" s="18" t="str">
        <f t="shared" si="60"/>
        <v>Value Missing</v>
      </c>
      <c r="H186" s="18" t="str">
        <f t="shared" si="60"/>
        <v>Value Missing</v>
      </c>
      <c r="I186" s="18" t="str">
        <f t="shared" si="60"/>
        <v>Value Missing</v>
      </c>
      <c r="J186" s="18" t="str">
        <f t="shared" si="60"/>
        <v>Value Missing</v>
      </c>
      <c r="K186" s="18" t="str">
        <f t="shared" si="60"/>
        <v>Value Missing</v>
      </c>
      <c r="L186" s="18" t="str">
        <f t="shared" si="60"/>
        <v>Value Missing</v>
      </c>
      <c r="M186" s="18" t="str">
        <f t="shared" si="60"/>
        <v>Value Missing</v>
      </c>
      <c r="N186" s="18" t="str">
        <f t="shared" si="60"/>
        <v>Value Missing</v>
      </c>
      <c r="O186" s="18" t="str">
        <f t="shared" si="60"/>
        <v>Value Missing</v>
      </c>
      <c r="P186" s="18" t="str">
        <f t="shared" si="60"/>
        <v>Value Missing</v>
      </c>
      <c r="Q186" s="18" t="str">
        <f t="shared" si="60"/>
        <v>Value Missing</v>
      </c>
      <c r="R186" s="18" t="str">
        <f t="shared" si="60"/>
        <v>Value Missing</v>
      </c>
    </row>
    <row r="187" spans="2:18" ht="20" customHeight="1">
      <c r="B187" s="427" t="s">
        <v>1709</v>
      </c>
      <c r="C187" s="428"/>
      <c r="D187" s="428"/>
      <c r="E187" s="428"/>
      <c r="F187" s="428"/>
      <c r="G187" s="428"/>
      <c r="H187" s="428"/>
      <c r="I187" s="428"/>
      <c r="J187" s="428"/>
      <c r="K187" s="428"/>
      <c r="L187" s="428"/>
      <c r="M187" s="428"/>
      <c r="N187" s="428"/>
      <c r="O187" s="428"/>
      <c r="P187" s="428"/>
      <c r="Q187" s="428"/>
      <c r="R187" s="426"/>
    </row>
    <row r="188" spans="2:18" ht="20" customHeight="1">
      <c r="B188" s="21" t="s">
        <v>4292</v>
      </c>
      <c r="C188" s="18" t="str">
        <f t="shared" ref="C188:R188" si="61">IF(wld_dpg_separation_result="Included",wld_az1_rack6_mgmt_vm_vlan,wld_az1_rack6_mgmt_vlan)</f>
        <v>Value Missing</v>
      </c>
      <c r="D188" s="18" t="str">
        <f t="shared" si="61"/>
        <v>Value Missing</v>
      </c>
      <c r="E188" s="18" t="str">
        <f t="shared" si="61"/>
        <v>Value Missing</v>
      </c>
      <c r="F188" s="18" t="str">
        <f t="shared" si="61"/>
        <v>Value Missing</v>
      </c>
      <c r="G188" s="18" t="str">
        <f t="shared" si="61"/>
        <v>Value Missing</v>
      </c>
      <c r="H188" s="18" t="str">
        <f t="shared" si="61"/>
        <v>Value Missing</v>
      </c>
      <c r="I188" s="18" t="str">
        <f t="shared" si="61"/>
        <v>Value Missing</v>
      </c>
      <c r="J188" s="18" t="str">
        <f t="shared" si="61"/>
        <v>Value Missing</v>
      </c>
      <c r="K188" s="18" t="str">
        <f t="shared" si="61"/>
        <v>Value Missing</v>
      </c>
      <c r="L188" s="18" t="str">
        <f t="shared" si="61"/>
        <v>Value Missing</v>
      </c>
      <c r="M188" s="18" t="str">
        <f t="shared" si="61"/>
        <v>Value Missing</v>
      </c>
      <c r="N188" s="18" t="str">
        <f t="shared" si="61"/>
        <v>Value Missing</v>
      </c>
      <c r="O188" s="18" t="str">
        <f t="shared" si="61"/>
        <v>Value Missing</v>
      </c>
      <c r="P188" s="18" t="str">
        <f t="shared" si="61"/>
        <v>Value Missing</v>
      </c>
      <c r="Q188" s="18" t="str">
        <f t="shared" si="61"/>
        <v>Value Missing</v>
      </c>
      <c r="R188" s="18" t="str">
        <f t="shared" si="61"/>
        <v>Value Missing</v>
      </c>
    </row>
    <row r="189" spans="2:18" ht="20" customHeight="1">
      <c r="B189" s="427" t="s">
        <v>1714</v>
      </c>
      <c r="C189" s="428"/>
      <c r="D189" s="428"/>
      <c r="E189" s="428"/>
      <c r="F189" s="428"/>
      <c r="G189" s="428"/>
      <c r="H189" s="428"/>
      <c r="I189" s="428"/>
      <c r="J189" s="428"/>
      <c r="K189" s="428"/>
      <c r="L189" s="428"/>
      <c r="M189" s="428"/>
      <c r="N189" s="428"/>
      <c r="O189" s="428"/>
      <c r="P189" s="428"/>
      <c r="Q189" s="428"/>
      <c r="R189" s="426"/>
    </row>
    <row r="190" spans="2:18" ht="20" customHeight="1">
      <c r="B190" s="52" t="s">
        <v>1716</v>
      </c>
      <c r="C190" s="18" t="str">
        <f t="array" ref="C190:C191">region_ntp_servers_array</f>
        <v>Value Missing</v>
      </c>
      <c r="D190" s="18" t="str">
        <f t="array" ref="D190:D191">region_ntp_servers_array</f>
        <v>Value Missing</v>
      </c>
      <c r="E190" s="18" t="str">
        <f t="array" ref="E190:E191">region_ntp_servers_array</f>
        <v>Value Missing</v>
      </c>
      <c r="F190" s="18" t="str">
        <f t="array" ref="F190:F191">region_ntp_servers_array</f>
        <v>Value Missing</v>
      </c>
      <c r="G190" s="18" t="str">
        <f t="array" ref="G190:G191">region_ntp_servers_array</f>
        <v>Value Missing</v>
      </c>
      <c r="H190" s="18" t="str">
        <f t="array" ref="H190:H191">region_ntp_servers_array</f>
        <v>Value Missing</v>
      </c>
      <c r="I190" s="18" t="str">
        <f t="array" ref="I190:I191">region_ntp_servers_array</f>
        <v>Value Missing</v>
      </c>
      <c r="J190" s="18" t="str">
        <f t="array" ref="J190:J191">region_ntp_servers_array</f>
        <v>Value Missing</v>
      </c>
      <c r="K190" s="18" t="str">
        <f t="array" ref="K190:K191">region_ntp_servers_array</f>
        <v>Value Missing</v>
      </c>
      <c r="L190" s="18" t="str">
        <f t="array" ref="L190:L191">region_ntp_servers_array</f>
        <v>Value Missing</v>
      </c>
      <c r="M190" s="18" t="str">
        <f t="array" ref="M190:M191">region_ntp_servers_array</f>
        <v>Value Missing</v>
      </c>
      <c r="N190" s="18" t="str">
        <f t="array" ref="N190:N191">region_ntp_servers_array</f>
        <v>Value Missing</v>
      </c>
      <c r="O190" s="18" t="str">
        <f t="array" ref="O190:O191">region_ntp_servers_array</f>
        <v>Value Missing</v>
      </c>
      <c r="P190" s="18" t="str">
        <f t="array" ref="P190:P191">region_ntp_servers_array</f>
        <v>Value Missing</v>
      </c>
      <c r="Q190" s="18" t="str">
        <f t="array" ref="Q190:Q191">region_ntp_servers_array</f>
        <v>Value Missing</v>
      </c>
      <c r="R190" s="18" t="str">
        <f t="array" ref="R190:R191">region_ntp_servers_array</f>
        <v>Value Missing</v>
      </c>
    </row>
    <row r="191" spans="2:18" ht="20" customHeight="1">
      <c r="B191" s="52" t="s">
        <v>1716</v>
      </c>
      <c r="C191" s="18" t="str">
        <v>Value Missing</v>
      </c>
      <c r="D191" s="18" t="str">
        <v>Value Missing</v>
      </c>
      <c r="E191" s="18" t="str">
        <v>Value Missing</v>
      </c>
      <c r="F191" s="18" t="str">
        <v>Value Missing</v>
      </c>
      <c r="G191" s="18" t="str">
        <v>Value Missing</v>
      </c>
      <c r="H191" s="18" t="str">
        <v>Value Missing</v>
      </c>
      <c r="I191" s="18" t="str">
        <v>Value Missing</v>
      </c>
      <c r="J191" s="18" t="str">
        <v>Value Missing</v>
      </c>
      <c r="K191" s="18" t="str">
        <v>Value Missing</v>
      </c>
      <c r="L191" s="18" t="str">
        <v>Value Missing</v>
      </c>
      <c r="M191" s="18" t="str">
        <v>Value Missing</v>
      </c>
      <c r="N191" s="18" t="str">
        <v>Value Missing</v>
      </c>
      <c r="O191" s="18" t="str">
        <v>Value Missing</v>
      </c>
      <c r="P191" s="18" t="str">
        <v>Value Missing</v>
      </c>
      <c r="Q191" s="18" t="str">
        <v>Value Missing</v>
      </c>
      <c r="R191" s="18" t="str">
        <v>Value Missing</v>
      </c>
    </row>
    <row r="192" spans="2:18" ht="20" customHeight="1">
      <c r="B192" s="427" t="s">
        <v>1717</v>
      </c>
      <c r="C192" s="428"/>
      <c r="D192" s="428"/>
      <c r="E192" s="428"/>
      <c r="F192" s="428"/>
      <c r="G192" s="428"/>
      <c r="H192" s="428"/>
      <c r="I192" s="428"/>
      <c r="J192" s="428"/>
      <c r="K192" s="428"/>
      <c r="L192" s="428"/>
      <c r="M192" s="428"/>
      <c r="N192" s="428"/>
      <c r="O192" s="428"/>
      <c r="P192" s="428"/>
      <c r="Q192" s="428"/>
      <c r="R192" s="426"/>
    </row>
    <row r="193" spans="2:18" ht="20" customHeight="1">
      <c r="B193" s="239" t="s">
        <v>4293</v>
      </c>
      <c r="C193" s="504" t="s">
        <v>4296</v>
      </c>
      <c r="D193" s="504"/>
      <c r="E193" s="240"/>
      <c r="F193" s="240"/>
      <c r="G193" s="240"/>
      <c r="H193" s="240"/>
      <c r="I193" s="240"/>
      <c r="J193" s="240"/>
      <c r="K193" s="240"/>
      <c r="L193" s="240"/>
      <c r="M193" s="240"/>
      <c r="N193" s="240"/>
      <c r="O193" s="240"/>
      <c r="P193" s="240"/>
      <c r="Q193" s="240"/>
      <c r="R193" s="241"/>
    </row>
    <row r="194" spans="2:18" ht="20" customHeight="1">
      <c r="B194" s="427" t="s">
        <v>1719</v>
      </c>
      <c r="C194" s="428"/>
      <c r="D194" s="428"/>
      <c r="E194" s="428"/>
      <c r="F194" s="428"/>
      <c r="G194" s="428"/>
      <c r="H194" s="428"/>
      <c r="I194" s="428"/>
      <c r="J194" s="428"/>
      <c r="K194" s="428"/>
      <c r="L194" s="428"/>
      <c r="M194" s="428"/>
      <c r="N194" s="428"/>
      <c r="O194" s="428"/>
      <c r="P194" s="428"/>
      <c r="Q194" s="428"/>
      <c r="R194" s="426"/>
    </row>
    <row r="195" spans="2:18" ht="20" customHeight="1">
      <c r="B195" s="239" t="s">
        <v>4293</v>
      </c>
      <c r="C195" s="504" t="s">
        <v>4296</v>
      </c>
      <c r="D195" s="504"/>
      <c r="E195" s="240"/>
      <c r="F195" s="240"/>
      <c r="G195" s="240"/>
      <c r="H195" s="240"/>
      <c r="I195" s="240"/>
      <c r="J195" s="240"/>
      <c r="K195" s="240"/>
      <c r="L195" s="240"/>
      <c r="M195" s="240"/>
      <c r="N195" s="240"/>
      <c r="O195" s="240"/>
      <c r="P195" s="240"/>
      <c r="Q195" s="240"/>
      <c r="R195" s="241"/>
    </row>
    <row r="196" spans="2:18" ht="20" customHeight="1">
      <c r="B196" s="427" t="s">
        <v>2170</v>
      </c>
      <c r="C196" s="428"/>
      <c r="D196" s="428"/>
      <c r="E196" s="428"/>
      <c r="F196" s="428"/>
      <c r="G196" s="428"/>
      <c r="H196" s="428"/>
      <c r="I196" s="428"/>
      <c r="J196" s="428"/>
      <c r="K196" s="428"/>
      <c r="L196" s="428"/>
      <c r="M196" s="428"/>
      <c r="N196" s="428"/>
      <c r="O196" s="428"/>
      <c r="P196" s="428"/>
      <c r="Q196" s="428"/>
      <c r="R196" s="426"/>
    </row>
    <row r="197" spans="2:18" ht="20" customHeight="1">
      <c r="B197" s="242" t="s">
        <v>4293</v>
      </c>
      <c r="C197" s="242" t="s">
        <v>735</v>
      </c>
      <c r="D197" s="236" t="s">
        <v>4297</v>
      </c>
      <c r="E197" s="236" t="s">
        <v>4298</v>
      </c>
      <c r="F197" s="235" t="s">
        <v>4299</v>
      </c>
      <c r="G197" s="235" t="s">
        <v>4300</v>
      </c>
      <c r="H197" s="236" t="s">
        <v>4301</v>
      </c>
      <c r="I197" s="235" t="s">
        <v>4302</v>
      </c>
      <c r="J197" s="235" t="s">
        <v>4303</v>
      </c>
      <c r="K197" s="236" t="s">
        <v>4304</v>
      </c>
      <c r="L197" s="243"/>
      <c r="M197" s="243"/>
      <c r="N197" s="243"/>
      <c r="O197" s="243"/>
      <c r="P197" s="243"/>
      <c r="Q197" s="243"/>
      <c r="R197" s="243"/>
    </row>
    <row r="198" spans="2:18" ht="20" customHeight="1">
      <c r="B198" s="509" t="s">
        <v>4305</v>
      </c>
      <c r="C198" s="510" t="str">
        <f>wld_az1_rack6_pool_name</f>
        <v>Value Missing</v>
      </c>
      <c r="D198" s="247" t="s">
        <v>4306</v>
      </c>
      <c r="E198" s="18" t="str">
        <f>wld_az1_rack6_principal_storage_vlan</f>
        <v>Value Missing</v>
      </c>
      <c r="F198" s="18" t="str">
        <f>wld_az1_rack6_principal_storage_mtu</f>
        <v>Value Missing</v>
      </c>
      <c r="G198" s="18" t="str">
        <f>IF(wld_az1_rack6_principal_storage_cidr="Value Missing","Value Missing",LEFT(wld_az1_rack6_principal_storage_cidr,(FIND("/",wld_az1_rack6_principal_storage_cidr,1)-1)))</f>
        <v>Value Missing</v>
      </c>
      <c r="H198" s="18" t="str">
        <f>wld_az1_rack6_principal_storage_mask</f>
        <v>Value Missing</v>
      </c>
      <c r="I198" s="18" t="str">
        <f>wld_az1_rack6_principal_storage_gateway_ip</f>
        <v>Value Missing</v>
      </c>
      <c r="J198" s="18" t="str">
        <f>wld_az1_rack6_principal_storage_pool_start_ip</f>
        <v>Value Missing</v>
      </c>
      <c r="K198" s="18" t="str">
        <f>wld_az1_rack6_principal_storage_pool_end_ip</f>
        <v>Value Missing</v>
      </c>
      <c r="L198" s="243"/>
      <c r="M198" s="243"/>
      <c r="N198" s="243"/>
      <c r="O198" s="243"/>
      <c r="P198" s="243"/>
      <c r="Q198" s="243"/>
      <c r="R198" s="243"/>
    </row>
    <row r="199" spans="2:18" ht="20" customHeight="1">
      <c r="B199" s="509"/>
      <c r="C199" s="511"/>
      <c r="D199" s="247" t="s">
        <v>731</v>
      </c>
      <c r="E199" s="18" t="str">
        <f>wld_az1_rack6_vmotion_vlan</f>
        <v>Value Missing</v>
      </c>
      <c r="F199" s="18" t="str">
        <f>wld_az1_rack6_vmotion_mtu</f>
        <v>Value Missing</v>
      </c>
      <c r="G199" s="18" t="str">
        <f>IF(wld_az1_rack6_vmotion_cidr="Value Missing","Value Missing",LEFT(wld_az1_rack6_vmotion_cidr,(FIND("/",wld_az1_rack6_vmotion_cidr,1)-1)))</f>
        <v>Value Missing</v>
      </c>
      <c r="H199" s="18" t="str">
        <f>wld_az1_rack6_vmotion_mask</f>
        <v>Value Missing</v>
      </c>
      <c r="I199" s="18" t="str">
        <f>wld_az1_rack6_vmotion_gateway_ip</f>
        <v>Value Missing</v>
      </c>
      <c r="J199" s="18" t="str">
        <f>wld_az1_rack6_vmotion_pool_start_ip</f>
        <v>Value Missing</v>
      </c>
      <c r="K199" s="18" t="str">
        <f>wld_az1_rack6_vmotion_pool_end_ip</f>
        <v>Value Missing</v>
      </c>
      <c r="L199" s="243"/>
      <c r="M199" s="243"/>
      <c r="N199" s="243"/>
      <c r="O199" s="243"/>
      <c r="P199" s="243"/>
      <c r="Q199" s="243"/>
      <c r="R199" s="243"/>
    </row>
    <row r="200" spans="2:18" ht="20" customHeight="1">
      <c r="B200" s="509"/>
      <c r="C200" s="512"/>
      <c r="D200" s="247" t="s">
        <v>4307</v>
      </c>
      <c r="E200" s="18" t="str">
        <f>wld_az1_rack6_secondary_storage_vlan</f>
        <v>Value Missing</v>
      </c>
      <c r="F200" s="18" t="str">
        <f>wld_az1_rack6_secondary_storage_mtu</f>
        <v>Value Missing</v>
      </c>
      <c r="G200" s="18" t="str">
        <f>IF(wld_az1_rack6_secondary_storage_cidr="Value Missing","Value Missing",LEFT(wld_az1_rack6_secondary_storage_cidr,(FIND("/",wld_az1_rack6_secondary_storage_cidr,1)-1)))</f>
        <v>Value Missing</v>
      </c>
      <c r="H200" s="18" t="str">
        <f>IF(wld_az1_rack6_secondary_storage_cidr="Value Missing","Value Missing",VLOOKUP(INT(RIGHT(wld_az1_rack6_secondary_storage_cidr,LEN(wld_az1_rack6_secondary_storage_cidr)-FIND("/",wld_az1_rack6_secondary_storage_cidr))),table_cidr_to_mask,2,FALSE))</f>
        <v>Value Missing</v>
      </c>
      <c r="I200" s="18" t="str">
        <f>wld_az1_rack6_secondary_storage_gateway_ip</f>
        <v>Value Missing</v>
      </c>
      <c r="J200" s="18" t="str">
        <f>wld_az1_rack6_secondary_storage_pool_start_ip</f>
        <v>Value Missing</v>
      </c>
      <c r="K200" s="18" t="str">
        <f>wld_az1_rack6_secondary_storage_pool_end_ip</f>
        <v>Value Missing</v>
      </c>
      <c r="L200" s="243"/>
      <c r="M200" s="243"/>
      <c r="N200" s="243"/>
      <c r="O200" s="243"/>
      <c r="P200" s="243"/>
      <c r="Q200" s="243"/>
      <c r="R200" s="243"/>
    </row>
    <row r="201" spans="2:18" ht="20" customHeight="1">
      <c r="B201" s="427" t="s">
        <v>2171</v>
      </c>
      <c r="C201" s="428"/>
      <c r="D201" s="428"/>
      <c r="E201" s="428"/>
      <c r="F201" s="428"/>
      <c r="G201" s="428"/>
      <c r="H201" s="428"/>
      <c r="I201" s="428"/>
      <c r="J201" s="428"/>
      <c r="K201" s="428"/>
      <c r="L201" s="428"/>
      <c r="M201" s="428"/>
      <c r="N201" s="428"/>
      <c r="O201" s="428"/>
      <c r="P201" s="428"/>
      <c r="Q201" s="428"/>
      <c r="R201" s="428"/>
    </row>
    <row r="202" spans="2:18" ht="20" customHeight="1">
      <c r="B202" s="239" t="s">
        <v>4293</v>
      </c>
      <c r="C202" s="240"/>
      <c r="D202" s="240"/>
      <c r="E202" s="240"/>
      <c r="F202" s="240"/>
      <c r="G202" s="240"/>
      <c r="H202" s="240"/>
      <c r="I202" s="240"/>
      <c r="J202" s="240"/>
      <c r="K202" s="240"/>
      <c r="L202" s="240"/>
      <c r="M202" s="240"/>
      <c r="N202" s="240"/>
      <c r="O202" s="240"/>
      <c r="P202" s="240"/>
      <c r="Q202" s="240"/>
      <c r="R202" s="241"/>
    </row>
    <row r="203" spans="2:18" ht="20" customHeight="1">
      <c r="B203" s="52" t="s">
        <v>4163</v>
      </c>
      <c r="C203" s="18" t="str">
        <f t="shared" ref="C203:R203" si="62">IF(wld_principal_storage_chosen="vSAN-ESA","vSAN-ESA",IF(wld_principal_storage_chosen="vSAN-OSA","vSAN-OSA",IF(wld_principal_storage_chosen="NFS","NFS",IF(wld_principal_storage_chosen="VMFS on FC","VMFS on FC","vVOL"))))</f>
        <v>vSAN-ESA</v>
      </c>
      <c r="D203" s="18" t="str">
        <f t="shared" si="62"/>
        <v>vSAN-ESA</v>
      </c>
      <c r="E203" s="18" t="str">
        <f t="shared" si="62"/>
        <v>vSAN-ESA</v>
      </c>
      <c r="F203" s="18" t="str">
        <f t="shared" si="62"/>
        <v>vSAN-ESA</v>
      </c>
      <c r="G203" s="18" t="str">
        <f t="shared" si="62"/>
        <v>vSAN-ESA</v>
      </c>
      <c r="H203" s="18" t="str">
        <f t="shared" si="62"/>
        <v>vSAN-ESA</v>
      </c>
      <c r="I203" s="18" t="str">
        <f t="shared" si="62"/>
        <v>vSAN-ESA</v>
      </c>
      <c r="J203" s="18" t="str">
        <f t="shared" si="62"/>
        <v>vSAN-ESA</v>
      </c>
      <c r="K203" s="18" t="str">
        <f t="shared" si="62"/>
        <v>vSAN-ESA</v>
      </c>
      <c r="L203" s="18" t="str">
        <f t="shared" si="62"/>
        <v>vSAN-ESA</v>
      </c>
      <c r="M203" s="18" t="str">
        <f t="shared" si="62"/>
        <v>vSAN-ESA</v>
      </c>
      <c r="N203" s="18" t="str">
        <f t="shared" si="62"/>
        <v>vSAN-ESA</v>
      </c>
      <c r="O203" s="18" t="str">
        <f t="shared" si="62"/>
        <v>vSAN-ESA</v>
      </c>
      <c r="P203" s="18" t="str">
        <f t="shared" si="62"/>
        <v>vSAN-ESA</v>
      </c>
      <c r="Q203" s="18" t="str">
        <f t="shared" si="62"/>
        <v>vSAN-ESA</v>
      </c>
      <c r="R203" s="18" t="str">
        <f t="shared" si="62"/>
        <v>vSAN-ESA</v>
      </c>
    </row>
    <row r="204" spans="2:18" ht="20" customHeight="1">
      <c r="B204" s="52" t="s">
        <v>4164</v>
      </c>
      <c r="C204" s="18" t="str">
        <f t="shared" ref="C204:R204" si="63">IF(wld_principal_storage_chosen="vSAN-ESA","N/A",IF(wld_principal_storage_chosen="vSAN-OSA","N/A",IF(wld_principal_storage_chosen="NFS","N/A",IF(wld_principal_storage_chosen="VMFS on FC","N/A",RIGHT(wld_principal_storage_chosen,LEN(wld_principal_storage_chosen)-9)))))</f>
        <v>N/A</v>
      </c>
      <c r="D204" s="18" t="str">
        <f t="shared" si="63"/>
        <v>N/A</v>
      </c>
      <c r="E204" s="18" t="str">
        <f t="shared" si="63"/>
        <v>N/A</v>
      </c>
      <c r="F204" s="18" t="str">
        <f t="shared" si="63"/>
        <v>N/A</v>
      </c>
      <c r="G204" s="18" t="str">
        <f t="shared" si="63"/>
        <v>N/A</v>
      </c>
      <c r="H204" s="18" t="str">
        <f t="shared" si="63"/>
        <v>N/A</v>
      </c>
      <c r="I204" s="18" t="str">
        <f t="shared" si="63"/>
        <v>N/A</v>
      </c>
      <c r="J204" s="18" t="str">
        <f t="shared" si="63"/>
        <v>N/A</v>
      </c>
      <c r="K204" s="18" t="str">
        <f t="shared" si="63"/>
        <v>N/A</v>
      </c>
      <c r="L204" s="18" t="str">
        <f t="shared" si="63"/>
        <v>N/A</v>
      </c>
      <c r="M204" s="18" t="str">
        <f t="shared" si="63"/>
        <v>N/A</v>
      </c>
      <c r="N204" s="18" t="str">
        <f t="shared" si="63"/>
        <v>N/A</v>
      </c>
      <c r="O204" s="18" t="str">
        <f t="shared" si="63"/>
        <v>N/A</v>
      </c>
      <c r="P204" s="18" t="str">
        <f t="shared" si="63"/>
        <v>N/A</v>
      </c>
      <c r="Q204" s="18" t="str">
        <f t="shared" si="63"/>
        <v>N/A</v>
      </c>
      <c r="R204" s="18" t="str">
        <f t="shared" si="63"/>
        <v>N/A</v>
      </c>
    </row>
    <row r="205" spans="2:18" ht="20" customHeight="1">
      <c r="B205" s="52" t="s">
        <v>781</v>
      </c>
      <c r="C205" s="18" t="str">
        <f t="shared" ref="C205:R205" si="64">wld_az1_rack6_pool_name</f>
        <v>Value Missing</v>
      </c>
      <c r="D205" s="18" t="str">
        <f t="shared" si="64"/>
        <v>Value Missing</v>
      </c>
      <c r="E205" s="18" t="str">
        <f t="shared" si="64"/>
        <v>Value Missing</v>
      </c>
      <c r="F205" s="18" t="str">
        <f t="shared" si="64"/>
        <v>Value Missing</v>
      </c>
      <c r="G205" s="18" t="str">
        <f t="shared" si="64"/>
        <v>Value Missing</v>
      </c>
      <c r="H205" s="18" t="str">
        <f t="shared" si="64"/>
        <v>Value Missing</v>
      </c>
      <c r="I205" s="18" t="str">
        <f t="shared" si="64"/>
        <v>Value Missing</v>
      </c>
      <c r="J205" s="18" t="str">
        <f t="shared" si="64"/>
        <v>Value Missing</v>
      </c>
      <c r="K205" s="18" t="str">
        <f t="shared" si="64"/>
        <v>Value Missing</v>
      </c>
      <c r="L205" s="18" t="str">
        <f t="shared" si="64"/>
        <v>Value Missing</v>
      </c>
      <c r="M205" s="18" t="str">
        <f t="shared" si="64"/>
        <v>Value Missing</v>
      </c>
      <c r="N205" s="18" t="str">
        <f t="shared" si="64"/>
        <v>Value Missing</v>
      </c>
      <c r="O205" s="18" t="str">
        <f t="shared" si="64"/>
        <v>Value Missing</v>
      </c>
      <c r="P205" s="18" t="str">
        <f t="shared" si="64"/>
        <v>Value Missing</v>
      </c>
      <c r="Q205" s="18" t="str">
        <f t="shared" si="64"/>
        <v>Value Missing</v>
      </c>
      <c r="R205" s="18" t="str">
        <f t="shared" si="64"/>
        <v>Value Missing</v>
      </c>
    </row>
    <row r="206" spans="2:18" ht="20" customHeight="1">
      <c r="B206" s="52" t="s">
        <v>4165</v>
      </c>
      <c r="C206" s="18" t="s">
        <v>1352</v>
      </c>
      <c r="D206" s="18" t="s">
        <v>1352</v>
      </c>
      <c r="E206" s="18" t="s">
        <v>1352</v>
      </c>
      <c r="F206" s="18" t="s">
        <v>1352</v>
      </c>
      <c r="G206" s="18" t="s">
        <v>1352</v>
      </c>
      <c r="H206" s="18" t="s">
        <v>1352</v>
      </c>
      <c r="I206" s="18" t="s">
        <v>1352</v>
      </c>
      <c r="J206" s="18" t="s">
        <v>1352</v>
      </c>
      <c r="K206" s="18" t="s">
        <v>1352</v>
      </c>
      <c r="L206" s="18" t="s">
        <v>1352</v>
      </c>
      <c r="M206" s="18" t="s">
        <v>1352</v>
      </c>
      <c r="N206" s="18" t="s">
        <v>1352</v>
      </c>
      <c r="O206" s="18" t="s">
        <v>1352</v>
      </c>
      <c r="P206" s="18" t="s">
        <v>1352</v>
      </c>
      <c r="Q206" s="18" t="s">
        <v>1352</v>
      </c>
      <c r="R206" s="18" t="s">
        <v>1352</v>
      </c>
    </row>
    <row r="207" spans="2:18" ht="20" customHeight="1">
      <c r="B207" s="52" t="s">
        <v>1796</v>
      </c>
      <c r="C207" s="18" t="str">
        <f t="shared" ref="C207:R207" si="65">esxi_root_password</f>
        <v>Value Missing</v>
      </c>
      <c r="D207" s="18" t="str">
        <f t="shared" si="65"/>
        <v>Value Missing</v>
      </c>
      <c r="E207" s="18" t="str">
        <f t="shared" si="65"/>
        <v>Value Missing</v>
      </c>
      <c r="F207" s="18" t="str">
        <f t="shared" si="65"/>
        <v>Value Missing</v>
      </c>
      <c r="G207" s="18" t="str">
        <f t="shared" si="65"/>
        <v>Value Missing</v>
      </c>
      <c r="H207" s="18" t="str">
        <f t="shared" si="65"/>
        <v>Value Missing</v>
      </c>
      <c r="I207" s="18" t="str">
        <f t="shared" si="65"/>
        <v>Value Missing</v>
      </c>
      <c r="J207" s="18" t="str">
        <f t="shared" si="65"/>
        <v>Value Missing</v>
      </c>
      <c r="K207" s="18" t="str">
        <f t="shared" si="65"/>
        <v>Value Missing</v>
      </c>
      <c r="L207" s="18" t="str">
        <f t="shared" si="65"/>
        <v>Value Missing</v>
      </c>
      <c r="M207" s="18" t="str">
        <f t="shared" si="65"/>
        <v>Value Missing</v>
      </c>
      <c r="N207" s="18" t="str">
        <f t="shared" si="65"/>
        <v>Value Missing</v>
      </c>
      <c r="O207" s="18" t="str">
        <f t="shared" si="65"/>
        <v>Value Missing</v>
      </c>
      <c r="P207" s="18" t="str">
        <f t="shared" si="65"/>
        <v>Value Missing</v>
      </c>
      <c r="Q207" s="18" t="str">
        <f t="shared" si="65"/>
        <v>Value Missing</v>
      </c>
      <c r="R207" s="18" t="str">
        <f t="shared" si="65"/>
        <v>Value Missing</v>
      </c>
    </row>
    <row r="208" spans="2:18" ht="16" customHeight="1">
      <c r="B208" s="181"/>
      <c r="C208" s="243"/>
      <c r="D208" s="3"/>
      <c r="E208" s="243"/>
      <c r="F208" s="243"/>
      <c r="G208" s="243"/>
      <c r="H208" s="243"/>
      <c r="I208" s="243"/>
      <c r="J208" s="243"/>
      <c r="K208" s="243"/>
      <c r="L208" s="243"/>
      <c r="M208" s="243"/>
      <c r="N208" s="243"/>
      <c r="O208" s="243"/>
      <c r="P208" s="243"/>
      <c r="Q208" s="243"/>
      <c r="R208" s="243"/>
    </row>
    <row r="209" spans="2:18" ht="34" customHeight="1">
      <c r="B209" s="505" t="s">
        <v>4312</v>
      </c>
      <c r="C209" s="505"/>
      <c r="D209" s="505"/>
      <c r="E209" s="505"/>
      <c r="F209" s="505"/>
      <c r="G209" s="505"/>
      <c r="H209" s="505"/>
      <c r="I209" s="505"/>
      <c r="J209" s="505"/>
      <c r="K209" s="505"/>
      <c r="L209" s="505"/>
      <c r="M209" s="505"/>
      <c r="N209" s="505"/>
      <c r="O209" s="505"/>
      <c r="P209" s="505"/>
      <c r="Q209" s="505"/>
      <c r="R209" s="505"/>
    </row>
    <row r="210" spans="2:18" ht="20" customHeight="1">
      <c r="B210" s="68" t="s">
        <v>1696</v>
      </c>
      <c r="C210" s="73"/>
      <c r="D210" s="73"/>
      <c r="E210" s="73"/>
      <c r="F210" s="73"/>
      <c r="G210" s="73"/>
      <c r="H210" s="73"/>
      <c r="I210" s="73"/>
      <c r="J210" s="73"/>
      <c r="K210" s="73"/>
      <c r="L210" s="73"/>
      <c r="M210" s="73"/>
      <c r="N210" s="73"/>
      <c r="O210" s="73"/>
      <c r="P210" s="73"/>
      <c r="Q210" s="73"/>
      <c r="R210" s="73"/>
    </row>
    <row r="211" spans="2:18" ht="20" customHeight="1">
      <c r="B211" s="234" t="s">
        <v>4293</v>
      </c>
      <c r="C211" s="235" t="s">
        <v>2193</v>
      </c>
      <c r="D211" s="236" t="s">
        <v>2194</v>
      </c>
      <c r="E211" s="235" t="s">
        <v>2195</v>
      </c>
      <c r="F211" s="235" t="s">
        <v>2196</v>
      </c>
      <c r="G211" s="235" t="s">
        <v>4175</v>
      </c>
      <c r="H211" s="235" t="s">
        <v>4176</v>
      </c>
      <c r="I211" s="235" t="s">
        <v>4177</v>
      </c>
      <c r="J211" s="235" t="s">
        <v>4178</v>
      </c>
      <c r="K211" s="235" t="s">
        <v>4179</v>
      </c>
      <c r="L211" s="235" t="s">
        <v>4180</v>
      </c>
      <c r="M211" s="235" t="s">
        <v>4181</v>
      </c>
      <c r="N211" s="235" t="s">
        <v>4182</v>
      </c>
      <c r="O211" s="235" t="s">
        <v>4183</v>
      </c>
      <c r="P211" s="235" t="s">
        <v>4184</v>
      </c>
      <c r="Q211" s="235" t="s">
        <v>4185</v>
      </c>
      <c r="R211" s="235" t="s">
        <v>4186</v>
      </c>
    </row>
    <row r="212" spans="2:18" ht="20" customHeight="1">
      <c r="B212" s="21" t="s">
        <v>1686</v>
      </c>
      <c r="C212" s="18" t="str">
        <f t="array" ref="C212:R212">TRANSPOSE(wld_az1_rack7_host_hostnames)</f>
        <v>Value Missing</v>
      </c>
      <c r="D212" s="244" t="str">
        <v>Value Missing</v>
      </c>
      <c r="E212" s="18" t="str">
        <v>Value Missing</v>
      </c>
      <c r="F212" s="18" t="str">
        <v>Value Missing</v>
      </c>
      <c r="G212" s="18" t="str">
        <v>Value Missing</v>
      </c>
      <c r="H212" s="18" t="str">
        <v>Value Missing</v>
      </c>
      <c r="I212" s="18" t="str">
        <v>Value Missing</v>
      </c>
      <c r="J212" s="18" t="str">
        <v>Value Missing</v>
      </c>
      <c r="K212" s="18" t="str">
        <v>Value Missing</v>
      </c>
      <c r="L212" s="18" t="str">
        <v>Value Missing</v>
      </c>
      <c r="M212" s="18" t="str">
        <v>Value Missing</v>
      </c>
      <c r="N212" s="18" t="str">
        <v>Value Missing</v>
      </c>
      <c r="O212" s="18" t="str">
        <v>Value Missing</v>
      </c>
      <c r="P212" s="18" t="str">
        <v>Value Missing</v>
      </c>
      <c r="Q212" s="18" t="str">
        <v>Value Missing</v>
      </c>
      <c r="R212" s="18" t="str">
        <v>Value Missing</v>
      </c>
    </row>
    <row r="213" spans="2:18" ht="20" customHeight="1">
      <c r="B213" s="21" t="s">
        <v>1695</v>
      </c>
      <c r="C213" s="18" t="str">
        <f t="shared" ref="C213:R213" si="66">esxi_root_password</f>
        <v>Value Missing</v>
      </c>
      <c r="D213" s="244" t="str">
        <f t="shared" si="66"/>
        <v>Value Missing</v>
      </c>
      <c r="E213" s="18" t="str">
        <f t="shared" si="66"/>
        <v>Value Missing</v>
      </c>
      <c r="F213" s="18" t="str">
        <f t="shared" si="66"/>
        <v>Value Missing</v>
      </c>
      <c r="G213" s="18" t="str">
        <f t="shared" si="66"/>
        <v>Value Missing</v>
      </c>
      <c r="H213" s="18" t="str">
        <f t="shared" si="66"/>
        <v>Value Missing</v>
      </c>
      <c r="I213" s="18" t="str">
        <f t="shared" si="66"/>
        <v>Value Missing</v>
      </c>
      <c r="J213" s="18" t="str">
        <f t="shared" si="66"/>
        <v>Value Missing</v>
      </c>
      <c r="K213" s="18" t="str">
        <f t="shared" si="66"/>
        <v>Value Missing</v>
      </c>
      <c r="L213" s="18" t="str">
        <f t="shared" si="66"/>
        <v>Value Missing</v>
      </c>
      <c r="M213" s="18" t="str">
        <f t="shared" si="66"/>
        <v>Value Missing</v>
      </c>
      <c r="N213" s="18" t="str">
        <f t="shared" si="66"/>
        <v>Value Missing</v>
      </c>
      <c r="O213" s="18" t="str">
        <f t="shared" si="66"/>
        <v>Value Missing</v>
      </c>
      <c r="P213" s="18" t="str">
        <f t="shared" si="66"/>
        <v>Value Missing</v>
      </c>
      <c r="Q213" s="18" t="str">
        <f t="shared" si="66"/>
        <v>Value Missing</v>
      </c>
      <c r="R213" s="18" t="str">
        <f t="shared" si="66"/>
        <v>Value Missing</v>
      </c>
    </row>
    <row r="214" spans="2:18" ht="20" customHeight="1">
      <c r="B214" s="21" t="s">
        <v>4295</v>
      </c>
      <c r="C214" s="18" t="str">
        <f t="shared" ref="C214:R214" si="67">wld_az1_rack7_mgmt_vlan</f>
        <v>Value Missing</v>
      </c>
      <c r="D214" s="244" t="str">
        <f t="shared" si="67"/>
        <v>Value Missing</v>
      </c>
      <c r="E214" s="18" t="str">
        <f t="shared" si="67"/>
        <v>Value Missing</v>
      </c>
      <c r="F214" s="18" t="str">
        <f t="shared" si="67"/>
        <v>Value Missing</v>
      </c>
      <c r="G214" s="18" t="str">
        <f t="shared" si="67"/>
        <v>Value Missing</v>
      </c>
      <c r="H214" s="18" t="str">
        <f t="shared" si="67"/>
        <v>Value Missing</v>
      </c>
      <c r="I214" s="18" t="str">
        <f t="shared" si="67"/>
        <v>Value Missing</v>
      </c>
      <c r="J214" s="18" t="str">
        <f t="shared" si="67"/>
        <v>Value Missing</v>
      </c>
      <c r="K214" s="18" t="str">
        <f t="shared" si="67"/>
        <v>Value Missing</v>
      </c>
      <c r="L214" s="18" t="str">
        <f t="shared" si="67"/>
        <v>Value Missing</v>
      </c>
      <c r="M214" s="18" t="str">
        <f t="shared" si="67"/>
        <v>Value Missing</v>
      </c>
      <c r="N214" s="18" t="str">
        <f t="shared" si="67"/>
        <v>Value Missing</v>
      </c>
      <c r="O214" s="18" t="str">
        <f t="shared" si="67"/>
        <v>Value Missing</v>
      </c>
      <c r="P214" s="18" t="str">
        <f t="shared" si="67"/>
        <v>Value Missing</v>
      </c>
      <c r="Q214" s="18" t="str">
        <f t="shared" si="67"/>
        <v>Value Missing</v>
      </c>
      <c r="R214" s="18" t="str">
        <f t="shared" si="67"/>
        <v>Value Missing</v>
      </c>
    </row>
    <row r="215" spans="2:18" ht="20" customHeight="1">
      <c r="B215" s="21" t="s">
        <v>4291</v>
      </c>
      <c r="C215" s="18" t="str">
        <f t="array" ref="C215:R215">TRANSPOSE(wld_az1_rack7_host_mgmt_ips)</f>
        <v>Value Missing</v>
      </c>
      <c r="D215" s="244" t="str">
        <v>Value Missing</v>
      </c>
      <c r="E215" s="18" t="str">
        <v>Value Missing</v>
      </c>
      <c r="F215" s="18" t="str">
        <v>Value Missing</v>
      </c>
      <c r="G215" s="18" t="str">
        <v>Value Missing</v>
      </c>
      <c r="H215" s="18" t="str">
        <v>Value Missing</v>
      </c>
      <c r="I215" s="18" t="str">
        <v>Value Missing</v>
      </c>
      <c r="J215" s="18" t="str">
        <v>Value Missing</v>
      </c>
      <c r="K215" s="18" t="str">
        <v>Value Missing</v>
      </c>
      <c r="L215" s="18" t="str">
        <v>Value Missing</v>
      </c>
      <c r="M215" s="18" t="str">
        <v>Value Missing</v>
      </c>
      <c r="N215" s="18" t="str">
        <v>Value Missing</v>
      </c>
      <c r="O215" s="18" t="str">
        <v>Value Missing</v>
      </c>
      <c r="P215" s="18" t="str">
        <v>Value Missing</v>
      </c>
      <c r="Q215" s="18" t="str">
        <v>Value Missing</v>
      </c>
      <c r="R215" s="18" t="str">
        <v>Value Missing</v>
      </c>
    </row>
    <row r="216" spans="2:18" ht="20" customHeight="1">
      <c r="B216" s="21" t="s">
        <v>1702</v>
      </c>
      <c r="C216" s="18" t="str">
        <f t="shared" ref="C216:R216" si="68">wld_az1_rack7_mgmt_mask</f>
        <v>Value Missing</v>
      </c>
      <c r="D216" s="244" t="str">
        <f t="shared" si="68"/>
        <v>Value Missing</v>
      </c>
      <c r="E216" s="18" t="str">
        <f t="shared" si="68"/>
        <v>Value Missing</v>
      </c>
      <c r="F216" s="18" t="str">
        <f t="shared" si="68"/>
        <v>Value Missing</v>
      </c>
      <c r="G216" s="18" t="str">
        <f t="shared" si="68"/>
        <v>Value Missing</v>
      </c>
      <c r="H216" s="18" t="str">
        <f t="shared" si="68"/>
        <v>Value Missing</v>
      </c>
      <c r="I216" s="18" t="str">
        <f t="shared" si="68"/>
        <v>Value Missing</v>
      </c>
      <c r="J216" s="18" t="str">
        <f t="shared" si="68"/>
        <v>Value Missing</v>
      </c>
      <c r="K216" s="18" t="str">
        <f t="shared" si="68"/>
        <v>Value Missing</v>
      </c>
      <c r="L216" s="18" t="str">
        <f t="shared" si="68"/>
        <v>Value Missing</v>
      </c>
      <c r="M216" s="18" t="str">
        <f t="shared" si="68"/>
        <v>Value Missing</v>
      </c>
      <c r="N216" s="18" t="str">
        <f t="shared" si="68"/>
        <v>Value Missing</v>
      </c>
      <c r="O216" s="18" t="str">
        <f t="shared" si="68"/>
        <v>Value Missing</v>
      </c>
      <c r="P216" s="18" t="str">
        <f t="shared" si="68"/>
        <v>Value Missing</v>
      </c>
      <c r="Q216" s="18" t="str">
        <f t="shared" si="68"/>
        <v>Value Missing</v>
      </c>
      <c r="R216" s="18" t="str">
        <f t="shared" si="68"/>
        <v>Value Missing</v>
      </c>
    </row>
    <row r="217" spans="2:18" ht="20" customHeight="1">
      <c r="B217" s="21" t="s">
        <v>1689</v>
      </c>
      <c r="C217" s="18" t="str">
        <f t="shared" ref="C217:R217" si="69">wld_az1_rack7_mgmt_gateway_ip</f>
        <v>Value Missing</v>
      </c>
      <c r="D217" s="244" t="str">
        <f t="shared" si="69"/>
        <v>Value Missing</v>
      </c>
      <c r="E217" s="18" t="str">
        <f t="shared" si="69"/>
        <v>Value Missing</v>
      </c>
      <c r="F217" s="18" t="str">
        <f t="shared" si="69"/>
        <v>Value Missing</v>
      </c>
      <c r="G217" s="18" t="str">
        <f t="shared" si="69"/>
        <v>Value Missing</v>
      </c>
      <c r="H217" s="18" t="str">
        <f t="shared" si="69"/>
        <v>Value Missing</v>
      </c>
      <c r="I217" s="18" t="str">
        <f t="shared" si="69"/>
        <v>Value Missing</v>
      </c>
      <c r="J217" s="18" t="str">
        <f t="shared" si="69"/>
        <v>Value Missing</v>
      </c>
      <c r="K217" s="18" t="str">
        <f t="shared" si="69"/>
        <v>Value Missing</v>
      </c>
      <c r="L217" s="18" t="str">
        <f t="shared" si="69"/>
        <v>Value Missing</v>
      </c>
      <c r="M217" s="18" t="str">
        <f t="shared" si="69"/>
        <v>Value Missing</v>
      </c>
      <c r="N217" s="18" t="str">
        <f t="shared" si="69"/>
        <v>Value Missing</v>
      </c>
      <c r="O217" s="18" t="str">
        <f t="shared" si="69"/>
        <v>Value Missing</v>
      </c>
      <c r="P217" s="18" t="str">
        <f t="shared" si="69"/>
        <v>Value Missing</v>
      </c>
      <c r="Q217" s="18" t="str">
        <f t="shared" si="69"/>
        <v>Value Missing</v>
      </c>
      <c r="R217" s="18" t="str">
        <f t="shared" si="69"/>
        <v>Value Missing</v>
      </c>
    </row>
    <row r="218" spans="2:18" ht="20" customHeight="1">
      <c r="B218" s="21" t="s">
        <v>1703</v>
      </c>
      <c r="C218" s="18" t="str">
        <f t="shared" ref="C218:R218" si="70">region_dns1_ip</f>
        <v>Value Missing</v>
      </c>
      <c r="D218" s="244" t="str">
        <f t="shared" si="70"/>
        <v>Value Missing</v>
      </c>
      <c r="E218" s="18" t="str">
        <f t="shared" si="70"/>
        <v>Value Missing</v>
      </c>
      <c r="F218" s="18" t="str">
        <f t="shared" si="70"/>
        <v>Value Missing</v>
      </c>
      <c r="G218" s="18" t="str">
        <f t="shared" si="70"/>
        <v>Value Missing</v>
      </c>
      <c r="H218" s="18" t="str">
        <f t="shared" si="70"/>
        <v>Value Missing</v>
      </c>
      <c r="I218" s="18" t="str">
        <f t="shared" si="70"/>
        <v>Value Missing</v>
      </c>
      <c r="J218" s="18" t="str">
        <f t="shared" si="70"/>
        <v>Value Missing</v>
      </c>
      <c r="K218" s="18" t="str">
        <f t="shared" si="70"/>
        <v>Value Missing</v>
      </c>
      <c r="L218" s="18" t="str">
        <f t="shared" si="70"/>
        <v>Value Missing</v>
      </c>
      <c r="M218" s="18" t="str">
        <f t="shared" si="70"/>
        <v>Value Missing</v>
      </c>
      <c r="N218" s="18" t="str">
        <f t="shared" si="70"/>
        <v>Value Missing</v>
      </c>
      <c r="O218" s="18" t="str">
        <f t="shared" si="70"/>
        <v>Value Missing</v>
      </c>
      <c r="P218" s="18" t="str">
        <f t="shared" si="70"/>
        <v>Value Missing</v>
      </c>
      <c r="Q218" s="18" t="str">
        <f t="shared" si="70"/>
        <v>Value Missing</v>
      </c>
      <c r="R218" s="18" t="str">
        <f t="shared" si="70"/>
        <v>Value Missing</v>
      </c>
    </row>
    <row r="219" spans="2:18" ht="20" customHeight="1">
      <c r="B219" s="21" t="s">
        <v>1704</v>
      </c>
      <c r="C219" s="18" t="str">
        <f t="shared" ref="C219:R219" si="71">region_dns2_ip</f>
        <v>Value Missing</v>
      </c>
      <c r="D219" s="244" t="str">
        <f t="shared" si="71"/>
        <v>Value Missing</v>
      </c>
      <c r="E219" s="18" t="str">
        <f t="shared" si="71"/>
        <v>Value Missing</v>
      </c>
      <c r="F219" s="18" t="str">
        <f t="shared" si="71"/>
        <v>Value Missing</v>
      </c>
      <c r="G219" s="18" t="str">
        <f t="shared" si="71"/>
        <v>Value Missing</v>
      </c>
      <c r="H219" s="18" t="str">
        <f t="shared" si="71"/>
        <v>Value Missing</v>
      </c>
      <c r="I219" s="18" t="str">
        <f t="shared" si="71"/>
        <v>Value Missing</v>
      </c>
      <c r="J219" s="18" t="str">
        <f t="shared" si="71"/>
        <v>Value Missing</v>
      </c>
      <c r="K219" s="18" t="str">
        <f t="shared" si="71"/>
        <v>Value Missing</v>
      </c>
      <c r="L219" s="18" t="str">
        <f t="shared" si="71"/>
        <v>Value Missing</v>
      </c>
      <c r="M219" s="18" t="str">
        <f t="shared" si="71"/>
        <v>Value Missing</v>
      </c>
      <c r="N219" s="18" t="str">
        <f t="shared" si="71"/>
        <v>Value Missing</v>
      </c>
      <c r="O219" s="18" t="str">
        <f t="shared" si="71"/>
        <v>Value Missing</v>
      </c>
      <c r="P219" s="18" t="str">
        <f t="shared" si="71"/>
        <v>Value Missing</v>
      </c>
      <c r="Q219" s="18" t="str">
        <f t="shared" si="71"/>
        <v>Value Missing</v>
      </c>
      <c r="R219" s="18" t="str">
        <f t="shared" si="71"/>
        <v>Value Missing</v>
      </c>
    </row>
    <row r="220" spans="2:18" ht="20" customHeight="1">
      <c r="B220" s="68" t="s">
        <v>1709</v>
      </c>
      <c r="C220" s="73"/>
      <c r="D220" s="73"/>
      <c r="E220" s="73"/>
      <c r="F220" s="73"/>
      <c r="G220" s="73"/>
      <c r="H220" s="73"/>
      <c r="I220" s="73"/>
      <c r="J220" s="73"/>
      <c r="K220" s="73"/>
      <c r="L220" s="73"/>
      <c r="M220" s="73"/>
      <c r="N220" s="73"/>
      <c r="O220" s="73"/>
      <c r="P220" s="73"/>
      <c r="Q220" s="73"/>
      <c r="R220" s="73"/>
    </row>
    <row r="221" spans="2:18" ht="20" customHeight="1">
      <c r="B221" s="21" t="s">
        <v>4292</v>
      </c>
      <c r="C221" s="18" t="str">
        <f t="shared" ref="C221:R221" si="72">IF(wld_dpg_separation_result="Included",wld_az1_rack7_mgmt_vm_vlan,wld_az1_rack7_mgmt_vlan)</f>
        <v>Value Missing</v>
      </c>
      <c r="D221" s="18" t="str">
        <f t="shared" si="72"/>
        <v>Value Missing</v>
      </c>
      <c r="E221" s="18" t="str">
        <f t="shared" si="72"/>
        <v>Value Missing</v>
      </c>
      <c r="F221" s="18" t="str">
        <f t="shared" si="72"/>
        <v>Value Missing</v>
      </c>
      <c r="G221" s="18" t="str">
        <f t="shared" si="72"/>
        <v>Value Missing</v>
      </c>
      <c r="H221" s="18" t="str">
        <f t="shared" si="72"/>
        <v>Value Missing</v>
      </c>
      <c r="I221" s="18" t="str">
        <f t="shared" si="72"/>
        <v>Value Missing</v>
      </c>
      <c r="J221" s="18" t="str">
        <f t="shared" si="72"/>
        <v>Value Missing</v>
      </c>
      <c r="K221" s="18" t="str">
        <f t="shared" si="72"/>
        <v>Value Missing</v>
      </c>
      <c r="L221" s="18" t="str">
        <f t="shared" si="72"/>
        <v>Value Missing</v>
      </c>
      <c r="M221" s="18" t="str">
        <f t="shared" si="72"/>
        <v>Value Missing</v>
      </c>
      <c r="N221" s="18" t="str">
        <f t="shared" si="72"/>
        <v>Value Missing</v>
      </c>
      <c r="O221" s="18" t="str">
        <f t="shared" si="72"/>
        <v>Value Missing</v>
      </c>
      <c r="P221" s="18" t="str">
        <f t="shared" si="72"/>
        <v>Value Missing</v>
      </c>
      <c r="Q221" s="18" t="str">
        <f t="shared" si="72"/>
        <v>Value Missing</v>
      </c>
      <c r="R221" s="18" t="str">
        <f t="shared" si="72"/>
        <v>Value Missing</v>
      </c>
    </row>
    <row r="222" spans="2:18" ht="20" customHeight="1">
      <c r="B222" s="68" t="s">
        <v>1714</v>
      </c>
      <c r="C222" s="73"/>
      <c r="D222" s="73"/>
      <c r="E222" s="73"/>
      <c r="F222" s="73"/>
      <c r="G222" s="73"/>
      <c r="H222" s="73"/>
      <c r="I222" s="73"/>
      <c r="J222" s="73"/>
      <c r="K222" s="73"/>
      <c r="L222" s="73"/>
      <c r="M222" s="73"/>
      <c r="N222" s="73"/>
      <c r="O222" s="73"/>
      <c r="P222" s="73"/>
      <c r="Q222" s="73"/>
      <c r="R222" s="73"/>
    </row>
    <row r="223" spans="2:18" ht="20" customHeight="1">
      <c r="B223" s="52" t="s">
        <v>1716</v>
      </c>
      <c r="C223" s="18" t="str">
        <f t="array" ref="C223:C224">region_ntp_servers_array</f>
        <v>Value Missing</v>
      </c>
      <c r="D223" s="244" t="str">
        <f t="array" ref="D223:D224">region_ntp_servers_array</f>
        <v>Value Missing</v>
      </c>
      <c r="E223" s="18" t="str">
        <f t="array" ref="E223:E224">region_ntp_servers_array</f>
        <v>Value Missing</v>
      </c>
      <c r="F223" s="18" t="str">
        <f t="array" ref="F223:F224">region_ntp_servers_array</f>
        <v>Value Missing</v>
      </c>
      <c r="G223" s="18" t="str">
        <f t="array" ref="G223:G224">region_ntp_servers_array</f>
        <v>Value Missing</v>
      </c>
      <c r="H223" s="18" t="str">
        <f t="array" ref="H223:H224">region_ntp_servers_array</f>
        <v>Value Missing</v>
      </c>
      <c r="I223" s="18" t="str">
        <f t="array" ref="I223:I224">region_ntp_servers_array</f>
        <v>Value Missing</v>
      </c>
      <c r="J223" s="18" t="str">
        <f t="array" ref="J223:J224">region_ntp_servers_array</f>
        <v>Value Missing</v>
      </c>
      <c r="K223" s="18" t="str">
        <f t="array" ref="K223:K224">region_ntp_servers_array</f>
        <v>Value Missing</v>
      </c>
      <c r="L223" s="18" t="str">
        <f t="array" ref="L223:L224">region_ntp_servers_array</f>
        <v>Value Missing</v>
      </c>
      <c r="M223" s="18" t="str">
        <f t="array" ref="M223:M224">region_ntp_servers_array</f>
        <v>Value Missing</v>
      </c>
      <c r="N223" s="18" t="str">
        <f t="array" ref="N223:N224">region_ntp_servers_array</f>
        <v>Value Missing</v>
      </c>
      <c r="O223" s="18" t="str">
        <f t="array" ref="O223:O224">region_ntp_servers_array</f>
        <v>Value Missing</v>
      </c>
      <c r="P223" s="18" t="str">
        <f t="array" ref="P223:P224">region_ntp_servers_array</f>
        <v>Value Missing</v>
      </c>
      <c r="Q223" s="18" t="str">
        <f t="array" ref="Q223:Q224">region_ntp_servers_array</f>
        <v>Value Missing</v>
      </c>
      <c r="R223" s="18" t="str">
        <f t="array" ref="R223:R224">region_ntp_servers_array</f>
        <v>Value Missing</v>
      </c>
    </row>
    <row r="224" spans="2:18" ht="20" customHeight="1">
      <c r="B224" s="52" t="s">
        <v>1716</v>
      </c>
      <c r="C224" s="18" t="str">
        <v>Value Missing</v>
      </c>
      <c r="D224" s="244" t="str">
        <v>Value Missing</v>
      </c>
      <c r="E224" s="18" t="str">
        <v>Value Missing</v>
      </c>
      <c r="F224" s="18" t="str">
        <v>Value Missing</v>
      </c>
      <c r="G224" s="18" t="str">
        <v>Value Missing</v>
      </c>
      <c r="H224" s="18" t="str">
        <v>Value Missing</v>
      </c>
      <c r="I224" s="18" t="str">
        <v>Value Missing</v>
      </c>
      <c r="J224" s="18" t="str">
        <v>Value Missing</v>
      </c>
      <c r="K224" s="18" t="str">
        <v>Value Missing</v>
      </c>
      <c r="L224" s="18" t="str">
        <v>Value Missing</v>
      </c>
      <c r="M224" s="18" t="str">
        <v>Value Missing</v>
      </c>
      <c r="N224" s="18" t="str">
        <v>Value Missing</v>
      </c>
      <c r="O224" s="18" t="str">
        <v>Value Missing</v>
      </c>
      <c r="P224" s="18" t="str">
        <v>Value Missing</v>
      </c>
      <c r="Q224" s="18" t="str">
        <v>Value Missing</v>
      </c>
      <c r="R224" s="18" t="str">
        <v>Value Missing</v>
      </c>
    </row>
    <row r="225" spans="2:18" ht="20" customHeight="1">
      <c r="B225" s="68" t="s">
        <v>1717</v>
      </c>
      <c r="C225" s="73"/>
      <c r="D225" s="73"/>
      <c r="E225" s="73"/>
      <c r="F225" s="73"/>
      <c r="G225" s="73"/>
      <c r="H225" s="73"/>
      <c r="I225" s="73"/>
      <c r="J225" s="73"/>
      <c r="K225" s="73"/>
      <c r="L225" s="73"/>
      <c r="M225" s="73"/>
      <c r="N225" s="73"/>
      <c r="O225" s="73"/>
      <c r="P225" s="73"/>
      <c r="Q225" s="73"/>
      <c r="R225" s="73"/>
    </row>
    <row r="226" spans="2:18" ht="20" customHeight="1">
      <c r="B226" s="239" t="s">
        <v>4293</v>
      </c>
      <c r="C226" s="504" t="s">
        <v>4296</v>
      </c>
      <c r="D226" s="504"/>
      <c r="E226" s="240"/>
      <c r="F226" s="240"/>
      <c r="G226" s="240"/>
      <c r="H226" s="240"/>
      <c r="I226" s="240"/>
      <c r="J226" s="240"/>
      <c r="K226" s="240"/>
      <c r="L226" s="240"/>
      <c r="M226" s="240"/>
      <c r="N226" s="240"/>
      <c r="O226" s="240"/>
      <c r="P226" s="240"/>
      <c r="Q226" s="240"/>
      <c r="R226" s="241"/>
    </row>
    <row r="227" spans="2:18" ht="20" customHeight="1">
      <c r="B227" s="68" t="s">
        <v>1719</v>
      </c>
      <c r="C227" s="73"/>
      <c r="D227" s="73"/>
      <c r="E227" s="73"/>
      <c r="F227" s="73"/>
      <c r="G227" s="73"/>
      <c r="H227" s="73"/>
      <c r="I227" s="73"/>
      <c r="J227" s="73"/>
      <c r="K227" s="73"/>
      <c r="L227" s="73"/>
      <c r="M227" s="73"/>
      <c r="N227" s="73"/>
      <c r="O227" s="73"/>
      <c r="P227" s="73"/>
      <c r="Q227" s="73"/>
      <c r="R227" s="73"/>
    </row>
    <row r="228" spans="2:18" ht="20" customHeight="1">
      <c r="B228" s="239" t="s">
        <v>4293</v>
      </c>
      <c r="C228" s="504" t="s">
        <v>4296</v>
      </c>
      <c r="D228" s="504"/>
      <c r="E228" s="240"/>
      <c r="F228" s="240"/>
      <c r="G228" s="240"/>
      <c r="H228" s="240"/>
      <c r="I228" s="240"/>
      <c r="J228" s="240"/>
      <c r="K228" s="240"/>
      <c r="L228" s="240"/>
      <c r="M228" s="240"/>
      <c r="N228" s="240"/>
      <c r="O228" s="240"/>
      <c r="P228" s="240"/>
      <c r="Q228" s="240"/>
      <c r="R228" s="241"/>
    </row>
    <row r="229" spans="2:18" ht="20" customHeight="1">
      <c r="B229" s="68" t="s">
        <v>2170</v>
      </c>
      <c r="C229" s="73"/>
      <c r="D229" s="73"/>
      <c r="E229" s="73"/>
      <c r="F229" s="73"/>
      <c r="G229" s="73"/>
      <c r="H229" s="73"/>
      <c r="I229" s="73"/>
      <c r="J229" s="73"/>
      <c r="K229" s="73"/>
      <c r="L229" s="73"/>
      <c r="M229" s="73"/>
      <c r="N229" s="73"/>
      <c r="O229" s="73"/>
      <c r="P229" s="73"/>
      <c r="Q229" s="73"/>
      <c r="R229" s="73"/>
    </row>
    <row r="230" spans="2:18" ht="20" customHeight="1">
      <c r="B230" s="242" t="s">
        <v>4293</v>
      </c>
      <c r="C230" s="242" t="s">
        <v>735</v>
      </c>
      <c r="D230" s="236" t="s">
        <v>4297</v>
      </c>
      <c r="E230" s="236" t="s">
        <v>4298</v>
      </c>
      <c r="F230" s="235" t="s">
        <v>4299</v>
      </c>
      <c r="G230" s="235" t="s">
        <v>4300</v>
      </c>
      <c r="H230" s="236" t="s">
        <v>4301</v>
      </c>
      <c r="I230" s="235" t="s">
        <v>4302</v>
      </c>
      <c r="J230" s="235" t="s">
        <v>4303</v>
      </c>
      <c r="K230" s="236" t="s">
        <v>4304</v>
      </c>
      <c r="L230" s="243"/>
      <c r="M230" s="243"/>
      <c r="N230" s="243"/>
      <c r="O230" s="243"/>
      <c r="P230" s="243"/>
      <c r="Q230" s="243"/>
      <c r="R230" s="243"/>
    </row>
    <row r="231" spans="2:18" ht="20" customHeight="1">
      <c r="B231" s="509" t="s">
        <v>4305</v>
      </c>
      <c r="C231" s="510" t="str">
        <f>wld_az1_rack7_pool_name</f>
        <v>Value Missing</v>
      </c>
      <c r="D231" s="247" t="s">
        <v>4306</v>
      </c>
      <c r="E231" s="18" t="str">
        <f>wld_az1_rack7_principal_storage_vlan</f>
        <v>Value Missing</v>
      </c>
      <c r="F231" s="18" t="str">
        <f>wld_az1_rack7_principal_storage_mtu</f>
        <v>Value Missing</v>
      </c>
      <c r="G231" s="18" t="str">
        <f>IF(wld_az1_rack7_principal_storage_cidr="Value Missing","Value Missing",LEFT(wld_az1_rack7_principal_storage_cidr,(FIND("/",wld_az1_rack7_principal_storage_cidr,1)-1)))</f>
        <v>Value Missing</v>
      </c>
      <c r="H231" s="18" t="str">
        <f>wld_az1_rack7_principal_storage_mask</f>
        <v>Value Missing</v>
      </c>
      <c r="I231" s="18" t="str">
        <f>wld_az1_rack7_principal_storage_gateway_ip</f>
        <v>Value Missing</v>
      </c>
      <c r="J231" s="18" t="str">
        <f>wld_az1_rack7_principal_storage_pool_start_ip</f>
        <v>Value Missing</v>
      </c>
      <c r="K231" s="18" t="str">
        <f>wld_az1_rack7_principal_storage_pool_end_ip</f>
        <v>Value Missing</v>
      </c>
      <c r="L231" s="243"/>
      <c r="M231" s="243"/>
      <c r="N231" s="243"/>
      <c r="O231" s="243"/>
      <c r="P231" s="243"/>
      <c r="Q231" s="243"/>
      <c r="R231" s="243"/>
    </row>
    <row r="232" spans="2:18" ht="20" customHeight="1">
      <c r="B232" s="509"/>
      <c r="C232" s="511"/>
      <c r="D232" s="247" t="s">
        <v>731</v>
      </c>
      <c r="E232" s="18" t="str">
        <f>wld_az1_rack7_vmotion_vlan</f>
        <v>Value Missing</v>
      </c>
      <c r="F232" s="18" t="str">
        <f>wld_az1_rack7_vmotion_mtu</f>
        <v>Value Missing</v>
      </c>
      <c r="G232" s="18" t="str">
        <f>IF(wld_az1_rack7_vmotion_cidr="Value Missing","Value Missing",LEFT(wld_az1_rack7_vmotion_cidr,(FIND("/",wld_az1_rack7_vmotion_cidr,1)-1)))</f>
        <v>Value Missing</v>
      </c>
      <c r="H232" s="18" t="str">
        <f>wld_az1_rack7_vmotion_mask</f>
        <v>Value Missing</v>
      </c>
      <c r="I232" s="18" t="str">
        <f>wld_az1_rack7_vmotion_gateway_ip</f>
        <v>Value Missing</v>
      </c>
      <c r="J232" s="18" t="str">
        <f>wld_az1_rack7_vmotion_pool_start_ip</f>
        <v>Value Missing</v>
      </c>
      <c r="K232" s="18" t="str">
        <f>wld_az1_rack7_vmotion_pool_end_ip</f>
        <v>Value Missing</v>
      </c>
      <c r="L232" s="243"/>
      <c r="M232" s="243"/>
      <c r="N232" s="243"/>
      <c r="O232" s="243"/>
      <c r="P232" s="243"/>
      <c r="Q232" s="243"/>
      <c r="R232" s="243"/>
    </row>
    <row r="233" spans="2:18" ht="20" customHeight="1">
      <c r="B233" s="509"/>
      <c r="C233" s="512"/>
      <c r="D233" s="247" t="s">
        <v>4307</v>
      </c>
      <c r="E233" s="18" t="str">
        <f>wld_az1_rack7_secondary_storage_vlan</f>
        <v>Value Missing</v>
      </c>
      <c r="F233" s="18" t="str">
        <f>wld_az1_rack7_secondary_storage_mtu</f>
        <v>Value Missing</v>
      </c>
      <c r="G233" s="18" t="str">
        <f>IF(wld_az1_rack7_secondary_storage_cidr="Value Missing","Value Missing",LEFT(wld_az1_rack7_secondary_storage_cidr,(FIND("/",wld_az1_rack7_secondary_storage_cidr,1)-1)))</f>
        <v>Value Missing</v>
      </c>
      <c r="H233" s="18" t="str">
        <f>IF(wld_az1_rack7_secondary_storage_cidr="Value Missing","Value Missing",VLOOKUP(INT(RIGHT(wld_az1_rack7_secondary_storage_cidr,LEN(wld_az1_rack7_secondary_storage_cidr)-FIND("/",wld_az1_rack7_secondary_storage_cidr))),table_cidr_to_mask,2,FALSE))</f>
        <v>Value Missing</v>
      </c>
      <c r="I233" s="18" t="str">
        <f>wld_az1_rack7_secondary_storage_gateway_ip</f>
        <v>Value Missing</v>
      </c>
      <c r="J233" s="18" t="str">
        <f>wld_az1_rack7_secondary_storage_pool_start_ip</f>
        <v>Value Missing</v>
      </c>
      <c r="K233" s="18" t="str">
        <f>wld_az1_rack7_secondary_storage_pool_end_ip</f>
        <v>Value Missing</v>
      </c>
      <c r="L233" s="243"/>
      <c r="M233" s="243"/>
      <c r="N233" s="243"/>
      <c r="O233" s="243"/>
      <c r="P233" s="243"/>
      <c r="Q233" s="243"/>
      <c r="R233" s="243"/>
    </row>
    <row r="234" spans="2:18" ht="20" customHeight="1">
      <c r="B234" s="68" t="s">
        <v>2171</v>
      </c>
      <c r="C234" s="73"/>
      <c r="D234" s="73"/>
      <c r="E234" s="73"/>
      <c r="F234" s="73"/>
      <c r="G234" s="73"/>
      <c r="H234" s="73"/>
      <c r="I234" s="73"/>
      <c r="J234" s="73"/>
      <c r="K234" s="73"/>
      <c r="L234" s="73"/>
      <c r="M234" s="73"/>
      <c r="N234" s="73"/>
      <c r="O234" s="73"/>
      <c r="P234" s="73"/>
      <c r="Q234" s="73"/>
      <c r="R234" s="73"/>
    </row>
    <row r="235" spans="2:18" ht="20" customHeight="1">
      <c r="B235" s="239" t="s">
        <v>4293</v>
      </c>
      <c r="C235" s="240"/>
      <c r="D235" s="240"/>
      <c r="E235" s="240"/>
      <c r="F235" s="240"/>
      <c r="G235" s="240"/>
      <c r="H235" s="240"/>
      <c r="I235" s="240"/>
      <c r="J235" s="240"/>
      <c r="K235" s="240"/>
      <c r="L235" s="240"/>
      <c r="M235" s="240"/>
      <c r="N235" s="240"/>
      <c r="O235" s="240"/>
      <c r="P235" s="240"/>
      <c r="Q235" s="240"/>
      <c r="R235" s="241"/>
    </row>
    <row r="236" spans="2:18" ht="20" customHeight="1">
      <c r="B236" s="52" t="s">
        <v>4163</v>
      </c>
      <c r="C236" s="18" t="str">
        <f t="shared" ref="C236:R236" si="73">IF(wld_principal_storage_chosen="vSAN-ESA","vSAN-ESA",IF(wld_principal_storage_chosen="vSAN-OSA","vSAN-OSA",IF(wld_principal_storage_chosen="NFS","NFS",IF(wld_principal_storage_chosen="VMFS on FC","VMFS on FC","vVOL"))))</f>
        <v>vSAN-ESA</v>
      </c>
      <c r="D236" s="244" t="str">
        <f t="shared" si="73"/>
        <v>vSAN-ESA</v>
      </c>
      <c r="E236" s="18" t="str">
        <f t="shared" si="73"/>
        <v>vSAN-ESA</v>
      </c>
      <c r="F236" s="18" t="str">
        <f t="shared" si="73"/>
        <v>vSAN-ESA</v>
      </c>
      <c r="G236" s="18" t="str">
        <f t="shared" si="73"/>
        <v>vSAN-ESA</v>
      </c>
      <c r="H236" s="18" t="str">
        <f t="shared" si="73"/>
        <v>vSAN-ESA</v>
      </c>
      <c r="I236" s="18" t="str">
        <f t="shared" si="73"/>
        <v>vSAN-ESA</v>
      </c>
      <c r="J236" s="18" t="str">
        <f t="shared" si="73"/>
        <v>vSAN-ESA</v>
      </c>
      <c r="K236" s="18" t="str">
        <f t="shared" si="73"/>
        <v>vSAN-ESA</v>
      </c>
      <c r="L236" s="18" t="str">
        <f t="shared" si="73"/>
        <v>vSAN-ESA</v>
      </c>
      <c r="M236" s="18" t="str">
        <f t="shared" si="73"/>
        <v>vSAN-ESA</v>
      </c>
      <c r="N236" s="18" t="str">
        <f t="shared" si="73"/>
        <v>vSAN-ESA</v>
      </c>
      <c r="O236" s="18" t="str">
        <f t="shared" si="73"/>
        <v>vSAN-ESA</v>
      </c>
      <c r="P236" s="18" t="str">
        <f t="shared" si="73"/>
        <v>vSAN-ESA</v>
      </c>
      <c r="Q236" s="18" t="str">
        <f t="shared" si="73"/>
        <v>vSAN-ESA</v>
      </c>
      <c r="R236" s="18" t="str">
        <f t="shared" si="73"/>
        <v>vSAN-ESA</v>
      </c>
    </row>
    <row r="237" spans="2:18" ht="20" customHeight="1">
      <c r="B237" s="52" t="s">
        <v>4164</v>
      </c>
      <c r="C237" s="18" t="str">
        <f t="shared" ref="C237:R237" si="74">IF(wld_principal_storage_chosen="vSAN-ESA","N/A",IF(wld_principal_storage_chosen="vSAN-OSA","N/A",IF(wld_principal_storage_chosen="NFS","N/A",IF(wld_principal_storage_chosen="VMFS on FC","N/A",RIGHT(wld_principal_storage_chosen,LEN(wld_principal_storage_chosen)-9)))))</f>
        <v>N/A</v>
      </c>
      <c r="D237" s="244" t="str">
        <f t="shared" si="74"/>
        <v>N/A</v>
      </c>
      <c r="E237" s="18" t="str">
        <f t="shared" si="74"/>
        <v>N/A</v>
      </c>
      <c r="F237" s="18" t="str">
        <f t="shared" si="74"/>
        <v>N/A</v>
      </c>
      <c r="G237" s="18" t="str">
        <f t="shared" si="74"/>
        <v>N/A</v>
      </c>
      <c r="H237" s="18" t="str">
        <f t="shared" si="74"/>
        <v>N/A</v>
      </c>
      <c r="I237" s="18" t="str">
        <f t="shared" si="74"/>
        <v>N/A</v>
      </c>
      <c r="J237" s="18" t="str">
        <f t="shared" si="74"/>
        <v>N/A</v>
      </c>
      <c r="K237" s="18" t="str">
        <f t="shared" si="74"/>
        <v>N/A</v>
      </c>
      <c r="L237" s="18" t="str">
        <f t="shared" si="74"/>
        <v>N/A</v>
      </c>
      <c r="M237" s="18" t="str">
        <f t="shared" si="74"/>
        <v>N/A</v>
      </c>
      <c r="N237" s="18" t="str">
        <f t="shared" si="74"/>
        <v>N/A</v>
      </c>
      <c r="O237" s="18" t="str">
        <f t="shared" si="74"/>
        <v>N/A</v>
      </c>
      <c r="P237" s="18" t="str">
        <f t="shared" si="74"/>
        <v>N/A</v>
      </c>
      <c r="Q237" s="18" t="str">
        <f t="shared" si="74"/>
        <v>N/A</v>
      </c>
      <c r="R237" s="18" t="str">
        <f t="shared" si="74"/>
        <v>N/A</v>
      </c>
    </row>
    <row r="238" spans="2:18" ht="20" customHeight="1">
      <c r="B238" s="52" t="s">
        <v>781</v>
      </c>
      <c r="C238" s="18" t="str">
        <f t="shared" ref="C238:R238" si="75">wld_az1_rack7_pool_name</f>
        <v>Value Missing</v>
      </c>
      <c r="D238" s="244" t="str">
        <f t="shared" si="75"/>
        <v>Value Missing</v>
      </c>
      <c r="E238" s="18" t="str">
        <f t="shared" si="75"/>
        <v>Value Missing</v>
      </c>
      <c r="F238" s="18" t="str">
        <f t="shared" si="75"/>
        <v>Value Missing</v>
      </c>
      <c r="G238" s="18" t="str">
        <f t="shared" si="75"/>
        <v>Value Missing</v>
      </c>
      <c r="H238" s="18" t="str">
        <f t="shared" si="75"/>
        <v>Value Missing</v>
      </c>
      <c r="I238" s="18" t="str">
        <f t="shared" si="75"/>
        <v>Value Missing</v>
      </c>
      <c r="J238" s="18" t="str">
        <f t="shared" si="75"/>
        <v>Value Missing</v>
      </c>
      <c r="K238" s="18" t="str">
        <f t="shared" si="75"/>
        <v>Value Missing</v>
      </c>
      <c r="L238" s="18" t="str">
        <f t="shared" si="75"/>
        <v>Value Missing</v>
      </c>
      <c r="M238" s="18" t="str">
        <f t="shared" si="75"/>
        <v>Value Missing</v>
      </c>
      <c r="N238" s="18" t="str">
        <f t="shared" si="75"/>
        <v>Value Missing</v>
      </c>
      <c r="O238" s="18" t="str">
        <f t="shared" si="75"/>
        <v>Value Missing</v>
      </c>
      <c r="P238" s="18" t="str">
        <f t="shared" si="75"/>
        <v>Value Missing</v>
      </c>
      <c r="Q238" s="18" t="str">
        <f t="shared" si="75"/>
        <v>Value Missing</v>
      </c>
      <c r="R238" s="18" t="str">
        <f t="shared" si="75"/>
        <v>Value Missing</v>
      </c>
    </row>
    <row r="239" spans="2:18" ht="20" customHeight="1">
      <c r="B239" s="52" t="s">
        <v>4165</v>
      </c>
      <c r="C239" s="18" t="s">
        <v>1352</v>
      </c>
      <c r="D239" s="244" t="s">
        <v>1352</v>
      </c>
      <c r="E239" s="18" t="s">
        <v>1352</v>
      </c>
      <c r="F239" s="18" t="s">
        <v>1352</v>
      </c>
      <c r="G239" s="18" t="s">
        <v>1352</v>
      </c>
      <c r="H239" s="18" t="s">
        <v>1352</v>
      </c>
      <c r="I239" s="18" t="s">
        <v>1352</v>
      </c>
      <c r="J239" s="18" t="s">
        <v>1352</v>
      </c>
      <c r="K239" s="18" t="s">
        <v>1352</v>
      </c>
      <c r="L239" s="18" t="s">
        <v>1352</v>
      </c>
      <c r="M239" s="18" t="s">
        <v>1352</v>
      </c>
      <c r="N239" s="18" t="s">
        <v>1352</v>
      </c>
      <c r="O239" s="18" t="s">
        <v>1352</v>
      </c>
      <c r="P239" s="18" t="s">
        <v>1352</v>
      </c>
      <c r="Q239" s="18" t="s">
        <v>1352</v>
      </c>
      <c r="R239" s="18" t="s">
        <v>1352</v>
      </c>
    </row>
    <row r="240" spans="2:18" ht="20" customHeight="1">
      <c r="B240" s="52" t="s">
        <v>1796</v>
      </c>
      <c r="C240" s="18" t="str">
        <f t="shared" ref="C240:R240" si="76">esxi_root_password</f>
        <v>Value Missing</v>
      </c>
      <c r="D240" s="244" t="str">
        <f t="shared" si="76"/>
        <v>Value Missing</v>
      </c>
      <c r="E240" s="18" t="str">
        <f t="shared" si="76"/>
        <v>Value Missing</v>
      </c>
      <c r="F240" s="18" t="str">
        <f t="shared" si="76"/>
        <v>Value Missing</v>
      </c>
      <c r="G240" s="18" t="str">
        <f t="shared" si="76"/>
        <v>Value Missing</v>
      </c>
      <c r="H240" s="18" t="str">
        <f t="shared" si="76"/>
        <v>Value Missing</v>
      </c>
      <c r="I240" s="18" t="str">
        <f t="shared" si="76"/>
        <v>Value Missing</v>
      </c>
      <c r="J240" s="18" t="str">
        <f t="shared" si="76"/>
        <v>Value Missing</v>
      </c>
      <c r="K240" s="18" t="str">
        <f t="shared" si="76"/>
        <v>Value Missing</v>
      </c>
      <c r="L240" s="18" t="str">
        <f t="shared" si="76"/>
        <v>Value Missing</v>
      </c>
      <c r="M240" s="18" t="str">
        <f t="shared" si="76"/>
        <v>Value Missing</v>
      </c>
      <c r="N240" s="18" t="str">
        <f t="shared" si="76"/>
        <v>Value Missing</v>
      </c>
      <c r="O240" s="18" t="str">
        <f t="shared" si="76"/>
        <v>Value Missing</v>
      </c>
      <c r="P240" s="18" t="str">
        <f t="shared" si="76"/>
        <v>Value Missing</v>
      </c>
      <c r="Q240" s="18" t="str">
        <f t="shared" si="76"/>
        <v>Value Missing</v>
      </c>
      <c r="R240" s="18" t="str">
        <f t="shared" si="76"/>
        <v>Value Missing</v>
      </c>
    </row>
    <row r="241" spans="2:18" ht="16" customHeight="1">
      <c r="B241" s="181"/>
      <c r="C241" s="243"/>
      <c r="D241" s="3"/>
      <c r="E241" s="243"/>
      <c r="F241" s="243"/>
      <c r="G241" s="243"/>
      <c r="H241" s="243"/>
      <c r="I241" s="243"/>
      <c r="J241" s="243"/>
      <c r="K241" s="243"/>
      <c r="L241" s="243"/>
      <c r="M241" s="243"/>
      <c r="N241" s="243"/>
      <c r="O241" s="243"/>
      <c r="P241" s="243"/>
      <c r="Q241" s="243"/>
      <c r="R241" s="243"/>
    </row>
    <row r="242" spans="2:18" ht="34" customHeight="1">
      <c r="B242" s="237" t="s">
        <v>4313</v>
      </c>
      <c r="C242" s="238"/>
      <c r="D242" s="238"/>
      <c r="E242" s="238"/>
      <c r="F242" s="238"/>
      <c r="G242" s="238"/>
      <c r="H242" s="238"/>
      <c r="I242" s="238"/>
      <c r="J242" s="238"/>
      <c r="K242" s="238"/>
      <c r="L242" s="238"/>
      <c r="M242" s="238"/>
      <c r="N242" s="238"/>
      <c r="O242" s="238"/>
      <c r="P242" s="238"/>
      <c r="Q242" s="238"/>
      <c r="R242" s="238"/>
    </row>
    <row r="243" spans="2:18" ht="20" customHeight="1">
      <c r="B243" s="68" t="s">
        <v>1696</v>
      </c>
      <c r="C243" s="73"/>
      <c r="D243" s="73"/>
      <c r="E243" s="73"/>
      <c r="F243" s="73"/>
      <c r="G243" s="73"/>
      <c r="H243" s="73"/>
      <c r="I243" s="73"/>
      <c r="J243" s="73"/>
      <c r="K243" s="73"/>
      <c r="L243" s="73"/>
      <c r="M243" s="73"/>
      <c r="N243" s="73"/>
      <c r="O243" s="73"/>
      <c r="P243" s="73"/>
      <c r="Q243" s="73"/>
      <c r="R243" s="73"/>
    </row>
    <row r="244" spans="2:18" ht="20" customHeight="1">
      <c r="B244" s="234" t="s">
        <v>4293</v>
      </c>
      <c r="C244" s="235" t="s">
        <v>2193</v>
      </c>
      <c r="D244" s="236" t="s">
        <v>2194</v>
      </c>
      <c r="E244" s="235" t="s">
        <v>2195</v>
      </c>
      <c r="F244" s="235" t="s">
        <v>2196</v>
      </c>
      <c r="G244" s="235" t="s">
        <v>4175</v>
      </c>
      <c r="H244" s="235" t="s">
        <v>4176</v>
      </c>
      <c r="I244" s="235" t="s">
        <v>4177</v>
      </c>
      <c r="J244" s="235" t="s">
        <v>4178</v>
      </c>
      <c r="K244" s="235" t="s">
        <v>4179</v>
      </c>
      <c r="L244" s="235" t="s">
        <v>4180</v>
      </c>
      <c r="M244" s="235" t="s">
        <v>4181</v>
      </c>
      <c r="N244" s="235" t="s">
        <v>4182</v>
      </c>
      <c r="O244" s="235" t="s">
        <v>4183</v>
      </c>
      <c r="P244" s="235" t="s">
        <v>4184</v>
      </c>
      <c r="Q244" s="235" t="s">
        <v>4185</v>
      </c>
      <c r="R244" s="235" t="s">
        <v>4186</v>
      </c>
    </row>
    <row r="245" spans="2:18" ht="20" customHeight="1">
      <c r="B245" s="21" t="s">
        <v>1686</v>
      </c>
      <c r="C245" s="18" t="str">
        <f t="array" ref="C245:R245">TRANSPOSE(wld_az1_rack8_host_hostnames)</f>
        <v>Value Missing</v>
      </c>
      <c r="D245" s="244" t="str">
        <v>Value Missing</v>
      </c>
      <c r="E245" s="18" t="str">
        <v>Value Missing</v>
      </c>
      <c r="F245" s="18" t="str">
        <v>Value Missing</v>
      </c>
      <c r="G245" s="18" t="str">
        <v>Value Missing</v>
      </c>
      <c r="H245" s="18" t="str">
        <v>Value Missing</v>
      </c>
      <c r="I245" s="18" t="str">
        <v>Value Missing</v>
      </c>
      <c r="J245" s="18" t="str">
        <v>Value Missing</v>
      </c>
      <c r="K245" s="18" t="str">
        <v>Value Missing</v>
      </c>
      <c r="L245" s="18" t="str">
        <v>Value Missing</v>
      </c>
      <c r="M245" s="18" t="str">
        <v>Value Missing</v>
      </c>
      <c r="N245" s="18" t="str">
        <v>Value Missing</v>
      </c>
      <c r="O245" s="18" t="str">
        <v>Value Missing</v>
      </c>
      <c r="P245" s="18" t="str">
        <v>Value Missing</v>
      </c>
      <c r="Q245" s="18" t="str">
        <v>Value Missing</v>
      </c>
      <c r="R245" s="18" t="str">
        <v>Value Missing</v>
      </c>
    </row>
    <row r="246" spans="2:18" ht="20" customHeight="1">
      <c r="B246" s="21" t="s">
        <v>1695</v>
      </c>
      <c r="C246" s="18" t="str">
        <f t="shared" ref="C246:R246" si="77">esxi_root_password</f>
        <v>Value Missing</v>
      </c>
      <c r="D246" s="244" t="str">
        <f t="shared" si="77"/>
        <v>Value Missing</v>
      </c>
      <c r="E246" s="18" t="str">
        <f t="shared" si="77"/>
        <v>Value Missing</v>
      </c>
      <c r="F246" s="18" t="str">
        <f t="shared" si="77"/>
        <v>Value Missing</v>
      </c>
      <c r="G246" s="18" t="str">
        <f t="shared" si="77"/>
        <v>Value Missing</v>
      </c>
      <c r="H246" s="18" t="str">
        <f t="shared" si="77"/>
        <v>Value Missing</v>
      </c>
      <c r="I246" s="18" t="str">
        <f t="shared" si="77"/>
        <v>Value Missing</v>
      </c>
      <c r="J246" s="18" t="str">
        <f t="shared" si="77"/>
        <v>Value Missing</v>
      </c>
      <c r="K246" s="18" t="str">
        <f t="shared" si="77"/>
        <v>Value Missing</v>
      </c>
      <c r="L246" s="18" t="str">
        <f t="shared" si="77"/>
        <v>Value Missing</v>
      </c>
      <c r="M246" s="18" t="str">
        <f t="shared" si="77"/>
        <v>Value Missing</v>
      </c>
      <c r="N246" s="18" t="str">
        <f t="shared" si="77"/>
        <v>Value Missing</v>
      </c>
      <c r="O246" s="18" t="str">
        <f t="shared" si="77"/>
        <v>Value Missing</v>
      </c>
      <c r="P246" s="18" t="str">
        <f t="shared" si="77"/>
        <v>Value Missing</v>
      </c>
      <c r="Q246" s="18" t="str">
        <f t="shared" si="77"/>
        <v>Value Missing</v>
      </c>
      <c r="R246" s="18" t="str">
        <f t="shared" si="77"/>
        <v>Value Missing</v>
      </c>
    </row>
    <row r="247" spans="2:18" ht="20" customHeight="1">
      <c r="B247" s="21" t="s">
        <v>4295</v>
      </c>
      <c r="C247" s="18" t="str">
        <f t="shared" ref="C247:R247" si="78">wld_az1_rack8_mgmt_vlan</f>
        <v>Value Missing</v>
      </c>
      <c r="D247" s="244" t="str">
        <f t="shared" si="78"/>
        <v>Value Missing</v>
      </c>
      <c r="E247" s="18" t="str">
        <f t="shared" si="78"/>
        <v>Value Missing</v>
      </c>
      <c r="F247" s="18" t="str">
        <f t="shared" si="78"/>
        <v>Value Missing</v>
      </c>
      <c r="G247" s="18" t="str">
        <f t="shared" si="78"/>
        <v>Value Missing</v>
      </c>
      <c r="H247" s="18" t="str">
        <f t="shared" si="78"/>
        <v>Value Missing</v>
      </c>
      <c r="I247" s="18" t="str">
        <f t="shared" si="78"/>
        <v>Value Missing</v>
      </c>
      <c r="J247" s="18" t="str">
        <f t="shared" si="78"/>
        <v>Value Missing</v>
      </c>
      <c r="K247" s="18" t="str">
        <f t="shared" si="78"/>
        <v>Value Missing</v>
      </c>
      <c r="L247" s="18" t="str">
        <f t="shared" si="78"/>
        <v>Value Missing</v>
      </c>
      <c r="M247" s="18" t="str">
        <f t="shared" si="78"/>
        <v>Value Missing</v>
      </c>
      <c r="N247" s="18" t="str">
        <f t="shared" si="78"/>
        <v>Value Missing</v>
      </c>
      <c r="O247" s="18" t="str">
        <f t="shared" si="78"/>
        <v>Value Missing</v>
      </c>
      <c r="P247" s="18" t="str">
        <f t="shared" si="78"/>
        <v>Value Missing</v>
      </c>
      <c r="Q247" s="18" t="str">
        <f t="shared" si="78"/>
        <v>Value Missing</v>
      </c>
      <c r="R247" s="18" t="str">
        <f t="shared" si="78"/>
        <v>Value Missing</v>
      </c>
    </row>
    <row r="248" spans="2:18" ht="20" customHeight="1">
      <c r="B248" s="21" t="s">
        <v>4291</v>
      </c>
      <c r="C248" s="18" t="str">
        <f t="array" ref="C248:R248">TRANSPOSE(wld_az1_rack8_host_mgmt_ips)</f>
        <v>Value Missing</v>
      </c>
      <c r="D248" s="244" t="str">
        <v>Value Missing</v>
      </c>
      <c r="E248" s="18" t="str">
        <v>Value Missing</v>
      </c>
      <c r="F248" s="18" t="str">
        <v>Value Missing</v>
      </c>
      <c r="G248" s="18" t="str">
        <v>Value Missing</v>
      </c>
      <c r="H248" s="18" t="str">
        <v>Value Missing</v>
      </c>
      <c r="I248" s="18" t="str">
        <v>Value Missing</v>
      </c>
      <c r="J248" s="18" t="str">
        <v>Value Missing</v>
      </c>
      <c r="K248" s="18" t="str">
        <v>Value Missing</v>
      </c>
      <c r="L248" s="18" t="str">
        <v>Value Missing</v>
      </c>
      <c r="M248" s="18" t="str">
        <v>Value Missing</v>
      </c>
      <c r="N248" s="18" t="str">
        <v>Value Missing</v>
      </c>
      <c r="O248" s="18" t="str">
        <v>Value Missing</v>
      </c>
      <c r="P248" s="18" t="str">
        <v>Value Missing</v>
      </c>
      <c r="Q248" s="18" t="str">
        <v>Value Missing</v>
      </c>
      <c r="R248" s="18" t="str">
        <v>Value Missing</v>
      </c>
    </row>
    <row r="249" spans="2:18" ht="20" customHeight="1">
      <c r="B249" s="21" t="s">
        <v>1702</v>
      </c>
      <c r="C249" s="18" t="str">
        <f t="shared" ref="C249:R249" si="79">wld_az1_rack8_mgmt_mask</f>
        <v>Value Missing</v>
      </c>
      <c r="D249" s="244" t="str">
        <f t="shared" si="79"/>
        <v>Value Missing</v>
      </c>
      <c r="E249" s="18" t="str">
        <f t="shared" si="79"/>
        <v>Value Missing</v>
      </c>
      <c r="F249" s="18" t="str">
        <f t="shared" si="79"/>
        <v>Value Missing</v>
      </c>
      <c r="G249" s="18" t="str">
        <f t="shared" si="79"/>
        <v>Value Missing</v>
      </c>
      <c r="H249" s="18" t="str">
        <f t="shared" si="79"/>
        <v>Value Missing</v>
      </c>
      <c r="I249" s="18" t="str">
        <f t="shared" si="79"/>
        <v>Value Missing</v>
      </c>
      <c r="J249" s="18" t="str">
        <f t="shared" si="79"/>
        <v>Value Missing</v>
      </c>
      <c r="K249" s="18" t="str">
        <f t="shared" si="79"/>
        <v>Value Missing</v>
      </c>
      <c r="L249" s="18" t="str">
        <f t="shared" si="79"/>
        <v>Value Missing</v>
      </c>
      <c r="M249" s="18" t="str">
        <f t="shared" si="79"/>
        <v>Value Missing</v>
      </c>
      <c r="N249" s="18" t="str">
        <f t="shared" si="79"/>
        <v>Value Missing</v>
      </c>
      <c r="O249" s="18" t="str">
        <f t="shared" si="79"/>
        <v>Value Missing</v>
      </c>
      <c r="P249" s="18" t="str">
        <f t="shared" si="79"/>
        <v>Value Missing</v>
      </c>
      <c r="Q249" s="18" t="str">
        <f t="shared" si="79"/>
        <v>Value Missing</v>
      </c>
      <c r="R249" s="18" t="str">
        <f t="shared" si="79"/>
        <v>Value Missing</v>
      </c>
    </row>
    <row r="250" spans="2:18" ht="20" customHeight="1">
      <c r="B250" s="21" t="s">
        <v>1689</v>
      </c>
      <c r="C250" s="18" t="str">
        <f t="shared" ref="C250:R250" si="80">wld_az1_rack8_mgmt_gateway_ip</f>
        <v>Value Missing</v>
      </c>
      <c r="D250" s="244" t="str">
        <f t="shared" si="80"/>
        <v>Value Missing</v>
      </c>
      <c r="E250" s="18" t="str">
        <f t="shared" si="80"/>
        <v>Value Missing</v>
      </c>
      <c r="F250" s="18" t="str">
        <f t="shared" si="80"/>
        <v>Value Missing</v>
      </c>
      <c r="G250" s="18" t="str">
        <f t="shared" si="80"/>
        <v>Value Missing</v>
      </c>
      <c r="H250" s="18" t="str">
        <f t="shared" si="80"/>
        <v>Value Missing</v>
      </c>
      <c r="I250" s="18" t="str">
        <f t="shared" si="80"/>
        <v>Value Missing</v>
      </c>
      <c r="J250" s="18" t="str">
        <f t="shared" si="80"/>
        <v>Value Missing</v>
      </c>
      <c r="K250" s="18" t="str">
        <f t="shared" si="80"/>
        <v>Value Missing</v>
      </c>
      <c r="L250" s="18" t="str">
        <f t="shared" si="80"/>
        <v>Value Missing</v>
      </c>
      <c r="M250" s="18" t="str">
        <f t="shared" si="80"/>
        <v>Value Missing</v>
      </c>
      <c r="N250" s="18" t="str">
        <f t="shared" si="80"/>
        <v>Value Missing</v>
      </c>
      <c r="O250" s="18" t="str">
        <f t="shared" si="80"/>
        <v>Value Missing</v>
      </c>
      <c r="P250" s="18" t="str">
        <f t="shared" si="80"/>
        <v>Value Missing</v>
      </c>
      <c r="Q250" s="18" t="str">
        <f t="shared" si="80"/>
        <v>Value Missing</v>
      </c>
      <c r="R250" s="18" t="str">
        <f t="shared" si="80"/>
        <v>Value Missing</v>
      </c>
    </row>
    <row r="251" spans="2:18" ht="20" customHeight="1">
      <c r="B251" s="21" t="s">
        <v>1703</v>
      </c>
      <c r="C251" s="18" t="str">
        <f t="shared" ref="C251:R251" si="81">region_dns1_ip</f>
        <v>Value Missing</v>
      </c>
      <c r="D251" s="244" t="str">
        <f t="shared" si="81"/>
        <v>Value Missing</v>
      </c>
      <c r="E251" s="18" t="str">
        <f t="shared" si="81"/>
        <v>Value Missing</v>
      </c>
      <c r="F251" s="18" t="str">
        <f t="shared" si="81"/>
        <v>Value Missing</v>
      </c>
      <c r="G251" s="18" t="str">
        <f t="shared" si="81"/>
        <v>Value Missing</v>
      </c>
      <c r="H251" s="18" t="str">
        <f t="shared" si="81"/>
        <v>Value Missing</v>
      </c>
      <c r="I251" s="18" t="str">
        <f t="shared" si="81"/>
        <v>Value Missing</v>
      </c>
      <c r="J251" s="18" t="str">
        <f t="shared" si="81"/>
        <v>Value Missing</v>
      </c>
      <c r="K251" s="18" t="str">
        <f t="shared" si="81"/>
        <v>Value Missing</v>
      </c>
      <c r="L251" s="18" t="str">
        <f t="shared" si="81"/>
        <v>Value Missing</v>
      </c>
      <c r="M251" s="18" t="str">
        <f t="shared" si="81"/>
        <v>Value Missing</v>
      </c>
      <c r="N251" s="18" t="str">
        <f t="shared" si="81"/>
        <v>Value Missing</v>
      </c>
      <c r="O251" s="18" t="str">
        <f t="shared" si="81"/>
        <v>Value Missing</v>
      </c>
      <c r="P251" s="18" t="str">
        <f t="shared" si="81"/>
        <v>Value Missing</v>
      </c>
      <c r="Q251" s="18" t="str">
        <f t="shared" si="81"/>
        <v>Value Missing</v>
      </c>
      <c r="R251" s="18" t="str">
        <f t="shared" si="81"/>
        <v>Value Missing</v>
      </c>
    </row>
    <row r="252" spans="2:18" ht="20" customHeight="1">
      <c r="B252" s="21" t="s">
        <v>1704</v>
      </c>
      <c r="C252" s="18" t="str">
        <f t="shared" ref="C252:R252" si="82">region_dns2_ip</f>
        <v>Value Missing</v>
      </c>
      <c r="D252" s="244" t="str">
        <f t="shared" si="82"/>
        <v>Value Missing</v>
      </c>
      <c r="E252" s="18" t="str">
        <f t="shared" si="82"/>
        <v>Value Missing</v>
      </c>
      <c r="F252" s="18" t="str">
        <f t="shared" si="82"/>
        <v>Value Missing</v>
      </c>
      <c r="G252" s="18" t="str">
        <f t="shared" si="82"/>
        <v>Value Missing</v>
      </c>
      <c r="H252" s="18" t="str">
        <f t="shared" si="82"/>
        <v>Value Missing</v>
      </c>
      <c r="I252" s="18" t="str">
        <f t="shared" si="82"/>
        <v>Value Missing</v>
      </c>
      <c r="J252" s="18" t="str">
        <f t="shared" si="82"/>
        <v>Value Missing</v>
      </c>
      <c r="K252" s="18" t="str">
        <f t="shared" si="82"/>
        <v>Value Missing</v>
      </c>
      <c r="L252" s="18" t="str">
        <f t="shared" si="82"/>
        <v>Value Missing</v>
      </c>
      <c r="M252" s="18" t="str">
        <f t="shared" si="82"/>
        <v>Value Missing</v>
      </c>
      <c r="N252" s="18" t="str">
        <f t="shared" si="82"/>
        <v>Value Missing</v>
      </c>
      <c r="O252" s="18" t="str">
        <f t="shared" si="82"/>
        <v>Value Missing</v>
      </c>
      <c r="P252" s="18" t="str">
        <f t="shared" si="82"/>
        <v>Value Missing</v>
      </c>
      <c r="Q252" s="18" t="str">
        <f t="shared" si="82"/>
        <v>Value Missing</v>
      </c>
      <c r="R252" s="18" t="str">
        <f t="shared" si="82"/>
        <v>Value Missing</v>
      </c>
    </row>
    <row r="253" spans="2:18" ht="20" customHeight="1">
      <c r="B253" s="68" t="s">
        <v>1709</v>
      </c>
      <c r="C253" s="73"/>
      <c r="D253" s="73"/>
      <c r="E253" s="73"/>
      <c r="F253" s="73"/>
      <c r="G253" s="73"/>
      <c r="H253" s="73"/>
      <c r="I253" s="73"/>
      <c r="J253" s="73"/>
      <c r="K253" s="73"/>
      <c r="L253" s="73"/>
      <c r="M253" s="73"/>
      <c r="N253" s="73"/>
      <c r="O253" s="73"/>
      <c r="P253" s="73"/>
      <c r="Q253" s="73"/>
      <c r="R253" s="73"/>
    </row>
    <row r="254" spans="2:18" ht="20" customHeight="1">
      <c r="B254" s="21" t="s">
        <v>4292</v>
      </c>
      <c r="C254" s="18" t="str">
        <f t="shared" ref="C254:R254" si="83">IF(wld_dpg_separation_result="Included",wld_az1_rack8_mgmt_vm_vlan,wld_az1_rack8_mgmt_vlan)</f>
        <v>Value Missing</v>
      </c>
      <c r="D254" s="244" t="str">
        <f t="shared" si="83"/>
        <v>Value Missing</v>
      </c>
      <c r="E254" s="18" t="str">
        <f t="shared" si="83"/>
        <v>Value Missing</v>
      </c>
      <c r="F254" s="18" t="str">
        <f t="shared" si="83"/>
        <v>Value Missing</v>
      </c>
      <c r="G254" s="18" t="str">
        <f t="shared" si="83"/>
        <v>Value Missing</v>
      </c>
      <c r="H254" s="18" t="str">
        <f t="shared" si="83"/>
        <v>Value Missing</v>
      </c>
      <c r="I254" s="18" t="str">
        <f t="shared" si="83"/>
        <v>Value Missing</v>
      </c>
      <c r="J254" s="18" t="str">
        <f t="shared" si="83"/>
        <v>Value Missing</v>
      </c>
      <c r="K254" s="18" t="str">
        <f t="shared" si="83"/>
        <v>Value Missing</v>
      </c>
      <c r="L254" s="18" t="str">
        <f t="shared" si="83"/>
        <v>Value Missing</v>
      </c>
      <c r="M254" s="18" t="str">
        <f t="shared" si="83"/>
        <v>Value Missing</v>
      </c>
      <c r="N254" s="18" t="str">
        <f t="shared" si="83"/>
        <v>Value Missing</v>
      </c>
      <c r="O254" s="18" t="str">
        <f t="shared" si="83"/>
        <v>Value Missing</v>
      </c>
      <c r="P254" s="18" t="str">
        <f t="shared" si="83"/>
        <v>Value Missing</v>
      </c>
      <c r="Q254" s="18" t="str">
        <f t="shared" si="83"/>
        <v>Value Missing</v>
      </c>
      <c r="R254" s="18" t="str">
        <f t="shared" si="83"/>
        <v>Value Missing</v>
      </c>
    </row>
    <row r="255" spans="2:18" ht="20" customHeight="1">
      <c r="B255" s="68" t="s">
        <v>1714</v>
      </c>
      <c r="C255" s="73"/>
      <c r="D255" s="73"/>
      <c r="E255" s="73"/>
      <c r="F255" s="73"/>
      <c r="G255" s="73"/>
      <c r="H255" s="73"/>
      <c r="I255" s="73"/>
      <c r="J255" s="73"/>
      <c r="K255" s="73"/>
      <c r="L255" s="73"/>
      <c r="M255" s="73"/>
      <c r="N255" s="73"/>
      <c r="O255" s="73"/>
      <c r="P255" s="73"/>
      <c r="Q255" s="73"/>
      <c r="R255" s="73"/>
    </row>
    <row r="256" spans="2:18" ht="20" customHeight="1">
      <c r="B256" s="52" t="s">
        <v>1716</v>
      </c>
      <c r="C256" s="18" t="str">
        <f t="array" ref="C256:C257">region_ntp_servers_array</f>
        <v>Value Missing</v>
      </c>
      <c r="D256" s="244" t="str">
        <f t="array" ref="D256:D257">region_ntp_servers_array</f>
        <v>Value Missing</v>
      </c>
      <c r="E256" s="18" t="str">
        <f t="array" ref="E256:E257">region_ntp_servers_array</f>
        <v>Value Missing</v>
      </c>
      <c r="F256" s="18" t="str">
        <f t="array" ref="F256:F257">region_ntp_servers_array</f>
        <v>Value Missing</v>
      </c>
      <c r="G256" s="18" t="str">
        <f t="array" ref="G256:G257">region_ntp_servers_array</f>
        <v>Value Missing</v>
      </c>
      <c r="H256" s="18" t="str">
        <f t="array" ref="H256:H257">region_ntp_servers_array</f>
        <v>Value Missing</v>
      </c>
      <c r="I256" s="18" t="str">
        <f t="array" ref="I256:I257">region_ntp_servers_array</f>
        <v>Value Missing</v>
      </c>
      <c r="J256" s="18" t="str">
        <f t="array" ref="J256:J257">region_ntp_servers_array</f>
        <v>Value Missing</v>
      </c>
      <c r="K256" s="18" t="str">
        <f t="array" ref="K256:K257">region_ntp_servers_array</f>
        <v>Value Missing</v>
      </c>
      <c r="L256" s="18" t="str">
        <f t="array" ref="L256:L257">region_ntp_servers_array</f>
        <v>Value Missing</v>
      </c>
      <c r="M256" s="18" t="str">
        <f t="array" ref="M256:M257">region_ntp_servers_array</f>
        <v>Value Missing</v>
      </c>
      <c r="N256" s="18" t="str">
        <f t="array" ref="N256:N257">region_ntp_servers_array</f>
        <v>Value Missing</v>
      </c>
      <c r="O256" s="18" t="str">
        <f t="array" ref="O256:O257">region_ntp_servers_array</f>
        <v>Value Missing</v>
      </c>
      <c r="P256" s="18" t="str">
        <f t="array" ref="P256:P257">region_ntp_servers_array</f>
        <v>Value Missing</v>
      </c>
      <c r="Q256" s="18" t="str">
        <f t="array" ref="Q256:Q257">region_ntp_servers_array</f>
        <v>Value Missing</v>
      </c>
      <c r="R256" s="18" t="str">
        <f t="array" ref="R256:R257">region_ntp_servers_array</f>
        <v>Value Missing</v>
      </c>
    </row>
    <row r="257" spans="2:18" ht="20" customHeight="1">
      <c r="B257" s="52" t="s">
        <v>1716</v>
      </c>
      <c r="C257" s="18" t="str">
        <v>Value Missing</v>
      </c>
      <c r="D257" s="244" t="str">
        <v>Value Missing</v>
      </c>
      <c r="E257" s="18" t="str">
        <v>Value Missing</v>
      </c>
      <c r="F257" s="18" t="str">
        <v>Value Missing</v>
      </c>
      <c r="G257" s="18" t="str">
        <v>Value Missing</v>
      </c>
      <c r="H257" s="18" t="str">
        <v>Value Missing</v>
      </c>
      <c r="I257" s="18" t="str">
        <v>Value Missing</v>
      </c>
      <c r="J257" s="18" t="str">
        <v>Value Missing</v>
      </c>
      <c r="K257" s="18" t="str">
        <v>Value Missing</v>
      </c>
      <c r="L257" s="18" t="str">
        <v>Value Missing</v>
      </c>
      <c r="M257" s="18" t="str">
        <v>Value Missing</v>
      </c>
      <c r="N257" s="18" t="str">
        <v>Value Missing</v>
      </c>
      <c r="O257" s="18" t="str">
        <v>Value Missing</v>
      </c>
      <c r="P257" s="18" t="str">
        <v>Value Missing</v>
      </c>
      <c r="Q257" s="18" t="str">
        <v>Value Missing</v>
      </c>
      <c r="R257" s="18" t="str">
        <v>Value Missing</v>
      </c>
    </row>
    <row r="258" spans="2:18" ht="20" customHeight="1">
      <c r="B258" s="68" t="s">
        <v>1717</v>
      </c>
      <c r="C258" s="73"/>
      <c r="D258" s="73"/>
      <c r="E258" s="73"/>
      <c r="F258" s="73"/>
      <c r="G258" s="73"/>
      <c r="H258" s="73"/>
      <c r="I258" s="73"/>
      <c r="J258" s="73"/>
      <c r="K258" s="73"/>
      <c r="L258" s="73"/>
      <c r="M258" s="73"/>
      <c r="N258" s="73"/>
      <c r="O258" s="73"/>
      <c r="P258" s="73"/>
      <c r="Q258" s="73"/>
      <c r="R258" s="73"/>
    </row>
    <row r="259" spans="2:18" ht="20" customHeight="1">
      <c r="B259" s="239" t="s">
        <v>4293</v>
      </c>
      <c r="C259" s="504" t="s">
        <v>4296</v>
      </c>
      <c r="D259" s="504"/>
      <c r="E259" s="240"/>
      <c r="F259" s="240"/>
      <c r="G259" s="240"/>
      <c r="H259" s="240"/>
      <c r="I259" s="240"/>
      <c r="J259" s="240"/>
      <c r="K259" s="240"/>
      <c r="L259" s="240"/>
      <c r="M259" s="240"/>
      <c r="N259" s="240"/>
      <c r="O259" s="240"/>
      <c r="P259" s="240"/>
      <c r="Q259" s="240"/>
      <c r="R259" s="241"/>
    </row>
    <row r="260" spans="2:18" ht="20" customHeight="1">
      <c r="B260" s="68" t="s">
        <v>1719</v>
      </c>
      <c r="C260" s="73"/>
      <c r="D260" s="73"/>
      <c r="E260" s="73"/>
      <c r="F260" s="73"/>
      <c r="G260" s="73"/>
      <c r="H260" s="73"/>
      <c r="I260" s="73"/>
      <c r="J260" s="73"/>
      <c r="K260" s="73"/>
      <c r="L260" s="73"/>
      <c r="M260" s="73"/>
      <c r="N260" s="73"/>
      <c r="O260" s="73"/>
      <c r="P260" s="73"/>
      <c r="Q260" s="73"/>
      <c r="R260" s="73"/>
    </row>
    <row r="261" spans="2:18" ht="20" customHeight="1">
      <c r="B261" s="239" t="s">
        <v>4293</v>
      </c>
      <c r="C261" s="504" t="s">
        <v>4296</v>
      </c>
      <c r="D261" s="504"/>
      <c r="E261" s="240"/>
      <c r="F261" s="240"/>
      <c r="G261" s="240"/>
      <c r="H261" s="240"/>
      <c r="I261" s="240"/>
      <c r="J261" s="240"/>
      <c r="K261" s="240"/>
      <c r="L261" s="240"/>
      <c r="M261" s="240"/>
      <c r="N261" s="240"/>
      <c r="O261" s="240"/>
      <c r="P261" s="240"/>
      <c r="Q261" s="240"/>
      <c r="R261" s="241"/>
    </row>
    <row r="262" spans="2:18" ht="20" customHeight="1">
      <c r="B262" s="68" t="s">
        <v>2170</v>
      </c>
      <c r="C262" s="73"/>
      <c r="D262" s="73"/>
      <c r="E262" s="73"/>
      <c r="F262" s="73"/>
      <c r="G262" s="73"/>
      <c r="H262" s="73"/>
      <c r="I262" s="73"/>
      <c r="J262" s="73"/>
      <c r="K262" s="73"/>
      <c r="L262" s="73"/>
      <c r="M262" s="73"/>
      <c r="N262" s="73"/>
      <c r="O262" s="73"/>
      <c r="P262" s="73"/>
      <c r="Q262" s="73"/>
      <c r="R262" s="73"/>
    </row>
    <row r="263" spans="2:18" ht="20" customHeight="1">
      <c r="B263" s="242" t="s">
        <v>4293</v>
      </c>
      <c r="C263" s="242" t="s">
        <v>735</v>
      </c>
      <c r="D263" s="236" t="s">
        <v>4297</v>
      </c>
      <c r="E263" s="236" t="s">
        <v>4298</v>
      </c>
      <c r="F263" s="235" t="s">
        <v>4299</v>
      </c>
      <c r="G263" s="235" t="s">
        <v>4300</v>
      </c>
      <c r="H263" s="236" t="s">
        <v>4301</v>
      </c>
      <c r="I263" s="235" t="s">
        <v>4302</v>
      </c>
      <c r="J263" s="235" t="s">
        <v>4303</v>
      </c>
      <c r="K263" s="236" t="s">
        <v>4304</v>
      </c>
      <c r="L263" s="243"/>
      <c r="M263" s="243"/>
      <c r="N263" s="243"/>
      <c r="O263" s="243"/>
      <c r="P263" s="243"/>
      <c r="Q263" s="243"/>
      <c r="R263" s="243"/>
    </row>
    <row r="264" spans="2:18" ht="20" customHeight="1">
      <c r="B264" s="509" t="s">
        <v>4305</v>
      </c>
      <c r="C264" s="510" t="str">
        <f>wld_az1_rack8_pool_name</f>
        <v>Value Missing</v>
      </c>
      <c r="D264" s="247" t="s">
        <v>4306</v>
      </c>
      <c r="E264" s="18" t="str">
        <f>wld_az1_rack8_principal_storage_vlan</f>
        <v>Value Missing</v>
      </c>
      <c r="F264" s="18" t="str">
        <f>wld_az1_rack8_principal_storage_mtu</f>
        <v>Value Missing</v>
      </c>
      <c r="G264" s="18" t="str">
        <f>IF(wld_az1_rack8_principal_storage_cidr="Value Missing","Value Missing",LEFT(wld_az1_rack8_principal_storage_cidr,(FIND("/",wld_az1_rack8_principal_storage_cidr,1)-1)))</f>
        <v>Value Missing</v>
      </c>
      <c r="H264" s="18" t="str">
        <f>wld_az1_rack8_principal_storage_mask</f>
        <v>Value Missing</v>
      </c>
      <c r="I264" s="18" t="str">
        <f>wld_az1_rack8_principal_storage_gateway_ip</f>
        <v>Value Missing</v>
      </c>
      <c r="J264" s="18" t="str">
        <f>wld_az1_rack8_principal_storage_pool_start_ip</f>
        <v>Value Missing</v>
      </c>
      <c r="K264" s="18" t="str">
        <f>wld_az1_rack8_principal_storage_pool_end_ip</f>
        <v>Value Missing</v>
      </c>
      <c r="L264" s="243"/>
      <c r="M264" s="243"/>
      <c r="N264" s="243"/>
      <c r="O264" s="243"/>
      <c r="P264" s="243"/>
      <c r="Q264" s="243"/>
      <c r="R264" s="243"/>
    </row>
    <row r="265" spans="2:18" ht="20" customHeight="1">
      <c r="B265" s="509"/>
      <c r="C265" s="511"/>
      <c r="D265" s="247" t="s">
        <v>731</v>
      </c>
      <c r="E265" s="18" t="str">
        <f>wld_az1_rack8_vmotion_vlan</f>
        <v>Value Missing</v>
      </c>
      <c r="F265" s="18" t="str">
        <f>wld_az1_rack8_vmotion_mtu</f>
        <v>Value Missing</v>
      </c>
      <c r="G265" s="18" t="str">
        <f>IF(wld_az1_rack8_vmotion_cidr="Value Missing","Value Missing",LEFT(wld_az1_rack8_vmotion_cidr,(FIND("/",wld_az1_rack8_vmotion_cidr,1)-1)))</f>
        <v>Value Missing</v>
      </c>
      <c r="H265" s="18" t="str">
        <f>wld_az1_rack8_vmotion_mask</f>
        <v>Value Missing</v>
      </c>
      <c r="I265" s="18" t="str">
        <f>wld_az1_rack8_vmotion_gateway_ip</f>
        <v>Value Missing</v>
      </c>
      <c r="J265" s="18" t="str">
        <f>wld_az1_rack8_vmotion_pool_start_ip</f>
        <v>Value Missing</v>
      </c>
      <c r="K265" s="18" t="str">
        <f>wld_az1_rack8_vmotion_pool_end_ip</f>
        <v>Value Missing</v>
      </c>
      <c r="L265" s="243"/>
      <c r="M265" s="243"/>
      <c r="N265" s="243"/>
      <c r="O265" s="243"/>
      <c r="P265" s="243"/>
      <c r="Q265" s="243"/>
      <c r="R265" s="243"/>
    </row>
    <row r="266" spans="2:18" ht="20" customHeight="1">
      <c r="B266" s="509"/>
      <c r="C266" s="512"/>
      <c r="D266" s="247" t="s">
        <v>4307</v>
      </c>
      <c r="E266" s="18" t="str">
        <f>wld_az1_rack8_secondary_storage_vlan</f>
        <v>Value Missing</v>
      </c>
      <c r="F266" s="18" t="str">
        <f>wld_az1_rack8_secondary_storage_mtu</f>
        <v>Value Missing</v>
      </c>
      <c r="G266" s="18" t="str">
        <f>IF(wld_az1_rack8_secondary_storage_cidr="Value Missing","Value Missing",LEFT(wld_az1_rack8_secondary_storage_cidr,(FIND("/",wld_az1_rack8_secondary_storage_cidr,1)-1)))</f>
        <v>Value Missing</v>
      </c>
      <c r="H266" s="18" t="str">
        <f>IF(wld_az1_rack8_secondary_storage_cidr="Value Missing","Value Missing",VLOOKUP(INT(RIGHT(wld_az1_rack8_secondary_storage_cidr,LEN(wld_az1_rack8_secondary_storage_cidr)-FIND("/",wld_az1_rack8_secondary_storage_cidr))),table_cidr_to_mask,2,FALSE))</f>
        <v>Value Missing</v>
      </c>
      <c r="I266" s="18" t="str">
        <f>wld_az1_rack8_secondary_storage_gateway_ip</f>
        <v>Value Missing</v>
      </c>
      <c r="J266" s="18" t="str">
        <f>wld_az1_rack8_secondary_storage_pool_start_ip</f>
        <v>Value Missing</v>
      </c>
      <c r="K266" s="18" t="str">
        <f>wld_az1_rack8_secondary_storage_pool_end_ip</f>
        <v>Value Missing</v>
      </c>
      <c r="L266" s="243"/>
      <c r="M266" s="243"/>
      <c r="N266" s="243"/>
      <c r="O266" s="243"/>
      <c r="P266" s="243"/>
      <c r="Q266" s="243"/>
      <c r="R266" s="243"/>
    </row>
    <row r="267" spans="2:18" ht="20" customHeight="1">
      <c r="B267" s="68" t="s">
        <v>2171</v>
      </c>
      <c r="C267" s="73"/>
      <c r="D267" s="73"/>
      <c r="E267" s="73"/>
      <c r="F267" s="73"/>
      <c r="G267" s="73"/>
      <c r="H267" s="73"/>
      <c r="I267" s="73"/>
      <c r="J267" s="73"/>
      <c r="K267" s="73"/>
      <c r="L267" s="73"/>
      <c r="M267" s="73"/>
      <c r="N267" s="73"/>
      <c r="O267" s="73"/>
      <c r="P267" s="73"/>
      <c r="Q267" s="73"/>
      <c r="R267" s="73"/>
    </row>
    <row r="268" spans="2:18" ht="20" customHeight="1">
      <c r="B268" s="239" t="s">
        <v>4293</v>
      </c>
      <c r="C268" s="240"/>
      <c r="D268" s="240"/>
      <c r="E268" s="240"/>
      <c r="F268" s="240"/>
      <c r="G268" s="240"/>
      <c r="H268" s="240"/>
      <c r="I268" s="240"/>
      <c r="J268" s="240"/>
      <c r="K268" s="240"/>
      <c r="L268" s="240"/>
      <c r="M268" s="240"/>
      <c r="N268" s="240"/>
      <c r="O268" s="240"/>
      <c r="P268" s="240"/>
      <c r="Q268" s="240"/>
      <c r="R268" s="241"/>
    </row>
    <row r="269" spans="2:18" ht="20" customHeight="1">
      <c r="B269" s="52" t="s">
        <v>4163</v>
      </c>
      <c r="C269" s="18" t="str">
        <f t="shared" ref="C269:R269" si="84">IF(wld_principal_storage_chosen="vSAN-ESA","vSAN-ESA",IF(wld_principal_storage_chosen="vSAN-OSA","vSAN-OSA",IF(wld_principal_storage_chosen="NFS","NFS",IF(wld_principal_storage_chosen="VMFS on FC","VMFS on FC","vVOL"))))</f>
        <v>vSAN-ESA</v>
      </c>
      <c r="D269" s="18" t="str">
        <f t="shared" si="84"/>
        <v>vSAN-ESA</v>
      </c>
      <c r="E269" s="18" t="str">
        <f t="shared" si="84"/>
        <v>vSAN-ESA</v>
      </c>
      <c r="F269" s="18" t="str">
        <f t="shared" si="84"/>
        <v>vSAN-ESA</v>
      </c>
      <c r="G269" s="18" t="str">
        <f t="shared" si="84"/>
        <v>vSAN-ESA</v>
      </c>
      <c r="H269" s="18" t="str">
        <f t="shared" si="84"/>
        <v>vSAN-ESA</v>
      </c>
      <c r="I269" s="18" t="str">
        <f t="shared" si="84"/>
        <v>vSAN-ESA</v>
      </c>
      <c r="J269" s="18" t="str">
        <f t="shared" si="84"/>
        <v>vSAN-ESA</v>
      </c>
      <c r="K269" s="18" t="str">
        <f t="shared" si="84"/>
        <v>vSAN-ESA</v>
      </c>
      <c r="L269" s="18" t="str">
        <f t="shared" si="84"/>
        <v>vSAN-ESA</v>
      </c>
      <c r="M269" s="18" t="str">
        <f t="shared" si="84"/>
        <v>vSAN-ESA</v>
      </c>
      <c r="N269" s="18" t="str">
        <f t="shared" si="84"/>
        <v>vSAN-ESA</v>
      </c>
      <c r="O269" s="18" t="str">
        <f t="shared" si="84"/>
        <v>vSAN-ESA</v>
      </c>
      <c r="P269" s="18" t="str">
        <f t="shared" si="84"/>
        <v>vSAN-ESA</v>
      </c>
      <c r="Q269" s="18" t="str">
        <f t="shared" si="84"/>
        <v>vSAN-ESA</v>
      </c>
      <c r="R269" s="18" t="str">
        <f t="shared" si="84"/>
        <v>vSAN-ESA</v>
      </c>
    </row>
    <row r="270" spans="2:18" ht="20" customHeight="1">
      <c r="B270" s="52" t="s">
        <v>4164</v>
      </c>
      <c r="C270" s="18" t="str">
        <f t="shared" ref="C270:R270" si="85">IF(wld_principal_storage_chosen="vSAN-ESA","N/A",IF(wld_principal_storage_chosen="vSAN-OSA","N/A",IF(wld_principal_storage_chosen="NFS","N/A",IF(wld_principal_storage_chosen="VMFS on FC","N/A",RIGHT(wld_principal_storage_chosen,LEN(wld_principal_storage_chosen)-9)))))</f>
        <v>N/A</v>
      </c>
      <c r="D270" s="18" t="str">
        <f t="shared" si="85"/>
        <v>N/A</v>
      </c>
      <c r="E270" s="18" t="str">
        <f t="shared" si="85"/>
        <v>N/A</v>
      </c>
      <c r="F270" s="18" t="str">
        <f t="shared" si="85"/>
        <v>N/A</v>
      </c>
      <c r="G270" s="18" t="str">
        <f t="shared" si="85"/>
        <v>N/A</v>
      </c>
      <c r="H270" s="18" t="str">
        <f t="shared" si="85"/>
        <v>N/A</v>
      </c>
      <c r="I270" s="18" t="str">
        <f t="shared" si="85"/>
        <v>N/A</v>
      </c>
      <c r="J270" s="18" t="str">
        <f t="shared" si="85"/>
        <v>N/A</v>
      </c>
      <c r="K270" s="18" t="str">
        <f t="shared" si="85"/>
        <v>N/A</v>
      </c>
      <c r="L270" s="18" t="str">
        <f t="shared" si="85"/>
        <v>N/A</v>
      </c>
      <c r="M270" s="18" t="str">
        <f t="shared" si="85"/>
        <v>N/A</v>
      </c>
      <c r="N270" s="18" t="str">
        <f t="shared" si="85"/>
        <v>N/A</v>
      </c>
      <c r="O270" s="18" t="str">
        <f t="shared" si="85"/>
        <v>N/A</v>
      </c>
      <c r="P270" s="18" t="str">
        <f t="shared" si="85"/>
        <v>N/A</v>
      </c>
      <c r="Q270" s="18" t="str">
        <f t="shared" si="85"/>
        <v>N/A</v>
      </c>
      <c r="R270" s="18" t="str">
        <f t="shared" si="85"/>
        <v>N/A</v>
      </c>
    </row>
    <row r="271" spans="2:18" ht="20" customHeight="1">
      <c r="B271" s="52" t="s">
        <v>781</v>
      </c>
      <c r="C271" s="18" t="str">
        <f t="shared" ref="C271:R271" si="86">wld_az1_rack8_pool_name</f>
        <v>Value Missing</v>
      </c>
      <c r="D271" s="18" t="str">
        <f t="shared" si="86"/>
        <v>Value Missing</v>
      </c>
      <c r="E271" s="18" t="str">
        <f t="shared" si="86"/>
        <v>Value Missing</v>
      </c>
      <c r="F271" s="18" t="str">
        <f t="shared" si="86"/>
        <v>Value Missing</v>
      </c>
      <c r="G271" s="18" t="str">
        <f t="shared" si="86"/>
        <v>Value Missing</v>
      </c>
      <c r="H271" s="18" t="str">
        <f t="shared" si="86"/>
        <v>Value Missing</v>
      </c>
      <c r="I271" s="18" t="str">
        <f t="shared" si="86"/>
        <v>Value Missing</v>
      </c>
      <c r="J271" s="18" t="str">
        <f t="shared" si="86"/>
        <v>Value Missing</v>
      </c>
      <c r="K271" s="18" t="str">
        <f t="shared" si="86"/>
        <v>Value Missing</v>
      </c>
      <c r="L271" s="18" t="str">
        <f t="shared" si="86"/>
        <v>Value Missing</v>
      </c>
      <c r="M271" s="18" t="str">
        <f t="shared" si="86"/>
        <v>Value Missing</v>
      </c>
      <c r="N271" s="18" t="str">
        <f t="shared" si="86"/>
        <v>Value Missing</v>
      </c>
      <c r="O271" s="18" t="str">
        <f t="shared" si="86"/>
        <v>Value Missing</v>
      </c>
      <c r="P271" s="18" t="str">
        <f t="shared" si="86"/>
        <v>Value Missing</v>
      </c>
      <c r="Q271" s="18" t="str">
        <f t="shared" si="86"/>
        <v>Value Missing</v>
      </c>
      <c r="R271" s="18" t="str">
        <f t="shared" si="86"/>
        <v>Value Missing</v>
      </c>
    </row>
    <row r="272" spans="2:18" ht="20" customHeight="1">
      <c r="B272" s="52" t="s">
        <v>4165</v>
      </c>
      <c r="C272" s="18" t="s">
        <v>1352</v>
      </c>
      <c r="D272" s="18" t="s">
        <v>1352</v>
      </c>
      <c r="E272" s="18" t="s">
        <v>1352</v>
      </c>
      <c r="F272" s="18" t="s">
        <v>1352</v>
      </c>
      <c r="G272" s="18" t="s">
        <v>1352</v>
      </c>
      <c r="H272" s="18" t="s">
        <v>1352</v>
      </c>
      <c r="I272" s="18" t="s">
        <v>1352</v>
      </c>
      <c r="J272" s="18" t="s">
        <v>1352</v>
      </c>
      <c r="K272" s="18" t="s">
        <v>1352</v>
      </c>
      <c r="L272" s="18" t="s">
        <v>1352</v>
      </c>
      <c r="M272" s="18" t="s">
        <v>1352</v>
      </c>
      <c r="N272" s="18" t="s">
        <v>1352</v>
      </c>
      <c r="O272" s="18" t="s">
        <v>1352</v>
      </c>
      <c r="P272" s="18" t="s">
        <v>1352</v>
      </c>
      <c r="Q272" s="18" t="s">
        <v>1352</v>
      </c>
      <c r="R272" s="18" t="s">
        <v>1352</v>
      </c>
    </row>
    <row r="273" spans="2:18" ht="20" customHeight="1">
      <c r="B273" s="52" t="s">
        <v>1796</v>
      </c>
      <c r="C273" s="18" t="str">
        <f t="shared" ref="C273:R273" si="87">esxi_root_password</f>
        <v>Value Missing</v>
      </c>
      <c r="D273" s="18" t="str">
        <f t="shared" si="87"/>
        <v>Value Missing</v>
      </c>
      <c r="E273" s="18" t="str">
        <f t="shared" si="87"/>
        <v>Value Missing</v>
      </c>
      <c r="F273" s="18" t="str">
        <f t="shared" si="87"/>
        <v>Value Missing</v>
      </c>
      <c r="G273" s="18" t="str">
        <f t="shared" si="87"/>
        <v>Value Missing</v>
      </c>
      <c r="H273" s="18" t="str">
        <f t="shared" si="87"/>
        <v>Value Missing</v>
      </c>
      <c r="I273" s="18" t="str">
        <f t="shared" si="87"/>
        <v>Value Missing</v>
      </c>
      <c r="J273" s="18" t="str">
        <f t="shared" si="87"/>
        <v>Value Missing</v>
      </c>
      <c r="K273" s="18" t="str">
        <f t="shared" si="87"/>
        <v>Value Missing</v>
      </c>
      <c r="L273" s="18" t="str">
        <f t="shared" si="87"/>
        <v>Value Missing</v>
      </c>
      <c r="M273" s="18" t="str">
        <f t="shared" si="87"/>
        <v>Value Missing</v>
      </c>
      <c r="N273" s="18" t="str">
        <f t="shared" si="87"/>
        <v>Value Missing</v>
      </c>
      <c r="O273" s="18" t="str">
        <f t="shared" si="87"/>
        <v>Value Missing</v>
      </c>
      <c r="P273" s="18" t="str">
        <f t="shared" si="87"/>
        <v>Value Missing</v>
      </c>
      <c r="Q273" s="18" t="str">
        <f t="shared" si="87"/>
        <v>Value Missing</v>
      </c>
      <c r="R273" s="18" t="str">
        <f t="shared" si="87"/>
        <v>Value Missing</v>
      </c>
    </row>
  </sheetData>
  <sheetProtection algorithmName="SHA-512" hashValue="3+4MuvpKoMqdr1xPtG+gqJmacDoDofldP6fisTznG6XHRxoUw8GulzDVbqWCia6BzRSTxAJSJCc8T+43wJxuUA==" saltValue="cppL8UdzmP0u8s6vRj2kSA==" spinCount="100000" sheet="1" objects="1" scenarios="1"/>
  <mergeCells count="84">
    <mergeCell ref="B132:B134"/>
    <mergeCell ref="B264:B266"/>
    <mergeCell ref="C264:C266"/>
    <mergeCell ref="C259:D259"/>
    <mergeCell ref="C261:D261"/>
    <mergeCell ref="C226:D226"/>
    <mergeCell ref="C228:D228"/>
    <mergeCell ref="B231:B233"/>
    <mergeCell ref="C231:C233"/>
    <mergeCell ref="C195:D195"/>
    <mergeCell ref="B198:B200"/>
    <mergeCell ref="C198:C200"/>
    <mergeCell ref="C193:D193"/>
    <mergeCell ref="B165:B167"/>
    <mergeCell ref="C165:C167"/>
    <mergeCell ref="B187:R187"/>
    <mergeCell ref="C127:D127"/>
    <mergeCell ref="C129:D129"/>
    <mergeCell ref="C28:D28"/>
    <mergeCell ref="B31:R31"/>
    <mergeCell ref="B33:B35"/>
    <mergeCell ref="C33:C35"/>
    <mergeCell ref="B29:R29"/>
    <mergeCell ref="C30:D30"/>
    <mergeCell ref="B66:B68"/>
    <mergeCell ref="C66:C68"/>
    <mergeCell ref="C61:D61"/>
    <mergeCell ref="C63:D63"/>
    <mergeCell ref="B36:R36"/>
    <mergeCell ref="B44:R44"/>
    <mergeCell ref="B110:R110"/>
    <mergeCell ref="B11:R11"/>
    <mergeCell ref="B12:R12"/>
    <mergeCell ref="B22:R22"/>
    <mergeCell ref="B24:R24"/>
    <mergeCell ref="B27:R27"/>
    <mergeCell ref="B2:C2"/>
    <mergeCell ref="D2:R2"/>
    <mergeCell ref="B3:R3"/>
    <mergeCell ref="B6:R6"/>
    <mergeCell ref="B7:R7"/>
    <mergeCell ref="B143:R143"/>
    <mergeCell ref="B176:R176"/>
    <mergeCell ref="B45:R45"/>
    <mergeCell ref="B55:R55"/>
    <mergeCell ref="B57:R57"/>
    <mergeCell ref="B64:R64"/>
    <mergeCell ref="B62:R62"/>
    <mergeCell ref="B60:R60"/>
    <mergeCell ref="B69:R69"/>
    <mergeCell ref="B78:R78"/>
    <mergeCell ref="B97:R97"/>
    <mergeCell ref="B95:R95"/>
    <mergeCell ref="B93:R93"/>
    <mergeCell ref="C132:C134"/>
    <mergeCell ref="B144:R144"/>
    <mergeCell ref="B135:R135"/>
    <mergeCell ref="B209:R209"/>
    <mergeCell ref="B192:R192"/>
    <mergeCell ref="B194:R194"/>
    <mergeCell ref="B196:R196"/>
    <mergeCell ref="B77:R77"/>
    <mergeCell ref="C94:D94"/>
    <mergeCell ref="C96:D96"/>
    <mergeCell ref="B99:B101"/>
    <mergeCell ref="C99:C101"/>
    <mergeCell ref="B130:R130"/>
    <mergeCell ref="B128:R128"/>
    <mergeCell ref="B126:R126"/>
    <mergeCell ref="B123:R123"/>
    <mergeCell ref="B121:R121"/>
    <mergeCell ref="B111:R111"/>
    <mergeCell ref="B102:R102"/>
    <mergeCell ref="B201:R201"/>
    <mergeCell ref="B163:R163"/>
    <mergeCell ref="B161:R161"/>
    <mergeCell ref="B159:R159"/>
    <mergeCell ref="B156:R156"/>
    <mergeCell ref="B154:R154"/>
    <mergeCell ref="C160:D160"/>
    <mergeCell ref="C162:D162"/>
    <mergeCell ref="B189:R189"/>
    <mergeCell ref="B177:R177"/>
    <mergeCell ref="B168:R168"/>
  </mergeCells>
  <phoneticPr fontId="45" type="noConversion"/>
  <conditionalFormatting sqref="B6 B7:Q7 B8:R42 J76:R76 J109:R109 J175:R175 J208:R208 J241:R241 B274:R274">
    <cfRule type="expression" dxfId="1797" priority="162">
      <formula>wld_domain_result="Excluded"</formula>
    </cfRule>
  </conditionalFormatting>
  <conditionalFormatting sqref="B44:B45 B46:R54 B55 B56:R56 B57 B58:R59 B60 B61:R61 B62 B63:R63 B64 B65:R68 B69 B70:R75">
    <cfRule type="expression" dxfId="1796" priority="16">
      <formula>wld_multi_rack_count_chosen&lt;1</formula>
    </cfRule>
  </conditionalFormatting>
  <conditionalFormatting sqref="B44:B45 B46:R54 B55 B56:R56 B57 B58:R59 B60 B61:R61 B62 B63:R63 B64 B65:R68 B69 B70:R76 B77:B78 B79:R92 B93 B94:R94 B95 B96:R96 B97 B98:R101 B102 B103:R109 B110:B111 B112:R120 B121 B122:R122 B123 B124:R125 B126 B127:R127 B128 B129:R129 B130 B131:R134 B135 B136:R142 B143:B144 B145:R153 B154 B155:R155 B156 B157:R158 B159 B160:R160 B161 B162:R162 B163 B164:R167 B168 B169:R175 B176:B177 B178:R186 B187 B188:R188 B189 B190:R191 B192 B193:R193 B194 B195:R195 B196 B197:R200 B201 B202:R208 B209 B210:R273">
    <cfRule type="expression" dxfId="1795" priority="14">
      <formula>wld_multirack_result="Excluded"</formula>
    </cfRule>
  </conditionalFormatting>
  <conditionalFormatting sqref="B77:B78 B79:R92 B93 B94:R94 B95 B96:R96 B97 B98:R101 B102 B103:R108">
    <cfRule type="expression" dxfId="1794" priority="17">
      <formula>wld_multi_rack_count_chosen&lt;2</formula>
    </cfRule>
  </conditionalFormatting>
  <conditionalFormatting sqref="B110:B111 B112:R120 B121 B122:R122 B123 B124:R125 B126 B127:R127 B128 B129:R129 B130 B131:R134 B135 B136:R141">
    <cfRule type="expression" dxfId="1793" priority="18">
      <formula>wld_multi_rack_count_chosen&lt;3</formula>
    </cfRule>
  </conditionalFormatting>
  <conditionalFormatting sqref="B143:B144 B145:R153 B154 B155:R155 B156 B157:R158 B159 B160:R160 B161 B162:R162 B163 B164:R167 B168 B169:R174">
    <cfRule type="expression" dxfId="1792" priority="15">
      <formula>wld_multi_rack_count_chosen&lt;4</formula>
    </cfRule>
  </conditionalFormatting>
  <conditionalFormatting sqref="B176:B177 B178:R186 B187 B188:R188 B189 B190:R191 B192 B193:R193 B194 B195:R195 B196 B197:R200 B201 B202:R207">
    <cfRule type="expression" dxfId="1791" priority="19">
      <formula>wld_multi_rack_count_chosen&lt;5</formula>
    </cfRule>
  </conditionalFormatting>
  <conditionalFormatting sqref="B209 B210:R240">
    <cfRule type="expression" dxfId="1790" priority="20">
      <formula>wld_multi_rack_count_chosen&lt;6</formula>
    </cfRule>
  </conditionalFormatting>
  <conditionalFormatting sqref="B7:Q7">
    <cfRule type="expression" dxfId="1789" priority="163">
      <formula>wld_multi_rack_count_chosen&lt;1</formula>
    </cfRule>
  </conditionalFormatting>
  <conditionalFormatting sqref="B242:R273">
    <cfRule type="expression" dxfId="1788" priority="21">
      <formula>wld_multi_rack_count_chosen&lt;7</formula>
    </cfRule>
  </conditionalFormatting>
  <conditionalFormatting sqref="C14:C21 C23 C25:C26 C38:C42">
    <cfRule type="expression" dxfId="1787" priority="160">
      <formula>wld_compute_hosts_per_rack1_calculated&lt;1</formula>
    </cfRule>
  </conditionalFormatting>
  <conditionalFormatting sqref="C47:C54 C56 C58:C59 C71:C75">
    <cfRule type="expression" dxfId="1786" priority="143">
      <formula>wld_compute_hosts_per_rack2_calculated&lt;1</formula>
    </cfRule>
  </conditionalFormatting>
  <conditionalFormatting sqref="C80:C87 C89 C91:C92 C104:C108">
    <cfRule type="expression" dxfId="1785" priority="127">
      <formula>wld_compute_hosts_per_rack3_calculated&lt;1</formula>
    </cfRule>
  </conditionalFormatting>
  <conditionalFormatting sqref="C113:C120 C122 C124:C125 C137:C141">
    <cfRule type="expression" dxfId="1784" priority="111">
      <formula>wld_compute_hosts_per_rack4_calculated&lt;1</formula>
    </cfRule>
  </conditionalFormatting>
  <conditionalFormatting sqref="C146:C153 C155 C157:C158 C170:C174">
    <cfRule type="expression" dxfId="1783" priority="86">
      <formula>wld_compute_hosts_per_rack5_calculated&lt;1</formula>
    </cfRule>
  </conditionalFormatting>
  <conditionalFormatting sqref="C179:C186 C188 C190:C191 C203:C207">
    <cfRule type="expression" dxfId="1782" priority="70">
      <formula>wld_compute_hosts_per_rack6_calculated&lt;1</formula>
    </cfRule>
  </conditionalFormatting>
  <conditionalFormatting sqref="C212:C219 C221 C223:C224 C231:C233 C236:C240">
    <cfRule type="expression" dxfId="1781" priority="54">
      <formula>wld_compute_hosts_per_rack7_calculated&lt;1</formula>
    </cfRule>
  </conditionalFormatting>
  <conditionalFormatting sqref="C245:C252 C254 C256:C257 C269:C273">
    <cfRule type="expression" dxfId="1780" priority="37">
      <formula>wld_compute_hosts_per_rack8_calculated&lt;1</formula>
    </cfRule>
  </conditionalFormatting>
  <conditionalFormatting sqref="C14:R21 C23:R23 C25:R26 E33:K34 C33:C35 J35:K35 C38:R42 C47:R54 C56:R56 C58:R59 E66:K67 C66:C68 C71:R75 C80:R87 C89:R89 C91:R92 E99:K100 C99:C101 C104:R108 C113:R120 C122:R122 C124:R125 C132:C134 E132:K134 C137:R141 C146:R153 C155:R155 C157:R158 C165:C167 E165:K167 C170:R174 C179:R186 C188:R188 C190:R191 C198:C200 E198:K200 C203:R207 C212:R219 C221:R221 C223:R224 C231:C233 E231:K233 C236:R240 C245:R252 C254:R254 C256:R257 C264:C266 E264:K266 C269:R273">
    <cfRule type="notContainsBlanks" dxfId="1778" priority="4295">
      <formula>LEN(TRIM(C14))&gt;0</formula>
    </cfRule>
  </conditionalFormatting>
  <conditionalFormatting sqref="D14:D21 D23 D25:D26 D38:D42">
    <cfRule type="expression" dxfId="1776" priority="159">
      <formula>wld_compute_hosts_per_rack1_calculated&lt;2</formula>
    </cfRule>
  </conditionalFormatting>
  <conditionalFormatting sqref="D47:D54 D56 D58:D59 D71:D75">
    <cfRule type="expression" dxfId="1775" priority="142">
      <formula>wld_compute_hosts_per_rack2_calculated&lt;2</formula>
    </cfRule>
  </conditionalFormatting>
  <conditionalFormatting sqref="D80:D87 D89 D91:D92 D104:D108">
    <cfRule type="expression" dxfId="1774" priority="126">
      <formula>wld_compute_hosts_per_rack3_calculated&lt;2</formula>
    </cfRule>
  </conditionalFormatting>
  <conditionalFormatting sqref="D113:D120 D122 D124:D125 D137:D141">
    <cfRule type="expression" dxfId="1773" priority="110">
      <formula>wld_compute_hosts_per_rack4_calculated&lt;2</formula>
    </cfRule>
  </conditionalFormatting>
  <conditionalFormatting sqref="D146:D153 D155 D157:D158 D170:D174">
    <cfRule type="expression" dxfId="1772" priority="85">
      <formula>wld_compute_hosts_per_rack5_calculated&lt;2</formula>
    </cfRule>
  </conditionalFormatting>
  <conditionalFormatting sqref="D179:D186 D188 D190:D191 D203:D207">
    <cfRule type="expression" dxfId="1771" priority="69">
      <formula>wld_compute_hosts_per_rack6_calculated&lt;2</formula>
    </cfRule>
  </conditionalFormatting>
  <conditionalFormatting sqref="D212:D219 D221 D223:D224 D236:D240">
    <cfRule type="expression" dxfId="1770" priority="53">
      <formula>wld_compute_hosts_per_rack7_calculated&lt;2</formula>
    </cfRule>
  </conditionalFormatting>
  <conditionalFormatting sqref="D245:D252 D254 D256:D257 D269:D273">
    <cfRule type="expression" dxfId="1769" priority="36">
      <formula>wld_compute_hosts_per_rack8_calculated&lt;2</formula>
    </cfRule>
  </conditionalFormatting>
  <conditionalFormatting sqref="D35:K35 D68:K68 D101:K101 D134:K134 D167:K167 D200:K200 D233:K233 D266:K266">
    <cfRule type="expression" dxfId="1768" priority="13">
      <formula>(wld_secondary_storage_result="Excluded")</formula>
    </cfRule>
  </conditionalFormatting>
  <conditionalFormatting sqref="E14:E21 E23 E25:E26 E38:E42">
    <cfRule type="expression" dxfId="1767" priority="158">
      <formula>wld_compute_hosts_per_rack1_calculated&lt;3</formula>
    </cfRule>
  </conditionalFormatting>
  <conditionalFormatting sqref="E47:E54 E56 E58:E59 E71:E75">
    <cfRule type="expression" dxfId="1766" priority="141">
      <formula>wld_compute_hosts_per_rack2_calculated&lt;3</formula>
    </cfRule>
  </conditionalFormatting>
  <conditionalFormatting sqref="E80:E87 E89 E91:E92 E104:E108">
    <cfRule type="expression" dxfId="1765" priority="125">
      <formula>wld_compute_hosts_per_rack3_calculated&lt;3</formula>
    </cfRule>
  </conditionalFormatting>
  <conditionalFormatting sqref="E113:E120 E122 E124:E125 E137:E141">
    <cfRule type="expression" dxfId="1764" priority="109">
      <formula>wld_compute_hosts_per_rack4_calculated&lt;3</formula>
    </cfRule>
  </conditionalFormatting>
  <conditionalFormatting sqref="E146:E153 E155 E157:E158 E170:E174">
    <cfRule type="expression" dxfId="1763" priority="84">
      <formula>wld_compute_hosts_per_rack5_calculated&lt;3</formula>
    </cfRule>
  </conditionalFormatting>
  <conditionalFormatting sqref="E179:E186 E188 E190:E191 E203:E207">
    <cfRule type="expression" dxfId="1762" priority="68">
      <formula>wld_compute_hosts_per_rack6_calculated&lt;3</formula>
    </cfRule>
  </conditionalFormatting>
  <conditionalFormatting sqref="E212:E219 E221 E223:E224 E231:E233 E236:E240">
    <cfRule type="expression" dxfId="1761" priority="52">
      <formula>wld_compute_hosts_per_rack7_calculated&lt;3</formula>
    </cfRule>
  </conditionalFormatting>
  <conditionalFormatting sqref="E245:E252 E254 E256:E257 E269:E273">
    <cfRule type="expression" dxfId="1760" priority="35">
      <formula>wld_compute_hosts_per_rack8_calculated&lt;3</formula>
    </cfRule>
  </conditionalFormatting>
  <conditionalFormatting sqref="F14:F21 F23 F25:F26 F38:F42">
    <cfRule type="expression" dxfId="1759" priority="157">
      <formula>wld_compute_hosts_per_rack1_calculated&lt;4</formula>
    </cfRule>
  </conditionalFormatting>
  <conditionalFormatting sqref="F47:F54 F56 F58:F59 F71:F75">
    <cfRule type="expression" dxfId="1758" priority="140">
      <formula>wld_compute_hosts_per_rack2_calculated&lt;4</formula>
    </cfRule>
  </conditionalFormatting>
  <conditionalFormatting sqref="F80:F87 F89 F91:F92 F104:F108">
    <cfRule type="expression" dxfId="1757" priority="124">
      <formula>wld_compute_hosts_per_rack3_calculated&lt;4</formula>
    </cfRule>
  </conditionalFormatting>
  <conditionalFormatting sqref="F113:F120 F122 F124:F125 F137:F141">
    <cfRule type="expression" dxfId="1756" priority="108">
      <formula>wld_compute_hosts_per_rack4_calculated&lt;4</formula>
    </cfRule>
  </conditionalFormatting>
  <conditionalFormatting sqref="F146:F153 F155 F157:F158 F170:F174">
    <cfRule type="expression" dxfId="1755" priority="83">
      <formula>wld_compute_hosts_per_rack5_calculated&lt;4</formula>
    </cfRule>
  </conditionalFormatting>
  <conditionalFormatting sqref="F179:F186 F188 F190:F191 F203:F207">
    <cfRule type="expression" dxfId="1754" priority="67">
      <formula>wld_compute_hosts_per_rack6_calculated&lt;4</formula>
    </cfRule>
  </conditionalFormatting>
  <conditionalFormatting sqref="F212:F219 F221 F223:F224 F231:F233 F236:F240">
    <cfRule type="expression" dxfId="1753" priority="51">
      <formula>wld_compute_hosts_per_rack7_calculated&lt;4</formula>
    </cfRule>
  </conditionalFormatting>
  <conditionalFormatting sqref="F245:F252 F254 F256:F257 F269:F273">
    <cfRule type="expression" dxfId="1752" priority="34">
      <formula>wld_compute_hosts_per_rack8_calculated&lt;4</formula>
    </cfRule>
  </conditionalFormatting>
  <conditionalFormatting sqref="G14:G21 G23 G25:G26 G38:G42">
    <cfRule type="expression" dxfId="1751" priority="156">
      <formula>wld_compute_hosts_per_rack1_calculated&lt;5</formula>
    </cfRule>
  </conditionalFormatting>
  <conditionalFormatting sqref="G47:G54 G56 G58:G59 G71:G75">
    <cfRule type="expression" dxfId="1749" priority="139">
      <formula>wld_compute_hosts_per_rack2_calculated&lt;5</formula>
    </cfRule>
  </conditionalFormatting>
  <conditionalFormatting sqref="G80:G87 G89 G91:G92 G104:G108">
    <cfRule type="expression" dxfId="1748" priority="123">
      <formula>wld_compute_hosts_per_rack3_calculated&lt;5</formula>
    </cfRule>
  </conditionalFormatting>
  <conditionalFormatting sqref="G113:G120 G122 G124:G125 G137:G141">
    <cfRule type="expression" dxfId="1747" priority="107">
      <formula>wld_compute_hosts_per_rack4_calculated&lt;5</formula>
    </cfRule>
  </conditionalFormatting>
  <conditionalFormatting sqref="G146:G153 G155 G157:G158 G170:G174">
    <cfRule type="expression" dxfId="1746" priority="82">
      <formula>wld_compute_hosts_per_rack5_calculated&lt;5</formula>
    </cfRule>
  </conditionalFormatting>
  <conditionalFormatting sqref="G179:G186 G188 G190:G191 G203:G207">
    <cfRule type="expression" dxfId="1745" priority="66">
      <formula>wld_compute_hosts_per_rack6_calculated&lt;5</formula>
    </cfRule>
  </conditionalFormatting>
  <conditionalFormatting sqref="G212:G219 G221 G223:G224 G231:G233 G236:G240">
    <cfRule type="expression" dxfId="1744" priority="50">
      <formula>wld_compute_hosts_per_rack7_calculated&lt;5</formula>
    </cfRule>
  </conditionalFormatting>
  <conditionalFormatting sqref="G245:G252 G254 G256:G257 G269:G273">
    <cfRule type="expression" dxfId="1743" priority="33">
      <formula>wld_compute_hosts_per_rack8_calculated&lt;5</formula>
    </cfRule>
  </conditionalFormatting>
  <conditionalFormatting sqref="H14:H21 H23 H25:H26 H38:H42">
    <cfRule type="expression" dxfId="1742" priority="155">
      <formula>wld_compute_hosts_per_rack1_calculated&lt;6</formula>
    </cfRule>
  </conditionalFormatting>
  <conditionalFormatting sqref="H47:H54 H56 H58:H59 H71:H75">
    <cfRule type="expression" dxfId="1740" priority="138">
      <formula>wld_compute_hosts_per_rack2_calculated&lt;6</formula>
    </cfRule>
  </conditionalFormatting>
  <conditionalFormatting sqref="H80:H87 H89 H91:H92 H104:H108">
    <cfRule type="expression" dxfId="1739" priority="122">
      <formula>wld_compute_hosts_per_rack3_calculated&lt;6</formula>
    </cfRule>
  </conditionalFormatting>
  <conditionalFormatting sqref="H113:H120 H122 H124:H125 H137:H141">
    <cfRule type="expression" dxfId="1738" priority="106">
      <formula>wld_compute_hosts_per_rack4_calculated&lt;6</formula>
    </cfRule>
  </conditionalFormatting>
  <conditionalFormatting sqref="H146:H153 H155 H157:H158 H170:H174">
    <cfRule type="expression" dxfId="1737" priority="81">
      <formula>wld_compute_hosts_per_rack5_calculated&lt;6</formula>
    </cfRule>
  </conditionalFormatting>
  <conditionalFormatting sqref="H179:H186 H188 H190:H191 H203:H207">
    <cfRule type="expression" dxfId="1736" priority="65">
      <formula>wld_compute_hosts_per_rack6_calculated&lt;6</formula>
    </cfRule>
  </conditionalFormatting>
  <conditionalFormatting sqref="H212:H219 H221 H223:H224 H231:H233 H236:H240">
    <cfRule type="expression" dxfId="1735" priority="49">
      <formula>wld_compute_hosts_per_rack7_calculated&lt;6</formula>
    </cfRule>
  </conditionalFormatting>
  <conditionalFormatting sqref="H245:H252 H254 H256:H257 H269:H273">
    <cfRule type="expression" dxfId="1734" priority="32">
      <formula>wld_compute_hosts_per_rack8_calculated&lt;6</formula>
    </cfRule>
  </conditionalFormatting>
  <conditionalFormatting sqref="I14:I21 I23 I25:I26 I38:I42">
    <cfRule type="expression" dxfId="1733" priority="154">
      <formula>wld_compute_hosts_per_rack1_calculated&lt;7</formula>
    </cfRule>
  </conditionalFormatting>
  <conditionalFormatting sqref="I47:I54 I56 I58:I59 I71:I75">
    <cfRule type="expression" dxfId="1731" priority="137">
      <formula>wld_compute_hosts_per_rack2_calculated&lt;7</formula>
    </cfRule>
  </conditionalFormatting>
  <conditionalFormatting sqref="I80:I87 I89 I91:I92 I104:I108">
    <cfRule type="expression" dxfId="1730" priority="121">
      <formula>wld_compute_hosts_per_rack3_calculated&lt;7</formula>
    </cfRule>
  </conditionalFormatting>
  <conditionalFormatting sqref="I113:I120 I122 I124:I125 I137:I141">
    <cfRule type="expression" dxfId="1729" priority="105">
      <formula>wld_compute_hosts_per_rack4_calculated&lt;7</formula>
    </cfRule>
  </conditionalFormatting>
  <conditionalFormatting sqref="I146:I153 I155 I157:I158 I170:I174">
    <cfRule type="expression" dxfId="1728" priority="80">
      <formula>wld_compute_hosts_per_rack5_calculated&lt;7</formula>
    </cfRule>
  </conditionalFormatting>
  <conditionalFormatting sqref="I179:I186 I188 I190:I191 I203:I207">
    <cfRule type="expression" dxfId="1727" priority="64">
      <formula>wld_compute_hosts_per_rack6_calculated&lt;7</formula>
    </cfRule>
  </conditionalFormatting>
  <conditionalFormatting sqref="I212:I219 I221 I223:I224 I231:I233 I236:I240">
    <cfRule type="expression" dxfId="1726" priority="48">
      <formula>wld_compute_hosts_per_rack7_calculated&lt;7</formula>
    </cfRule>
  </conditionalFormatting>
  <conditionalFormatting sqref="I245:I252 I254 I256:I257 I269:I273">
    <cfRule type="expression" dxfId="1725" priority="31">
      <formula>wld_compute_hosts_per_rack8_calculated&lt;7</formula>
    </cfRule>
  </conditionalFormatting>
  <conditionalFormatting sqref="J14:J21 J23 J25:J26 J38:J42">
    <cfRule type="expression" dxfId="1724" priority="153">
      <formula>wld_compute_hosts_per_rack1_calculated&lt;8</formula>
    </cfRule>
  </conditionalFormatting>
  <conditionalFormatting sqref="J47:J54 J56 J58:J59 J71:J75">
    <cfRule type="expression" dxfId="1722" priority="136">
      <formula>wld_compute_hosts_per_rack2_calculated&lt;8</formula>
    </cfRule>
  </conditionalFormatting>
  <conditionalFormatting sqref="J80:J87 J89 J91:J92 J104:J108">
    <cfRule type="expression" dxfId="1721" priority="120">
      <formula>wld_compute_hosts_per_rack3_calculated&lt;8</formula>
    </cfRule>
  </conditionalFormatting>
  <conditionalFormatting sqref="J113:J120 J122 J124:J125 J137:J141">
    <cfRule type="expression" dxfId="1720" priority="104">
      <formula>wld_compute_hosts_per_rack4_calculated&lt;8</formula>
    </cfRule>
  </conditionalFormatting>
  <conditionalFormatting sqref="J146:J153 J155 J157:J158 J170:J174">
    <cfRule type="expression" dxfId="1719" priority="79">
      <formula>wld_compute_hosts_per_rack5_calculated&lt;8</formula>
    </cfRule>
  </conditionalFormatting>
  <conditionalFormatting sqref="J179:J186 J188 J190:J191 J203:J207">
    <cfRule type="expression" dxfId="1718" priority="63">
      <formula>wld_compute_hosts_per_rack6_calculated&lt;8</formula>
    </cfRule>
  </conditionalFormatting>
  <conditionalFormatting sqref="J212:J219 J221 J223:J224 J231:J233 J236:J240">
    <cfRule type="expression" dxfId="1717" priority="47">
      <formula>wld_compute_hosts_per_rack7_calculated&lt;8</formula>
    </cfRule>
  </conditionalFormatting>
  <conditionalFormatting sqref="J245:J252 J254 J256:J257 J269:J273">
    <cfRule type="expression" dxfId="1716" priority="30">
      <formula>wld_compute_hosts_per_rack8_calculated&lt;8</formula>
    </cfRule>
  </conditionalFormatting>
  <conditionalFormatting sqref="K14:K21 K23 K25:K26 K38:K42">
    <cfRule type="expression" dxfId="1715" priority="152">
      <formula>wld_compute_hosts_per_rack1_calculated&lt;9</formula>
    </cfRule>
  </conditionalFormatting>
  <conditionalFormatting sqref="K47:K54 K56 K58:K59 K71:K75">
    <cfRule type="expression" dxfId="1713" priority="135">
      <formula>wld_compute_hosts_per_rack2_calculated&lt;9</formula>
    </cfRule>
  </conditionalFormatting>
  <conditionalFormatting sqref="K80:K87 K89 K91:K92 K104:K108">
    <cfRule type="expression" dxfId="1712" priority="119">
      <formula>wld_compute_hosts_per_rack3_calculated&lt;9</formula>
    </cfRule>
  </conditionalFormatting>
  <conditionalFormatting sqref="K113:K120 K122 K124:K125 K137:K141">
    <cfRule type="expression" dxfId="1711" priority="103">
      <formula>wld_compute_hosts_per_rack4_calculated&lt;9</formula>
    </cfRule>
  </conditionalFormatting>
  <conditionalFormatting sqref="K146:K153 K155 K157:K158 K170:K174">
    <cfRule type="expression" dxfId="1710" priority="78">
      <formula>wld_compute_hosts_per_rack5_calculated&lt;9</formula>
    </cfRule>
  </conditionalFormatting>
  <conditionalFormatting sqref="K179:K186 K188 K190:K191 K203:K207">
    <cfRule type="expression" dxfId="1709" priority="62">
      <formula>wld_compute_hosts_per_rack6_calculated&lt;9</formula>
    </cfRule>
  </conditionalFormatting>
  <conditionalFormatting sqref="K212:K219 K221 K223:K224 K231:K233 K236:K240">
    <cfRule type="expression" dxfId="1708" priority="46">
      <formula>wld_compute_hosts_per_rack7_calculated&lt;9</formula>
    </cfRule>
  </conditionalFormatting>
  <conditionalFormatting sqref="K245:K252 K254 K256:K257 K269:K273">
    <cfRule type="expression" dxfId="1707" priority="29">
      <formula>wld_compute_hosts_per_rack8_calculated&lt;9</formula>
    </cfRule>
  </conditionalFormatting>
  <conditionalFormatting sqref="L14:L21 L23 L25:L26 L38:L42">
    <cfRule type="expression" dxfId="1706" priority="151">
      <formula>wld_compute_hosts_per_rack1_calculated&lt;10</formula>
    </cfRule>
  </conditionalFormatting>
  <conditionalFormatting sqref="L47:L54 L56 L58:L59 L71:L75">
    <cfRule type="expression" dxfId="1705" priority="134">
      <formula>wld_compute_hosts_per_rack2_calculated&lt;10</formula>
    </cfRule>
  </conditionalFormatting>
  <conditionalFormatting sqref="L80:L87 L89 L91:L92 L104:L108">
    <cfRule type="expression" dxfId="1704" priority="118">
      <formula>wld_compute_hosts_per_rack3_calculated&lt;10</formula>
    </cfRule>
  </conditionalFormatting>
  <conditionalFormatting sqref="L113:L120 L122 L124:L125 L137:L141">
    <cfRule type="expression" dxfId="1703" priority="102">
      <formula>wld_compute_hosts_per_rack4_calculated&lt;10</formula>
    </cfRule>
  </conditionalFormatting>
  <conditionalFormatting sqref="L146:L153 L155 L157:L158 L170:L174">
    <cfRule type="expression" dxfId="1702" priority="77">
      <formula>wld_compute_hosts_per_rack5_calculated&lt;10</formula>
    </cfRule>
  </conditionalFormatting>
  <conditionalFormatting sqref="L179:L186 L188 L190:L191 L203:L207">
    <cfRule type="expression" dxfId="1701" priority="61">
      <formula>wld_compute_hosts_per_rack6_calculated&lt;10</formula>
    </cfRule>
  </conditionalFormatting>
  <conditionalFormatting sqref="L212:L219 L221 L223:L224 L236:L240">
    <cfRule type="expression" dxfId="1700" priority="45">
      <formula>wld_compute_hosts_per_rack7_calculated&lt;10</formula>
    </cfRule>
  </conditionalFormatting>
  <conditionalFormatting sqref="L245:L252 L254 L256:L257 L269:L273">
    <cfRule type="expression" dxfId="1699" priority="28">
      <formula>wld_compute_hosts_per_rack8_calculated&lt;10</formula>
    </cfRule>
  </conditionalFormatting>
  <conditionalFormatting sqref="M14:M21 M23 M25:M26 M38:M42">
    <cfRule type="expression" dxfId="1697" priority="150">
      <formula>wld_compute_hosts_per_rack1_calculated&lt;11</formula>
    </cfRule>
  </conditionalFormatting>
  <conditionalFormatting sqref="M47:M54 M56 M58:M59 M71:M75">
    <cfRule type="expression" dxfId="1696" priority="133">
      <formula>wld_compute_hosts_per_rack2_calculated&lt;11</formula>
    </cfRule>
  </conditionalFormatting>
  <conditionalFormatting sqref="M80:M87 M89 M91:M92 M104:M108">
    <cfRule type="expression" dxfId="1695" priority="117">
      <formula>wld_compute_hosts_per_rack3_calculated&lt;11</formula>
    </cfRule>
  </conditionalFormatting>
  <conditionalFormatting sqref="M113:M120 M122 M124:M125 M137:M141">
    <cfRule type="expression" dxfId="1694" priority="101">
      <formula>wld_compute_hosts_per_rack4_calculated&lt;11</formula>
    </cfRule>
  </conditionalFormatting>
  <conditionalFormatting sqref="M146:M153 M155 M157:M158 M170:M174">
    <cfRule type="expression" dxfId="1693" priority="76">
      <formula>wld_compute_hosts_per_rack5_calculated&lt;11</formula>
    </cfRule>
  </conditionalFormatting>
  <conditionalFormatting sqref="M179:M186 M188 M190:M191 M203:M207">
    <cfRule type="expression" dxfId="1692" priority="60">
      <formula>wld_compute_hosts_per_rack6_calculated&lt;11</formula>
    </cfRule>
  </conditionalFormatting>
  <conditionalFormatting sqref="M212:M219 M221 M223:M224 M236:M240">
    <cfRule type="expression" dxfId="1691" priority="44">
      <formula>wld_compute_hosts_per_rack7_calculated&lt;11</formula>
    </cfRule>
  </conditionalFormatting>
  <conditionalFormatting sqref="M245:M252 M254 M256:M257 M269:M273">
    <cfRule type="expression" dxfId="1690" priority="27">
      <formula>wld_compute_hosts_per_rack8_calculated&lt;11</formula>
    </cfRule>
  </conditionalFormatting>
  <conditionalFormatting sqref="N14:N21 N23 N25:N26 N38:N42">
    <cfRule type="expression" dxfId="1689" priority="149">
      <formula>wld_compute_hosts_per_rack1_calculated&lt;12</formula>
    </cfRule>
  </conditionalFormatting>
  <conditionalFormatting sqref="N47:N54 N56 N58:N59 N71:N75">
    <cfRule type="expression" dxfId="1687" priority="132">
      <formula>wld_compute_hosts_per_rack2_calculated&lt;12</formula>
    </cfRule>
  </conditionalFormatting>
  <conditionalFormatting sqref="N80:N87 N89 N91:N92 N104:N108">
    <cfRule type="expression" dxfId="1686" priority="116">
      <formula>wld_compute_hosts_per_rack3_calculated&lt;12</formula>
    </cfRule>
  </conditionalFormatting>
  <conditionalFormatting sqref="N113:N120 N122 N124:N125 N137:N141">
    <cfRule type="expression" dxfId="1685" priority="100">
      <formula>wld_compute_hosts_per_rack4_calculated&lt;12</formula>
    </cfRule>
  </conditionalFormatting>
  <conditionalFormatting sqref="N146:N153 N155 N157:N158 N170:N174">
    <cfRule type="expression" dxfId="1684" priority="75">
      <formula>wld_compute_hosts_per_rack5_calculated&lt;12</formula>
    </cfRule>
  </conditionalFormatting>
  <conditionalFormatting sqref="N179:N186 N188 N190:N191 N203:N207">
    <cfRule type="expression" dxfId="1683" priority="59">
      <formula>wld_compute_hosts_per_rack6_calculated&lt;12</formula>
    </cfRule>
  </conditionalFormatting>
  <conditionalFormatting sqref="N212:N219 N221 N223:N224 N236:N240">
    <cfRule type="expression" dxfId="1682" priority="43">
      <formula>wld_compute_hosts_per_rack7_calculated&lt;12</formula>
    </cfRule>
  </conditionalFormatting>
  <conditionalFormatting sqref="N245:N252 N254 N256:N257 N269:N273">
    <cfRule type="expression" dxfId="1681" priority="26">
      <formula>wld_compute_hosts_per_rack8_calculated&lt;12</formula>
    </cfRule>
  </conditionalFormatting>
  <conditionalFormatting sqref="O14:O21 O23 O25:O26 O38:O42">
    <cfRule type="expression" dxfId="1680" priority="148">
      <formula>wld_compute_hosts_per_rack1_calculated&lt;13</formula>
    </cfRule>
  </conditionalFormatting>
  <conditionalFormatting sqref="O47:O54 O56 O58:O59 O71:O75">
    <cfRule type="expression" dxfId="1678" priority="131">
      <formula>wld_compute_hosts_per_rack2_calculated&lt;13</formula>
    </cfRule>
  </conditionalFormatting>
  <conditionalFormatting sqref="O80:O87 O89 O91:O92 O104:O108">
    <cfRule type="expression" dxfId="1677" priority="115">
      <formula>wld_compute_hosts_per_rack3_calculated&lt;13</formula>
    </cfRule>
  </conditionalFormatting>
  <conditionalFormatting sqref="O113:O120 O122 O124:O125 O137:O141">
    <cfRule type="expression" dxfId="1676" priority="99">
      <formula>wld_compute_hosts_per_rack4_calculated&lt;13</formula>
    </cfRule>
  </conditionalFormatting>
  <conditionalFormatting sqref="O146:O153 O155 O157:O158 O170:O174">
    <cfRule type="expression" dxfId="1675" priority="74">
      <formula>wld_compute_hosts_per_rack5_calculated&lt;13</formula>
    </cfRule>
  </conditionalFormatting>
  <conditionalFormatting sqref="O179:O186 O188 O190:O191 O203:O207">
    <cfRule type="expression" dxfId="1674" priority="58">
      <formula>wld_compute_hosts_per_rack6_calculated&lt;13</formula>
    </cfRule>
  </conditionalFormatting>
  <conditionalFormatting sqref="O212:O219 O221 O223:O224 O236:O240">
    <cfRule type="expression" dxfId="1673" priority="42">
      <formula>wld_compute_hosts_per_rack7_calculated&lt;13</formula>
    </cfRule>
  </conditionalFormatting>
  <conditionalFormatting sqref="O245:O252 O254 O256:O257 O269:O273">
    <cfRule type="expression" dxfId="1672" priority="25">
      <formula>wld_compute_hosts_per_rack8_calculated&lt;13</formula>
    </cfRule>
  </conditionalFormatting>
  <conditionalFormatting sqref="P14:P21 P23 P25:P26 P38:P42">
    <cfRule type="expression" dxfId="1670" priority="147">
      <formula>wld_compute_hosts_per_rack1_calculated&lt;14</formula>
    </cfRule>
  </conditionalFormatting>
  <conditionalFormatting sqref="P47:P54 P56 P58:P59 P71:P75">
    <cfRule type="expression" dxfId="1669" priority="130">
      <formula>wld_compute_hosts_per_rack2_calculated&lt;14</formula>
    </cfRule>
  </conditionalFormatting>
  <conditionalFormatting sqref="P80:P87 P89 P91:P92 P104:P108">
    <cfRule type="expression" dxfId="1668" priority="114">
      <formula>wld_compute_hosts_per_rack3_calculated&lt;14</formula>
    </cfRule>
  </conditionalFormatting>
  <conditionalFormatting sqref="P113:P120 P122 P124:P125 P137:P141">
    <cfRule type="expression" dxfId="1667" priority="98">
      <formula>wld_compute_hosts_per_rack4_calculated&lt;14</formula>
    </cfRule>
  </conditionalFormatting>
  <conditionalFormatting sqref="P146:P153 P155 P157:P158 P170:P174">
    <cfRule type="expression" dxfId="1666" priority="73">
      <formula>wld_compute_hosts_per_rack5_calculated&lt;14</formula>
    </cfRule>
  </conditionalFormatting>
  <conditionalFormatting sqref="P179:P186 P188 P190:P191 P203:P207">
    <cfRule type="expression" dxfId="1665" priority="57">
      <formula>wld_compute_hosts_per_rack6_calculated&lt;14</formula>
    </cfRule>
  </conditionalFormatting>
  <conditionalFormatting sqref="P212:P219 P221 P223:P224 P236:P240">
    <cfRule type="expression" dxfId="1664" priority="41">
      <formula>wld_compute_hosts_per_rack7_calculated&lt;14</formula>
    </cfRule>
  </conditionalFormatting>
  <conditionalFormatting sqref="P245:P252 P254 P256:P257 P269:P273">
    <cfRule type="expression" dxfId="1663" priority="24">
      <formula>wld_compute_hosts_per_rack8_calculated&lt;14</formula>
    </cfRule>
  </conditionalFormatting>
  <conditionalFormatting sqref="Q14:Q21 Q23 Q25:Q26 Q38:Q42">
    <cfRule type="expression" dxfId="1662" priority="145">
      <formula>wld_compute_hosts_per_rack1_calculated&lt;15</formula>
    </cfRule>
  </conditionalFormatting>
  <conditionalFormatting sqref="Q47:Q54 Q56 Q58:Q59 Q71:Q75">
    <cfRule type="expression" dxfId="1660" priority="129">
      <formula>wld_compute_hosts_per_rack2_calculated&lt;15</formula>
    </cfRule>
  </conditionalFormatting>
  <conditionalFormatting sqref="Q80:Q87 Q89 Q91:Q92 Q104:Q108">
    <cfRule type="expression" dxfId="1659" priority="113">
      <formula>wld_compute_hosts_per_rack3_calculated&lt;15</formula>
    </cfRule>
  </conditionalFormatting>
  <conditionalFormatting sqref="Q113:Q120 Q122 Q124:Q125 Q137:Q141">
    <cfRule type="expression" dxfId="1658" priority="97">
      <formula>wld_compute_hosts_per_rack4_calculated&lt;15</formula>
    </cfRule>
  </conditionalFormatting>
  <conditionalFormatting sqref="Q146:Q153 Q155 Q157:Q158 Q170:Q174">
    <cfRule type="expression" dxfId="1657" priority="72">
      <formula>wld_compute_hosts_per_rack5_calculated&lt;15</formula>
    </cfRule>
  </conditionalFormatting>
  <conditionalFormatting sqref="Q179:Q186 Q188 Q190:Q191 Q203:Q207">
    <cfRule type="expression" dxfId="1656" priority="56">
      <formula>wld_compute_hosts_per_rack6_calculated&lt;15</formula>
    </cfRule>
  </conditionalFormatting>
  <conditionalFormatting sqref="Q212:Q219 Q221 Q223:Q224 Q236:Q240">
    <cfRule type="expression" dxfId="1655" priority="39">
      <formula>wld_compute_hosts_per_rack7_calculated&lt;15</formula>
    </cfRule>
  </conditionalFormatting>
  <conditionalFormatting sqref="Q245:Q252 Q254 Q256:Q257 Q269:Q273">
    <cfRule type="expression" dxfId="1654" priority="23">
      <formula>wld_compute_hosts_per_rack8_calculated&lt;15</formula>
    </cfRule>
  </conditionalFormatting>
  <conditionalFormatting sqref="R14:R21 R23 R25:R26 R38:R42">
    <cfRule type="expression" dxfId="1652" priority="144">
      <formula>wld_compute_hosts_per_rack1_calculated&lt;16</formula>
    </cfRule>
  </conditionalFormatting>
  <conditionalFormatting sqref="R47:R54 R56 R58:R59 R71:R75">
    <cfRule type="expression" dxfId="1651" priority="128">
      <formula>wld_compute_hosts_per_rack2_calculated&lt;16</formula>
    </cfRule>
  </conditionalFormatting>
  <conditionalFormatting sqref="R80:R87 R89 R91:R92 R104:R108">
    <cfRule type="expression" dxfId="1650" priority="112">
      <formula>wld_compute_hosts_per_rack3_calculated&lt;16</formula>
    </cfRule>
  </conditionalFormatting>
  <conditionalFormatting sqref="R113:R120 R122 R124:R125 R137:R141">
    <cfRule type="expression" dxfId="1649" priority="87">
      <formula>wld_compute_hosts_per_rack4_calculated&lt;16</formula>
    </cfRule>
  </conditionalFormatting>
  <conditionalFormatting sqref="R146:R153 R155 R157:R158 R170:R174">
    <cfRule type="expression" dxfId="1648" priority="71">
      <formula>wld_compute_hosts_per_rack5_calculated&lt;16</formula>
    </cfRule>
  </conditionalFormatting>
  <conditionalFormatting sqref="R179:R186 R188 R190:R191 R203:R207">
    <cfRule type="expression" dxfId="1647" priority="55">
      <formula>wld_compute_hosts_per_rack6_calculated&lt;16</formula>
    </cfRule>
  </conditionalFormatting>
  <conditionalFormatting sqref="R212:R219 R221 R223:R224 R236:R240">
    <cfRule type="expression" dxfId="1646" priority="38">
      <formula>wld_compute_hosts_per_rack7_calculated&lt;16</formula>
    </cfRule>
  </conditionalFormatting>
  <conditionalFormatting sqref="R245:R252 R254 R256:R257 R269:R273">
    <cfRule type="expression" dxfId="1645" priority="22">
      <formula>wld_compute_hosts_per_rack8_calculated&lt;16</formula>
    </cfRule>
  </conditionalFormatting>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ontainsText" priority="166" operator="containsText" id="{10A723E4-BE85-F847-B2DE-26C43DA656DA}">
            <xm:f>NOT(ISERROR(SEARCH("Value Missing",C4)))</xm:f>
            <xm:f>"Value Missing"</xm:f>
            <x14:dxf>
              <font>
                <color rgb="FF9C0006"/>
              </font>
              <fill>
                <patternFill>
                  <bgColor rgb="FFFFC7CE"/>
                </patternFill>
              </fill>
            </x14:dxf>
          </x14:cfRule>
          <xm:sqref>C14:R21 C23:R23 C25:R26 E33:K34 C33:C35 J35:K35 C38:R42 C47:R54 C56:R56 C58:R59 C71:R75 C80:R87 C89:R89 C91:R92 C104:R108 C113:R120 C122:R122 C124:R125 C137:R141 C146:R153 C155:R155 C157:R158 C170:R174 C179:R186 C188:R188 C190:R191 C203:R207 C212:R219 C221:R221 C223:R224 C231:C233 C236:R240 E231:K233 C245:R252 C254:R254 C256:R257 C269:R273 C264:C266 E264:K266 C198:C200 E198:K200 C132:K134 E99:K100 C99:C101 E66:K67 C66:C68 C165:C167 E165:K167 E4</xm:sqref>
        </x14:conditionalFormatting>
        <x14:conditionalFormatting xmlns:xm="http://schemas.microsoft.com/office/excel/2006/main">
          <x14:cfRule type="containsText" priority="167" operator="containsText" id="{8ACFFC1F-65FA-EC4C-97AB-74012CC2008D}">
            <xm:f>NOT(ISERROR(SEARCH("Value Missing",D9)))</xm:f>
            <xm:f>"Value Missing"</xm:f>
            <x14:dxf>
              <font>
                <color rgb="FF9C0006"/>
              </font>
              <fill>
                <patternFill>
                  <bgColor rgb="FFFFC7CE"/>
                </patternFill>
              </fill>
            </x14:dxf>
          </x14:cfRule>
          <xm:sqref>D9:D10</xm:sqref>
        </x14:conditionalFormatting>
        <x14:conditionalFormatting xmlns:xm="http://schemas.microsoft.com/office/excel/2006/main">
          <x14:cfRule type="expression" priority="12" id="{6D2560AE-5AC5-5443-ADE8-9021B915AF58}">
            <xm:f>AND((wld_multirack_result="Excluded"),('SDDC Inputs - Rack'!$B$79="Value Missing"))</xm:f>
            <x14:dxf>
              <font>
                <color theme="1"/>
              </font>
              <fill>
                <patternFill>
                  <bgColor theme="1" tint="0.24994659260841701"/>
                </patternFill>
              </fill>
            </x14:dxf>
          </x14:cfRule>
          <xm:sqref>G14:G21 G23 G25:G26 G38:G42</xm:sqref>
        </x14:conditionalFormatting>
        <x14:conditionalFormatting xmlns:xm="http://schemas.microsoft.com/office/excel/2006/main">
          <x14:cfRule type="expression" priority="11" id="{11240397-1563-5446-967B-42E64C20AFF6}">
            <xm:f>AND((wld_multirack_result="Excluded"),('SDDC Inputs - Rack'!$B$80="Value Missing"))</xm:f>
            <x14:dxf>
              <font>
                <color theme="1"/>
              </font>
              <fill>
                <patternFill>
                  <bgColor theme="1" tint="0.24994659260841701"/>
                </patternFill>
              </fill>
            </x14:dxf>
          </x14:cfRule>
          <xm:sqref>H14:H21 H23 H25:H26 H38:H42</xm:sqref>
        </x14:conditionalFormatting>
        <x14:conditionalFormatting xmlns:xm="http://schemas.microsoft.com/office/excel/2006/main">
          <x14:cfRule type="expression" priority="10" id="{46BAA1B4-B9E6-5C49-A90A-EEFDA5727EB3}">
            <xm:f>AND((wld_multirack_result="Excluded"),('SDDC Inputs - Rack'!$B$81="Value Missing"))</xm:f>
            <x14:dxf>
              <font>
                <color theme="1"/>
              </font>
              <fill>
                <patternFill>
                  <bgColor theme="1" tint="0.24994659260841701"/>
                </patternFill>
              </fill>
            </x14:dxf>
          </x14:cfRule>
          <xm:sqref>I14:I21 I23 I25:I26 I38:I42</xm:sqref>
        </x14:conditionalFormatting>
        <x14:conditionalFormatting xmlns:xm="http://schemas.microsoft.com/office/excel/2006/main">
          <x14:cfRule type="expression" priority="9" id="{544360E3-FC66-DC46-B850-9A1E5C6994A5}">
            <xm:f>AND((wld_multirack_result="Excluded"),('SDDC Inputs - Rack'!$B$82="Value Missing"))</xm:f>
            <x14:dxf>
              <font>
                <color theme="1"/>
              </font>
              <fill>
                <patternFill>
                  <bgColor theme="1" tint="0.24994659260841701"/>
                </patternFill>
              </fill>
            </x14:dxf>
          </x14:cfRule>
          <xm:sqref>J14:J21 J23 J25:J26 J38:J42</xm:sqref>
        </x14:conditionalFormatting>
        <x14:conditionalFormatting xmlns:xm="http://schemas.microsoft.com/office/excel/2006/main">
          <x14:cfRule type="expression" priority="8" id="{A99BB2CE-A84E-934D-8DD1-5CC48A757803}">
            <xm:f>AND((wld_multirack_result="Excluded"),('SDDC Inputs - Rack'!$B$83="Value Missing"))</xm:f>
            <x14:dxf>
              <font>
                <color theme="1"/>
              </font>
              <fill>
                <patternFill>
                  <bgColor theme="1" tint="0.24994659260841701"/>
                </patternFill>
              </fill>
            </x14:dxf>
          </x14:cfRule>
          <xm:sqref>K14:K21 K23 K25:K26 K38:K42</xm:sqref>
        </x14:conditionalFormatting>
        <x14:conditionalFormatting xmlns:xm="http://schemas.microsoft.com/office/excel/2006/main">
          <x14:cfRule type="expression" priority="6" id="{C9AA5E64-37ED-994E-9731-1C2F81D29743}">
            <xm:f>AND((wld_multirack_result="Excluded"),('SDDC Inputs - Rack'!$B$84="Value Missing"))</xm:f>
            <x14:dxf>
              <font>
                <color theme="1"/>
              </font>
              <fill>
                <patternFill>
                  <bgColor theme="1" tint="0.24994659260841701"/>
                </patternFill>
              </fill>
            </x14:dxf>
          </x14:cfRule>
          <xm:sqref>L14:M21 L23:M23 L25:M26 L38:M42</xm:sqref>
        </x14:conditionalFormatting>
        <x14:conditionalFormatting xmlns:xm="http://schemas.microsoft.com/office/excel/2006/main">
          <x14:cfRule type="expression" priority="5" id="{F1001C31-AE56-2A49-925E-290114DFEE75}">
            <xm:f>AND((wld_multirack_result="Excluded"),('SDDC Inputs - Rack'!$B$85="Value Missing"))</xm:f>
            <x14:dxf>
              <font>
                <color theme="1"/>
              </font>
              <fill>
                <patternFill>
                  <bgColor theme="1" tint="0.24994659260841701"/>
                </patternFill>
              </fill>
            </x14:dxf>
          </x14:cfRule>
          <xm:sqref>N14:N21 N23 N25:N26 N38:N42</xm:sqref>
        </x14:conditionalFormatting>
        <x14:conditionalFormatting xmlns:xm="http://schemas.microsoft.com/office/excel/2006/main">
          <x14:cfRule type="expression" priority="4" id="{F6D73FD1-0931-4B48-8122-CAE37F90CC5C}">
            <xm:f>AND((wld_multirack_result="Excluded"),('SDDC Inputs - Rack'!$B$86="Value Missing"))</xm:f>
            <x14:dxf>
              <font>
                <color theme="1"/>
              </font>
              <fill>
                <patternFill>
                  <bgColor theme="1" tint="0.24994659260841701"/>
                </patternFill>
              </fill>
            </x14:dxf>
          </x14:cfRule>
          <xm:sqref>O14:O21 O23 O25:O26 O38:O42</xm:sqref>
        </x14:conditionalFormatting>
        <x14:conditionalFormatting xmlns:xm="http://schemas.microsoft.com/office/excel/2006/main">
          <x14:cfRule type="expression" priority="3" id="{0B429CD8-68B7-D743-B65D-2729A6B7761B}">
            <xm:f>AND((wld_multirack_result="Excluded"),('SDDC Inputs - Rack'!$B$87="Value Missing"))</xm:f>
            <x14:dxf>
              <font>
                <color theme="1"/>
              </font>
              <fill>
                <patternFill>
                  <bgColor theme="1" tint="0.24994659260841701"/>
                </patternFill>
              </fill>
            </x14:dxf>
          </x14:cfRule>
          <xm:sqref>P14:P21 P23 P25:P26 P38:P42</xm:sqref>
        </x14:conditionalFormatting>
        <x14:conditionalFormatting xmlns:xm="http://schemas.microsoft.com/office/excel/2006/main">
          <x14:cfRule type="expression" priority="2" id="{C81C1F05-88FC-4B4B-A412-F5942B7D0F27}">
            <xm:f>AND((wld_multirack_result="Excluded"),('SDDC Inputs - Rack'!$B$88="Value Missing"))</xm:f>
            <x14:dxf>
              <font>
                <color theme="1"/>
              </font>
              <fill>
                <patternFill>
                  <bgColor theme="1" tint="0.24994659260841701"/>
                </patternFill>
              </fill>
            </x14:dxf>
          </x14:cfRule>
          <xm:sqref>Q14:Q21 Q23 Q25:Q26 Q38:Q42</xm:sqref>
        </x14:conditionalFormatting>
        <x14:conditionalFormatting xmlns:xm="http://schemas.microsoft.com/office/excel/2006/main">
          <x14:cfRule type="expression" priority="1" id="{A3B02B2F-3D1B-B346-8B72-E97B99727B5C}">
            <xm:f>AND((wld_multirack_result="Excluded"),('SDDC Inputs - Rack'!$B$89="Value Missing"))</xm:f>
            <x14:dxf>
              <font>
                <color theme="1"/>
              </font>
              <fill>
                <patternFill>
                  <bgColor theme="1" tint="0.24994659260841701"/>
                </patternFill>
              </fill>
            </x14:dxf>
          </x14:cfRule>
          <xm:sqref>R14:R21 R23 R25:R26 R38:R42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E519A-0C3D-E542-BC90-DE9C4375CCA9}">
  <sheetPr codeName="Sheet15">
    <tabColor theme="7"/>
  </sheetPr>
  <dimension ref="A1:J755"/>
  <sheetViews>
    <sheetView showGridLines="0" zoomScaleNormal="100" workbookViewId="0">
      <pane ySplit="4" topLeftCell="A5" activePane="bottomLeft" state="frozen"/>
      <selection pane="bottomLeft"/>
    </sheetView>
  </sheetViews>
  <sheetFormatPr baseColWidth="10" defaultColWidth="11" defaultRowHeight="16"/>
  <cols>
    <col min="1" max="1" width="2.83203125" customWidth="1"/>
    <col min="2" max="2" width="71.33203125" bestFit="1" customWidth="1"/>
    <col min="3" max="3" width="100.83203125" hidden="1" customWidth="1"/>
    <col min="4" max="4" width="100.83203125" customWidth="1"/>
    <col min="5" max="5" width="85.6640625" customWidth="1"/>
    <col min="6" max="6" width="10.83203125" customWidth="1"/>
  </cols>
  <sheetData>
    <row r="1" spans="2:10" s="3" customFormat="1" ht="16" customHeight="1">
      <c r="F1"/>
      <c r="G1"/>
      <c r="H1"/>
      <c r="I1"/>
      <c r="J1"/>
    </row>
    <row r="2" spans="2:10" s="3" customFormat="1" ht="54" customHeight="1">
      <c r="B2" s="490" t="e" vm="1">
        <v>#VALUE!</v>
      </c>
      <c r="C2" s="491"/>
      <c r="D2" s="523" t="s">
        <v>2163</v>
      </c>
      <c r="E2" s="523"/>
      <c r="F2"/>
      <c r="G2"/>
      <c r="H2"/>
      <c r="I2"/>
      <c r="J2"/>
    </row>
    <row r="3" spans="2:10" s="3" customFormat="1" ht="20" customHeight="1">
      <c r="B3" s="341" t="s">
        <v>2164</v>
      </c>
      <c r="C3" s="342"/>
      <c r="D3" s="342"/>
      <c r="E3" s="343"/>
      <c r="F3"/>
      <c r="G3"/>
      <c r="H3"/>
      <c r="I3"/>
      <c r="J3"/>
    </row>
    <row r="4" spans="2:10" s="3" customFormat="1">
      <c r="D4" s="7"/>
      <c r="E4" s="5"/>
      <c r="F4" s="5"/>
    </row>
    <row r="5" spans="2:10" ht="16" customHeight="1"/>
    <row r="6" spans="2:10" ht="34" customHeight="1">
      <c r="B6" s="386" t="s">
        <v>2165</v>
      </c>
      <c r="C6" s="387"/>
      <c r="D6" s="387"/>
      <c r="E6" s="387"/>
    </row>
    <row r="7" spans="2:10" ht="20" customHeight="1">
      <c r="B7" s="344" t="s">
        <v>2166</v>
      </c>
      <c r="C7" s="344"/>
      <c r="D7" s="344"/>
      <c r="E7" s="344"/>
    </row>
    <row r="8" spans="2:10" ht="20" customHeight="1">
      <c r="B8" s="8" t="s">
        <v>735</v>
      </c>
      <c r="C8" s="8" t="s">
        <v>554</v>
      </c>
      <c r="D8" s="20" t="s">
        <v>555</v>
      </c>
      <c r="E8" s="8" t="s">
        <v>1989</v>
      </c>
    </row>
    <row r="9" spans="2:10" ht="20" customHeight="1">
      <c r="B9" s="52" t="s">
        <v>735</v>
      </c>
      <c r="C9" s="22" t="str">
        <f>sample_wld_vvols_vasa_provider_name</f>
        <v>sfo-vvols-array</v>
      </c>
      <c r="D9" s="18" t="str">
        <f>wld_vvols_vasa_provider_name</f>
        <v>Value Missing</v>
      </c>
      <c r="E9" s="53"/>
    </row>
    <row r="10" spans="2:10" ht="20" customHeight="1">
      <c r="B10" s="52" t="s">
        <v>2167</v>
      </c>
      <c r="C10" s="22" t="str">
        <f>sample_wld_vvols_vasa_provider_url</f>
        <v>https://vvols-array.sfo.rainpole.io:8443/version.xml</v>
      </c>
      <c r="D10" s="18" t="str">
        <f>wld_vvols_vasa_provider_url</f>
        <v>Value Missing</v>
      </c>
      <c r="E10" s="53"/>
    </row>
    <row r="11" spans="2:10" ht="20" customHeight="1">
      <c r="B11" s="52" t="s">
        <v>1801</v>
      </c>
      <c r="C11" s="22" t="str">
        <f>sample_wld_vvols_vasa_provider_username</f>
        <v>storage-admin</v>
      </c>
      <c r="D11" s="18" t="str">
        <f>wld_vvols_vasa_provider_username</f>
        <v>Value Missing</v>
      </c>
      <c r="E11" s="53"/>
    </row>
    <row r="12" spans="2:10" ht="20" customHeight="1">
      <c r="B12" s="52" t="s">
        <v>1796</v>
      </c>
      <c r="C12" s="22" t="str">
        <f>sample_wld_vvols_vasa_provider_password</f>
        <v>VMw@re1!</v>
      </c>
      <c r="D12" s="18" t="str">
        <f>wld_vvols_vasa_provider_password</f>
        <v>Value Missing</v>
      </c>
      <c r="E12" s="53"/>
    </row>
    <row r="13" spans="2:10" ht="20" customHeight="1">
      <c r="B13" s="52" t="s">
        <v>2168</v>
      </c>
      <c r="C13" s="22" t="str">
        <f>sample_wld_vvols_vasa_provider_container_name</f>
        <v>sfo-w01-container</v>
      </c>
      <c r="D13" s="18" t="str">
        <f>wld_vvols_vasa_provider_container_name</f>
        <v>Value Missing</v>
      </c>
      <c r="E13" s="53"/>
    </row>
    <row r="14" spans="2:10" ht="20" customHeight="1">
      <c r="B14" s="52" t="s">
        <v>2169</v>
      </c>
      <c r="C14" s="22" t="str">
        <f>IF(wld_principal_storage_chosen="vSAN-ESA","N/A",IF(wld_principal_storage_chosen="vSAN-OSA","N/A",IF(wld_principal_storage_chosen="NFS","N/A",IF(wld_principal_storage_chosen="VMFS on FC","N/A",RIGHT(wld_principal_storage_chosen, LEN(wld_principal_storage_chosen)-9)))))</f>
        <v>N/A</v>
      </c>
      <c r="D14" s="18" t="str">
        <f>IF(wld_principal_storage_chosen="vSAN-ESA","N/A",IF(wld_principal_storage_chosen="vSAN-OSA","N/A",IF(wld_principal_storage_chosen="NFS","N/A",IF(wld_principal_storage_chosen="VMFS on FC","N/A",RIGHT(wld_principal_storage_chosen,LEN(wld_principal_storage_chosen)-9)))))</f>
        <v>N/A</v>
      </c>
      <c r="E14" s="53"/>
    </row>
    <row r="15" spans="2:10" ht="16" customHeight="1"/>
    <row r="16" spans="2:10" ht="34" customHeight="1">
      <c r="B16" s="344" t="s">
        <v>2172</v>
      </c>
      <c r="C16" s="344"/>
      <c r="D16" s="344"/>
      <c r="E16" s="344"/>
    </row>
    <row r="17" spans="2:5" ht="20" customHeight="1">
      <c r="B17" s="8" t="s">
        <v>735</v>
      </c>
      <c r="C17" s="8" t="s">
        <v>554</v>
      </c>
      <c r="D17" s="20" t="s">
        <v>555</v>
      </c>
      <c r="E17" s="8" t="s">
        <v>1989</v>
      </c>
    </row>
    <row r="18" spans="2:5" ht="20" customHeight="1">
      <c r="B18" s="52" t="s">
        <v>2173</v>
      </c>
      <c r="C18" s="22" t="str">
        <f>sample_vlcm_image_vc_hostname</f>
        <v>sfo-m01-vc01</v>
      </c>
      <c r="D18" s="18" t="str">
        <f>vlcm_image_vc_hostname</f>
        <v>Value Missing</v>
      </c>
      <c r="E18" s="53"/>
    </row>
    <row r="19" spans="2:5" ht="20" customHeight="1">
      <c r="B19" s="52" t="s">
        <v>906</v>
      </c>
      <c r="C19" s="22" t="str">
        <f>sample_vlcm_image_cluster_name</f>
        <v>ClusterForImage</v>
      </c>
      <c r="D19" s="18" t="str">
        <f>vlcm_image_cluster_name</f>
        <v>Value Missing</v>
      </c>
      <c r="E19" s="53"/>
    </row>
    <row r="20" spans="2:5" ht="16" customHeight="1"/>
    <row r="21" spans="2:5" ht="34" customHeight="1">
      <c r="B21" s="344" t="s">
        <v>2174</v>
      </c>
      <c r="C21" s="344"/>
      <c r="D21" s="344"/>
      <c r="E21" s="344"/>
    </row>
    <row r="22" spans="2:5" ht="20" customHeight="1">
      <c r="B22" s="8" t="s">
        <v>735</v>
      </c>
      <c r="C22" s="8" t="s">
        <v>554</v>
      </c>
      <c r="D22" s="20" t="s">
        <v>555</v>
      </c>
      <c r="E22" s="8" t="s">
        <v>1989</v>
      </c>
    </row>
    <row r="23" spans="2:5" ht="20" customHeight="1">
      <c r="B23" s="52" t="s">
        <v>2173</v>
      </c>
      <c r="C23" s="22" t="str">
        <f>sample_vlcm_image_vc_hostname</f>
        <v>sfo-m01-vc01</v>
      </c>
      <c r="D23" s="18" t="str">
        <f>vlcm_image_vc_hostname</f>
        <v>Value Missing</v>
      </c>
      <c r="E23" s="53"/>
    </row>
    <row r="24" spans="2:5" ht="20" customHeight="1">
      <c r="B24" s="52" t="s">
        <v>906</v>
      </c>
      <c r="C24" s="22" t="str">
        <f>sample_vlcm_image_cluster_name</f>
        <v>ClusterForImage</v>
      </c>
      <c r="D24" s="18" t="str">
        <f>vlcm_image_cluster_name</f>
        <v>Value Missing</v>
      </c>
      <c r="E24" s="53"/>
    </row>
    <row r="25" spans="2:5" ht="20" customHeight="1">
      <c r="B25" s="52" t="s">
        <v>910</v>
      </c>
      <c r="C25" s="22" t="str">
        <f>sample_vlcm_image_cluster_moref</f>
        <v>domain-c02</v>
      </c>
      <c r="D25" s="18" t="str">
        <f>vlcm_image_cluster_moref</f>
        <v>Value Missing</v>
      </c>
      <c r="E25" s="53"/>
    </row>
    <row r="26" spans="2:5" ht="20" customHeight="1">
      <c r="B26" s="52" t="s">
        <v>910</v>
      </c>
      <c r="C26" s="22" t="str">
        <f>sample_vlcm_image_name</f>
        <v>sfo-w01-cl01-image</v>
      </c>
      <c r="D26" s="18" t="str">
        <f>vlcm_image_name</f>
        <v>Value Missing</v>
      </c>
      <c r="E26" s="53"/>
    </row>
    <row r="27" spans="2:5" ht="16" customHeight="1"/>
    <row r="28" spans="2:5" ht="34" customHeight="1">
      <c r="B28" s="344" t="s">
        <v>2175</v>
      </c>
      <c r="C28" s="344"/>
      <c r="D28" s="344"/>
      <c r="E28" s="344"/>
    </row>
    <row r="29" spans="2:5" ht="20" customHeight="1">
      <c r="B29" s="8" t="s">
        <v>735</v>
      </c>
      <c r="C29" s="8" t="s">
        <v>554</v>
      </c>
      <c r="D29" s="20" t="s">
        <v>555</v>
      </c>
      <c r="E29" s="8" t="s">
        <v>1989</v>
      </c>
    </row>
    <row r="30" spans="2:5" ht="20" customHeight="1">
      <c r="B30" s="52" t="s">
        <v>2176</v>
      </c>
      <c r="C30" s="22" t="s">
        <v>43</v>
      </c>
      <c r="D30" s="18" t="str">
        <f>IF(wld_principal_storage_chosen="vSAN-ESA","vSAN-ESA",IF(wld_principal_storage_chosen="vSAN-OSA","vSAN-OSA",IF(wld_principal_storage_chosen="NFS","NFS",IF(wld_principal_storage_chosen="VMFS on FC","VMFS on FC","vVOL"))))</f>
        <v>vSAN-ESA</v>
      </c>
      <c r="E30" s="53"/>
    </row>
    <row r="31" spans="2:5" ht="20" customHeight="1">
      <c r="B31" s="52" t="s">
        <v>2177</v>
      </c>
      <c r="C31" s="22" t="str">
        <f>sample_wld_sddc_domain</f>
        <v>sfo-w01</v>
      </c>
      <c r="D31" s="18" t="str">
        <f>wld_sddc_domain</f>
        <v>Value Missing</v>
      </c>
      <c r="E31" s="53"/>
    </row>
    <row r="32" spans="2:5" ht="20" customHeight="1">
      <c r="B32" s="52" t="s">
        <v>914</v>
      </c>
      <c r="C32" s="22" t="str">
        <f>sample_wld_sddc_org</f>
        <v>Rainpole</v>
      </c>
      <c r="D32" s="18" t="str">
        <f>wld_sddc_org</f>
        <v>Value Missing</v>
      </c>
      <c r="E32" s="53"/>
    </row>
    <row r="33" spans="2:5" ht="20" customHeight="1">
      <c r="B33" s="52" t="s">
        <v>3487</v>
      </c>
      <c r="C33" s="22" t="s">
        <v>3488</v>
      </c>
      <c r="D33" s="18" t="str">
        <f>wld_domain_chosen</f>
        <v>Exclude</v>
      </c>
      <c r="E33" s="53"/>
    </row>
    <row r="34" spans="2:5" ht="20" customHeight="1">
      <c r="B34" s="52" t="s">
        <v>2178</v>
      </c>
      <c r="C34" s="22" t="s">
        <v>2179</v>
      </c>
      <c r="D34" s="18" t="str">
        <f>IF(wld_vlcm_model_chosen="Images","Selected","Deselected")</f>
        <v>Selected</v>
      </c>
      <c r="E34" s="53"/>
    </row>
    <row r="35" spans="2:5" ht="20" customHeight="1">
      <c r="B35" s="52" t="s">
        <v>906</v>
      </c>
      <c r="C35" s="22" t="str">
        <f>sample_wld_cl01_cluster</f>
        <v>sfo-w01-cl01</v>
      </c>
      <c r="D35" s="18" t="str">
        <f>wld_cl01_cluster</f>
        <v>Value Missing</v>
      </c>
      <c r="E35" s="53"/>
    </row>
    <row r="36" spans="2:5" ht="20" customHeight="1">
      <c r="B36" s="52" t="s">
        <v>3489</v>
      </c>
      <c r="C36" s="22" t="s">
        <v>3490</v>
      </c>
      <c r="D36" s="18">
        <f>input_vlcm_image_name</f>
        <v>0</v>
      </c>
      <c r="E36" s="53"/>
    </row>
    <row r="37" spans="2:5" ht="20" customHeight="1">
      <c r="B37" s="52" t="s">
        <v>2097</v>
      </c>
      <c r="C37" s="22" t="str">
        <f>_xlfn.CONCAT(sample_wld_vc_hostname,".",sample_child_dns_zone)</f>
        <v>sfo-w01-vc01.sfo.rainpole.io</v>
      </c>
      <c r="D37" s="18" t="str">
        <f>wld_vc_fqdn</f>
        <v>Value Missing.Value Missing</v>
      </c>
      <c r="E37" s="53"/>
    </row>
    <row r="38" spans="2:5" ht="20" customHeight="1">
      <c r="B38" s="52" t="s">
        <v>2180</v>
      </c>
      <c r="C38" s="22" t="str">
        <f>sample_wld_vc_ip</f>
        <v>10.11.10.130</v>
      </c>
      <c r="D38" s="18" t="str">
        <f>wld_vc_ip</f>
        <v>Value Missing</v>
      </c>
      <c r="E38" s="53"/>
    </row>
    <row r="39" spans="2:5" ht="20" customHeight="1">
      <c r="B39" s="52" t="s">
        <v>2181</v>
      </c>
      <c r="C39" s="22" t="str">
        <f>VLOOKUP(INT(RIGHT(sample_wld_az1_mgmt_cidr,LEN(sample_wld_az1_mgmt_cidr)-FIND("/",sample_wld_az1_mgmt_cidr))),table_cidr_to_mask,2,FALSE)</f>
        <v>255.255.255.0</v>
      </c>
      <c r="D39" s="18" t="str">
        <f>wld_az1_mgmt_mask</f>
        <v>Value Missing</v>
      </c>
      <c r="E39" s="53"/>
    </row>
    <row r="40" spans="2:5" ht="20" customHeight="1">
      <c r="B40" s="52" t="s">
        <v>2182</v>
      </c>
      <c r="C40" s="22" t="str">
        <f>sample_mgmt_az1_mgmt_gateway_ip</f>
        <v>10.11.11.1</v>
      </c>
      <c r="D40" s="18" t="str">
        <f>mgmt_az1_mgmt_gateway_ip</f>
        <v>Value Missing</v>
      </c>
      <c r="E40" s="53"/>
    </row>
    <row r="41" spans="2:5" ht="20" customHeight="1">
      <c r="B41" s="52" t="s">
        <v>2183</v>
      </c>
      <c r="C41" s="22" t="str">
        <f>sample_vcenter_root_password</f>
        <v>VMw@re1!</v>
      </c>
      <c r="D41" s="18" t="str">
        <f>vcenter_root_password</f>
        <v>Value Missing</v>
      </c>
      <c r="E41" s="53"/>
    </row>
    <row r="42" spans="2:5" ht="20" customHeight="1">
      <c r="B42" s="52" t="s">
        <v>2184</v>
      </c>
      <c r="C42" s="22" t="str">
        <f>_xlfn.CONCAT(sample_wld_nsxt_hostname,".",this_instance,".rainpole.io")</f>
        <v>sfo-w01-nsx01.sfo.rainpole.io</v>
      </c>
      <c r="D42" s="18" t="str">
        <f>wld_nsxt_vip_fqdn</f>
        <v>Value Missing.Value Missing</v>
      </c>
      <c r="E42" s="53"/>
    </row>
    <row r="43" spans="2:5" ht="20" customHeight="1">
      <c r="B43" s="52" t="s">
        <v>2185</v>
      </c>
      <c r="C43" s="22" t="str">
        <f>sample_wld_nsxt_ip</f>
        <v>10.11.10.131</v>
      </c>
      <c r="D43" s="18" t="str">
        <f>wld_nsxt_ip</f>
        <v>Value Missing</v>
      </c>
      <c r="E43" s="53"/>
    </row>
    <row r="44" spans="2:5" ht="20" customHeight="1">
      <c r="B44" s="52" t="s">
        <v>2186</v>
      </c>
      <c r="C44" s="22" t="str">
        <f>_xlfn.CONCAT(sample_wld_nsxt_mgra_hostname,".",this_instance,".rainpole.io")</f>
        <v>sfo-w01-nsx01a.sfo.rainpole.io</v>
      </c>
      <c r="D44" s="18" t="str">
        <f>wld_nsxt_mgra_fqdn</f>
        <v>Value Missing.Value Missing</v>
      </c>
      <c r="E44" s="53"/>
    </row>
    <row r="45" spans="2:5" ht="20" customHeight="1">
      <c r="B45" s="52" t="s">
        <v>2187</v>
      </c>
      <c r="C45" s="22" t="str">
        <f>sample_wld_nsxt_mgra_ip</f>
        <v>10.11.10.132</v>
      </c>
      <c r="D45" s="18" t="str">
        <f>wld_nsxt_mgra_ip</f>
        <v>Value Missing</v>
      </c>
      <c r="E45" s="53"/>
    </row>
    <row r="46" spans="2:5" ht="20" customHeight="1">
      <c r="B46" s="52" t="s">
        <v>2188</v>
      </c>
      <c r="C46" s="22" t="str">
        <f>_xlfn.CONCAT(sample_wld_nsxt_mgrb_hostname,".",this_instance,".rainpole.io")</f>
        <v>sfo-w01-nsx01b.sfo.rainpole.io</v>
      </c>
      <c r="D46" s="18" t="str">
        <f>wld_nsxt_mgrb_fqdn</f>
        <v>Value Missing.Value Missing</v>
      </c>
      <c r="E46" s="53"/>
    </row>
    <row r="47" spans="2:5" ht="20" customHeight="1">
      <c r="B47" s="52" t="s">
        <v>2189</v>
      </c>
      <c r="C47" s="22" t="str">
        <f>sample_wld_nsxt_mgrb_ip</f>
        <v>10.11.10.133</v>
      </c>
      <c r="D47" s="18" t="str">
        <f>wld_nsxt_mgrb_ip</f>
        <v>Value Missing</v>
      </c>
      <c r="E47" s="53"/>
    </row>
    <row r="48" spans="2:5" ht="20" customHeight="1">
      <c r="B48" s="52" t="s">
        <v>2190</v>
      </c>
      <c r="C48" s="22" t="str">
        <f>_xlfn.CONCAT(sample_wld_nsxt_mgrc_hostname,".",this_instance,".rainpole.io")</f>
        <v>sfo-w01-nsx01c.sfo.rainpole.io</v>
      </c>
      <c r="D48" s="18" t="str">
        <f>wld_nsxt_mgrc_fqdn</f>
        <v>Value Missing.Value Missing</v>
      </c>
      <c r="E48" s="53"/>
    </row>
    <row r="49" spans="2:5" ht="20" customHeight="1">
      <c r="B49" s="52" t="s">
        <v>2191</v>
      </c>
      <c r="C49" s="22" t="str">
        <f>sample_wld_nsxt_mgrc_ip</f>
        <v>10.11.10.134</v>
      </c>
      <c r="D49" s="18" t="str">
        <f>wld_nsxt_mgrc_ip</f>
        <v>Value Missing</v>
      </c>
      <c r="E49" s="53"/>
    </row>
    <row r="50" spans="2:5" ht="20" customHeight="1">
      <c r="B50" s="52" t="s">
        <v>1684</v>
      </c>
      <c r="C50" s="22" t="str">
        <f>sample_nsxt_lm_admin_password</f>
        <v>VMw@re1!VMw@re1!</v>
      </c>
      <c r="D50" s="18" t="str">
        <f>nsxt_lm_admin_password</f>
        <v>Value Missing</v>
      </c>
      <c r="E50" s="53"/>
    </row>
    <row r="51" spans="2:5" ht="20" customHeight="1">
      <c r="B51" s="52" t="s">
        <v>3493</v>
      </c>
      <c r="C51" s="22" t="str">
        <f>sample_nsxt_lm_audit_password</f>
        <v>VMw@re1!VMw@re1!</v>
      </c>
      <c r="D51" s="18" t="str">
        <f>nsxt_lm_audit_password</f>
        <v>Value Missing</v>
      </c>
      <c r="E51" s="53"/>
    </row>
    <row r="52" spans="2:5" ht="20" customHeight="1">
      <c r="B52" s="21" t="str">
        <f>IF(wld_principal_storage_chosen="vSAN-ESA","Storage Policy", "vSAN: Failures to Tolerate (FTT)")</f>
        <v>Storage Policy</v>
      </c>
      <c r="C52" s="22">
        <f>sample_wld_cl01_vsan_ftt</f>
        <v>1</v>
      </c>
      <c r="D52" s="18">
        <f>wld_cl01_vsan_ftt</f>
        <v>1</v>
      </c>
      <c r="E52" s="53"/>
    </row>
    <row r="53" spans="2:5" ht="20" customHeight="1">
      <c r="B53" s="21" t="s">
        <v>934</v>
      </c>
      <c r="C53" s="22" t="str">
        <f>sample_wld_cl01_vsan_dedupe_compression</f>
        <v>Configured</v>
      </c>
      <c r="D53" s="18" t="str">
        <f>wld_cl01_vsan_dedupe_compression</f>
        <v>Value Missing</v>
      </c>
      <c r="E53" s="53"/>
    </row>
    <row r="54" spans="2:5" ht="20" customHeight="1">
      <c r="B54" s="96" t="s">
        <v>936</v>
      </c>
      <c r="C54" s="22" t="str">
        <f>sample_wld_cl01_vmfs_datastore_name</f>
        <v>sfo-w01-cl01-ds-vmfs01</v>
      </c>
      <c r="D54" s="18" t="str">
        <f>wld_cl01_vmfs_datastore_name</f>
        <v>Value Missing</v>
      </c>
      <c r="E54" s="53"/>
    </row>
    <row r="55" spans="2:5" ht="20" customHeight="1">
      <c r="B55" s="55" t="s">
        <v>937</v>
      </c>
      <c r="C55" s="22" t="str">
        <f>sample_wld_cl01_vvols_datastore_name</f>
        <v>sfo-w01-cl01-ds-vvols01</v>
      </c>
      <c r="D55" s="18" t="str">
        <f>wld_cl01_vvols_datastore_name</f>
        <v>Value Missing</v>
      </c>
      <c r="E55" s="53"/>
    </row>
    <row r="56" spans="2:5" ht="20" customHeight="1">
      <c r="B56" s="52" t="s">
        <v>938</v>
      </c>
      <c r="C56" s="22" t="str">
        <f>sample_wld_vvols_vasa_provider_name</f>
        <v>sfo-vvols-array</v>
      </c>
      <c r="D56" s="18" t="str">
        <f>wld_vvols_vasa_provider_name</f>
        <v>Value Missing</v>
      </c>
      <c r="E56" s="53"/>
    </row>
    <row r="57" spans="2:5" ht="20" customHeight="1">
      <c r="B57" s="55" t="s">
        <v>940</v>
      </c>
      <c r="C57" s="22" t="str">
        <f>sample_wld_vvols_vasa_provider_url</f>
        <v>https://vvols-array.sfo.rainpole.io:8443/version.xml</v>
      </c>
      <c r="D57" s="18" t="str">
        <f>wld_vvols_vasa_provider_url</f>
        <v>Value Missing</v>
      </c>
      <c r="E57" s="53"/>
    </row>
    <row r="58" spans="2:5" ht="20" customHeight="1">
      <c r="B58" s="55" t="s">
        <v>941</v>
      </c>
      <c r="C58" s="22" t="str">
        <f>sample_wld_vvols_vasa_provider_username</f>
        <v>storage-admin</v>
      </c>
      <c r="D58" s="18" t="str">
        <f>wld_vvols_vasa_provider_username</f>
        <v>Value Missing</v>
      </c>
      <c r="E58" s="53"/>
    </row>
    <row r="59" spans="2:5" ht="20" customHeight="1">
      <c r="B59" s="55" t="s">
        <v>943</v>
      </c>
      <c r="C59" s="22" t="str">
        <f>sample_wld_vvols_vasa_provider_password</f>
        <v>VMw@re1!</v>
      </c>
      <c r="D59" s="18" t="str">
        <f>wld_vvols_vasa_provider_password</f>
        <v>Value Missing</v>
      </c>
      <c r="E59" s="53"/>
    </row>
    <row r="60" spans="2:5" ht="20" customHeight="1">
      <c r="B60" s="55" t="s">
        <v>944</v>
      </c>
      <c r="C60" s="22" t="str">
        <f>sample_wld_vvols_vasa_provider_container_name</f>
        <v>sfo-w01-container</v>
      </c>
      <c r="D60" s="18" t="str">
        <f>wld_vvols_vasa_provider_container_name</f>
        <v>Value Missing</v>
      </c>
      <c r="E60" s="53"/>
    </row>
    <row r="61" spans="2:5" ht="20" customHeight="1">
      <c r="B61" s="55" t="s">
        <v>945</v>
      </c>
      <c r="C61" s="22" t="str">
        <f>sample_wld_cl01_nfs_datastore_name</f>
        <v>sfo-w01-cl01-ds-nfs01</v>
      </c>
      <c r="D61" s="18" t="str">
        <f>wld_cl01_nfs_datastore_name</f>
        <v>Value Missing</v>
      </c>
      <c r="E61" s="53"/>
    </row>
    <row r="62" spans="2:5" ht="20" customHeight="1">
      <c r="B62" s="55" t="s">
        <v>946</v>
      </c>
      <c r="C62" s="22" t="str">
        <f>sample_wld_cl01_nfs_share_path</f>
        <v>sfo-w01-cl01-ds-nfs01-share</v>
      </c>
      <c r="D62" s="18" t="str">
        <f>wld_cl01_nfs_share_path</f>
        <v>Value Missing</v>
      </c>
      <c r="E62" s="53"/>
    </row>
    <row r="63" spans="2:5" ht="20" customHeight="1">
      <c r="B63" s="55" t="s">
        <v>947</v>
      </c>
      <c r="C63" s="22" t="str">
        <f>sample_wld_cl01_nfs_server_address</f>
        <v>10.13.15.4</v>
      </c>
      <c r="D63" s="18" t="str">
        <f>wld_cl01_nfs_server_address</f>
        <v>Value Missing</v>
      </c>
      <c r="E63" s="53"/>
    </row>
    <row r="64" spans="2:5" ht="20" customHeight="1">
      <c r="B64" s="52" t="s">
        <v>2193</v>
      </c>
      <c r="C64" s="22" t="str">
        <f>_xlfn.CONCAT(sample_wld_az1_host1_hostname,".",sample_child_dns_zone)</f>
        <v>sfo01-w01-r01-esx01.sfo.rainpole.io</v>
      </c>
      <c r="D64" s="18" t="str" cm="1">
        <f t="array" ref="D64:D79">wld_az1_host_hostnames</f>
        <v>Value Missing</v>
      </c>
      <c r="E64" s="53"/>
    </row>
    <row r="65" spans="2:5" ht="20" customHeight="1">
      <c r="B65" s="52" t="s">
        <v>2194</v>
      </c>
      <c r="C65" s="22" t="str">
        <f>_xlfn.CONCAT(sample_wld_az1_host2_hostname,".",sample_child_dns_zone)</f>
        <v>sfo01-w01-r01-esx02.sfo.rainpole.io</v>
      </c>
      <c r="D65" s="18" t="str">
        <v>Value Missing</v>
      </c>
      <c r="E65" s="53"/>
    </row>
    <row r="66" spans="2:5" ht="20" customHeight="1">
      <c r="B66" s="52" t="s">
        <v>2195</v>
      </c>
      <c r="C66" s="22" t="str">
        <f>_xlfn.CONCAT(sample_wld_az1_host3_hostname,".",sample_child_dns_zone)</f>
        <v>sfo01-w01-r01-esx03.sfo.rainpole.io</v>
      </c>
      <c r="D66" s="18" t="str">
        <v>Value Missing</v>
      </c>
      <c r="E66" s="53"/>
    </row>
    <row r="67" spans="2:5" ht="20" customHeight="1">
      <c r="B67" s="52" t="s">
        <v>2196</v>
      </c>
      <c r="C67" s="22" t="str">
        <f>_xlfn.CONCAT(sample_wld_az1_host4_hostname,".",sample_child_dns_zone)</f>
        <v>sfo01-w01-r01-esx04.sfo.rainpole.io</v>
      </c>
      <c r="D67" s="18" t="str">
        <v>Value Missing</v>
      </c>
      <c r="E67" s="53"/>
    </row>
    <row r="68" spans="2:5" ht="20" customHeight="1">
      <c r="B68" s="52" t="s">
        <v>4175</v>
      </c>
      <c r="C68" s="22"/>
      <c r="D68" s="94" t="str">
        <v>Value Missing</v>
      </c>
      <c r="E68" s="52"/>
    </row>
    <row r="69" spans="2:5" ht="20" customHeight="1">
      <c r="B69" s="52" t="s">
        <v>4176</v>
      </c>
      <c r="C69" s="22"/>
      <c r="D69" s="94" t="str">
        <v>Value Missing</v>
      </c>
      <c r="E69" s="52"/>
    </row>
    <row r="70" spans="2:5" ht="20" customHeight="1">
      <c r="B70" s="52" t="s">
        <v>4177</v>
      </c>
      <c r="C70" s="22"/>
      <c r="D70" s="94" t="str">
        <v>Value Missing</v>
      </c>
      <c r="E70" s="52"/>
    </row>
    <row r="71" spans="2:5" ht="20" customHeight="1">
      <c r="B71" s="52" t="s">
        <v>4178</v>
      </c>
      <c r="C71" s="22"/>
      <c r="D71" s="94" t="str">
        <v>Value Missing</v>
      </c>
      <c r="E71" s="52"/>
    </row>
    <row r="72" spans="2:5" ht="20" customHeight="1">
      <c r="B72" s="52" t="s">
        <v>4179</v>
      </c>
      <c r="C72" s="22"/>
      <c r="D72" s="94" t="str">
        <v>Value Missing</v>
      </c>
      <c r="E72" s="52"/>
    </row>
    <row r="73" spans="2:5" ht="20" customHeight="1">
      <c r="B73" s="52" t="s">
        <v>4180</v>
      </c>
      <c r="C73" s="233"/>
      <c r="D73" s="94" t="str">
        <v>Value Missing</v>
      </c>
      <c r="E73" s="94"/>
    </row>
    <row r="74" spans="2:5" ht="20" customHeight="1">
      <c r="B74" s="52" t="s">
        <v>4181</v>
      </c>
      <c r="C74" s="22"/>
      <c r="D74" s="94" t="str">
        <v>Value Missing</v>
      </c>
      <c r="E74" s="52"/>
    </row>
    <row r="75" spans="2:5" ht="20" customHeight="1">
      <c r="B75" s="52" t="s">
        <v>4182</v>
      </c>
      <c r="C75" s="22"/>
      <c r="D75" s="94" t="str">
        <v>Value Missing</v>
      </c>
      <c r="E75" s="52"/>
    </row>
    <row r="76" spans="2:5" ht="20" customHeight="1">
      <c r="B76" s="52" t="s">
        <v>4183</v>
      </c>
      <c r="C76" s="22"/>
      <c r="D76" s="94" t="str">
        <v>Value Missing</v>
      </c>
      <c r="E76" s="52"/>
    </row>
    <row r="77" spans="2:5" ht="20" customHeight="1">
      <c r="B77" s="52" t="s">
        <v>4184</v>
      </c>
      <c r="C77" s="22"/>
      <c r="D77" s="94" t="str">
        <v>Value Missing</v>
      </c>
      <c r="E77" s="52"/>
    </row>
    <row r="78" spans="2:5" ht="20" customHeight="1">
      <c r="B78" s="52" t="s">
        <v>4185</v>
      </c>
      <c r="C78" s="22"/>
      <c r="D78" s="94" t="str">
        <v>Value Missing</v>
      </c>
      <c r="E78" s="52"/>
    </row>
    <row r="79" spans="2:5" ht="20" customHeight="1">
      <c r="B79" s="52" t="s">
        <v>4186</v>
      </c>
      <c r="C79" s="22"/>
      <c r="D79" s="94" t="str">
        <v>Value Missing</v>
      </c>
      <c r="E79" s="52"/>
    </row>
    <row r="80" spans="2:5" ht="20" customHeight="1">
      <c r="B80" s="52" t="s">
        <v>3498</v>
      </c>
      <c r="C80" s="22" t="str">
        <f>sample_wld_cl01_vds_profile</f>
        <v>Default</v>
      </c>
      <c r="D80" s="18" t="str">
        <f>IF(wld_host_overlay_addressing_chosen="Static","Create Custom Switch Configuraton ",wld_cl01_vds_profile)</f>
        <v xml:space="preserve">Create Custom Switch Configuraton </v>
      </c>
      <c r="E80" s="53"/>
    </row>
    <row r="81" spans="2:5" ht="20" customHeight="1">
      <c r="B81" s="52" t="s">
        <v>4419</v>
      </c>
      <c r="C81" s="22"/>
      <c r="D81" s="18" t="str">
        <f>wld_cl01_vds_profile</f>
        <v>Default</v>
      </c>
      <c r="E81" s="53"/>
    </row>
    <row r="82" spans="2:5" ht="20" customHeight="1">
      <c r="B82" s="52" t="s">
        <v>3496</v>
      </c>
      <c r="C82" s="22" t="str">
        <f>sample_wld_cl01_vds01_name</f>
        <v>sfo-w01-cl01-vds01</v>
      </c>
      <c r="D82" s="18" t="str">
        <f>wld_cl01_vds01_name</f>
        <v>Value Missing</v>
      </c>
      <c r="E82" s="53"/>
    </row>
    <row r="83" spans="2:5" ht="20" customHeight="1">
      <c r="B83" s="52" t="s">
        <v>1828</v>
      </c>
      <c r="C83" s="22"/>
      <c r="D83" s="18" t="str">
        <f>wld_cl01_vds01_mtu</f>
        <v>Value Missing</v>
      </c>
      <c r="E83" s="53"/>
    </row>
    <row r="84" spans="2:5" ht="20" customHeight="1">
      <c r="B84" s="52" t="s">
        <v>3499</v>
      </c>
      <c r="C84" s="22" t="s">
        <v>794</v>
      </c>
      <c r="D84" s="18" t="str">
        <f>wld_cl01_vds01_pnics</f>
        <v>vmnic0,vmnic1</v>
      </c>
      <c r="E84" s="53"/>
    </row>
    <row r="85" spans="2:5" ht="20" customHeight="1">
      <c r="B85" s="52" t="s">
        <v>3500</v>
      </c>
      <c r="C85" s="22" t="s">
        <v>4290</v>
      </c>
      <c r="D85" s="18" t="str" cm="1">
        <f t="array" ref="D85">wld_cl01_vds01_traffic_type</f>
        <v>Management, vMotion, vSan, Overlay</v>
      </c>
      <c r="E85" s="53"/>
    </row>
    <row r="86" spans="2:5" ht="20" customHeight="1">
      <c r="B86" s="52" t="s">
        <v>3497</v>
      </c>
      <c r="C86" s="22" t="str">
        <f>sample_wld_cl01_vds02_name</f>
        <v>sfo-w01-cl01-vds02</v>
      </c>
      <c r="D86" s="18" t="str">
        <f>wld_cl01_vds02_name</f>
        <v>Value Missing</v>
      </c>
      <c r="E86" s="53"/>
    </row>
    <row r="87" spans="2:5" ht="20" customHeight="1">
      <c r="B87" s="52" t="s">
        <v>3499</v>
      </c>
      <c r="C87" s="22" t="s">
        <v>799</v>
      </c>
      <c r="D87" s="18" t="str">
        <f>wld_cl01_vds02_pnics</f>
        <v>Value Missing</v>
      </c>
      <c r="E87" s="53"/>
    </row>
    <row r="88" spans="2:5" ht="20" customHeight="1">
      <c r="B88" s="52" t="s">
        <v>3500</v>
      </c>
      <c r="C88" s="22" t="s">
        <v>43</v>
      </c>
      <c r="D88" s="18" t="str">
        <f>wld_cl01_vds02_traffic_type</f>
        <v>Value Missing</v>
      </c>
      <c r="E88" s="53"/>
    </row>
    <row r="89" spans="2:5" ht="20" customHeight="1">
      <c r="B89" s="52" t="s">
        <v>3503</v>
      </c>
      <c r="C89" s="22" t="str">
        <f>sample_wld_cl01_vds03_name</f>
        <v>sfo-w01-cl01-vds03</v>
      </c>
      <c r="D89" s="18" t="str">
        <f>wld_cl01_vds03_name</f>
        <v>Value Missing</v>
      </c>
      <c r="E89" s="53"/>
    </row>
    <row r="90" spans="2:5" ht="20" customHeight="1">
      <c r="B90" s="52" t="s">
        <v>3499</v>
      </c>
      <c r="C90" s="22" t="s">
        <v>3480</v>
      </c>
      <c r="D90" s="18" t="str">
        <f>wld_cl01_vds03_pnics</f>
        <v>Value Missing</v>
      </c>
      <c r="E90" s="53"/>
    </row>
    <row r="91" spans="2:5" ht="20" customHeight="1">
      <c r="B91" s="52" t="s">
        <v>3500</v>
      </c>
      <c r="C91" s="22" t="s">
        <v>3484</v>
      </c>
      <c r="D91" s="18" t="str">
        <f>wld_cl01_vds03_traffic_type</f>
        <v>Value Missing</v>
      </c>
      <c r="E91" s="53"/>
    </row>
    <row r="92" spans="2:5" ht="20" customHeight="1">
      <c r="B92" s="52" t="s">
        <v>1697</v>
      </c>
      <c r="C92" s="22" t="str">
        <f>sample_wld_az1_host_overlay_vlan</f>
        <v>1314</v>
      </c>
      <c r="D92" s="18" t="str">
        <f>wld_az1_host_overlay_vlan</f>
        <v>Value Missing</v>
      </c>
      <c r="E92" s="53"/>
    </row>
    <row r="93" spans="2:5" ht="20" customHeight="1">
      <c r="B93" s="52" t="s">
        <v>2192</v>
      </c>
      <c r="C93" s="22" t="str">
        <f>IF(wld_host_overlay_addressing_chosen="DHCP","DHCP","Static IP Pool")</f>
        <v>Static IP Pool</v>
      </c>
      <c r="D93" s="18" t="str">
        <f>IF(wld_host_overlay_addressing_chosen="DHCP","DHCP","Static IP Pool")</f>
        <v>Static IP Pool</v>
      </c>
      <c r="E93" s="53"/>
    </row>
    <row r="94" spans="2:5" ht="20" customHeight="1">
      <c r="B94" s="52" t="s">
        <v>1772</v>
      </c>
      <c r="C94" s="22"/>
      <c r="D94" s="18" t="str">
        <f>wld_az1_host_overlay_network_pool_name</f>
        <v>Value Missing</v>
      </c>
      <c r="E94" s="53"/>
    </row>
    <row r="95" spans="2:5" ht="20" customHeight="1">
      <c r="B95" s="52" t="s">
        <v>411</v>
      </c>
      <c r="C95" s="22"/>
      <c r="D95" s="18" t="str">
        <f>wld_az1_host_overlay_cidr</f>
        <v>Value Missing</v>
      </c>
      <c r="E95" s="53"/>
    </row>
    <row r="96" spans="2:5" ht="20" customHeight="1">
      <c r="B96" s="52" t="s">
        <v>4204</v>
      </c>
      <c r="C96" s="22"/>
      <c r="D96" s="18" t="str">
        <f>CONCATENATE(wld_az1_host_overlay_pool_start_ip,"-",wld_az1_host_overlay_pool_end_ip)</f>
        <v>Value Missing-Value Missing</v>
      </c>
      <c r="E96" s="53"/>
    </row>
    <row r="97" spans="2:10" ht="20" customHeight="1">
      <c r="B97" s="52" t="s">
        <v>1774</v>
      </c>
      <c r="C97" s="22"/>
      <c r="D97" s="18" t="str">
        <f>wld_az1_host_overlay_gateway_ip</f>
        <v>Value Missing</v>
      </c>
      <c r="E97" s="53"/>
    </row>
    <row r="98" spans="2:10" ht="20" customHeight="1">
      <c r="B98" s="52" t="s">
        <v>4651</v>
      </c>
      <c r="C98" s="22"/>
      <c r="D98" s="18" t="str">
        <f>wld_az1_host_overlay_uplink_profile_name</f>
        <v>Value Missing</v>
      </c>
      <c r="E98" s="53"/>
    </row>
    <row r="99" spans="2:10" ht="20" customHeight="1">
      <c r="B99" s="52" t="s">
        <v>4671</v>
      </c>
      <c r="C99" s="22"/>
      <c r="D99" s="18" t="str">
        <f>IF(vcf_license_now_output="No","Yes","")</f>
        <v/>
      </c>
      <c r="E99" s="53"/>
    </row>
    <row r="100" spans="2:10" ht="20" customHeight="1">
      <c r="B100" s="52" t="s">
        <v>2197</v>
      </c>
      <c r="C100" s="22" t="s">
        <v>452</v>
      </c>
      <c r="D100" s="18" t="str">
        <f>esx_std_license</f>
        <v>Value Missing</v>
      </c>
      <c r="E100" s="53"/>
    </row>
    <row r="101" spans="2:10" ht="20" customHeight="1">
      <c r="B101" s="52" t="s">
        <v>2198</v>
      </c>
      <c r="C101" s="22" t="s">
        <v>452</v>
      </c>
      <c r="D101" s="18" t="str">
        <f>vsan_license</f>
        <v>Value Missing</v>
      </c>
      <c r="E101" s="53"/>
      <c r="J101" s="252"/>
    </row>
    <row r="102" spans="2:10" s="253" customFormat="1" ht="20" customHeight="1">
      <c r="B102" s="52" t="s">
        <v>4900</v>
      </c>
      <c r="C102" s="22" t="s">
        <v>452</v>
      </c>
      <c r="D102" s="18" t="str">
        <f>nsxt_license</f>
        <v>Value Missing</v>
      </c>
      <c r="E102" s="53"/>
    </row>
    <row r="103" spans="2:10" ht="16" customHeight="1"/>
    <row r="104" spans="2:10" ht="34" customHeight="1">
      <c r="B104" s="344" t="s">
        <v>4661</v>
      </c>
      <c r="C104" s="344"/>
      <c r="D104" s="344"/>
      <c r="E104" s="344"/>
    </row>
    <row r="105" spans="2:10" ht="20" customHeight="1">
      <c r="B105" s="520" t="s">
        <v>4662</v>
      </c>
      <c r="C105" s="520"/>
      <c r="D105" s="520"/>
      <c r="E105" s="520"/>
    </row>
    <row r="106" spans="2:10" ht="16" customHeight="1"/>
    <row r="107" spans="2:10" ht="34" customHeight="1">
      <c r="B107" s="521" t="s">
        <v>4576</v>
      </c>
      <c r="C107" s="522"/>
      <c r="D107" s="522"/>
      <c r="E107" s="522"/>
    </row>
    <row r="108" spans="2:10" ht="20" customHeight="1">
      <c r="B108" s="8" t="s">
        <v>735</v>
      </c>
      <c r="C108" s="8" t="s">
        <v>554</v>
      </c>
      <c r="D108" s="20" t="s">
        <v>555</v>
      </c>
      <c r="E108" s="8" t="s">
        <v>1989</v>
      </c>
    </row>
    <row r="109" spans="2:10" ht="20" customHeight="1">
      <c r="B109" s="21" t="s">
        <v>3475</v>
      </c>
      <c r="C109" s="290"/>
      <c r="D109" s="18" t="s">
        <v>4577</v>
      </c>
      <c r="E109" s="53"/>
    </row>
    <row r="110" spans="2:10" ht="16" customHeight="1"/>
    <row r="111" spans="2:10" ht="34" customHeight="1">
      <c r="B111" s="521" t="s">
        <v>4578</v>
      </c>
      <c r="C111" s="522"/>
      <c r="D111" s="522"/>
      <c r="E111" s="522"/>
    </row>
    <row r="112" spans="2:10" ht="20" customHeight="1">
      <c r="B112" s="8" t="s">
        <v>735</v>
      </c>
      <c r="C112" s="8" t="s">
        <v>554</v>
      </c>
      <c r="D112" s="20" t="s">
        <v>555</v>
      </c>
      <c r="E112" s="8" t="s">
        <v>1989</v>
      </c>
    </row>
    <row r="113" spans="2:5" ht="20" customHeight="1">
      <c r="B113" s="21" t="s">
        <v>4579</v>
      </c>
      <c r="C113" s="290"/>
      <c r="D113" s="18">
        <f>wld_cl01_vsan_ftt</f>
        <v>1</v>
      </c>
      <c r="E113" s="53"/>
    </row>
    <row r="114" spans="2:5" ht="16" customHeight="1"/>
    <row r="115" spans="2:5" ht="34" customHeight="1">
      <c r="B115" s="521" t="s">
        <v>4567</v>
      </c>
      <c r="C115" s="522"/>
      <c r="D115" s="522"/>
      <c r="E115" s="522"/>
    </row>
    <row r="116" spans="2:5" ht="20" customHeight="1">
      <c r="B116" s="8" t="s">
        <v>735</v>
      </c>
      <c r="C116" s="8" t="s">
        <v>554</v>
      </c>
      <c r="D116" s="20" t="s">
        <v>555</v>
      </c>
      <c r="E116" s="8" t="s">
        <v>1989</v>
      </c>
    </row>
    <row r="117" spans="2:5" ht="20" customHeight="1">
      <c r="B117" s="21" t="s">
        <v>4568</v>
      </c>
      <c r="C117" s="290"/>
      <c r="D117" s="18" t="str">
        <f>wld_az1_vsan_fault_domain</f>
        <v>Value Missing</v>
      </c>
      <c r="E117" s="53"/>
    </row>
    <row r="118" spans="2:5" ht="20" customHeight="1">
      <c r="B118" s="21" t="s">
        <v>2193</v>
      </c>
      <c r="C118" s="290"/>
      <c r="D118" s="18" t="str" cm="1">
        <f t="array" ref="D118:D133">wld_az1_host_hostnames</f>
        <v>Value Missing</v>
      </c>
      <c r="E118" s="53"/>
    </row>
    <row r="119" spans="2:5" ht="20" customHeight="1">
      <c r="B119" s="21" t="s">
        <v>2194</v>
      </c>
      <c r="C119" s="290"/>
      <c r="D119" s="18" t="str">
        <v>Value Missing</v>
      </c>
      <c r="E119" s="53"/>
    </row>
    <row r="120" spans="2:5" ht="20" customHeight="1">
      <c r="B120" s="21" t="s">
        <v>2195</v>
      </c>
      <c r="C120" s="290"/>
      <c r="D120" s="18" t="str">
        <v>Value Missing</v>
      </c>
      <c r="E120" s="53"/>
    </row>
    <row r="121" spans="2:5" ht="20" customHeight="1">
      <c r="B121" s="21" t="s">
        <v>2196</v>
      </c>
      <c r="C121" s="290"/>
      <c r="D121" s="18" t="str">
        <v>Value Missing</v>
      </c>
      <c r="E121" s="53"/>
    </row>
    <row r="122" spans="2:5" ht="20" customHeight="1">
      <c r="B122" s="21" t="s">
        <v>4175</v>
      </c>
      <c r="C122" s="290"/>
      <c r="D122" s="18" t="str">
        <v>Value Missing</v>
      </c>
      <c r="E122" s="53"/>
    </row>
    <row r="123" spans="2:5" ht="20" customHeight="1">
      <c r="B123" s="21" t="s">
        <v>4176</v>
      </c>
      <c r="C123" s="290"/>
      <c r="D123" s="18" t="str">
        <v>Value Missing</v>
      </c>
      <c r="E123" s="53"/>
    </row>
    <row r="124" spans="2:5" ht="20" customHeight="1">
      <c r="B124" s="21" t="s">
        <v>4177</v>
      </c>
      <c r="C124" s="290"/>
      <c r="D124" s="18" t="str">
        <v>Value Missing</v>
      </c>
      <c r="E124" s="53"/>
    </row>
    <row r="125" spans="2:5" ht="20" customHeight="1">
      <c r="B125" s="21" t="s">
        <v>4178</v>
      </c>
      <c r="C125" s="290"/>
      <c r="D125" s="18" t="str">
        <v>Value Missing</v>
      </c>
      <c r="E125" s="53"/>
    </row>
    <row r="126" spans="2:5" ht="20" customHeight="1">
      <c r="B126" s="21" t="s">
        <v>4179</v>
      </c>
      <c r="C126" s="290"/>
      <c r="D126" s="18" t="str">
        <v>Value Missing</v>
      </c>
      <c r="E126" s="53"/>
    </row>
    <row r="127" spans="2:5" ht="20" customHeight="1">
      <c r="B127" s="21" t="s">
        <v>4180</v>
      </c>
      <c r="C127" s="290"/>
      <c r="D127" s="18" t="str">
        <v>Value Missing</v>
      </c>
      <c r="E127" s="53"/>
    </row>
    <row r="128" spans="2:5" ht="20" customHeight="1">
      <c r="B128" s="21" t="s">
        <v>4181</v>
      </c>
      <c r="C128" s="290"/>
      <c r="D128" s="18" t="str">
        <v>Value Missing</v>
      </c>
      <c r="E128" s="53"/>
    </row>
    <row r="129" spans="1:5" ht="20" customHeight="1">
      <c r="B129" s="21" t="s">
        <v>4182</v>
      </c>
      <c r="C129" s="290"/>
      <c r="D129" s="18" t="str">
        <v>Value Missing</v>
      </c>
      <c r="E129" s="53"/>
    </row>
    <row r="130" spans="1:5" ht="20" customHeight="1">
      <c r="B130" s="21" t="s">
        <v>4183</v>
      </c>
      <c r="C130" s="290"/>
      <c r="D130" s="18" t="str">
        <v>Value Missing</v>
      </c>
      <c r="E130" s="53"/>
    </row>
    <row r="131" spans="1:5" ht="20" customHeight="1">
      <c r="B131" s="21" t="s">
        <v>4184</v>
      </c>
      <c r="C131" s="290"/>
      <c r="D131" s="18" t="str">
        <v>Value Missing</v>
      </c>
      <c r="E131" s="53"/>
    </row>
    <row r="132" spans="1:5" ht="20" customHeight="1">
      <c r="B132" s="21" t="s">
        <v>4185</v>
      </c>
      <c r="C132" s="290"/>
      <c r="D132" s="18" t="str">
        <v>Value Missing</v>
      </c>
      <c r="E132" s="53"/>
    </row>
    <row r="133" spans="1:5" ht="20" customHeight="1">
      <c r="A133" t="str" cm="1">
        <f t="array" ref="A133:A148">wld_az1_rack2_host_hostnames</f>
        <v>Value Missing</v>
      </c>
      <c r="B133" s="21" t="s">
        <v>4186</v>
      </c>
      <c r="C133" s="290"/>
      <c r="D133" s="18" t="str">
        <v>Value Missing</v>
      </c>
      <c r="E133" s="53"/>
    </row>
    <row r="134" spans="1:5" ht="20" customHeight="1">
      <c r="A134" t="str">
        <v>Value Missing</v>
      </c>
      <c r="B134" s="21" t="s">
        <v>4569</v>
      </c>
      <c r="C134" s="290"/>
      <c r="D134" s="18" t="str">
        <f>wld_az1_rack2_vsan_fault_domain</f>
        <v>Value Missing</v>
      </c>
      <c r="E134" s="53"/>
    </row>
    <row r="135" spans="1:5" ht="20" customHeight="1">
      <c r="A135" t="str">
        <v>Value Missing</v>
      </c>
      <c r="B135" s="21" t="s">
        <v>2193</v>
      </c>
      <c r="C135" s="290"/>
      <c r="D135" s="18" t="str" cm="1">
        <f t="array" ref="D135:D150">wld_az1_rack2_host_hostnames</f>
        <v>Value Missing</v>
      </c>
      <c r="E135" s="53"/>
    </row>
    <row r="136" spans="1:5" ht="20" customHeight="1">
      <c r="A136" t="str">
        <v>Value Missing</v>
      </c>
      <c r="B136" s="21" t="s">
        <v>2194</v>
      </c>
      <c r="C136" s="290"/>
      <c r="D136" s="18" t="str">
        <v>Value Missing</v>
      </c>
      <c r="E136" s="53"/>
    </row>
    <row r="137" spans="1:5" ht="20" customHeight="1">
      <c r="A137" t="str">
        <v>Value Missing</v>
      </c>
      <c r="B137" s="21" t="s">
        <v>2195</v>
      </c>
      <c r="C137" s="290"/>
      <c r="D137" s="18" t="str">
        <v>Value Missing</v>
      </c>
      <c r="E137" s="53"/>
    </row>
    <row r="138" spans="1:5" ht="20" customHeight="1">
      <c r="A138" t="str">
        <v>Value Missing</v>
      </c>
      <c r="B138" s="21" t="s">
        <v>2196</v>
      </c>
      <c r="C138" s="290"/>
      <c r="D138" s="18" t="str">
        <v>Value Missing</v>
      </c>
      <c r="E138" s="53"/>
    </row>
    <row r="139" spans="1:5" ht="20" customHeight="1">
      <c r="A139" t="str">
        <v>Value Missing</v>
      </c>
      <c r="B139" s="21" t="s">
        <v>4175</v>
      </c>
      <c r="C139" s="290"/>
      <c r="D139" s="18" t="str">
        <v>Value Missing</v>
      </c>
      <c r="E139" s="53"/>
    </row>
    <row r="140" spans="1:5" ht="20" customHeight="1">
      <c r="A140" t="str">
        <v>Value Missing</v>
      </c>
      <c r="B140" s="21" t="s">
        <v>4176</v>
      </c>
      <c r="C140" s="290"/>
      <c r="D140" s="18" t="str">
        <v>Value Missing</v>
      </c>
      <c r="E140" s="53"/>
    </row>
    <row r="141" spans="1:5" ht="20" customHeight="1">
      <c r="A141" t="str">
        <v>Value Missing</v>
      </c>
      <c r="B141" s="21" t="s">
        <v>4177</v>
      </c>
      <c r="C141" s="290"/>
      <c r="D141" s="18" t="str">
        <v>Value Missing</v>
      </c>
      <c r="E141" s="53"/>
    </row>
    <row r="142" spans="1:5" ht="20" customHeight="1">
      <c r="A142" t="str">
        <v>Value Missing</v>
      </c>
      <c r="B142" s="21" t="s">
        <v>4178</v>
      </c>
      <c r="C142" s="290"/>
      <c r="D142" s="18" t="str">
        <v>Value Missing</v>
      </c>
      <c r="E142" s="53"/>
    </row>
    <row r="143" spans="1:5" ht="20" customHeight="1">
      <c r="A143" t="str">
        <v>Value Missing</v>
      </c>
      <c r="B143" s="21" t="s">
        <v>4179</v>
      </c>
      <c r="C143" s="290"/>
      <c r="D143" s="18" t="str">
        <v>Value Missing</v>
      </c>
      <c r="E143" s="53"/>
    </row>
    <row r="144" spans="1:5" ht="20" customHeight="1">
      <c r="A144" t="str">
        <v>Value Missing</v>
      </c>
      <c r="B144" s="21" t="s">
        <v>4180</v>
      </c>
      <c r="C144" s="290"/>
      <c r="D144" s="18" t="str">
        <v>Value Missing</v>
      </c>
      <c r="E144" s="53"/>
    </row>
    <row r="145" spans="1:5" ht="20" customHeight="1">
      <c r="A145" t="str">
        <v>Value Missing</v>
      </c>
      <c r="B145" s="21" t="s">
        <v>4181</v>
      </c>
      <c r="C145" s="290"/>
      <c r="D145" s="18" t="str">
        <v>Value Missing</v>
      </c>
      <c r="E145" s="53"/>
    </row>
    <row r="146" spans="1:5" ht="20" customHeight="1">
      <c r="A146" t="str">
        <v>Value Missing</v>
      </c>
      <c r="B146" s="21" t="s">
        <v>4182</v>
      </c>
      <c r="C146" s="290"/>
      <c r="D146" s="18" t="str">
        <v>Value Missing</v>
      </c>
      <c r="E146" s="53"/>
    </row>
    <row r="147" spans="1:5" ht="20" customHeight="1">
      <c r="A147" t="str">
        <v>Value Missing</v>
      </c>
      <c r="B147" s="21" t="s">
        <v>4183</v>
      </c>
      <c r="C147" s="290"/>
      <c r="D147" s="18" t="str">
        <v>Value Missing</v>
      </c>
      <c r="E147" s="53"/>
    </row>
    <row r="148" spans="1:5" ht="20" customHeight="1">
      <c r="A148" t="str">
        <v>Value Missing</v>
      </c>
      <c r="B148" s="21" t="s">
        <v>4184</v>
      </c>
      <c r="C148" s="290"/>
      <c r="D148" s="18" t="str">
        <v>Value Missing</v>
      </c>
      <c r="E148" s="53"/>
    </row>
    <row r="149" spans="1:5" ht="20" customHeight="1">
      <c r="B149" s="21" t="s">
        <v>4185</v>
      </c>
      <c r="C149" s="290"/>
      <c r="D149" s="18" t="str">
        <v>Value Missing</v>
      </c>
      <c r="E149" s="53"/>
    </row>
    <row r="150" spans="1:5" ht="20" customHeight="1">
      <c r="B150" s="21" t="s">
        <v>4186</v>
      </c>
      <c r="C150" s="290"/>
      <c r="D150" s="18" t="str">
        <v>Value Missing</v>
      </c>
      <c r="E150" s="53"/>
    </row>
    <row r="151" spans="1:5" ht="20" customHeight="1">
      <c r="B151" s="21" t="s">
        <v>4570</v>
      </c>
      <c r="C151" s="290"/>
      <c r="D151" s="18" t="str">
        <f>wld_az1_rack3_vsan_fault_domain</f>
        <v>Value Missing</v>
      </c>
      <c r="E151" s="53"/>
    </row>
    <row r="152" spans="1:5" ht="20" customHeight="1">
      <c r="B152" s="21" t="s">
        <v>2193</v>
      </c>
      <c r="C152" s="290"/>
      <c r="D152" s="18" t="str" cm="1">
        <f t="array" ref="D152:D167">wld_az1_rack3_host_hostnames</f>
        <v>Value Missing</v>
      </c>
      <c r="E152" s="53"/>
    </row>
    <row r="153" spans="1:5" ht="20" customHeight="1">
      <c r="B153" s="21" t="s">
        <v>2194</v>
      </c>
      <c r="C153" s="290"/>
      <c r="D153" s="18" t="str">
        <v>Value Missing</v>
      </c>
      <c r="E153" s="53"/>
    </row>
    <row r="154" spans="1:5" ht="20" customHeight="1">
      <c r="B154" s="21" t="s">
        <v>2195</v>
      </c>
      <c r="C154" s="290"/>
      <c r="D154" s="18" t="str">
        <v>Value Missing</v>
      </c>
      <c r="E154" s="53"/>
    </row>
    <row r="155" spans="1:5" ht="20" customHeight="1">
      <c r="B155" s="21" t="s">
        <v>2196</v>
      </c>
      <c r="C155" s="290"/>
      <c r="D155" s="18" t="str">
        <v>Value Missing</v>
      </c>
      <c r="E155" s="53"/>
    </row>
    <row r="156" spans="1:5" ht="20" customHeight="1">
      <c r="B156" s="21" t="s">
        <v>4175</v>
      </c>
      <c r="C156" s="290"/>
      <c r="D156" s="18" t="str">
        <v>Value Missing</v>
      </c>
      <c r="E156" s="53"/>
    </row>
    <row r="157" spans="1:5" ht="20" customHeight="1">
      <c r="B157" s="21" t="s">
        <v>4176</v>
      </c>
      <c r="C157" s="290"/>
      <c r="D157" s="18" t="str">
        <v>Value Missing</v>
      </c>
      <c r="E157" s="53"/>
    </row>
    <row r="158" spans="1:5" ht="20" customHeight="1">
      <c r="B158" s="21" t="s">
        <v>4177</v>
      </c>
      <c r="C158" s="290"/>
      <c r="D158" s="18" t="str">
        <v>Value Missing</v>
      </c>
      <c r="E158" s="53"/>
    </row>
    <row r="159" spans="1:5" ht="20" customHeight="1">
      <c r="B159" s="21" t="s">
        <v>4178</v>
      </c>
      <c r="C159" s="290"/>
      <c r="D159" s="18" t="str">
        <v>Value Missing</v>
      </c>
      <c r="E159" s="53"/>
    </row>
    <row r="160" spans="1:5" ht="20" customHeight="1">
      <c r="B160" s="21" t="s">
        <v>4179</v>
      </c>
      <c r="C160" s="290"/>
      <c r="D160" s="18" t="str">
        <v>Value Missing</v>
      </c>
      <c r="E160" s="53"/>
    </row>
    <row r="161" spans="2:5" ht="20" customHeight="1">
      <c r="B161" s="21" t="s">
        <v>4180</v>
      </c>
      <c r="C161" s="290"/>
      <c r="D161" s="18" t="str">
        <v>Value Missing</v>
      </c>
      <c r="E161" s="53"/>
    </row>
    <row r="162" spans="2:5" ht="20" customHeight="1">
      <c r="B162" s="21" t="s">
        <v>4181</v>
      </c>
      <c r="C162" s="290"/>
      <c r="D162" s="18" t="str">
        <v>Value Missing</v>
      </c>
      <c r="E162" s="53"/>
    </row>
    <row r="163" spans="2:5" ht="20" customHeight="1">
      <c r="B163" s="21" t="s">
        <v>4182</v>
      </c>
      <c r="C163" s="290"/>
      <c r="D163" s="18" t="str">
        <v>Value Missing</v>
      </c>
      <c r="E163" s="53"/>
    </row>
    <row r="164" spans="2:5" ht="20" customHeight="1">
      <c r="B164" s="21" t="s">
        <v>4183</v>
      </c>
      <c r="C164" s="290"/>
      <c r="D164" s="18" t="str">
        <v>Value Missing</v>
      </c>
      <c r="E164" s="53"/>
    </row>
    <row r="165" spans="2:5" ht="20" customHeight="1">
      <c r="B165" s="21" t="s">
        <v>4184</v>
      </c>
      <c r="C165" s="290"/>
      <c r="D165" s="18" t="str">
        <v>Value Missing</v>
      </c>
      <c r="E165" s="53"/>
    </row>
    <row r="166" spans="2:5" ht="20" customHeight="1">
      <c r="B166" s="21" t="s">
        <v>4185</v>
      </c>
      <c r="C166" s="290"/>
      <c r="D166" s="18" t="str">
        <v>Value Missing</v>
      </c>
      <c r="E166" s="53"/>
    </row>
    <row r="167" spans="2:5" ht="20" customHeight="1">
      <c r="B167" s="21" t="s">
        <v>4186</v>
      </c>
      <c r="C167" s="290"/>
      <c r="D167" s="18" t="str">
        <v>Value Missing</v>
      </c>
      <c r="E167" s="53"/>
    </row>
    <row r="168" spans="2:5" ht="20" customHeight="1">
      <c r="B168" s="21" t="s">
        <v>4571</v>
      </c>
      <c r="C168" s="290"/>
      <c r="D168" s="18" t="str">
        <f>wld_az1_rack4_vsan_fault_domain</f>
        <v>Value Missing</v>
      </c>
      <c r="E168" s="53"/>
    </row>
    <row r="169" spans="2:5" ht="20" customHeight="1">
      <c r="B169" s="21" t="s">
        <v>2193</v>
      </c>
      <c r="C169" s="290"/>
      <c r="D169" s="18" t="str" cm="1">
        <f t="array" ref="D169:D184">wld_az1_rack4_host_hostnames</f>
        <v>Value Missing</v>
      </c>
      <c r="E169" s="53"/>
    </row>
    <row r="170" spans="2:5" ht="20" customHeight="1">
      <c r="B170" s="21" t="s">
        <v>2194</v>
      </c>
      <c r="C170" s="290"/>
      <c r="D170" s="18" t="str">
        <v>Value Missing</v>
      </c>
      <c r="E170" s="53"/>
    </row>
    <row r="171" spans="2:5" ht="20" customHeight="1">
      <c r="B171" s="21" t="s">
        <v>2195</v>
      </c>
      <c r="C171" s="290"/>
      <c r="D171" s="18" t="str">
        <v>Value Missing</v>
      </c>
      <c r="E171" s="53"/>
    </row>
    <row r="172" spans="2:5" ht="20" customHeight="1">
      <c r="B172" s="21" t="s">
        <v>2196</v>
      </c>
      <c r="C172" s="290"/>
      <c r="D172" s="18" t="str">
        <v>Value Missing</v>
      </c>
      <c r="E172" s="53"/>
    </row>
    <row r="173" spans="2:5" ht="20" customHeight="1">
      <c r="B173" s="21" t="s">
        <v>4175</v>
      </c>
      <c r="C173" s="290"/>
      <c r="D173" s="18" t="str">
        <v>Value Missing</v>
      </c>
      <c r="E173" s="53"/>
    </row>
    <row r="174" spans="2:5" ht="20" customHeight="1">
      <c r="B174" s="21" t="s">
        <v>4176</v>
      </c>
      <c r="C174" s="290"/>
      <c r="D174" s="18" t="str">
        <v>Value Missing</v>
      </c>
      <c r="E174" s="53"/>
    </row>
    <row r="175" spans="2:5" ht="20" customHeight="1">
      <c r="B175" s="21" t="s">
        <v>4177</v>
      </c>
      <c r="C175" s="290"/>
      <c r="D175" s="18" t="str">
        <v>Value Missing</v>
      </c>
      <c r="E175" s="53"/>
    </row>
    <row r="176" spans="2:5" ht="20" customHeight="1">
      <c r="B176" s="21" t="s">
        <v>4178</v>
      </c>
      <c r="C176" s="290"/>
      <c r="D176" s="18" t="str">
        <v>Value Missing</v>
      </c>
      <c r="E176" s="53"/>
    </row>
    <row r="177" spans="2:5" ht="20" customHeight="1">
      <c r="B177" s="21" t="s">
        <v>4179</v>
      </c>
      <c r="C177" s="290"/>
      <c r="D177" s="18" t="str">
        <v>Value Missing</v>
      </c>
      <c r="E177" s="53"/>
    </row>
    <row r="178" spans="2:5" ht="20" customHeight="1">
      <c r="B178" s="21" t="s">
        <v>4180</v>
      </c>
      <c r="C178" s="290"/>
      <c r="D178" s="18" t="str">
        <v>Value Missing</v>
      </c>
      <c r="E178" s="53"/>
    </row>
    <row r="179" spans="2:5" ht="20" customHeight="1">
      <c r="B179" s="21" t="s">
        <v>4181</v>
      </c>
      <c r="C179" s="290"/>
      <c r="D179" s="18" t="str">
        <v>Value Missing</v>
      </c>
      <c r="E179" s="53"/>
    </row>
    <row r="180" spans="2:5" ht="20" customHeight="1">
      <c r="B180" s="21" t="s">
        <v>4182</v>
      </c>
      <c r="C180" s="290"/>
      <c r="D180" s="18" t="str">
        <v>Value Missing</v>
      </c>
      <c r="E180" s="53"/>
    </row>
    <row r="181" spans="2:5" ht="20" customHeight="1">
      <c r="B181" s="21" t="s">
        <v>4183</v>
      </c>
      <c r="C181" s="290"/>
      <c r="D181" s="18" t="str">
        <v>Value Missing</v>
      </c>
      <c r="E181" s="53"/>
    </row>
    <row r="182" spans="2:5" ht="20" customHeight="1">
      <c r="B182" s="21" t="s">
        <v>4184</v>
      </c>
      <c r="C182" s="290"/>
      <c r="D182" s="18" t="str">
        <v>Value Missing</v>
      </c>
      <c r="E182" s="53"/>
    </row>
    <row r="183" spans="2:5" ht="20" customHeight="1">
      <c r="B183" s="21" t="s">
        <v>4185</v>
      </c>
      <c r="C183" s="290"/>
      <c r="D183" s="18" t="str">
        <v>Value Missing</v>
      </c>
      <c r="E183" s="53"/>
    </row>
    <row r="184" spans="2:5" ht="20" customHeight="1">
      <c r="B184" s="21" t="s">
        <v>4186</v>
      </c>
      <c r="C184" s="290"/>
      <c r="D184" s="18" t="str">
        <v>Value Missing</v>
      </c>
      <c r="E184" s="53"/>
    </row>
    <row r="185" spans="2:5" ht="20" customHeight="1">
      <c r="B185" s="21" t="s">
        <v>4572</v>
      </c>
      <c r="C185" s="290"/>
      <c r="D185" s="18" t="str">
        <f>wld_az1_rack5_vsan_fault_domain</f>
        <v>Value Missing</v>
      </c>
      <c r="E185" s="53"/>
    </row>
    <row r="186" spans="2:5" ht="20" customHeight="1">
      <c r="B186" s="21" t="s">
        <v>2193</v>
      </c>
      <c r="C186" s="290"/>
      <c r="D186" s="18" t="str" cm="1">
        <f t="array" ref="D186:D201">wld_az1_rack5_host_hostnames</f>
        <v>Value Missing</v>
      </c>
      <c r="E186" s="53"/>
    </row>
    <row r="187" spans="2:5" ht="20" customHeight="1">
      <c r="B187" s="21" t="s">
        <v>2194</v>
      </c>
      <c r="C187" s="290"/>
      <c r="D187" s="18" t="str">
        <v>Value Missing</v>
      </c>
      <c r="E187" s="53"/>
    </row>
    <row r="188" spans="2:5" ht="20" customHeight="1">
      <c r="B188" s="21" t="s">
        <v>2195</v>
      </c>
      <c r="C188" s="290"/>
      <c r="D188" s="18" t="str">
        <v>Value Missing</v>
      </c>
      <c r="E188" s="53"/>
    </row>
    <row r="189" spans="2:5" ht="20" customHeight="1">
      <c r="B189" s="21" t="s">
        <v>2196</v>
      </c>
      <c r="C189" s="290"/>
      <c r="D189" s="18" t="str">
        <v>Value Missing</v>
      </c>
      <c r="E189" s="53"/>
    </row>
    <row r="190" spans="2:5" ht="20" customHeight="1">
      <c r="B190" s="21" t="s">
        <v>4175</v>
      </c>
      <c r="C190" s="290"/>
      <c r="D190" s="18" t="str">
        <v>Value Missing</v>
      </c>
      <c r="E190" s="53"/>
    </row>
    <row r="191" spans="2:5" ht="20" customHeight="1">
      <c r="B191" s="21" t="s">
        <v>4176</v>
      </c>
      <c r="C191" s="290"/>
      <c r="D191" s="18" t="str">
        <v>Value Missing</v>
      </c>
      <c r="E191" s="53"/>
    </row>
    <row r="192" spans="2:5" ht="20" customHeight="1">
      <c r="B192" s="21" t="s">
        <v>4177</v>
      </c>
      <c r="C192" s="290"/>
      <c r="D192" s="18" t="str">
        <v>Value Missing</v>
      </c>
      <c r="E192" s="53"/>
    </row>
    <row r="193" spans="2:5" ht="20" customHeight="1">
      <c r="B193" s="21" t="s">
        <v>4178</v>
      </c>
      <c r="C193" s="290"/>
      <c r="D193" s="18" t="str">
        <v>Value Missing</v>
      </c>
      <c r="E193" s="53"/>
    </row>
    <row r="194" spans="2:5" ht="20" customHeight="1">
      <c r="B194" s="21" t="s">
        <v>4179</v>
      </c>
      <c r="C194" s="290"/>
      <c r="D194" s="18" t="str">
        <v>Value Missing</v>
      </c>
      <c r="E194" s="53"/>
    </row>
    <row r="195" spans="2:5" ht="20" customHeight="1">
      <c r="B195" s="21" t="s">
        <v>4180</v>
      </c>
      <c r="C195" s="290"/>
      <c r="D195" s="18" t="str">
        <v>Value Missing</v>
      </c>
      <c r="E195" s="53"/>
    </row>
    <row r="196" spans="2:5" ht="20" customHeight="1">
      <c r="B196" s="21" t="s">
        <v>4181</v>
      </c>
      <c r="C196" s="290"/>
      <c r="D196" s="18" t="str">
        <v>Value Missing</v>
      </c>
      <c r="E196" s="53"/>
    </row>
    <row r="197" spans="2:5" ht="20" customHeight="1">
      <c r="B197" s="21" t="s">
        <v>4182</v>
      </c>
      <c r="C197" s="290"/>
      <c r="D197" s="18" t="str">
        <v>Value Missing</v>
      </c>
      <c r="E197" s="53"/>
    </row>
    <row r="198" spans="2:5" ht="20" customHeight="1">
      <c r="B198" s="21" t="s">
        <v>4183</v>
      </c>
      <c r="C198" s="290"/>
      <c r="D198" s="18" t="str">
        <v>Value Missing</v>
      </c>
      <c r="E198" s="53"/>
    </row>
    <row r="199" spans="2:5" ht="20" customHeight="1">
      <c r="B199" s="21" t="s">
        <v>4184</v>
      </c>
      <c r="C199" s="290"/>
      <c r="D199" s="18" t="str">
        <v>Value Missing</v>
      </c>
      <c r="E199" s="53"/>
    </row>
    <row r="200" spans="2:5" ht="20" customHeight="1">
      <c r="B200" s="21" t="s">
        <v>4185</v>
      </c>
      <c r="C200" s="290"/>
      <c r="D200" s="18" t="str">
        <v>Value Missing</v>
      </c>
      <c r="E200" s="53"/>
    </row>
    <row r="201" spans="2:5" ht="20" customHeight="1">
      <c r="B201" s="21" t="s">
        <v>4186</v>
      </c>
      <c r="C201" s="290"/>
      <c r="D201" s="18" t="str">
        <v>Value Missing</v>
      </c>
      <c r="E201" s="53"/>
    </row>
    <row r="202" spans="2:5" ht="20" customHeight="1">
      <c r="B202" s="21" t="s">
        <v>4573</v>
      </c>
      <c r="C202" s="290"/>
      <c r="D202" s="18" t="str">
        <f>wld_az1_rack6_vsan_fault_domain</f>
        <v>Value Missing</v>
      </c>
      <c r="E202" s="53"/>
    </row>
    <row r="203" spans="2:5" ht="20" customHeight="1">
      <c r="B203" s="21" t="s">
        <v>2193</v>
      </c>
      <c r="C203" s="290"/>
      <c r="D203" s="18" t="str" cm="1">
        <f t="array" ref="D203:D218">wld_az1_rack6_host_hostnames</f>
        <v>Value Missing</v>
      </c>
      <c r="E203" s="53"/>
    </row>
    <row r="204" spans="2:5" ht="20" customHeight="1">
      <c r="B204" s="21" t="s">
        <v>2194</v>
      </c>
      <c r="C204" s="290"/>
      <c r="D204" s="18" t="str">
        <v>Value Missing</v>
      </c>
      <c r="E204" s="53"/>
    </row>
    <row r="205" spans="2:5" ht="20" customHeight="1">
      <c r="B205" s="21" t="s">
        <v>2195</v>
      </c>
      <c r="C205" s="290"/>
      <c r="D205" s="18" t="str">
        <v>Value Missing</v>
      </c>
      <c r="E205" s="53"/>
    </row>
    <row r="206" spans="2:5" ht="20" customHeight="1">
      <c r="B206" s="21" t="s">
        <v>2196</v>
      </c>
      <c r="C206" s="290"/>
      <c r="D206" s="18" t="str">
        <v>Value Missing</v>
      </c>
      <c r="E206" s="53"/>
    </row>
    <row r="207" spans="2:5" ht="20" customHeight="1">
      <c r="B207" s="21" t="s">
        <v>4175</v>
      </c>
      <c r="C207" s="290"/>
      <c r="D207" s="18" t="str">
        <v>Value Missing</v>
      </c>
      <c r="E207" s="53"/>
    </row>
    <row r="208" spans="2:5" ht="20" customHeight="1">
      <c r="B208" s="21" t="s">
        <v>4176</v>
      </c>
      <c r="C208" s="290"/>
      <c r="D208" s="18" t="str">
        <v>Value Missing</v>
      </c>
      <c r="E208" s="53"/>
    </row>
    <row r="209" spans="2:5" ht="20" customHeight="1">
      <c r="B209" s="21" t="s">
        <v>4177</v>
      </c>
      <c r="C209" s="290"/>
      <c r="D209" s="18" t="str">
        <v>Value Missing</v>
      </c>
      <c r="E209" s="53"/>
    </row>
    <row r="210" spans="2:5" ht="20" customHeight="1">
      <c r="B210" s="21" t="s">
        <v>4178</v>
      </c>
      <c r="C210" s="290"/>
      <c r="D210" s="18" t="str">
        <v>Value Missing</v>
      </c>
      <c r="E210" s="53"/>
    </row>
    <row r="211" spans="2:5" ht="20" customHeight="1">
      <c r="B211" s="21" t="s">
        <v>4179</v>
      </c>
      <c r="C211" s="290"/>
      <c r="D211" s="18" t="str">
        <v>Value Missing</v>
      </c>
      <c r="E211" s="53"/>
    </row>
    <row r="212" spans="2:5" ht="20" customHeight="1">
      <c r="B212" s="21" t="s">
        <v>4180</v>
      </c>
      <c r="C212" s="290"/>
      <c r="D212" s="18" t="str">
        <v>Value Missing</v>
      </c>
      <c r="E212" s="53"/>
    </row>
    <row r="213" spans="2:5" ht="20" customHeight="1">
      <c r="B213" s="21" t="s">
        <v>4181</v>
      </c>
      <c r="C213" s="290"/>
      <c r="D213" s="18" t="str">
        <v>Value Missing</v>
      </c>
      <c r="E213" s="53"/>
    </row>
    <row r="214" spans="2:5" ht="20" customHeight="1">
      <c r="B214" s="21" t="s">
        <v>4182</v>
      </c>
      <c r="C214" s="290"/>
      <c r="D214" s="18" t="str">
        <v>Value Missing</v>
      </c>
      <c r="E214" s="53"/>
    </row>
    <row r="215" spans="2:5" ht="20" customHeight="1">
      <c r="B215" s="21" t="s">
        <v>4183</v>
      </c>
      <c r="C215" s="290"/>
      <c r="D215" s="18" t="str">
        <v>Value Missing</v>
      </c>
      <c r="E215" s="53"/>
    </row>
    <row r="216" spans="2:5" ht="20" customHeight="1">
      <c r="B216" s="21" t="s">
        <v>4184</v>
      </c>
      <c r="C216" s="290"/>
      <c r="D216" s="18" t="str">
        <v>Value Missing</v>
      </c>
      <c r="E216" s="53"/>
    </row>
    <row r="217" spans="2:5" ht="20" customHeight="1">
      <c r="B217" s="21" t="s">
        <v>4185</v>
      </c>
      <c r="C217" s="290"/>
      <c r="D217" s="18" t="str">
        <v>Value Missing</v>
      </c>
      <c r="E217" s="53"/>
    </row>
    <row r="218" spans="2:5" ht="20" customHeight="1">
      <c r="B218" s="21" t="s">
        <v>4186</v>
      </c>
      <c r="C218" s="290"/>
      <c r="D218" s="18" t="str">
        <v>Value Missing</v>
      </c>
      <c r="E218" s="53"/>
    </row>
    <row r="219" spans="2:5" ht="20" customHeight="1">
      <c r="B219" s="21" t="s">
        <v>4574</v>
      </c>
      <c r="C219" s="290"/>
      <c r="D219" s="18" t="str">
        <f>wld_az1_rack7_vsan_fault_domain</f>
        <v>Value Missing</v>
      </c>
      <c r="E219" s="53"/>
    </row>
    <row r="220" spans="2:5" ht="20" customHeight="1">
      <c r="B220" s="21" t="s">
        <v>2193</v>
      </c>
      <c r="C220" s="290"/>
      <c r="D220" s="18" t="str" cm="1">
        <f t="array" ref="D220:D235">wld_az1_rack7_host_hostnames</f>
        <v>Value Missing</v>
      </c>
      <c r="E220" s="53"/>
    </row>
    <row r="221" spans="2:5" ht="20" customHeight="1">
      <c r="B221" s="21" t="s">
        <v>2194</v>
      </c>
      <c r="C221" s="290"/>
      <c r="D221" s="18" t="str">
        <v>Value Missing</v>
      </c>
      <c r="E221" s="53"/>
    </row>
    <row r="222" spans="2:5" ht="20" customHeight="1">
      <c r="B222" s="21" t="s">
        <v>2195</v>
      </c>
      <c r="C222" s="290"/>
      <c r="D222" s="18" t="str">
        <v>Value Missing</v>
      </c>
      <c r="E222" s="53"/>
    </row>
    <row r="223" spans="2:5" ht="20" customHeight="1">
      <c r="B223" s="21" t="s">
        <v>2196</v>
      </c>
      <c r="C223" s="290"/>
      <c r="D223" s="18" t="str">
        <v>Value Missing</v>
      </c>
      <c r="E223" s="53"/>
    </row>
    <row r="224" spans="2:5" ht="20" customHeight="1">
      <c r="B224" s="21" t="s">
        <v>4175</v>
      </c>
      <c r="C224" s="290"/>
      <c r="D224" s="18" t="str">
        <v>Value Missing</v>
      </c>
      <c r="E224" s="53"/>
    </row>
    <row r="225" spans="2:5" ht="20" customHeight="1">
      <c r="B225" s="21" t="s">
        <v>4176</v>
      </c>
      <c r="C225" s="290"/>
      <c r="D225" s="18" t="str">
        <v>Value Missing</v>
      </c>
      <c r="E225" s="53"/>
    </row>
    <row r="226" spans="2:5" ht="20" customHeight="1">
      <c r="B226" s="21" t="s">
        <v>4177</v>
      </c>
      <c r="C226" s="290"/>
      <c r="D226" s="18" t="str">
        <v>Value Missing</v>
      </c>
      <c r="E226" s="53"/>
    </row>
    <row r="227" spans="2:5" ht="20" customHeight="1">
      <c r="B227" s="21" t="s">
        <v>4178</v>
      </c>
      <c r="C227" s="290"/>
      <c r="D227" s="18" t="str">
        <v>Value Missing</v>
      </c>
      <c r="E227" s="53"/>
    </row>
    <row r="228" spans="2:5" ht="20" customHeight="1">
      <c r="B228" s="21" t="s">
        <v>4179</v>
      </c>
      <c r="C228" s="290"/>
      <c r="D228" s="18" t="str">
        <v>Value Missing</v>
      </c>
      <c r="E228" s="53"/>
    </row>
    <row r="229" spans="2:5" ht="20" customHeight="1">
      <c r="B229" s="21" t="s">
        <v>4180</v>
      </c>
      <c r="C229" s="290"/>
      <c r="D229" s="18" t="str">
        <v>Value Missing</v>
      </c>
      <c r="E229" s="53"/>
    </row>
    <row r="230" spans="2:5" ht="20" customHeight="1">
      <c r="B230" s="21" t="s">
        <v>4181</v>
      </c>
      <c r="C230" s="290"/>
      <c r="D230" s="18" t="str">
        <v>Value Missing</v>
      </c>
      <c r="E230" s="53"/>
    </row>
    <row r="231" spans="2:5" ht="20" customHeight="1">
      <c r="B231" s="21" t="s">
        <v>4182</v>
      </c>
      <c r="C231" s="290"/>
      <c r="D231" s="18" t="str">
        <v>Value Missing</v>
      </c>
      <c r="E231" s="53"/>
    </row>
    <row r="232" spans="2:5" ht="20" customHeight="1">
      <c r="B232" s="21" t="s">
        <v>4183</v>
      </c>
      <c r="C232" s="290"/>
      <c r="D232" s="18" t="str">
        <v>Value Missing</v>
      </c>
      <c r="E232" s="53"/>
    </row>
    <row r="233" spans="2:5" ht="20" customHeight="1">
      <c r="B233" s="21" t="s">
        <v>4184</v>
      </c>
      <c r="C233" s="290"/>
      <c r="D233" s="18" t="str">
        <v>Value Missing</v>
      </c>
      <c r="E233" s="53"/>
    </row>
    <row r="234" spans="2:5" ht="20" customHeight="1">
      <c r="B234" s="21" t="s">
        <v>4185</v>
      </c>
      <c r="C234" s="290"/>
      <c r="D234" s="18" t="str">
        <v>Value Missing</v>
      </c>
      <c r="E234" s="53"/>
    </row>
    <row r="235" spans="2:5" ht="20" customHeight="1">
      <c r="B235" s="21" t="s">
        <v>4186</v>
      </c>
      <c r="C235" s="290"/>
      <c r="D235" s="18" t="str">
        <v>Value Missing</v>
      </c>
      <c r="E235" s="53"/>
    </row>
    <row r="236" spans="2:5" ht="20" customHeight="1">
      <c r="B236" s="21" t="s">
        <v>4575</v>
      </c>
      <c r="C236" s="290"/>
      <c r="D236" s="18" t="str">
        <f>wld_az1_rack8_vsan_fault_domain</f>
        <v>Value Missing</v>
      </c>
      <c r="E236" s="53"/>
    </row>
    <row r="237" spans="2:5" ht="20" customHeight="1">
      <c r="B237" s="21" t="s">
        <v>2193</v>
      </c>
      <c r="C237" s="290"/>
      <c r="D237" s="18" t="str" cm="1">
        <f t="array" ref="D237:D252">wld_az1_rack8_host_hostnames</f>
        <v>Value Missing</v>
      </c>
      <c r="E237" s="53"/>
    </row>
    <row r="238" spans="2:5" ht="20" customHeight="1">
      <c r="B238" s="21" t="s">
        <v>2194</v>
      </c>
      <c r="C238" s="290"/>
      <c r="D238" s="18" t="str">
        <v>Value Missing</v>
      </c>
      <c r="E238" s="53"/>
    </row>
    <row r="239" spans="2:5" ht="20" customHeight="1">
      <c r="B239" s="21" t="s">
        <v>2195</v>
      </c>
      <c r="C239" s="290"/>
      <c r="D239" s="18" t="str">
        <v>Value Missing</v>
      </c>
      <c r="E239" s="53"/>
    </row>
    <row r="240" spans="2:5" ht="20" customHeight="1">
      <c r="B240" s="21" t="s">
        <v>2196</v>
      </c>
      <c r="C240" s="290"/>
      <c r="D240" s="18" t="str">
        <v>Value Missing</v>
      </c>
      <c r="E240" s="53"/>
    </row>
    <row r="241" spans="2:5" ht="20" customHeight="1">
      <c r="B241" s="21" t="s">
        <v>4175</v>
      </c>
      <c r="C241" s="290"/>
      <c r="D241" s="18" t="str">
        <v>Value Missing</v>
      </c>
      <c r="E241" s="53"/>
    </row>
    <row r="242" spans="2:5" ht="20" customHeight="1">
      <c r="B242" s="21" t="s">
        <v>4176</v>
      </c>
      <c r="C242" s="290"/>
      <c r="D242" s="18" t="str">
        <v>Value Missing</v>
      </c>
      <c r="E242" s="53"/>
    </row>
    <row r="243" spans="2:5" ht="20" customHeight="1">
      <c r="B243" s="21" t="s">
        <v>4177</v>
      </c>
      <c r="C243" s="290"/>
      <c r="D243" s="18" t="str">
        <v>Value Missing</v>
      </c>
      <c r="E243" s="53"/>
    </row>
    <row r="244" spans="2:5" ht="20" customHeight="1">
      <c r="B244" s="21" t="s">
        <v>4178</v>
      </c>
      <c r="C244" s="290"/>
      <c r="D244" s="18" t="str">
        <v>Value Missing</v>
      </c>
      <c r="E244" s="53"/>
    </row>
    <row r="245" spans="2:5" ht="20" customHeight="1">
      <c r="B245" s="21" t="s">
        <v>4179</v>
      </c>
      <c r="C245" s="290"/>
      <c r="D245" s="18" t="str">
        <v>Value Missing</v>
      </c>
      <c r="E245" s="53"/>
    </row>
    <row r="246" spans="2:5" ht="20" customHeight="1">
      <c r="B246" s="21" t="s">
        <v>4180</v>
      </c>
      <c r="C246" s="290"/>
      <c r="D246" s="18" t="str">
        <v>Value Missing</v>
      </c>
      <c r="E246" s="53"/>
    </row>
    <row r="247" spans="2:5" ht="20" customHeight="1">
      <c r="B247" s="21" t="s">
        <v>4181</v>
      </c>
      <c r="C247" s="290"/>
      <c r="D247" s="18" t="str">
        <v>Value Missing</v>
      </c>
      <c r="E247" s="53"/>
    </row>
    <row r="248" spans="2:5" ht="20" customHeight="1">
      <c r="B248" s="21" t="s">
        <v>4182</v>
      </c>
      <c r="C248" s="290"/>
      <c r="D248" s="18" t="str">
        <v>Value Missing</v>
      </c>
      <c r="E248" s="53"/>
    </row>
    <row r="249" spans="2:5" ht="20" customHeight="1">
      <c r="B249" s="21" t="s">
        <v>4183</v>
      </c>
      <c r="C249" s="290"/>
      <c r="D249" s="18" t="str">
        <v>Value Missing</v>
      </c>
      <c r="E249" s="53"/>
    </row>
    <row r="250" spans="2:5" ht="20" customHeight="1">
      <c r="B250" s="21" t="s">
        <v>4184</v>
      </c>
      <c r="C250" s="290"/>
      <c r="D250" s="18" t="str">
        <v>Value Missing</v>
      </c>
      <c r="E250" s="53"/>
    </row>
    <row r="251" spans="2:5" ht="16" customHeight="1">
      <c r="B251" s="21" t="s">
        <v>4185</v>
      </c>
      <c r="C251" s="290"/>
      <c r="D251" s="18" t="str">
        <v>Value Missing</v>
      </c>
      <c r="E251" s="53"/>
    </row>
    <row r="252" spans="2:5" ht="20" customHeight="1">
      <c r="B252" s="21" t="s">
        <v>4186</v>
      </c>
      <c r="C252" s="290"/>
      <c r="D252" s="18" t="str">
        <v>Value Missing</v>
      </c>
      <c r="E252" s="53"/>
    </row>
    <row r="253" spans="2:5" ht="16" customHeight="1"/>
    <row r="254" spans="2:5" ht="34" customHeight="1">
      <c r="B254" s="427" t="s">
        <v>4201</v>
      </c>
      <c r="C254" s="428"/>
      <c r="D254" s="428"/>
      <c r="E254" s="426"/>
    </row>
    <row r="255" spans="2:5" ht="20" customHeight="1">
      <c r="B255" s="8" t="s">
        <v>735</v>
      </c>
      <c r="C255" s="8" t="s">
        <v>554</v>
      </c>
      <c r="D255" s="20" t="s">
        <v>555</v>
      </c>
      <c r="E255" s="8" t="s">
        <v>1989</v>
      </c>
    </row>
    <row r="256" spans="2:5" ht="20" customHeight="1">
      <c r="B256" s="52" t="s">
        <v>2176</v>
      </c>
      <c r="C256" s="53"/>
      <c r="D256" s="18" t="str">
        <f>IF(wld_principal_storage_chosen="vSAN-ESA","vSAN-ESA",IF(wld_principal_storage_chosen="vSAN-OSA","vSAN-OSA",IF(wld_principal_storage_chosen="NFS","NFS",IF(wld_principal_storage_chosen="VMFS on FC","VMFS on FC","vVOL"))))</f>
        <v>vSAN-ESA</v>
      </c>
      <c r="E256" s="53"/>
    </row>
    <row r="257" spans="2:5" ht="20" customHeight="1">
      <c r="B257" s="52" t="s">
        <v>906</v>
      </c>
      <c r="C257" s="52"/>
      <c r="D257" s="18" t="str">
        <f>wld_cl02_cluster</f>
        <v>Value Missing</v>
      </c>
      <c r="E257" s="52"/>
    </row>
    <row r="258" spans="2:5" ht="20" customHeight="1">
      <c r="B258" s="52" t="s">
        <v>4442</v>
      </c>
      <c r="C258" s="52"/>
      <c r="D258" s="18"/>
      <c r="E258" s="52"/>
    </row>
    <row r="259" spans="2:5" ht="20" customHeight="1">
      <c r="B259" s="52" t="s">
        <v>4202</v>
      </c>
      <c r="C259" s="52"/>
      <c r="D259" s="18" t="str">
        <f>wld_cl02_vsan_ftt</f>
        <v>Value Missing</v>
      </c>
      <c r="E259" s="52"/>
    </row>
    <row r="260" spans="2:5" ht="20" customHeight="1">
      <c r="B260" s="52" t="s">
        <v>4203</v>
      </c>
      <c r="C260" s="52"/>
      <c r="D260" s="18" t="str">
        <f>wld_cl02_vsan_dedupe_compression</f>
        <v>Value Missing</v>
      </c>
      <c r="E260" s="52"/>
    </row>
    <row r="261" spans="2:5" ht="20" customHeight="1">
      <c r="B261" s="52" t="s">
        <v>2193</v>
      </c>
      <c r="C261" s="52"/>
      <c r="D261" s="94" t="e" cm="1" vm="2">
        <f t="array" ref="D261">_xlfn.LET(_xlpm.filt,_xlfn._xlws.FILTER('Static Reference Tables'!C393:C408,"Dedicated Edge"='Static Reference Tables'!B393:B408),_xlpm.n,ROWS(_xlpm.filt),INDEX(_xlpm.filt,_xlfn.SEQUENCE(_xlpm.n)))</f>
        <v>#VALUE!</v>
      </c>
      <c r="E261" s="53"/>
    </row>
    <row r="262" spans="2:5" ht="20" customHeight="1">
      <c r="B262" s="52" t="s">
        <v>2194</v>
      </c>
      <c r="C262" s="52"/>
      <c r="D262" s="94"/>
      <c r="E262" s="52"/>
    </row>
    <row r="263" spans="2:5" ht="20" customHeight="1">
      <c r="B263" s="52" t="s">
        <v>2195</v>
      </c>
      <c r="C263" s="52"/>
      <c r="D263" s="94"/>
      <c r="E263" s="52"/>
    </row>
    <row r="264" spans="2:5" ht="20" customHeight="1">
      <c r="B264" s="52" t="s">
        <v>2196</v>
      </c>
      <c r="C264" s="52"/>
      <c r="D264" s="94"/>
      <c r="E264" s="52"/>
    </row>
    <row r="265" spans="2:5" ht="20" customHeight="1">
      <c r="B265" s="52" t="s">
        <v>4175</v>
      </c>
      <c r="C265" s="52"/>
      <c r="D265" s="94"/>
      <c r="E265" s="52"/>
    </row>
    <row r="266" spans="2:5" ht="20" customHeight="1">
      <c r="B266" s="52" t="s">
        <v>4176</v>
      </c>
      <c r="C266" s="52"/>
      <c r="D266" s="94"/>
      <c r="E266" s="52"/>
    </row>
    <row r="267" spans="2:5" ht="20" customHeight="1">
      <c r="B267" s="52" t="s">
        <v>4177</v>
      </c>
      <c r="C267" s="52"/>
      <c r="D267" s="94"/>
      <c r="E267" s="52"/>
    </row>
    <row r="268" spans="2:5" ht="20" customHeight="1">
      <c r="B268" s="52" t="s">
        <v>4178</v>
      </c>
      <c r="C268" s="52"/>
      <c r="D268" s="94"/>
      <c r="E268" s="52"/>
    </row>
    <row r="269" spans="2:5" ht="20" customHeight="1">
      <c r="B269" s="52" t="s">
        <v>4179</v>
      </c>
      <c r="C269" s="52"/>
      <c r="D269" s="94"/>
      <c r="E269" s="52"/>
    </row>
    <row r="270" spans="2:5" ht="20" customHeight="1">
      <c r="B270" s="52" t="s">
        <v>4180</v>
      </c>
      <c r="C270" s="52"/>
      <c r="D270" s="94"/>
      <c r="E270" s="52"/>
    </row>
    <row r="271" spans="2:5" ht="20" customHeight="1">
      <c r="B271" s="52" t="s">
        <v>4181</v>
      </c>
      <c r="C271" s="52"/>
      <c r="D271" s="94"/>
      <c r="E271" s="52"/>
    </row>
    <row r="272" spans="2:5" ht="20" customHeight="1">
      <c r="B272" s="52" t="s">
        <v>4182</v>
      </c>
      <c r="C272" s="52"/>
      <c r="D272" s="94"/>
      <c r="E272" s="52"/>
    </row>
    <row r="273" spans="2:5" ht="20" customHeight="1">
      <c r="B273" s="52" t="s">
        <v>4183</v>
      </c>
      <c r="C273" s="52"/>
      <c r="D273" s="94"/>
      <c r="E273" s="52"/>
    </row>
    <row r="274" spans="2:5" ht="20" customHeight="1">
      <c r="B274" s="52" t="s">
        <v>4184</v>
      </c>
      <c r="C274" s="52"/>
      <c r="D274" s="94"/>
      <c r="E274" s="52"/>
    </row>
    <row r="275" spans="2:5" ht="20" customHeight="1">
      <c r="B275" s="52" t="s">
        <v>4185</v>
      </c>
      <c r="C275" s="52"/>
      <c r="D275" s="94"/>
      <c r="E275" s="52"/>
    </row>
    <row r="276" spans="2:5" ht="20" customHeight="1">
      <c r="B276" s="52" t="s">
        <v>4186</v>
      </c>
      <c r="C276" s="52"/>
      <c r="D276" s="94"/>
      <c r="E276" s="52"/>
    </row>
    <row r="277" spans="2:5" ht="20" customHeight="1">
      <c r="B277" s="52" t="s">
        <v>3498</v>
      </c>
      <c r="C277" s="22"/>
      <c r="D277" s="18" t="s">
        <v>4418</v>
      </c>
      <c r="E277" s="53"/>
    </row>
    <row r="278" spans="2:5" ht="20" customHeight="1">
      <c r="B278" s="52" t="s">
        <v>4419</v>
      </c>
      <c r="C278" s="22"/>
      <c r="D278" s="18" t="str">
        <f>wld_cl02_vds_profile</f>
        <v>Default</v>
      </c>
      <c r="E278" s="53"/>
    </row>
    <row r="279" spans="2:5" ht="20" customHeight="1">
      <c r="B279" s="52" t="s">
        <v>3496</v>
      </c>
      <c r="C279" s="22" t="str">
        <f>sample_wld_cl01_vds01_name</f>
        <v>sfo-w01-cl01-vds01</v>
      </c>
      <c r="D279" s="18" t="str">
        <f>wld_cl02_vds01_name</f>
        <v>Value Missing</v>
      </c>
      <c r="E279" s="53"/>
    </row>
    <row r="280" spans="2:5" ht="20" customHeight="1">
      <c r="B280" s="52" t="s">
        <v>1828</v>
      </c>
      <c r="C280" s="22">
        <f>sample_wld_cl02_vds01_mtu</f>
        <v>9000</v>
      </c>
      <c r="D280" s="18" t="str">
        <f>wld_cl02_vds01_mtu</f>
        <v>Value Missing</v>
      </c>
      <c r="E280" s="53"/>
    </row>
    <row r="281" spans="2:5" ht="20" customHeight="1">
      <c r="B281" s="52" t="s">
        <v>4420</v>
      </c>
      <c r="C281" s="22"/>
      <c r="D281" s="18">
        <v>2</v>
      </c>
      <c r="E281" s="53"/>
    </row>
    <row r="282" spans="2:5" ht="20" customHeight="1">
      <c r="B282" s="52" t="s">
        <v>4421</v>
      </c>
      <c r="C282" s="22"/>
      <c r="D282" s="18" t="s">
        <v>4652</v>
      </c>
      <c r="E282" s="53"/>
    </row>
    <row r="283" spans="2:5" ht="20" customHeight="1">
      <c r="B283" s="52" t="s">
        <v>4422</v>
      </c>
      <c r="C283" s="22"/>
      <c r="D283" s="18" t="s">
        <v>4653</v>
      </c>
      <c r="E283" s="53"/>
    </row>
    <row r="284" spans="2:5" ht="20" customHeight="1">
      <c r="B284" s="52" t="s">
        <v>4424</v>
      </c>
      <c r="C284" s="22"/>
      <c r="D284" s="18" t="str">
        <f>wld_cl02_az1_mgmt_pg</f>
        <v>Value Missing</v>
      </c>
      <c r="E284" s="53"/>
    </row>
    <row r="285" spans="2:5" ht="20" customHeight="1">
      <c r="B285" s="52" t="s">
        <v>4425</v>
      </c>
      <c r="C285" s="22"/>
      <c r="D285" s="18" t="str">
        <f>wld_cl02_az1_vmotion_pg</f>
        <v>Value Missing</v>
      </c>
      <c r="E285" s="53"/>
    </row>
    <row r="286" spans="2:5" ht="20" customHeight="1">
      <c r="B286" s="52" t="s">
        <v>4428</v>
      </c>
      <c r="C286" s="22"/>
      <c r="D286" s="18" t="str">
        <f>wld_cl02_az1_principal_storage_pg</f>
        <v>Value Missing</v>
      </c>
      <c r="E286" s="53"/>
    </row>
    <row r="287" spans="2:5" ht="20" customHeight="1">
      <c r="B287" s="52" t="s">
        <v>4426</v>
      </c>
      <c r="C287" s="22" t="str">
        <f>sample_wld_az1_host_overlay_vlan</f>
        <v>1314</v>
      </c>
      <c r="D287" s="18" t="str">
        <f>wld_az1_second_edge_cluster_host_overlay_vlan_output</f>
        <v>Value Missing</v>
      </c>
      <c r="E287" s="53"/>
    </row>
    <row r="288" spans="2:5" ht="20" customHeight="1">
      <c r="B288" s="52" t="s">
        <v>2192</v>
      </c>
      <c r="C288" s="22" t="str">
        <f>IF(wld_host_overlay_addressing_chosen="DHCP","DHCP","Static IP Pool")</f>
        <v>Static IP Pool</v>
      </c>
      <c r="D288" s="18" t="str">
        <f>IF(wld_host_overlay_addressing_chosen="DHCP","DHCP","Static IP Pool")</f>
        <v>Static IP Pool</v>
      </c>
      <c r="E288" s="53"/>
    </row>
    <row r="289" spans="2:5" ht="20" customHeight="1">
      <c r="B289" s="52" t="s">
        <v>1772</v>
      </c>
      <c r="C289" s="22"/>
      <c r="D289" s="18" t="str">
        <f>wld_az1_second_edge_cluster_host_overlay_network_pool_name_output</f>
        <v>Value Missing</v>
      </c>
      <c r="E289" s="53"/>
    </row>
    <row r="290" spans="2:5" ht="20" customHeight="1">
      <c r="B290" s="52" t="s">
        <v>411</v>
      </c>
      <c r="C290" s="22"/>
      <c r="D290" s="18" t="str">
        <f>wld_az1_second_edge_cluster_host_overlay_cidr_output</f>
        <v>Value Missing</v>
      </c>
      <c r="E290" s="53"/>
    </row>
    <row r="291" spans="2:5" ht="20" customHeight="1">
      <c r="B291" s="52" t="s">
        <v>4204</v>
      </c>
      <c r="C291" s="22"/>
      <c r="D291" s="18" t="str">
        <f>CONCATENATE(wld_az1_second_edge_cluster_host_overlay_pool_start_ip_output,"-",wld_az1_second_edge_cluster_host_overlay_pool_end_ip_output)</f>
        <v>Value Missing-Value Missing</v>
      </c>
      <c r="E291" s="53"/>
    </row>
    <row r="292" spans="2:5" ht="20" customHeight="1">
      <c r="B292" s="52" t="s">
        <v>2022</v>
      </c>
      <c r="C292" s="22"/>
      <c r="D292" s="18" t="str">
        <f>wld_az1_second_edge_cluster_host_overlay_gateway_ip_output</f>
        <v>Value Missing</v>
      </c>
      <c r="E292" s="53"/>
    </row>
    <row r="293" spans="2:5" ht="20" customHeight="1">
      <c r="B293" s="52" t="s">
        <v>4445</v>
      </c>
      <c r="C293" s="22"/>
      <c r="D293" s="18" t="str">
        <f>wld_az1_second_edge_cluster_host_overlay_uplink_profile_name_output</f>
        <v>Value Missing</v>
      </c>
      <c r="E293" s="53"/>
    </row>
    <row r="294" spans="2:5" ht="20" customHeight="1">
      <c r="B294" s="52" t="s">
        <v>3497</v>
      </c>
      <c r="C294" s="22"/>
      <c r="D294" s="18" t="str">
        <f>wld_cl02_vds02_name</f>
        <v>Value Missing</v>
      </c>
      <c r="E294" s="53"/>
    </row>
    <row r="295" spans="2:5" ht="20" customHeight="1">
      <c r="B295" s="52" t="s">
        <v>1828</v>
      </c>
      <c r="C295" s="22"/>
      <c r="D295" s="18" t="str">
        <f>wld_cl02_vds02_mtu</f>
        <v>Value Missing</v>
      </c>
      <c r="E295" s="53"/>
    </row>
    <row r="296" spans="2:5" ht="20" customHeight="1">
      <c r="B296" s="52" t="s">
        <v>4421</v>
      </c>
      <c r="C296" s="22"/>
      <c r="D296" s="18" t="s">
        <v>4497</v>
      </c>
      <c r="E296" s="53"/>
    </row>
    <row r="297" spans="2:5" ht="20" customHeight="1">
      <c r="B297" s="52" t="s">
        <v>4422</v>
      </c>
      <c r="C297" s="22"/>
      <c r="D297" s="18" t="s">
        <v>4498</v>
      </c>
      <c r="E297" s="53"/>
    </row>
    <row r="298" spans="2:5" ht="20" customHeight="1">
      <c r="B298" s="52" t="s">
        <v>4428</v>
      </c>
      <c r="C298" s="22"/>
      <c r="D298" s="18" t="str">
        <f>wld_cl02_az1_principal_storage_pg</f>
        <v>Value Missing</v>
      </c>
      <c r="E298" s="53"/>
    </row>
    <row r="299" spans="2:5" ht="20" customHeight="1">
      <c r="B299" s="52" t="s">
        <v>3503</v>
      </c>
      <c r="C299" s="22"/>
      <c r="D299" s="18" t="str">
        <f>wld_cl02_vds03_name</f>
        <v>Value Missing</v>
      </c>
      <c r="E299" s="53"/>
    </row>
    <row r="300" spans="2:5" ht="20" customHeight="1">
      <c r="B300" s="52" t="s">
        <v>1828</v>
      </c>
      <c r="C300" s="22"/>
      <c r="D300" s="18" t="str">
        <f>wld_cl02_vds03_mtu</f>
        <v>Value Missing</v>
      </c>
      <c r="E300" s="53"/>
    </row>
    <row r="301" spans="2:5" ht="20" customHeight="1">
      <c r="B301" s="52" t="s">
        <v>4421</v>
      </c>
      <c r="C301" s="22"/>
      <c r="D301" s="18" t="s">
        <v>4499</v>
      </c>
      <c r="E301" s="53"/>
    </row>
    <row r="302" spans="2:5" ht="20" customHeight="1">
      <c r="B302" s="52" t="s">
        <v>4422</v>
      </c>
      <c r="C302" s="22"/>
      <c r="D302" s="18" t="s">
        <v>4500</v>
      </c>
      <c r="E302" s="53"/>
    </row>
    <row r="303" spans="2:5" ht="20" customHeight="1">
      <c r="B303" s="52" t="s">
        <v>4427</v>
      </c>
      <c r="C303" s="22" t="str">
        <f>sample_wld_az1_host_overlay_vlan</f>
        <v>1314</v>
      </c>
      <c r="D303" s="18" t="str">
        <f>wld_az1_first_edge_cluster_host_overlay_vlan_output</f>
        <v>Value Missing</v>
      </c>
      <c r="E303" s="53"/>
    </row>
    <row r="304" spans="2:5" ht="20" customHeight="1">
      <c r="B304" s="52" t="s">
        <v>2192</v>
      </c>
      <c r="C304" s="22" t="s">
        <v>4429</v>
      </c>
      <c r="D304" s="18" t="s">
        <v>4429</v>
      </c>
      <c r="E304" s="53"/>
    </row>
    <row r="305" spans="2:5" ht="20" customHeight="1">
      <c r="B305" s="52" t="s">
        <v>1772</v>
      </c>
      <c r="C305" s="22"/>
      <c r="D305" s="18" t="str">
        <f>wld_az1_first_edge_cluster_host_overlay_network_pool_name_output</f>
        <v>Value Missing</v>
      </c>
      <c r="E305" s="53"/>
    </row>
    <row r="306" spans="2:5" ht="20" customHeight="1">
      <c r="B306" s="52" t="s">
        <v>411</v>
      </c>
      <c r="C306" s="22"/>
      <c r="D306" s="18" t="str">
        <f>wld_az1_first_edge_cluster_host_overlay_cidr_output</f>
        <v>Value Missing</v>
      </c>
      <c r="E306" s="53"/>
    </row>
    <row r="307" spans="2:5" ht="20" customHeight="1">
      <c r="B307" s="52" t="s">
        <v>4204</v>
      </c>
      <c r="C307" s="22"/>
      <c r="D307" s="18" t="str">
        <f>CONCATENATE(wld_az1_first_edge_cluster_host_overlay_pool_start_ip_output,"-",wld_az1_first_edge_cluster_host_overlay_pool_end_ip_output)</f>
        <v>Value Missing-Value Missing</v>
      </c>
      <c r="E307" s="53"/>
    </row>
    <row r="308" spans="2:5" ht="20" customHeight="1">
      <c r="B308" s="52" t="s">
        <v>2022</v>
      </c>
      <c r="C308" s="22"/>
      <c r="D308" s="18" t="str">
        <f>wld_az1_first_edge_cluster_host_overlay_gateway_ip_output</f>
        <v>Value Missing</v>
      </c>
      <c r="E308" s="53"/>
    </row>
    <row r="309" spans="2:5" ht="20" customHeight="1">
      <c r="B309" s="52" t="s">
        <v>4445</v>
      </c>
      <c r="C309" s="22"/>
      <c r="D309" s="18" t="str">
        <f>wld_az1_first_edge_cluster_host_overlay_uplink_profile_name_output</f>
        <v>Value Missing</v>
      </c>
      <c r="E309" s="53"/>
    </row>
    <row r="310" spans="2:5" ht="16" customHeight="1">
      <c r="B310" s="52" t="s">
        <v>2197</v>
      </c>
      <c r="C310" s="22" t="s">
        <v>452</v>
      </c>
      <c r="D310" s="18" t="str">
        <f>esx_std_license</f>
        <v>Value Missing</v>
      </c>
      <c r="E310" s="53"/>
    </row>
    <row r="311" spans="2:5" ht="16" customHeight="1">
      <c r="B311" s="52" t="s">
        <v>2198</v>
      </c>
      <c r="C311" s="22" t="s">
        <v>452</v>
      </c>
      <c r="D311" s="18" t="str">
        <f>vsan_license</f>
        <v>Value Missing</v>
      </c>
      <c r="E311" s="53"/>
    </row>
    <row r="312" spans="2:5" ht="16" customHeight="1"/>
    <row r="313" spans="2:5" ht="34" customHeight="1">
      <c r="B313" s="344" t="s">
        <v>4205</v>
      </c>
      <c r="C313" s="344"/>
      <c r="D313" s="344"/>
      <c r="E313" s="344"/>
    </row>
    <row r="314" spans="2:5" ht="20" customHeight="1">
      <c r="B314" s="8" t="s">
        <v>735</v>
      </c>
      <c r="C314" s="8" t="s">
        <v>554</v>
      </c>
      <c r="D314" s="20" t="s">
        <v>555</v>
      </c>
      <c r="E314" s="8" t="s">
        <v>1989</v>
      </c>
    </row>
    <row r="315" spans="2:5" ht="20" customHeight="1">
      <c r="B315" s="52" t="s">
        <v>2176</v>
      </c>
      <c r="C315" s="53"/>
      <c r="D315" s="18" t="str">
        <f>IF(wld_principal_storage_chosen="vSAN-ESA","vSAN-ESA",IF(wld_principal_storage_chosen="vSAN-OSA","vSAN-OSA",IF(wld_principal_storage_chosen="NFS","NFS",IF(wld_principal_storage_chosen="VMFS on FC","VMFS on FC","vVOL"))))</f>
        <v>vSAN-ESA</v>
      </c>
      <c r="E315" s="53"/>
    </row>
    <row r="316" spans="2:5" ht="20" customHeight="1">
      <c r="B316" s="52" t="s">
        <v>906</v>
      </c>
      <c r="C316" s="52"/>
      <c r="D316" s="18" t="str">
        <f>wld_cl03_cluster</f>
        <v>Value Missing</v>
      </c>
      <c r="E316" s="52"/>
    </row>
    <row r="317" spans="2:5" ht="20" customHeight="1">
      <c r="B317" s="52" t="s">
        <v>4442</v>
      </c>
      <c r="C317" s="52"/>
      <c r="D317" s="18"/>
      <c r="E317" s="52"/>
    </row>
    <row r="318" spans="2:5" ht="20" customHeight="1">
      <c r="B318" s="52" t="s">
        <v>4202</v>
      </c>
      <c r="C318" s="52"/>
      <c r="D318" s="18" t="str">
        <f>wld_cl03_vsan_ftt</f>
        <v>Value Missing</v>
      </c>
      <c r="E318" s="52"/>
    </row>
    <row r="319" spans="2:5" ht="20" customHeight="1">
      <c r="B319" s="52" t="s">
        <v>4203</v>
      </c>
      <c r="C319" s="52"/>
      <c r="D319" s="18" t="str">
        <f>wld_cl03_vsan_dedupe_compression</f>
        <v>Value Missing</v>
      </c>
      <c r="E319" s="52"/>
    </row>
    <row r="320" spans="2:5" ht="20" customHeight="1">
      <c r="B320" s="52" t="s">
        <v>2193</v>
      </c>
      <c r="C320" s="52"/>
      <c r="D320" s="18" t="e" cm="1" vm="2">
        <f t="array" ref="D320">_xlfn.LET(_xlpm.filt,_xlfn._xlws.FILTER('Static Reference Tables'!C411:C426,"Dedicated Edge"='Static Reference Tables'!B411:B426),_xlpm.n,ROWS(_xlpm.filt),INDEX(_xlpm.filt,_xlfn.SEQUENCE(_xlpm.n)))</f>
        <v>#VALUE!</v>
      </c>
      <c r="E320" s="52"/>
    </row>
    <row r="321" spans="2:7" ht="20" customHeight="1">
      <c r="B321" s="52" t="s">
        <v>2194</v>
      </c>
      <c r="C321" s="52"/>
      <c r="D321" s="18"/>
      <c r="E321" s="52"/>
    </row>
    <row r="322" spans="2:7" ht="20" customHeight="1">
      <c r="B322" s="52" t="s">
        <v>2195</v>
      </c>
      <c r="C322" s="52"/>
      <c r="D322" s="18"/>
      <c r="E322" s="52"/>
      <c r="G322" s="91"/>
    </row>
    <row r="323" spans="2:7" ht="20" customHeight="1">
      <c r="B323" s="52" t="s">
        <v>2196</v>
      </c>
      <c r="C323" s="52"/>
      <c r="D323" s="94"/>
      <c r="E323" s="52"/>
    </row>
    <row r="324" spans="2:7" ht="20" customHeight="1">
      <c r="B324" s="52" t="s">
        <v>4175</v>
      </c>
      <c r="C324" s="52"/>
      <c r="D324" s="94"/>
      <c r="E324" s="52"/>
    </row>
    <row r="325" spans="2:7" ht="20" customHeight="1">
      <c r="B325" s="52" t="s">
        <v>4176</v>
      </c>
      <c r="C325" s="52"/>
      <c r="D325" s="94"/>
      <c r="E325" s="52"/>
    </row>
    <row r="326" spans="2:7" ht="20" customHeight="1">
      <c r="B326" s="52" t="s">
        <v>4177</v>
      </c>
      <c r="C326" s="52"/>
      <c r="D326" s="94"/>
      <c r="E326" s="52"/>
    </row>
    <row r="327" spans="2:7" ht="20" customHeight="1">
      <c r="B327" s="52" t="s">
        <v>4178</v>
      </c>
      <c r="C327" s="52"/>
      <c r="D327" s="94"/>
      <c r="E327" s="52"/>
    </row>
    <row r="328" spans="2:7" ht="20" customHeight="1">
      <c r="B328" s="52" t="s">
        <v>4179</v>
      </c>
      <c r="C328" s="52"/>
      <c r="D328" s="94"/>
      <c r="E328" s="52"/>
    </row>
    <row r="329" spans="2:7" ht="20" customHeight="1">
      <c r="B329" s="52" t="s">
        <v>4180</v>
      </c>
      <c r="C329" s="52"/>
      <c r="D329" s="94"/>
      <c r="E329" s="52"/>
    </row>
    <row r="330" spans="2:7" ht="20" customHeight="1">
      <c r="B330" s="52" t="s">
        <v>4181</v>
      </c>
      <c r="C330" s="52"/>
      <c r="D330" s="94"/>
      <c r="E330" s="52"/>
    </row>
    <row r="331" spans="2:7" ht="20" customHeight="1">
      <c r="B331" s="52" t="s">
        <v>4182</v>
      </c>
      <c r="C331" s="52"/>
      <c r="D331" s="94"/>
      <c r="E331" s="52"/>
    </row>
    <row r="332" spans="2:7" ht="20" customHeight="1">
      <c r="B332" s="52" t="s">
        <v>4183</v>
      </c>
      <c r="C332" s="52"/>
      <c r="D332" s="94"/>
      <c r="E332" s="52"/>
    </row>
    <row r="333" spans="2:7" ht="20" customHeight="1">
      <c r="B333" s="52" t="s">
        <v>4184</v>
      </c>
      <c r="C333" s="52"/>
      <c r="D333" s="94"/>
      <c r="E333" s="52"/>
    </row>
    <row r="334" spans="2:7" ht="20" customHeight="1">
      <c r="B334" s="52" t="s">
        <v>4185</v>
      </c>
      <c r="C334" s="52"/>
      <c r="D334" s="94"/>
      <c r="E334" s="52"/>
    </row>
    <row r="335" spans="2:7" ht="20" customHeight="1">
      <c r="B335" s="52" t="s">
        <v>4186</v>
      </c>
      <c r="C335" s="52"/>
      <c r="D335" s="94"/>
      <c r="E335" s="52"/>
    </row>
    <row r="336" spans="2:7" ht="20" customHeight="1">
      <c r="B336" s="52" t="s">
        <v>3498</v>
      </c>
      <c r="C336" s="22" t="str">
        <f>sample_wld_cl01_vds_profile</f>
        <v>Default</v>
      </c>
      <c r="D336" s="18" t="s">
        <v>4418</v>
      </c>
      <c r="E336" s="53"/>
    </row>
    <row r="337" spans="2:5" ht="20" customHeight="1">
      <c r="B337" s="52" t="s">
        <v>4419</v>
      </c>
      <c r="C337" s="22"/>
      <c r="D337" s="18" t="str">
        <f>wld_cl03_vds_profile</f>
        <v>Default</v>
      </c>
      <c r="E337" s="53"/>
    </row>
    <row r="338" spans="2:5" ht="20" customHeight="1">
      <c r="B338" s="52" t="s">
        <v>3496</v>
      </c>
      <c r="C338" s="22" t="str">
        <f>sample_wld_cl03_vds01_name</f>
        <v>sfo-w01-cl03-vds01</v>
      </c>
      <c r="D338" s="18" t="str">
        <f>wld_cl03_vds01_name</f>
        <v>Value Missing</v>
      </c>
      <c r="E338" s="53"/>
    </row>
    <row r="339" spans="2:5" ht="20" customHeight="1">
      <c r="B339" s="52" t="s">
        <v>1828</v>
      </c>
      <c r="C339" s="22">
        <f>sample_wld_cl03_vds01_mtu</f>
        <v>9000</v>
      </c>
      <c r="D339" s="18" t="str">
        <f>wld_cl03_vds01_mtu</f>
        <v>Value Missing</v>
      </c>
      <c r="E339" s="53"/>
    </row>
    <row r="340" spans="2:5" ht="20" customHeight="1">
      <c r="B340" s="52" t="s">
        <v>4423</v>
      </c>
      <c r="C340" s="22"/>
      <c r="D340" s="18">
        <v>2</v>
      </c>
      <c r="E340" s="53"/>
    </row>
    <row r="341" spans="2:5" ht="20" customHeight="1">
      <c r="B341" s="52" t="s">
        <v>4421</v>
      </c>
      <c r="C341" s="22"/>
      <c r="D341" s="18" t="s">
        <v>4652</v>
      </c>
      <c r="E341" s="53"/>
    </row>
    <row r="342" spans="2:5" ht="20" customHeight="1">
      <c r="B342" s="52" t="s">
        <v>4422</v>
      </c>
      <c r="C342" s="22"/>
      <c r="D342" s="18" t="s">
        <v>4653</v>
      </c>
      <c r="E342" s="53"/>
    </row>
    <row r="343" spans="2:5" ht="20" customHeight="1">
      <c r="B343" s="52" t="s">
        <v>4424</v>
      </c>
      <c r="C343" s="22"/>
      <c r="D343" s="18" t="str">
        <f>wld_cl03_az1_mgmt_pg</f>
        <v>Value Missing</v>
      </c>
      <c r="E343" s="53"/>
    </row>
    <row r="344" spans="2:5" ht="20" customHeight="1">
      <c r="B344" s="52" t="s">
        <v>4425</v>
      </c>
      <c r="C344" s="22"/>
      <c r="D344" s="18" t="str">
        <f>wld_cl03_az1_vmotion_pg</f>
        <v>Value Missing</v>
      </c>
      <c r="E344" s="53"/>
    </row>
    <row r="345" spans="2:5" ht="20" customHeight="1">
      <c r="B345" s="52" t="s">
        <v>4428</v>
      </c>
      <c r="C345" s="22"/>
      <c r="D345" s="18" t="str">
        <f>wld_cl03_az1_principal_storage_pg</f>
        <v>Value Missing</v>
      </c>
      <c r="E345" s="53"/>
    </row>
    <row r="346" spans="2:5" ht="20" customHeight="1">
      <c r="B346" s="52" t="s">
        <v>4426</v>
      </c>
      <c r="C346" s="22" t="str">
        <f>sample_wld_az1_host_overlay_vlan</f>
        <v>1314</v>
      </c>
      <c r="D346" s="18" t="str">
        <f>wld_az1_second_edge_cluster_host_overlay_vlan_output</f>
        <v>Value Missing</v>
      </c>
      <c r="E346" s="53"/>
    </row>
    <row r="347" spans="2:5" ht="20" customHeight="1">
      <c r="B347" s="52" t="s">
        <v>2192</v>
      </c>
      <c r="C347" s="22" t="str">
        <f>IF(wld_host_overlay_addressing_chosen="DHCP","DHCP","Static IP Pool")</f>
        <v>Static IP Pool</v>
      </c>
      <c r="D347" s="18" t="str">
        <f>IF(wld_host_overlay_addressing_chosen="DHCP","DHCP","Static IP Pool")</f>
        <v>Static IP Pool</v>
      </c>
      <c r="E347" s="53"/>
    </row>
    <row r="348" spans="2:5" ht="20" customHeight="1">
      <c r="B348" s="52" t="s">
        <v>1772</v>
      </c>
      <c r="C348" s="22"/>
      <c r="D348" s="18" t="str">
        <f>wld_az1_second_edge_cluster_host_overlay_network_pool_name_output</f>
        <v>Value Missing</v>
      </c>
      <c r="E348" s="53"/>
    </row>
    <row r="349" spans="2:5" ht="20" customHeight="1">
      <c r="B349" s="52" t="s">
        <v>411</v>
      </c>
      <c r="C349" s="22"/>
      <c r="D349" s="18" t="str">
        <f>wld_az1_second_edge_cluster_host_overlay_cidr_output</f>
        <v>Value Missing</v>
      </c>
      <c r="E349" s="53"/>
    </row>
    <row r="350" spans="2:5" ht="20" customHeight="1">
      <c r="B350" s="52" t="s">
        <v>4204</v>
      </c>
      <c r="C350" s="22"/>
      <c r="D350" s="18" t="str">
        <f>CONCATENATE(wld_az1_second_edge_cluster_host_overlay_pool_start_ip_output,"-",wld_az1_second_edge_cluster_host_overlay_pool_end_ip_output)</f>
        <v>Value Missing-Value Missing</v>
      </c>
      <c r="E350" s="53"/>
    </row>
    <row r="351" spans="2:5" ht="20" customHeight="1">
      <c r="B351" s="52" t="s">
        <v>2022</v>
      </c>
      <c r="C351" s="22"/>
      <c r="D351" s="18" t="str">
        <f>wld_az1_second_edge_cluster_host_overlay_gateway_ip_output</f>
        <v>Value Missing</v>
      </c>
      <c r="E351" s="53"/>
    </row>
    <row r="352" spans="2:5" ht="20" customHeight="1">
      <c r="B352" s="52" t="s">
        <v>4445</v>
      </c>
      <c r="C352" s="22"/>
      <c r="D352" s="18" t="str">
        <f>wld_az1_second_edge_cluster_host_overlay_uplink_profile_name_output</f>
        <v>Value Missing</v>
      </c>
      <c r="E352" s="53"/>
    </row>
    <row r="353" spans="2:5" ht="20" customHeight="1">
      <c r="B353" s="52" t="s">
        <v>3497</v>
      </c>
      <c r="C353" s="22" t="str">
        <f>sample_wld_cl03_vds02_name</f>
        <v>sfo-w01-cl03-vds02</v>
      </c>
      <c r="D353" s="18" t="str">
        <f>wld_cl03_vds02_name</f>
        <v>Value Missing</v>
      </c>
      <c r="E353" s="53"/>
    </row>
    <row r="354" spans="2:5" ht="20" customHeight="1">
      <c r="B354" s="52" t="s">
        <v>1828</v>
      </c>
      <c r="C354" s="22">
        <f>sample_wld_cl03_vds02_mtu</f>
        <v>9000</v>
      </c>
      <c r="D354" s="18" t="str">
        <f>wld_cl03_vds02_mtu</f>
        <v>Value Missing</v>
      </c>
      <c r="E354" s="53"/>
    </row>
    <row r="355" spans="2:5" ht="20" customHeight="1">
      <c r="B355" s="52" t="s">
        <v>4421</v>
      </c>
      <c r="C355" s="22"/>
      <c r="D355" s="18" t="s">
        <v>4497</v>
      </c>
      <c r="E355" s="53"/>
    </row>
    <row r="356" spans="2:5" ht="20" customHeight="1">
      <c r="B356" s="52" t="s">
        <v>4422</v>
      </c>
      <c r="C356" s="22"/>
      <c r="D356" s="18" t="s">
        <v>4498</v>
      </c>
      <c r="E356" s="53"/>
    </row>
    <row r="357" spans="2:5" ht="20" customHeight="1">
      <c r="B357" s="52" t="s">
        <v>4428</v>
      </c>
      <c r="C357" s="22"/>
      <c r="D357" s="18" t="str">
        <f>wld_cl03_az1_principal_storage_pg</f>
        <v>Value Missing</v>
      </c>
      <c r="E357" s="53"/>
    </row>
    <row r="358" spans="2:5" ht="20" customHeight="1">
      <c r="B358" s="52" t="s">
        <v>3503</v>
      </c>
      <c r="C358" s="22" t="str">
        <f>sample_wld_cl03_vds03_name</f>
        <v>sfo-w01-cl03-vds03</v>
      </c>
      <c r="D358" s="18" t="str">
        <f>wld_cl03_vds03_name</f>
        <v>Value Missing</v>
      </c>
      <c r="E358" s="53"/>
    </row>
    <row r="359" spans="2:5" ht="20" customHeight="1">
      <c r="B359" s="52" t="s">
        <v>1828</v>
      </c>
      <c r="C359" s="22">
        <f>sample_wld_cl03_vds03_mtu</f>
        <v>9000</v>
      </c>
      <c r="D359" s="18" t="str">
        <f>wld_cl03_vds03_mtu</f>
        <v>Value Missing</v>
      </c>
      <c r="E359" s="53"/>
    </row>
    <row r="360" spans="2:5" ht="20" customHeight="1">
      <c r="B360" s="52" t="s">
        <v>4421</v>
      </c>
      <c r="C360" s="22"/>
      <c r="D360" s="18" t="s">
        <v>4499</v>
      </c>
      <c r="E360" s="53"/>
    </row>
    <row r="361" spans="2:5" ht="20" customHeight="1">
      <c r="B361" s="52" t="s">
        <v>4422</v>
      </c>
      <c r="C361" s="22"/>
      <c r="D361" s="18" t="s">
        <v>4500</v>
      </c>
      <c r="E361" s="53"/>
    </row>
    <row r="362" spans="2:5" ht="20" customHeight="1">
      <c r="B362" s="52" t="s">
        <v>4426</v>
      </c>
      <c r="C362" s="22" t="str">
        <f>sample_wld_az1_host_overlay_vlan</f>
        <v>1314</v>
      </c>
      <c r="D362" s="18" t="str">
        <f>wld_az1_second_edge_cluster_host_overlay_vlan_output</f>
        <v>Value Missing</v>
      </c>
      <c r="E362" s="53"/>
    </row>
    <row r="363" spans="2:5" ht="20" customHeight="1">
      <c r="B363" s="52" t="s">
        <v>2192</v>
      </c>
      <c r="C363" s="22" t="str">
        <f>IF(wld_host_overlay_addressing_chosen="DHCP","DHCP","Static IP Pool")</f>
        <v>Static IP Pool</v>
      </c>
      <c r="D363" s="18" t="str">
        <f>IF(wld_host_overlay_addressing_chosen="DHCP","DHCP","Static IP Pool")</f>
        <v>Static IP Pool</v>
      </c>
      <c r="E363" s="53"/>
    </row>
    <row r="364" spans="2:5" ht="20" customHeight="1">
      <c r="B364" s="52" t="s">
        <v>1772</v>
      </c>
      <c r="C364" s="22"/>
      <c r="D364" s="18" t="str">
        <f>wld_az1_second_edge_cluster_host_overlay_network_pool_name_output</f>
        <v>Value Missing</v>
      </c>
      <c r="E364" s="53"/>
    </row>
    <row r="365" spans="2:5" ht="20" customHeight="1">
      <c r="B365" s="52" t="s">
        <v>411</v>
      </c>
      <c r="C365" s="22"/>
      <c r="D365" s="18" t="str">
        <f>wld_az1_second_edge_cluster_host_overlay_cidr_output</f>
        <v>Value Missing</v>
      </c>
      <c r="E365" s="53"/>
    </row>
    <row r="366" spans="2:5" ht="20" customHeight="1">
      <c r="B366" s="52" t="s">
        <v>4204</v>
      </c>
      <c r="C366" s="22"/>
      <c r="D366" s="18" t="str">
        <f>CONCATENATE(wld_az1_second_edge_cluster_host_overlay_pool_start_ip_output,"-",wld_az1_second_edge_cluster_host_overlay_pool_end_ip_output)</f>
        <v>Value Missing-Value Missing</v>
      </c>
      <c r="E366" s="53"/>
    </row>
    <row r="367" spans="2:5" ht="20" customHeight="1">
      <c r="B367" s="52" t="s">
        <v>2022</v>
      </c>
      <c r="C367" s="22"/>
      <c r="D367" s="18" t="str">
        <f>wld_az1_second_edge_cluster_host_overlay_gateway_ip_output</f>
        <v>Value Missing</v>
      </c>
      <c r="E367" s="53"/>
    </row>
    <row r="368" spans="2:5" ht="20" customHeight="1">
      <c r="B368" s="52" t="s">
        <v>4445</v>
      </c>
      <c r="C368" s="22"/>
      <c r="D368" s="18" t="str">
        <f>wld_az1_second_edge_cluster_host_overlay_uplink_profile_name_output</f>
        <v>Value Missing</v>
      </c>
      <c r="E368" s="53"/>
    </row>
    <row r="369" spans="2:5" ht="16" customHeight="1">
      <c r="B369" s="52" t="s">
        <v>2197</v>
      </c>
      <c r="C369" s="22" t="s">
        <v>452</v>
      </c>
      <c r="D369" s="18" t="str">
        <f>esx_std_license</f>
        <v>Value Missing</v>
      </c>
      <c r="E369" s="53"/>
    </row>
    <row r="370" spans="2:5" ht="20" customHeight="1">
      <c r="B370" s="52" t="s">
        <v>2198</v>
      </c>
      <c r="C370" s="22" t="s">
        <v>452</v>
      </c>
      <c r="D370" s="18" t="str">
        <f>vsan_license</f>
        <v>Value Missing</v>
      </c>
      <c r="E370" s="53"/>
    </row>
    <row r="371" spans="2:5" ht="16" customHeight="1"/>
    <row r="372" spans="2:5" ht="34" customHeight="1">
      <c r="B372" s="386" t="s">
        <v>24</v>
      </c>
      <c r="C372" s="387"/>
      <c r="D372" s="387"/>
      <c r="E372" s="387"/>
    </row>
    <row r="373" spans="2:5" ht="20" customHeight="1"/>
    <row r="374" spans="2:5" ht="34" customHeight="1">
      <c r="B374" s="344" t="s">
        <v>1819</v>
      </c>
      <c r="C374" s="344"/>
      <c r="D374" s="344"/>
      <c r="E374" s="344"/>
    </row>
    <row r="375" spans="2:5" ht="20" customHeight="1">
      <c r="B375" s="8" t="s">
        <v>735</v>
      </c>
      <c r="C375" s="8" t="s">
        <v>554</v>
      </c>
      <c r="D375" s="20" t="s">
        <v>555</v>
      </c>
      <c r="E375" s="8" t="s">
        <v>1989</v>
      </c>
    </row>
    <row r="376" spans="2:5" ht="20" customHeight="1">
      <c r="B376" s="21" t="s">
        <v>870</v>
      </c>
      <c r="C376" s="22" t="str">
        <f>sample_ca_algorithm</f>
        <v>RSA</v>
      </c>
      <c r="D376" s="18" t="str">
        <f>ca_algorithm</f>
        <v>Value Missing</v>
      </c>
      <c r="E376" s="21"/>
    </row>
    <row r="377" spans="2:5" ht="20" customHeight="1">
      <c r="B377" s="21" t="s">
        <v>872</v>
      </c>
      <c r="C377" s="22">
        <f>sample_ca_key_size</f>
        <v>2048</v>
      </c>
      <c r="D377" s="18" t="str">
        <f>ca_key_size</f>
        <v>Value Missing</v>
      </c>
      <c r="E377" s="21"/>
    </row>
    <row r="378" spans="2:5" ht="20" customHeight="1">
      <c r="B378" s="21" t="s">
        <v>873</v>
      </c>
      <c r="C378" s="22" t="str">
        <f>sample_ca_email_address</f>
        <v>administrator@rainpole.io</v>
      </c>
      <c r="D378" s="18" t="str">
        <f t="array" ref="D378">ca_email_address</f>
        <v>Value Missing</v>
      </c>
      <c r="E378" s="21"/>
    </row>
    <row r="379" spans="2:5" ht="20" customHeight="1">
      <c r="B379" s="21" t="s">
        <v>1820</v>
      </c>
      <c r="C379" s="22" t="str">
        <f>sample_ca_organization_unit</f>
        <v>IT</v>
      </c>
      <c r="D379" s="18" t="str">
        <f>ca_organization_unit</f>
        <v>Value Missing</v>
      </c>
      <c r="E379" s="21"/>
    </row>
    <row r="380" spans="2:5" ht="20" customHeight="1">
      <c r="B380" s="21" t="s">
        <v>914</v>
      </c>
      <c r="C380" s="22" t="str">
        <f>sample_ca_organization</f>
        <v>Rainpole</v>
      </c>
      <c r="D380" s="18" t="str">
        <f>ca_organization</f>
        <v>Value Missing</v>
      </c>
      <c r="E380" s="21"/>
    </row>
    <row r="381" spans="2:5" ht="20" customHeight="1">
      <c r="B381" s="21" t="s">
        <v>875</v>
      </c>
      <c r="C381" s="22" t="str">
        <f>sample_ca_locality</f>
        <v>San Francisco</v>
      </c>
      <c r="D381" s="18" t="str">
        <f>ca_locality</f>
        <v>Value Missing</v>
      </c>
      <c r="E381" s="21"/>
    </row>
    <row r="382" spans="2:5" ht="16" customHeight="1">
      <c r="B382" s="21" t="s">
        <v>880</v>
      </c>
      <c r="C382" s="22" t="str">
        <f>sample_ca_state</f>
        <v>CA</v>
      </c>
      <c r="D382" s="18" t="str">
        <f>ca_state</f>
        <v>Value Missing</v>
      </c>
      <c r="E382" s="21"/>
    </row>
    <row r="383" spans="2:5" ht="34" customHeight="1">
      <c r="B383" s="21" t="s">
        <v>868</v>
      </c>
      <c r="C383" s="22" t="str">
        <f>sample_ca_country</f>
        <v>US</v>
      </c>
      <c r="D383" s="18" t="str">
        <f>ca_country</f>
        <v>Value Missing</v>
      </c>
      <c r="E383" s="21"/>
    </row>
    <row r="384" spans="2:5" ht="16" customHeight="1"/>
    <row r="385" spans="2:7" ht="34" customHeight="1">
      <c r="B385" s="386" t="s">
        <v>55</v>
      </c>
      <c r="C385" s="387"/>
      <c r="D385" s="387"/>
      <c r="E385" s="387"/>
    </row>
    <row r="386" spans="2:7" ht="20" customHeight="1">
      <c r="G386" s="91"/>
    </row>
    <row r="387" spans="2:7" ht="34" customHeight="1">
      <c r="B387" s="344" t="s">
        <v>4901</v>
      </c>
      <c r="C387" s="344"/>
      <c r="D387" s="344"/>
      <c r="E387" s="344"/>
    </row>
    <row r="388" spans="2:7" ht="20" customHeight="1">
      <c r="B388" s="8" t="s">
        <v>735</v>
      </c>
      <c r="C388" s="8" t="s">
        <v>554</v>
      </c>
      <c r="D388" s="20" t="s">
        <v>555</v>
      </c>
      <c r="E388" s="8" t="s">
        <v>1989</v>
      </c>
    </row>
    <row r="389" spans="2:7" ht="20" customHeight="1">
      <c r="B389" s="472" t="s">
        <v>786</v>
      </c>
      <c r="C389" s="472"/>
      <c r="D389" s="472"/>
      <c r="E389" s="472"/>
    </row>
    <row r="390" spans="2:7" ht="20" customHeight="1">
      <c r="B390" s="21" t="s">
        <v>1827</v>
      </c>
      <c r="C390" s="22" t="str">
        <f>sample_wld_ec_name</f>
        <v>sfo-w01-ec01</v>
      </c>
      <c r="D390" s="18" t="str">
        <f>wld_ec_name</f>
        <v>Value Missing</v>
      </c>
      <c r="E390" s="21"/>
    </row>
    <row r="391" spans="2:7" ht="20" customHeight="1">
      <c r="B391" s="21" t="s">
        <v>1828</v>
      </c>
      <c r="C391" s="22">
        <v>9000</v>
      </c>
      <c r="D391" s="18">
        <f>9000</f>
        <v>9000</v>
      </c>
      <c r="E391" s="21"/>
      <c r="G391" s="91"/>
    </row>
    <row r="392" spans="2:7" ht="20" customHeight="1">
      <c r="B392" s="21" t="s">
        <v>1829</v>
      </c>
      <c r="C392" s="22" t="str">
        <f>sample_wld_en_asn</f>
        <v>65102</v>
      </c>
      <c r="D392" s="18" t="str">
        <f>wld_en_asn</f>
        <v>Value Missing</v>
      </c>
      <c r="E392" s="21"/>
    </row>
    <row r="393" spans="2:7" ht="20" customHeight="1">
      <c r="B393" s="21" t="s">
        <v>1830</v>
      </c>
      <c r="C393" s="22" t="str">
        <f t="array" ref="C393">sample_wld_tier0_name</f>
        <v>sfo-w01-ec01-t0-gw01</v>
      </c>
      <c r="D393" s="18" t="str">
        <f>wld_tier0_name</f>
        <v>Value Missing</v>
      </c>
      <c r="E393" s="21"/>
    </row>
    <row r="394" spans="2:7" ht="20" customHeight="1">
      <c r="B394" s="21" t="s">
        <v>1831</v>
      </c>
      <c r="C394" s="22" t="str">
        <f t="array" ref="C394">sample_wld_tier1_name</f>
        <v>sfo-w01-ec01-t1-gw01</v>
      </c>
      <c r="D394" s="18" t="str">
        <f>wld_tier1_name</f>
        <v>Value Missing</v>
      </c>
      <c r="E394" s="21"/>
    </row>
    <row r="395" spans="2:7" ht="20" customHeight="1">
      <c r="B395" s="21" t="s">
        <v>1832</v>
      </c>
      <c r="C395" s="22" t="str">
        <f t="array" ref="C395">sample_wld_ec_profile_type</f>
        <v>Default</v>
      </c>
      <c r="D395" s="18" t="str">
        <f>wld_ec_profile_type</f>
        <v>Default</v>
      </c>
      <c r="E395" s="21"/>
    </row>
    <row r="396" spans="2:7" ht="20" customHeight="1">
      <c r="B396" s="21" t="s">
        <v>1833</v>
      </c>
      <c r="C396" s="22" t="str">
        <f>sample_wld_ec_name</f>
        <v>sfo-w01-ec01</v>
      </c>
      <c r="D396" s="18" t="str">
        <f>wld_ec_name</f>
        <v>Value Missing</v>
      </c>
      <c r="E396" s="21"/>
    </row>
    <row r="397" spans="2:7" ht="20" customHeight="1">
      <c r="B397" s="21" t="s">
        <v>1834</v>
      </c>
      <c r="C397" s="22">
        <v>255</v>
      </c>
      <c r="D397" s="18">
        <f>C397</f>
        <v>255</v>
      </c>
      <c r="E397" s="21"/>
    </row>
    <row r="398" spans="2:7" ht="20" customHeight="1">
      <c r="B398" s="21" t="s">
        <v>1835</v>
      </c>
      <c r="C398" s="22">
        <v>3</v>
      </c>
      <c r="D398" s="18">
        <f>C398</f>
        <v>3</v>
      </c>
      <c r="E398" s="21"/>
    </row>
    <row r="399" spans="2:7" ht="20" customHeight="1">
      <c r="B399" s="21" t="s">
        <v>1836</v>
      </c>
      <c r="C399" s="22">
        <v>1000</v>
      </c>
      <c r="D399" s="18">
        <f>C399</f>
        <v>1000</v>
      </c>
      <c r="E399" s="21"/>
      <c r="G399" s="91"/>
    </row>
    <row r="400" spans="2:7" ht="20" customHeight="1">
      <c r="B400" s="21" t="s">
        <v>1837</v>
      </c>
      <c r="C400" s="22">
        <v>30</v>
      </c>
      <c r="D400" s="18">
        <f>C400</f>
        <v>30</v>
      </c>
      <c r="E400" s="21"/>
    </row>
    <row r="401" spans="2:7" ht="20" customHeight="1">
      <c r="B401" s="21" t="s">
        <v>1838</v>
      </c>
      <c r="C401" s="22" t="str">
        <f>sample_nsxt_en_root_password</f>
        <v>VMw@re1!VMw@re1!</v>
      </c>
      <c r="D401" s="18" t="str">
        <f>nsxt_en_root_password</f>
        <v>Value Missing</v>
      </c>
      <c r="E401" s="21"/>
      <c r="G401" s="91"/>
    </row>
    <row r="402" spans="2:7" ht="20" customHeight="1">
      <c r="B402" s="21" t="s">
        <v>1839</v>
      </c>
      <c r="C402" s="22" t="str">
        <f>sample_nsxt_en_admin_password</f>
        <v>VMw@re1!VMw@re1!</v>
      </c>
      <c r="D402" s="18" t="str">
        <f>nsxt_en_admin_password</f>
        <v>Value Missing</v>
      </c>
      <c r="E402" s="21"/>
    </row>
    <row r="403" spans="2:7" ht="20" customHeight="1">
      <c r="B403" s="21" t="s">
        <v>1840</v>
      </c>
      <c r="C403" s="22" t="str">
        <f>sample_nsxt_en_audit_password</f>
        <v>VMw@re1!VMw@re1!</v>
      </c>
      <c r="D403" s="18" t="str">
        <f>nsxt_en_audit_password</f>
        <v>Value Missing</v>
      </c>
      <c r="E403" s="21"/>
    </row>
    <row r="404" spans="2:7" ht="20" customHeight="1">
      <c r="B404" s="472" t="s">
        <v>1841</v>
      </c>
      <c r="C404" s="472"/>
      <c r="D404" s="472"/>
      <c r="E404" s="472"/>
    </row>
    <row r="405" spans="2:7" ht="20" customHeight="1">
      <c r="B405" s="21" t="s">
        <v>1841</v>
      </c>
      <c r="C405" s="22" t="str">
        <f>IF(sample_wld_ec_formfactor&lt;&gt;"Large","Custom","Kubernetes - Workload Management")</f>
        <v>Kubernetes - Workload Management</v>
      </c>
      <c r="D405" s="18" t="str">
        <f>C405</f>
        <v>Kubernetes - Workload Management</v>
      </c>
      <c r="E405" s="21"/>
    </row>
    <row r="406" spans="2:7" ht="20" customHeight="1">
      <c r="B406" s="21" t="s">
        <v>1842</v>
      </c>
      <c r="C406" s="22" t="s">
        <v>345</v>
      </c>
      <c r="D406" s="18" t="str">
        <f>wld_ec_formfactor</f>
        <v>Value Missing</v>
      </c>
      <c r="E406" s="21"/>
    </row>
    <row r="407" spans="2:7" ht="20" customHeight="1">
      <c r="B407" s="21" t="s">
        <v>1843</v>
      </c>
      <c r="C407" s="22" t="s">
        <v>1844</v>
      </c>
      <c r="D407" s="18" t="str">
        <f>C407</f>
        <v>Active-Active</v>
      </c>
      <c r="E407" s="21"/>
    </row>
    <row r="408" spans="2:7" ht="20" customHeight="1">
      <c r="B408" s="21" t="s">
        <v>1845</v>
      </c>
      <c r="C408" s="22" t="str">
        <f>IF(wld_bgp_chosen="VLAN-Backed","Static","EBGP")</f>
        <v>EBGP</v>
      </c>
      <c r="D408" s="18" t="str">
        <f>IF(wld_bgp_chosen="VLAN-Backed","Static","EBGP")</f>
        <v>EBGP</v>
      </c>
      <c r="E408" s="21"/>
      <c r="G408" s="91"/>
    </row>
    <row r="409" spans="2:7" ht="20" customHeight="1">
      <c r="B409" s="472" t="s">
        <v>1846</v>
      </c>
      <c r="C409" s="472"/>
      <c r="D409" s="472"/>
      <c r="E409" s="472"/>
    </row>
    <row r="410" spans="2:7" ht="20" customHeight="1">
      <c r="B410" s="21" t="s">
        <v>1847</v>
      </c>
      <c r="C410" s="22" t="str">
        <f>_xlfn.CONCAT(sample_wld_az1_en1_hostname,".",sample_child_dns_zone)</f>
        <v>sfo-w01-r01-en01.sfo.rainpole.io</v>
      </c>
      <c r="D410" s="18" t="str">
        <f>wld_az1_en1_fqdn</f>
        <v>Value Missing.Value Missing</v>
      </c>
      <c r="E410" s="21"/>
    </row>
    <row r="411" spans="2:7" ht="20" customHeight="1">
      <c r="B411" s="21" t="s">
        <v>1848</v>
      </c>
      <c r="C411" s="22" t="str">
        <f>_xlfn.CONCAT(sample_wld_az1_en1_mgmt_ip,"/",INT(RIGHT(sample_wld_az1_mgmt_cidr,LEN(sample_wld_az1_mgmt_cidr)-FIND("/",sample_wld_az1_mgmt_cidr))))</f>
        <v>10.13.11.135/24</v>
      </c>
      <c r="D411" s="18" t="str">
        <f>IF(OR((wld_az1_en1_mgmt_ip="Value Missing"),(wld_az1_mgmt_cidr="Value Missing")),"Value Missing",wld_az1_en1_mgmt_ip&amp;"/"&amp;INT(RIGHT(wld_az1_mgmt_cidr,LEN(wld_az1_mgmt_cidr)-FIND("/",wld_az1_mgmt_cidr))))</f>
        <v>Value Missing</v>
      </c>
      <c r="E411" s="21"/>
    </row>
    <row r="412" spans="2:7" ht="20" customHeight="1">
      <c r="B412" s="21" t="s">
        <v>1849</v>
      </c>
      <c r="C412" s="22" t="str">
        <f>sample_wld_az1_mgmt_gateway_ip</f>
        <v>10.13.11.1</v>
      </c>
      <c r="D412" s="18" t="str">
        <f>wld_az1_mgmt_gateway_ip</f>
        <v>Value Missing</v>
      </c>
      <c r="E412" s="21"/>
    </row>
    <row r="413" spans="2:7" ht="20" customHeight="1">
      <c r="B413" s="21" t="s">
        <v>1850</v>
      </c>
      <c r="C413" s="22" t="str">
        <f>_xlfn.CONCAT(sample_wld_az1_en1_edge_overlay_interface_ip_1_ip,"/",INT(RIGHT(sample_wld_az1_edge_overlay_cidr,LEN(sample_wld_az1_edge_overlay_cidr)-FIND("/",sample_wld_az1_edge_overlay_cidr))))</f>
        <v>10.13.19.2/24</v>
      </c>
      <c r="D413" s="18" t="str">
        <f>IF(OR((wld_az1_en1_edge_overlay_interface_ip_1_ip="Value Missing"),(wld_az1_edge_overlay_cidr="Value Missing")),"Value Missing",wld_az1_en1_edge_overlay_interface_ip_1_ip&amp;"/"&amp;INT(RIGHT(wld_az1_edge_overlay_cidr,LEN(wld_az1_edge_overlay_cidr)-FIND("/",wld_az1_edge_overlay_cidr))))</f>
        <v>Value Missing</v>
      </c>
      <c r="E413" s="21"/>
    </row>
    <row r="414" spans="2:7" ht="20" customHeight="1">
      <c r="B414" s="21" t="s">
        <v>1851</v>
      </c>
      <c r="C414" s="22" t="str">
        <f>_xlfn.CONCAT(sample_wld_az1_en1_edge_overlay_interface_ip_2_ip,"/",INT(RIGHT(sample_wld_az1_edge_overlay_cidr,LEN(sample_wld_az1_edge_overlay_cidr)-FIND("/",sample_wld_az1_edge_overlay_cidr))))</f>
        <v>10.13.19.3/24</v>
      </c>
      <c r="D414" s="18" t="str">
        <f>IF(OR((wld_az1_en1_edge_overlay_interface_ip_2_ip="Value Missing"),(wld_az1_edge_overlay_cidr="Value Missing")),"Value Missing",_xlfn.CONCAT(wld_az1_en1_edge_overlay_interface_ip_2_ip,"/",INT(RIGHT(wld_az1_edge_overlay_cidr,LEN(wld_az1_edge_overlay_cidr)-FIND("/",wld_az1_edge_overlay_cidr)))))</f>
        <v>Value Missing</v>
      </c>
      <c r="E414" s="21"/>
      <c r="G414" s="91"/>
    </row>
    <row r="415" spans="2:7" ht="20" customHeight="1">
      <c r="B415" s="21" t="s">
        <v>1852</v>
      </c>
      <c r="C415" s="22" t="str">
        <f>sample_wld_az1_edge_overlay_gateway_ip</f>
        <v>10.13.19.1</v>
      </c>
      <c r="D415" s="18" t="str">
        <f>wld_az1_edge_overlay_gateway_ip</f>
        <v>Value Missing</v>
      </c>
      <c r="E415" s="21"/>
    </row>
    <row r="416" spans="2:7" ht="20" customHeight="1">
      <c r="B416" s="21" t="s">
        <v>1853</v>
      </c>
      <c r="C416" s="22" t="str">
        <f>sample_wld_az1_edge_overlay_vlan</f>
        <v>1319</v>
      </c>
      <c r="D416" s="18" t="str">
        <f>wld_az1_edge_overlay_vlan</f>
        <v>Value Missing</v>
      </c>
      <c r="E416" s="21"/>
    </row>
    <row r="417" spans="2:7" ht="20" customHeight="1">
      <c r="B417" s="21" t="s">
        <v>1854</v>
      </c>
      <c r="C417" s="22" t="str">
        <f>IF(wld_multirack_result="Included",sample_wld_cl02_cluster,sample_wld_cl01_cluster)</f>
        <v>sfo-w01-cl01</v>
      </c>
      <c r="D417" s="18" t="str">
        <f>wld_cl01_cluster</f>
        <v>Value Missing</v>
      </c>
      <c r="E417" s="21"/>
    </row>
    <row r="418" spans="2:7" ht="20" customHeight="1">
      <c r="B418" s="21" t="s">
        <v>1855</v>
      </c>
      <c r="C418" s="22" t="s">
        <v>1856</v>
      </c>
      <c r="D418" s="18" t="str">
        <f>C418</f>
        <v>L2 Uniform</v>
      </c>
      <c r="E418" s="21"/>
    </row>
    <row r="419" spans="2:7" ht="20" customHeight="1">
      <c r="B419" s="21" t="s">
        <v>1857</v>
      </c>
      <c r="C419" s="22" t="str">
        <f>sample_wld_az1_uplink01_vlan</f>
        <v>1317</v>
      </c>
      <c r="D419" s="18" t="str">
        <f>wld_az1_uplink01_vlan</f>
        <v>Value Missing</v>
      </c>
      <c r="E419" s="21"/>
    </row>
    <row r="420" spans="2:7" ht="20" customHeight="1">
      <c r="B420" s="21" t="s">
        <v>1858</v>
      </c>
      <c r="C420" s="22" t="str">
        <f>_xlfn.CONCAT(sample_wld_az1_en1_uplink01_interface_ip,"/",INT(RIGHT(sample_wld_az1_uplink01_cidr,LEN(sample_wld_az1_uplink01_cidr)-FIND("/",sample_wld_az1_uplink01_cidr))))</f>
        <v>10.13.17.2/24</v>
      </c>
      <c r="D420" s="18" t="str">
        <f>IF(OR((wld_az1_en1_uplink01_interface_ip="Value Missing"),(wld_az1_uplink01_cidr="Value Missing")),"Value Missing",wld_az1_en1_uplink01_interface_ip&amp;"/"&amp;INT(RIGHT(wld_az1_uplink01_cidr,LEN(wld_az1_uplink01_cidr)-FIND("/",wld_az1_uplink01_cidr))))</f>
        <v>Value Missing</v>
      </c>
      <c r="E420" s="21"/>
      <c r="G420" s="91"/>
    </row>
    <row r="421" spans="2:7" ht="20" customHeight="1">
      <c r="B421" s="21" t="s">
        <v>1859</v>
      </c>
      <c r="C421" s="22" t="str">
        <f>_xlfn.CONCAT(sample_wld_az1_tor1_peer_ip,"/",INT(RIGHT(sample_wld_az1_uplink01_cidr,LEN(sample_wld_az1_uplink01_cidr)-FIND("/",sample_wld_az1_uplink01_cidr))))</f>
        <v>10.13.17.10/24</v>
      </c>
      <c r="D421" s="18" t="str">
        <f>IF(OR((wld_az1_tor1_peer_ip="Value Missing"),(wld_az1_uplink01_cidr="Value Missing")),"Value Missing",_xlfn.CONCAT(wld_az1_tor1_peer_ip,"/",INT(RIGHT(wld_az1_uplink01_cidr,LEN(wld_az1_uplink01_cidr)-FIND("/",wld_az1_uplink01_cidr)))))</f>
        <v>Value Missing</v>
      </c>
      <c r="E421" s="21"/>
    </row>
    <row r="422" spans="2:7" ht="20" customHeight="1">
      <c r="B422" s="21" t="s">
        <v>1860</v>
      </c>
      <c r="C422" s="22" t="str">
        <f>sample_wld_az1_tor1_peer_asn</f>
        <v>65131</v>
      </c>
      <c r="D422" s="18" t="str">
        <f>wld_az1_tor1_peer_asn</f>
        <v>Value Missing</v>
      </c>
      <c r="E422" s="21"/>
    </row>
    <row r="423" spans="2:7" ht="20" customHeight="1">
      <c r="B423" s="21" t="s">
        <v>1861</v>
      </c>
      <c r="C423" s="22" t="str">
        <f>sample_wld_az1_tor1_peer_bgp_password</f>
        <v>VMw@re1!</v>
      </c>
      <c r="D423" s="18" t="str">
        <f>wld_az1_tor1_peer_bgp_password</f>
        <v>Value Missing</v>
      </c>
      <c r="E423" s="21"/>
    </row>
    <row r="424" spans="2:7" ht="20" customHeight="1">
      <c r="B424" s="21" t="s">
        <v>1862</v>
      </c>
      <c r="C424" s="22" t="str">
        <f>_xlfn.SINGLE(sample_wld_az1_uplink02_vlan)</f>
        <v>1318</v>
      </c>
      <c r="D424" s="18" t="str">
        <f>wld_az1_uplink02_vlan</f>
        <v>Value Missing</v>
      </c>
      <c r="E424" s="21"/>
    </row>
    <row r="425" spans="2:7" ht="20" customHeight="1">
      <c r="B425" s="21" t="s">
        <v>1863</v>
      </c>
      <c r="C425" s="22" t="str">
        <f>_xlfn.CONCAT(sample_wld_az1_en1_uplink02_interface_ip,"/",INT(RIGHT(_xlfn.SINGLE(sample_wld_az1_uplink02_cidr),LEN(_xlfn.SINGLE(sample_wld_az1_uplink02_cidr))-FIND("/",_xlfn.SINGLE(sample_wld_az1_uplink02_cidr)))))</f>
        <v>10.13.18.2/24</v>
      </c>
      <c r="D425" s="18" t="str">
        <f>IF(OR((wld_az1_en1_uplink02_interface_ip="Value Missing"),(wld_az1_uplink02_cidr="Value Missing")),"Value Missing",wld_az1_en1_uplink02_interface_ip&amp;"/"&amp;INT(RIGHT(wld_az1_uplink02_cidr,LEN(wld_az1_uplink02_cidr)-FIND("/",wld_az1_uplink02_cidr))))</f>
        <v>Value Missing</v>
      </c>
      <c r="E425" s="21"/>
    </row>
    <row r="426" spans="2:7" ht="20" customHeight="1">
      <c r="B426" s="21" t="s">
        <v>1859</v>
      </c>
      <c r="C426" s="22" t="str">
        <f>_xlfn.CONCAT(sample_wld_az1_tor2_peer_ip,"/",INT(RIGHT(_xlfn.SINGLE(sample_wld_az1_uplink02_cidr),LEN(_xlfn.SINGLE(sample_wld_az1_uplink02_cidr))-FIND("/",_xlfn.SINGLE(sample_wld_az1_uplink02_cidr)))))</f>
        <v>10.13.18.10/24</v>
      </c>
      <c r="D426" s="18" t="str">
        <f>'Value Reference Tables - MR'!L247</f>
        <v>Value Missing</v>
      </c>
      <c r="E426" s="21"/>
    </row>
    <row r="427" spans="2:7" ht="20" customHeight="1">
      <c r="B427" s="21" t="s">
        <v>1860</v>
      </c>
      <c r="C427" s="22" t="str">
        <f>sample_wld_az1_tor2_peer_asn</f>
        <v>65131</v>
      </c>
      <c r="D427" s="18" t="str">
        <f>IF(OR((wld_az1_tor2_peer_ip="Value Missing"),(wld_az1_uplink02_cidr="Value Missing")),"Value Missing",_xlfn.CONCAT(wld_az1_tor2_peer_ip,"/",INT(RIGHT(wld_az1_uplink02_cidr,LEN(wld_az1_uplink02_cidr)-FIND("/",wld_az1_uplink02_cidr)))))</f>
        <v>Value Missing</v>
      </c>
      <c r="E427" s="21"/>
    </row>
    <row r="428" spans="2:7" ht="20" customHeight="1">
      <c r="B428" s="21" t="s">
        <v>1861</v>
      </c>
      <c r="C428" s="22" t="str">
        <f>sample_wld_az1_tor2_peer_bgp_password</f>
        <v>VMw@re1!</v>
      </c>
      <c r="D428" s="18" t="str">
        <f>wld_az1_tor2_peer_bgp_password</f>
        <v>Value Missing</v>
      </c>
      <c r="E428" s="21"/>
    </row>
    <row r="429" spans="2:7" ht="20" customHeight="1">
      <c r="B429" s="21" t="s">
        <v>1864</v>
      </c>
      <c r="C429" s="22" t="str">
        <f>_xlfn.CONCAT(sample_wld_az1_en2_hostname,".",sample_child_dns_zone)</f>
        <v>sfo-w01-r01-en02.sfo.rainpole.io</v>
      </c>
      <c r="D429" s="18" t="str">
        <f>wld_az1_en2_fqdn</f>
        <v>Value Missing.Value Missing</v>
      </c>
      <c r="E429" s="21"/>
    </row>
    <row r="430" spans="2:7" ht="20" customHeight="1">
      <c r="B430" s="21" t="s">
        <v>1865</v>
      </c>
      <c r="C430" s="22" t="str">
        <f>_xlfn.CONCAT(sample_wld_az1_en2_mgmt_ip,"/",INT(RIGHT(sample_wld_az1_mgmt_cidr,LEN(sample_wld_az1_mgmt_cidr)-FIND("/",sample_wld_az1_mgmt_cidr))))</f>
        <v>10.13.11.136/24</v>
      </c>
      <c r="D430" s="18" t="str">
        <f>IF(OR((wld_az1_en2_mgmt_ip="Value Missing"),(wld_az1_mgmt_cidr="Value Missing")),"Value Missing",wld_az1_en2_mgmt_ip&amp;"/"&amp;INT(RIGHT(wld_az1_mgmt_cidr,LEN(wld_az1_mgmt_cidr)-FIND("/",wld_az1_mgmt_cidr))))</f>
        <v>Value Missing</v>
      </c>
      <c r="E430" s="21"/>
      <c r="G430" s="91"/>
    </row>
    <row r="431" spans="2:7" ht="20" customHeight="1">
      <c r="B431" s="21" t="s">
        <v>1866</v>
      </c>
      <c r="C431" s="22" t="str">
        <f>sample_wld_az1_mgmt_gateway_ip</f>
        <v>10.13.11.1</v>
      </c>
      <c r="D431" s="18" t="str">
        <f>wld_az1_mgmt_gateway_ip</f>
        <v>Value Missing</v>
      </c>
      <c r="E431" s="21"/>
    </row>
    <row r="432" spans="2:7" ht="20" customHeight="1">
      <c r="B432" s="21" t="s">
        <v>1867</v>
      </c>
      <c r="C432" s="22" t="str">
        <f>_xlfn.CONCAT(sample_wld_az1_en2_edge_overlay_interface_ip_1_ip,"/",INT(RIGHT(_xlfn.SINGLE(sample_wld_az1_edge_overlay_cidr),LEN(_xlfn.SINGLE(sample_wld_az1_edge_overlay_cidr))-FIND("/",_xlfn.SINGLE(sample_wld_az1_edge_overlay_cidr)))))</f>
        <v>10.13.19.4/24</v>
      </c>
      <c r="D432" s="18" t="str">
        <f>IF(OR((wld_az1_en2_edge_overlay_interface_ip_1_ip="Value Missing"),(wld_az1_edge_overlay_cidr="Value Missing")),"Value Missing",wld_az1_en2_edge_overlay_interface_ip_1_ip&amp;"/"&amp;INT(RIGHT(wld_az1_edge_overlay_cidr,LEN(wld_az1_edge_overlay_cidr)-FIND("/",wld_az1_edge_overlay_cidr))))</f>
        <v>Value Missing</v>
      </c>
      <c r="E432" s="21"/>
    </row>
    <row r="433" spans="2:7" ht="20" customHeight="1">
      <c r="B433" s="21" t="s">
        <v>1868</v>
      </c>
      <c r="C433" s="22" t="str">
        <f>_xlfn.CONCAT(sample_wld_az1_en2_edge_overlay_interface_ip_2_ip,"/",INT(RIGHT(_xlfn.SINGLE(sample_wld_az1_edge_overlay_cidr),LEN(_xlfn.SINGLE(sample_wld_az1_edge_overlay_cidr))-FIND("/",_xlfn.SINGLE(sample_wld_az1_edge_overlay_cidr)))))</f>
        <v>10.13.19.5/24</v>
      </c>
      <c r="D433" s="18" t="str">
        <f>IF(OR((wld_az1_en2_edge_overlay_interface_ip_2_ip="Value Missing"),(wld_az1_edge_overlay_cidr="Value Missing")),"Value Missing",_xlfn.CONCAT(wld_az1_en2_edge_overlay_interface_ip_2_ip,"/",INT(RIGHT(wld_az1_edge_overlay_cidr,LEN(wld_az1_edge_overlay_cidr)-FIND("/",wld_az1_edge_overlay_cidr)))))</f>
        <v>Value Missing</v>
      </c>
      <c r="E433" s="21"/>
      <c r="G433" s="91"/>
    </row>
    <row r="434" spans="2:7" ht="20" customHeight="1">
      <c r="B434" s="21" t="s">
        <v>1869</v>
      </c>
      <c r="C434" s="22" t="str">
        <f>_xlfn.SINGLE(sample_wld_az1_edge_overlay_gateway_ip)</f>
        <v>10.13.19.1</v>
      </c>
      <c r="D434" s="18" t="str">
        <f>wld_az1_edge_overlay_gateway_ip</f>
        <v>Value Missing</v>
      </c>
      <c r="E434" s="21"/>
    </row>
    <row r="435" spans="2:7" ht="20" customHeight="1">
      <c r="B435" s="21" t="s">
        <v>1870</v>
      </c>
      <c r="C435" s="22" t="str">
        <f>sample_wld_az1_edge_overlay_vlan</f>
        <v>1319</v>
      </c>
      <c r="D435" s="18" t="str">
        <f>wld_az1_edge_overlay_vlan</f>
        <v>Value Missing</v>
      </c>
      <c r="E435" s="21"/>
    </row>
    <row r="436" spans="2:7" ht="20" customHeight="1">
      <c r="B436" s="21" t="s">
        <v>1871</v>
      </c>
      <c r="C436" s="22" t="str">
        <f>IF(wld_multirack_result="Included",sample_wld_cl03_cluster,sample_wld_cl01_cluster)</f>
        <v>sfo-w01-cl01</v>
      </c>
      <c r="D436" s="18" t="str">
        <f>wld_cl01_cluster</f>
        <v>Value Missing</v>
      </c>
      <c r="E436" s="21"/>
    </row>
    <row r="437" spans="2:7" ht="20" customHeight="1">
      <c r="B437" s="21" t="s">
        <v>1872</v>
      </c>
      <c r="C437" s="22" t="s">
        <v>1856</v>
      </c>
      <c r="D437" s="18" t="str">
        <f>C437</f>
        <v>L2 Uniform</v>
      </c>
      <c r="E437" s="21"/>
      <c r="G437" s="91"/>
    </row>
    <row r="438" spans="2:7" ht="20" customHeight="1">
      <c r="B438" s="21" t="s">
        <v>1873</v>
      </c>
      <c r="C438" s="22" t="str">
        <f>_xlfn.SINGLE(sample_wld_az1_uplink01_vlan)</f>
        <v>1317</v>
      </c>
      <c r="D438" s="18" t="str">
        <f>wld_az1_uplink01_vlan</f>
        <v>Value Missing</v>
      </c>
      <c r="E438" s="21"/>
    </row>
    <row r="439" spans="2:7" ht="20" customHeight="1">
      <c r="B439" s="21" t="s">
        <v>1874</v>
      </c>
      <c r="C439" s="22" t="str">
        <f>_xlfn.CONCAT(sample_wld_az1_en2_uplink01_interface_ip,"/",INT(RIGHT(sample_wld_az1_uplink01_cidr,LEN(sample_wld_az1_uplink01_cidr)-FIND("/",sample_wld_az1_uplink01_cidr))))</f>
        <v>10.13.17.3/24</v>
      </c>
      <c r="D439" s="18" t="str">
        <f>IF(OR((wld_az1_en2_uplink01_interface_ip="Value Missing"),(wld_az1_uplink01_cidr="Value Missing")),"Value Missing",wld_az1_en2_uplink01_interface_ip&amp;"/"&amp;INT(RIGHT(wld_az1_uplink01_cidr,LEN(wld_az1_uplink01_cidr)-FIND("/",wld_az1_uplink01_cidr))))</f>
        <v>Value Missing</v>
      </c>
      <c r="E439" s="21"/>
    </row>
    <row r="440" spans="2:7" ht="20" customHeight="1">
      <c r="B440" s="21" t="s">
        <v>1875</v>
      </c>
      <c r="C440" s="22" t="str">
        <f>_xlfn.CONCAT(sample_wld_az1_tor1_peer_ip,"/",INT(RIGHT(sample_wld_az1_uplink01_cidr,LEN(sample_wld_az1_uplink01_cidr)-FIND("/",sample_wld_az1_uplink01_cidr))))</f>
        <v>10.13.17.10/24</v>
      </c>
      <c r="D440" s="18" t="str">
        <f>IF(OR((wld_az1_tor1_peer_ip="Value Missing"),(wld_az1_uplink01_cidr="Value Missing")),"Value Missing",_xlfn.CONCAT(wld_az1_tor1_peer_ip,"/",INT(RIGHT(wld_az1_uplink01_cidr,LEN(wld_az1_uplink01_cidr)-FIND("/",wld_az1_uplink01_cidr)))))</f>
        <v>Value Missing</v>
      </c>
      <c r="E440" s="21"/>
      <c r="G440" s="91"/>
    </row>
    <row r="441" spans="2:7" ht="20" customHeight="1">
      <c r="B441" s="21" t="s">
        <v>1876</v>
      </c>
      <c r="C441" s="22" t="str">
        <f>sample_wld_az1_tor1_peer_asn</f>
        <v>65131</v>
      </c>
      <c r="D441" s="18" t="str">
        <f>wld_az1_tor2_peer_asn</f>
        <v>Value Missing</v>
      </c>
      <c r="E441" s="21"/>
    </row>
    <row r="442" spans="2:7" ht="20" customHeight="1">
      <c r="B442" s="21" t="s">
        <v>1877</v>
      </c>
      <c r="C442" s="22" t="str">
        <f>sample_wld_az1_tor1_peer_bgp_password</f>
        <v>VMw@re1!</v>
      </c>
      <c r="D442" s="18" t="str">
        <f>wld_az1_tor1_peer_bgp_password</f>
        <v>Value Missing</v>
      </c>
      <c r="E442" s="21"/>
      <c r="G442" s="91"/>
    </row>
    <row r="443" spans="2:7" ht="20" customHeight="1">
      <c r="B443" s="21" t="s">
        <v>1878</v>
      </c>
      <c r="C443" s="22" t="str">
        <f>_xlfn.SINGLE(sample_wld_az1_uplink02_vlan)</f>
        <v>1318</v>
      </c>
      <c r="D443" s="18" t="str">
        <f>wld_az1_uplink02_vlan</f>
        <v>Value Missing</v>
      </c>
      <c r="E443" s="21"/>
    </row>
    <row r="444" spans="2:7" ht="20" customHeight="1">
      <c r="B444" s="21" t="s">
        <v>1879</v>
      </c>
      <c r="C444" s="22" t="str">
        <f>_xlfn.CONCAT(sample_wld_az1_en2_uplink02_interface_ip,"/",INT(RIGHT(_xlfn.SINGLE(sample_wld_az1_uplink02_cidr),LEN(_xlfn.SINGLE(sample_wld_az1_uplink02_cidr))-FIND("/",_xlfn.SINGLE(sample_wld_az1_uplink02_cidr)))))</f>
        <v>10.13.18.3/24</v>
      </c>
      <c r="D444" s="18" t="str">
        <f>IF(OR((wld_az1_en2_uplink02_interface_ip="Value Missing"),(wld_az1_uplink02_cidr="Value Missing")),"Value Missing",wld_az1_en2_uplink02_interface_ip&amp;"/"&amp;INT(RIGHT(wld_az1_uplink02_cidr,LEN(wld_az1_uplink02_cidr)-FIND("/",wld_az1_uplink02_cidr))))</f>
        <v>Value Missing</v>
      </c>
      <c r="E444" s="21"/>
    </row>
    <row r="445" spans="2:7" ht="20" customHeight="1">
      <c r="B445" s="21" t="s">
        <v>1875</v>
      </c>
      <c r="C445" s="22" t="str">
        <f>_xlfn.CONCAT(sample_wld_az1_tor2_peer_ip,"/",INT(RIGHT(_xlfn.SINGLE(sample_wld_az1_uplink02_cidr),LEN(_xlfn.SINGLE(sample_wld_az1_uplink02_cidr))-FIND("/",_xlfn.SINGLE(sample_wld_az1_uplink02_cidr)))))</f>
        <v>10.13.18.10/24</v>
      </c>
      <c r="D445" s="18" t="str">
        <f>IF(OR((wld_az1_tor2_peer_ip="Value Missing"),(wld_az1_uplink02_cidr="Value Missing")),"Value Missing",_xlfn.CONCAT(wld_az1_tor2_peer_ip,"/",INT(RIGHT(wld_az1_uplink02_cidr,LEN(wld_az1_uplink02_cidr)-FIND("/",wld_az1_uplink02_cidr)))))</f>
        <v>Value Missing</v>
      </c>
      <c r="E445" s="21"/>
    </row>
    <row r="446" spans="2:7" ht="16" customHeight="1">
      <c r="B446" s="21" t="s">
        <v>1876</v>
      </c>
      <c r="C446" s="22" t="str">
        <f>sample_wld_az1_tor2_peer_asn</f>
        <v>65131</v>
      </c>
      <c r="D446" s="18" t="str">
        <f>wld_az1_tor2_peer_asn</f>
        <v>Value Missing</v>
      </c>
      <c r="E446" s="21"/>
    </row>
    <row r="447" spans="2:7" ht="20" customHeight="1">
      <c r="B447" s="21" t="s">
        <v>1877</v>
      </c>
      <c r="C447" s="22" t="str">
        <f>sample_wld_az1_tor2_peer_bgp_password</f>
        <v>VMw@re1!</v>
      </c>
      <c r="D447" s="18" t="str">
        <f>wld_az1_tor2_peer_bgp_password</f>
        <v>Value Missing</v>
      </c>
      <c r="E447" s="21"/>
    </row>
    <row r="448" spans="2:7" ht="16" customHeight="1"/>
    <row r="449" spans="2:7" ht="34" customHeight="1">
      <c r="B449" s="344" t="s">
        <v>4663</v>
      </c>
      <c r="C449" s="344"/>
      <c r="D449" s="344"/>
      <c r="E449" s="344"/>
    </row>
    <row r="450" spans="2:7" ht="20" customHeight="1">
      <c r="B450" s="519" t="s">
        <v>4664</v>
      </c>
      <c r="C450" s="519"/>
      <c r="D450" s="519"/>
      <c r="E450" s="519"/>
    </row>
    <row r="451" spans="2:7" ht="16" customHeight="1"/>
    <row r="452" spans="2:7" ht="34" customHeight="1">
      <c r="B452" s="344" t="s">
        <v>4269</v>
      </c>
      <c r="C452" s="344"/>
      <c r="D452" s="344"/>
      <c r="E452" s="344"/>
    </row>
    <row r="453" spans="2:7" ht="20" customHeight="1">
      <c r="B453" s="8" t="s">
        <v>735</v>
      </c>
      <c r="C453" s="8" t="s">
        <v>554</v>
      </c>
      <c r="D453" s="20" t="s">
        <v>555</v>
      </c>
      <c r="E453" s="8" t="s">
        <v>222</v>
      </c>
    </row>
    <row r="454" spans="2:7" ht="20" customHeight="1">
      <c r="B454" s="472" t="s">
        <v>4258</v>
      </c>
      <c r="C454" s="472"/>
      <c r="D454" s="472"/>
      <c r="E454" s="472"/>
    </row>
    <row r="455" spans="2:7" ht="20" customHeight="1">
      <c r="B455" s="21" t="s">
        <v>83</v>
      </c>
      <c r="C455" s="22"/>
      <c r="D455" s="18" t="str">
        <f>wld_avilb_cluster_version</f>
        <v>Value Missing</v>
      </c>
      <c r="E455" s="21"/>
    </row>
    <row r="456" spans="2:7" ht="20" customHeight="1">
      <c r="B456" s="472" t="s">
        <v>4259</v>
      </c>
      <c r="C456" s="472"/>
      <c r="D456" s="472"/>
      <c r="E456" s="472"/>
    </row>
    <row r="457" spans="2:7" ht="20" customHeight="1">
      <c r="B457" s="21" t="s">
        <v>1884</v>
      </c>
      <c r="C457" s="22" t="str">
        <f>sizing_mgmt_avi_lb_appliance_size</f>
        <v>Medium</v>
      </c>
      <c r="D457" s="18" t="str">
        <f>sizing_mgmt_avi_lb_appliance_size</f>
        <v>Medium</v>
      </c>
      <c r="E457" s="21"/>
    </row>
    <row r="458" spans="2:7" ht="20" customHeight="1">
      <c r="B458" s="472" t="s">
        <v>4260</v>
      </c>
      <c r="C458" s="472"/>
      <c r="D458" s="472"/>
      <c r="E458" s="472"/>
      <c r="G458" s="91"/>
    </row>
    <row r="459" spans="2:7" ht="20" customHeight="1">
      <c r="B459" s="21" t="s">
        <v>1684</v>
      </c>
      <c r="C459" s="22" t="str">
        <f>sample_avilb_root_password</f>
        <v>VMw@re1!VMw@re1!</v>
      </c>
      <c r="D459" s="18" t="str">
        <f>avilb_root_password</f>
        <v>Value Missing</v>
      </c>
      <c r="E459" s="21"/>
    </row>
    <row r="460" spans="2:7" ht="20" customHeight="1">
      <c r="B460" s="21" t="s">
        <v>4261</v>
      </c>
      <c r="C460" s="22" t="str">
        <f>sample_mgmt_avilb_mgra_ip</f>
        <v>10.11.10.92</v>
      </c>
      <c r="D460" s="18" t="str">
        <f>wld_avilb_mgra_ip</f>
        <v>Value Missing</v>
      </c>
      <c r="E460" s="21"/>
    </row>
    <row r="461" spans="2:7" ht="20" customHeight="1">
      <c r="B461" s="21" t="s">
        <v>4262</v>
      </c>
      <c r="C461" s="22" t="str">
        <f>sample_mgmt_avilb_mgrb_ip</f>
        <v>10.11.10.93</v>
      </c>
      <c r="D461" s="18" t="str">
        <f>wld_avilb_mgrb_ip</f>
        <v>Value Missing</v>
      </c>
      <c r="E461" s="21"/>
    </row>
    <row r="462" spans="2:7" ht="20" customHeight="1">
      <c r="B462" s="21" t="s">
        <v>4263</v>
      </c>
      <c r="C462" s="22" t="str">
        <f>sample_mgmt_avilb_mgrc_ip</f>
        <v>10.11.10.94</v>
      </c>
      <c r="D462" s="18" t="str">
        <f>wld_avilb_mgrc_ip</f>
        <v>Value Missing</v>
      </c>
      <c r="E462" s="21"/>
    </row>
    <row r="463" spans="2:7" ht="20" customHeight="1">
      <c r="B463" s="21" t="s">
        <v>4264</v>
      </c>
      <c r="C463" s="22" t="str">
        <f>sample_mgmt_avilb_ip</f>
        <v>10.11.10.91</v>
      </c>
      <c r="D463" s="18" t="str">
        <f>wld_avilb_ip</f>
        <v>Value Missing</v>
      </c>
      <c r="E463" s="21"/>
    </row>
    <row r="464" spans="2:7" ht="16" customHeight="1">
      <c r="B464" s="21" t="s">
        <v>2184</v>
      </c>
      <c r="C464" s="22" t="str">
        <f>_xlfn.CONCAT(sample_mgmt_avilb_hostname,".",sample_child_dns_zone)</f>
        <v>sfo-m01-avlb01.sfo.rainpole.io</v>
      </c>
      <c r="D464" s="18" t="str">
        <f>wld_avilb_fqdn</f>
        <v>Value Missing.Value Missing</v>
      </c>
      <c r="E464" s="21"/>
    </row>
    <row r="465" spans="2:5" ht="34" customHeight="1">
      <c r="B465" s="21" t="s">
        <v>906</v>
      </c>
      <c r="C465" s="22" t="str">
        <f>IF(mgmt_vns_result="Excluded","N/A",LEFT(sample_xreg_seg01_cidr,(FIND("/",sample_xreg_seg01_cidr,1)-1)))</f>
        <v>N/A</v>
      </c>
      <c r="D465" s="18" t="str" cm="1">
        <f t="array" ref="D465">wld_avilb_cluster_name</f>
        <v>Value Missing</v>
      </c>
      <c r="E465" s="21"/>
    </row>
    <row r="466" spans="2:5" ht="16" customHeight="1"/>
    <row r="467" spans="2:5" ht="34" customHeight="1">
      <c r="B467" s="516" t="s">
        <v>30</v>
      </c>
      <c r="C467" s="517"/>
      <c r="D467" s="517"/>
      <c r="E467" s="518"/>
    </row>
    <row r="468" spans="2:5" ht="16" customHeight="1"/>
    <row r="469" spans="2:5" ht="34" customHeight="1">
      <c r="B469" s="487" t="s">
        <v>1900</v>
      </c>
      <c r="C469" s="488"/>
      <c r="D469" s="488"/>
      <c r="E469" s="489"/>
    </row>
    <row r="470" spans="2:5" ht="20" customHeight="1">
      <c r="B470" s="8" t="s">
        <v>735</v>
      </c>
      <c r="C470" s="8" t="s">
        <v>554</v>
      </c>
      <c r="D470" s="20" t="s">
        <v>555</v>
      </c>
      <c r="E470" s="8" t="s">
        <v>1989</v>
      </c>
    </row>
    <row r="471" spans="2:5" ht="20" customHeight="1">
      <c r="B471" s="21" t="s">
        <v>1901</v>
      </c>
      <c r="C471" s="22" t="str">
        <f>_xlfn.CONCAT(sample_wld_witness_zone_vc_hostname,".",sample_witness_dns_zone)</f>
        <v>lax-m01-vc01.lax.rainpole.io</v>
      </c>
      <c r="D471" s="18" t="str">
        <f>wld_witness_vc_fqdn</f>
        <v>Value Missing.Value Missing</v>
      </c>
      <c r="E471" s="21"/>
    </row>
    <row r="472" spans="2:5" ht="20" customHeight="1">
      <c r="B472" s="21" t="s">
        <v>1902</v>
      </c>
      <c r="C472" s="22" t="str">
        <f>sample_wld_witness_hostname</f>
        <v>sfo-w01-cl01-vsw01</v>
      </c>
      <c r="D472" s="18" t="str">
        <f>wld_witness_hostname</f>
        <v>Value Missing</v>
      </c>
      <c r="E472" s="21"/>
    </row>
    <row r="473" spans="2:5" ht="20" customHeight="1">
      <c r="B473" s="21" t="s">
        <v>539</v>
      </c>
      <c r="C473" s="22" t="str">
        <f>sample_wld_witness_mgmt_pg</f>
        <v>lax01-m01-cl01-vds01-pg-vm-mgmt</v>
      </c>
      <c r="D473" s="18" t="str">
        <f>wld_witness_mgmt_pg</f>
        <v>Value Missing</v>
      </c>
      <c r="E473" s="21"/>
    </row>
    <row r="474" spans="2:5" ht="20" customHeight="1">
      <c r="B474" s="21" t="s">
        <v>1903</v>
      </c>
      <c r="C474" s="22" t="str">
        <f>sample_wld_witness_mgmt_pg</f>
        <v>lax01-m01-cl01-vds01-pg-vm-mgmt</v>
      </c>
      <c r="D474" s="18" t="str">
        <f>wld_witness_mgmt_pg</f>
        <v>Value Missing</v>
      </c>
      <c r="E474" s="21"/>
    </row>
    <row r="475" spans="2:5" ht="20" customHeight="1">
      <c r="B475" s="21" t="s">
        <v>1904</v>
      </c>
      <c r="C475" s="22" t="str">
        <f t="array" ref="C475">sample_wld_witness_root_password</f>
        <v>VMw@re1!</v>
      </c>
      <c r="D475" s="18" t="str">
        <f>wld_witness_root_password</f>
        <v>Value Missing</v>
      </c>
      <c r="E475" s="21"/>
    </row>
    <row r="476" spans="2:5" ht="20" customHeight="1">
      <c r="B476" s="21" t="s">
        <v>2199</v>
      </c>
      <c r="C476" s="22" t="str">
        <f>sample_wld_witness_ip</f>
        <v>10.21.10.219</v>
      </c>
      <c r="D476" s="18" t="str">
        <f>wld_witness_mgmt_ip</f>
        <v>Value Missing</v>
      </c>
      <c r="E476" s="21"/>
    </row>
    <row r="477" spans="2:5" ht="20" customHeight="1">
      <c r="B477" s="21" t="s">
        <v>1905</v>
      </c>
      <c r="C477" s="22" t="str">
        <f>VLOOKUP(INT(RIGHT(sample_wld_witnessaz_mgmt_cidr,LEN(sample_wld_witnessaz_mgmt_cidr)-FIND("/",sample_wld_witnessaz_mgmt_cidr))),table_cidr_to_mask,2,FALSE)</f>
        <v>255.255.255.0</v>
      </c>
      <c r="D477" s="18" t="str">
        <f>wld_witness_az_mgmt_mask</f>
        <v>Value Missing</v>
      </c>
      <c r="E477" s="21"/>
    </row>
    <row r="478" spans="2:5" ht="20" customHeight="1">
      <c r="B478" s="21" t="s">
        <v>1774</v>
      </c>
      <c r="C478" s="22" t="str">
        <f>sample_wld_witnessaz_mgmt_gateway_ip</f>
        <v>10.21.10.1</v>
      </c>
      <c r="D478" s="18" t="str">
        <f>wld_witnessaz_gateway_ip</f>
        <v>Value Missing</v>
      </c>
      <c r="E478" s="21"/>
    </row>
    <row r="479" spans="2:5" ht="20" customHeight="1">
      <c r="B479" s="21" t="s">
        <v>1906</v>
      </c>
      <c r="C479" s="22" t="str">
        <f>sample_child_dns_zone</f>
        <v>sfo.rainpole.io</v>
      </c>
      <c r="D479" s="18" t="str">
        <f>child_dns_zone</f>
        <v>Value Missing</v>
      </c>
      <c r="E479" s="21"/>
    </row>
    <row r="480" spans="2:5" ht="20" customHeight="1">
      <c r="B480" s="21" t="s">
        <v>1907</v>
      </c>
      <c r="C480" s="22" t="str">
        <f>sample_wld_witness_hostname</f>
        <v>sfo-w01-cl01-vsw01</v>
      </c>
      <c r="D480" s="18" t="str">
        <f>wld_witness_hostname</f>
        <v>Value Missing</v>
      </c>
      <c r="E480" s="21"/>
    </row>
    <row r="481" spans="2:5" ht="16" customHeight="1">
      <c r="B481" s="21" t="s">
        <v>1690</v>
      </c>
      <c r="C481" s="22" t="str">
        <f>CONCATENATE(sample_witness_dns1_ip,",",sample_witness_dns2_ip)</f>
        <v>10.21.10.4,10.21.10.5</v>
      </c>
      <c r="D481" s="18" t="str">
        <f>IF(ISBLANK(input_witness_dns1_ip),"Value Missing",witness_dns1_ip)&amp;","&amp;IF(ISBLANK(input_witness_dns2_ip),"Value Missing",witness_dns2_ip)</f>
        <v>Value Missing,Value Missing</v>
      </c>
      <c r="E481" s="53"/>
    </row>
    <row r="482" spans="2:5" ht="20" customHeight="1">
      <c r="B482" s="21" t="s">
        <v>1693</v>
      </c>
      <c r="C482" s="22" t="str">
        <f>sample_witness_ntp1_server</f>
        <v>ntp.lax.rainpole.io</v>
      </c>
      <c r="D482" s="18" t="str">
        <f>witness_ntp1_server</f>
        <v>Value Missing</v>
      </c>
      <c r="E482" s="21"/>
    </row>
    <row r="483" spans="2:5" ht="16" customHeight="1"/>
    <row r="484" spans="2:5" ht="34" customHeight="1">
      <c r="B484" s="486" t="s">
        <v>1908</v>
      </c>
      <c r="C484" s="344"/>
      <c r="D484" s="344"/>
      <c r="E484" s="344"/>
    </row>
    <row r="485" spans="2:5" ht="20" customHeight="1">
      <c r="B485" s="8" t="s">
        <v>735</v>
      </c>
      <c r="C485" s="8" t="s">
        <v>554</v>
      </c>
      <c r="D485" s="20" t="s">
        <v>555</v>
      </c>
      <c r="E485" s="8" t="s">
        <v>1989</v>
      </c>
    </row>
    <row r="486" spans="2:5" ht="20" customHeight="1">
      <c r="B486" s="21" t="s">
        <v>1901</v>
      </c>
      <c r="C486" s="22" t="str">
        <f>_xlfn.CONCAT(sample_wld_vc_hostname,".",sample_child_dns_zone)</f>
        <v>sfo-w01-vc01.sfo.rainpole.io</v>
      </c>
      <c r="D486" s="18" t="str">
        <f>wld_vc_fqdn</f>
        <v>Value Missing.Value Missing</v>
      </c>
      <c r="E486" s="21"/>
    </row>
    <row r="487" spans="2:5" ht="20" customHeight="1">
      <c r="B487" s="21" t="s">
        <v>1909</v>
      </c>
      <c r="C487" s="22" t="str">
        <f>sample_wld_datacenter</f>
        <v>sfo-w01-DC</v>
      </c>
      <c r="D487" s="18" t="str">
        <f>wld_datacenter</f>
        <v>Value Missing</v>
      </c>
      <c r="E487" s="21"/>
    </row>
    <row r="488" spans="2:5" ht="20" customHeight="1">
      <c r="B488" s="21" t="s">
        <v>1799</v>
      </c>
      <c r="C488" s="22" t="str">
        <f>_xlfn.CONCAT(sample_wld_witness_hostname,".",sample_child_dns_zone)</f>
        <v>sfo-w01-cl01-vsw01.sfo.rainpole.io</v>
      </c>
      <c r="D488" s="18" t="str">
        <f>wld_witness_fqdn</f>
        <v>Value Missing.Value Missing</v>
      </c>
      <c r="E488" s="21"/>
    </row>
    <row r="489" spans="2:5" ht="20" customHeight="1">
      <c r="B489" s="21" t="s">
        <v>1910</v>
      </c>
      <c r="C489" s="22" t="str">
        <f>sample_wld_witness_root_password</f>
        <v>VMw@re1!</v>
      </c>
      <c r="D489" s="18" t="str">
        <f>wld_witness_root_password</f>
        <v>Value Missing</v>
      </c>
      <c r="E489" s="21"/>
    </row>
    <row r="490" spans="2:5" ht="16" customHeight="1"/>
    <row r="491" spans="2:5" ht="34" customHeight="1">
      <c r="B491" s="486" t="s">
        <v>1911</v>
      </c>
      <c r="C491" s="344"/>
      <c r="D491" s="344"/>
      <c r="E491" s="344"/>
    </row>
    <row r="492" spans="2:5" ht="20" customHeight="1">
      <c r="B492" s="8" t="s">
        <v>735</v>
      </c>
      <c r="C492" s="8" t="s">
        <v>554</v>
      </c>
      <c r="D492" s="20" t="s">
        <v>555</v>
      </c>
      <c r="E492" s="8" t="s">
        <v>1989</v>
      </c>
    </row>
    <row r="493" spans="2:5" ht="20" customHeight="1">
      <c r="B493" s="21" t="s">
        <v>1901</v>
      </c>
      <c r="C493" s="22" t="str">
        <f>_xlfn.CONCAT(sample_wld_vc_hostname,".",sample_child_dns_zone)</f>
        <v>sfo-w01-vc01.sfo.rainpole.io</v>
      </c>
      <c r="D493" s="18" t="str">
        <f>wld_vc_fqdn</f>
        <v>Value Missing.Value Missing</v>
      </c>
      <c r="E493" s="21"/>
    </row>
    <row r="494" spans="2:5" ht="20" customHeight="1">
      <c r="B494" s="21" t="s">
        <v>1912</v>
      </c>
      <c r="C494" s="22" t="str">
        <f>sample_wld_witness_hostname</f>
        <v>sfo-w01-cl01-vsw01</v>
      </c>
      <c r="D494" s="18" t="str">
        <f>wld_witness_hostname</f>
        <v>Value Missing</v>
      </c>
      <c r="E494" s="21"/>
    </row>
    <row r="495" spans="2:5" ht="20" customHeight="1">
      <c r="B495" s="21" t="s">
        <v>1693</v>
      </c>
      <c r="C495" s="22" t="str">
        <f>IF(AND((NOT(ISBLANK(sample_witness_ntp2_server))),(sample_witness_ntp2_server &lt;&gt; "n/a")),CONCATENATE(sample_witness_ntp1_server,",",sample_witness_ntp2_server),sample_witness_ntp1_server)</f>
        <v>ntp.lax.rainpole.io</v>
      </c>
      <c r="D495" s="18" t="str">
        <f>IF(AND((NOT(ISBLANK(witness_ntp2_server))),(witness_ntp2_server &lt;&gt; "n/a"),(witness_ntp2_server &lt;&gt; "")),witness_ntp1_server&amp;","&amp;witness_ntp2_server,witness_ntp1_server)</f>
        <v>Value Missing</v>
      </c>
      <c r="E495" s="53"/>
    </row>
    <row r="496" spans="2:5" ht="16" customHeight="1"/>
    <row r="497" spans="2:7" ht="34" customHeight="1">
      <c r="B497" s="486" t="s">
        <v>1913</v>
      </c>
      <c r="C497" s="344"/>
      <c r="D497" s="344"/>
      <c r="E497" s="344"/>
    </row>
    <row r="498" spans="2:7" ht="20" customHeight="1">
      <c r="B498" s="8" t="s">
        <v>735</v>
      </c>
      <c r="C498" s="8" t="s">
        <v>554</v>
      </c>
      <c r="D498" s="20" t="s">
        <v>555</v>
      </c>
      <c r="E498" s="8" t="s">
        <v>1989</v>
      </c>
    </row>
    <row r="499" spans="2:7" ht="20" customHeight="1">
      <c r="B499" s="21" t="s">
        <v>1901</v>
      </c>
      <c r="C499" s="22" t="str">
        <f>_xlfn.CONCAT(sample_wld_vc_hostname,".",sample_child_dns_zone)</f>
        <v>sfo-w01-vc01.sfo.rainpole.io</v>
      </c>
      <c r="D499" s="18" t="str">
        <f>mgmt_vc_fqdn</f>
        <v>Value Missing.Value Missing</v>
      </c>
      <c r="E499" s="21"/>
    </row>
    <row r="500" spans="2:7" ht="20" customHeight="1">
      <c r="B500" s="21" t="s">
        <v>1909</v>
      </c>
      <c r="C500" s="22" t="str">
        <f>sample_wld_datacenter</f>
        <v>sfo-w01-DC</v>
      </c>
      <c r="D500" s="18" t="str">
        <f>wld_datacenter</f>
        <v>Value Missing</v>
      </c>
      <c r="E500" s="21"/>
    </row>
    <row r="501" spans="2:7" ht="20" customHeight="1">
      <c r="B501" s="21" t="s">
        <v>1686</v>
      </c>
      <c r="C501" s="22" t="str">
        <f>sample_wld_witness_hostname</f>
        <v>sfo-w01-cl01-vsw01</v>
      </c>
      <c r="D501" s="18" t="str">
        <f>wld_witness_hostname</f>
        <v>Value Missing</v>
      </c>
      <c r="E501" s="21"/>
    </row>
    <row r="502" spans="2:7" ht="16" customHeight="1"/>
    <row r="503" spans="2:7" ht="34" customHeight="1">
      <c r="B503" s="486" t="s">
        <v>1914</v>
      </c>
      <c r="C503" s="344"/>
      <c r="D503" s="344"/>
      <c r="E503" s="344"/>
    </row>
    <row r="504" spans="2:7" ht="20" customHeight="1">
      <c r="B504" s="8" t="s">
        <v>735</v>
      </c>
      <c r="C504" s="8" t="s">
        <v>554</v>
      </c>
      <c r="D504" s="20" t="s">
        <v>555</v>
      </c>
      <c r="E504" s="8" t="s">
        <v>1989</v>
      </c>
    </row>
    <row r="505" spans="2:7" ht="20" customHeight="1">
      <c r="B505" s="26" t="s">
        <v>1915</v>
      </c>
      <c r="C505" s="22" t="str">
        <f>sample_wld_az2_host1_sddc_id</f>
        <v>64d34a69-104d-443e-bd92-d949e278da83</v>
      </c>
      <c r="D505" s="18" t="str">
        <f>wld_az2_host1_sddc_id</f>
        <v>Value Missing</v>
      </c>
      <c r="E505" s="21"/>
    </row>
    <row r="506" spans="2:7" ht="20" customHeight="1">
      <c r="B506" s="21" t="s">
        <v>1916</v>
      </c>
      <c r="C506" s="22" t="str">
        <f>sample_wld_az2_host2_sddc_id</f>
        <v>61ae8e47-7dee-420b-83b2-b4136af0aef6</v>
      </c>
      <c r="D506" s="18" t="str">
        <f>wld_az2_host2_sddc_id</f>
        <v>Value Missing</v>
      </c>
      <c r="E506" s="21"/>
    </row>
    <row r="507" spans="2:7" ht="20" customHeight="1">
      <c r="B507" s="21" t="s">
        <v>1917</v>
      </c>
      <c r="C507" s="22" t="str">
        <f>sample_wld_az2_host3_sddc_id</f>
        <v>785d7869-018a-4185-b08e-f168236adc11</v>
      </c>
      <c r="D507" s="18" t="str">
        <f>wld_az2_host3_sddc_id</f>
        <v>Value Missing</v>
      </c>
      <c r="E507" s="21"/>
    </row>
    <row r="508" spans="2:7" ht="20" customHeight="1">
      <c r="B508" s="21" t="s">
        <v>1918</v>
      </c>
      <c r="C508" s="22" t="str">
        <f>sample_wld_az2_host4_sddc_id</f>
        <v>eafaa6a2-a673-4dee-9cd8-8d1f4d33065d</v>
      </c>
      <c r="D508" s="18" t="str">
        <f>wld_az2_host4_sddc_id</f>
        <v>Value Missing</v>
      </c>
      <c r="E508" s="21"/>
    </row>
    <row r="509" spans="2:7" ht="20" customHeight="1">
      <c r="B509" s="21" t="s">
        <v>1919</v>
      </c>
      <c r="C509" s="22" t="s">
        <v>452</v>
      </c>
      <c r="D509" s="18" t="str">
        <f>esx_std_license</f>
        <v>Value Missing</v>
      </c>
      <c r="E509" s="21"/>
    </row>
    <row r="510" spans="2:7" ht="20" customHeight="1">
      <c r="B510" s="21" t="s">
        <v>4101</v>
      </c>
      <c r="C510" s="22"/>
      <c r="D510" s="18" t="str">
        <f>wld_az2_host_overlay_network_profile_name</f>
        <v>Value Missing</v>
      </c>
      <c r="E510" s="21"/>
    </row>
    <row r="511" spans="2:7" ht="20" customHeight="1">
      <c r="B511" s="21" t="s">
        <v>4090</v>
      </c>
      <c r="C511" s="22"/>
      <c r="D511" s="18" t="str">
        <f>wld_az2_host_overlay_network_pool_name</f>
        <v>Value Missing</v>
      </c>
      <c r="E511" s="21"/>
    </row>
    <row r="512" spans="2:7" ht="20" customHeight="1">
      <c r="B512" s="21" t="s">
        <v>4100</v>
      </c>
      <c r="C512" s="22"/>
      <c r="D512" s="18" t="str">
        <f>wld_az2_host_overlay_uplink_profile_name</f>
        <v>Value Missing</v>
      </c>
      <c r="E512" s="21"/>
      <c r="G512" s="91"/>
    </row>
    <row r="513" spans="2:5" ht="20" customHeight="1">
      <c r="B513" s="21" t="s">
        <v>1920</v>
      </c>
      <c r="C513" s="22" t="str">
        <f>sample_wld_az2_host_overlay_vlan</f>
        <v>1414</v>
      </c>
      <c r="D513" s="18" t="str">
        <f>wld_az2_host_overlay_vlan</f>
        <v>Value Missing</v>
      </c>
      <c r="E513" s="21"/>
    </row>
    <row r="514" spans="2:5" ht="20" customHeight="1">
      <c r="B514" s="21" t="s">
        <v>1921</v>
      </c>
      <c r="C514" s="22" t="str">
        <f>_xlfn.CONCAT(sample_wld_witness_hostname,".",sample_child_dns_zone)</f>
        <v>sfo-w01-cl01-vsw01.sfo.rainpole.io</v>
      </c>
      <c r="D514" s="18" t="str">
        <f>wld_witness_fqdn</f>
        <v>Value Missing.Value Missing</v>
      </c>
      <c r="E514" s="21"/>
    </row>
    <row r="515" spans="2:5" ht="20" customHeight="1">
      <c r="B515" s="21" t="s">
        <v>1922</v>
      </c>
      <c r="C515" s="22" t="str">
        <f>sample_wld_witnessaz_cidr</f>
        <v>255.255.255.0</v>
      </c>
      <c r="D515" s="18" t="str">
        <f>wld_witnessaz_cidr</f>
        <v>Value Missing</v>
      </c>
      <c r="E515" s="21"/>
    </row>
    <row r="516" spans="2:5" ht="20" customHeight="1">
      <c r="B516" s="21" t="s">
        <v>1923</v>
      </c>
      <c r="C516" s="22" t="str">
        <f>sample_wld_witness_ip</f>
        <v>10.21.10.219</v>
      </c>
      <c r="D516" s="18" t="str">
        <f>wld_witness_mgmt_ip</f>
        <v>Value Missing</v>
      </c>
      <c r="E516" s="21"/>
    </row>
    <row r="517" spans="2:5" ht="20" customHeight="1">
      <c r="B517" s="21" t="s">
        <v>1924</v>
      </c>
      <c r="C517" s="22" t="str">
        <f>sample_wld_cl01_cluster_sddc_id</f>
        <v>b39f8008-6db0-4f13-82de-c46ccfd03c49</v>
      </c>
      <c r="D517" s="18" t="str">
        <f>wld_cl01_cluster_sddc_id</f>
        <v>Value Missing</v>
      </c>
      <c r="E517" s="21"/>
    </row>
    <row r="518" spans="2:5" ht="20" customHeight="1"/>
    <row r="519" spans="2:5" ht="16" customHeight="1">
      <c r="B519" s="486" t="s">
        <v>1925</v>
      </c>
      <c r="C519" s="344"/>
      <c r="D519" s="344"/>
      <c r="E519" s="344"/>
    </row>
    <row r="520" spans="2:5" ht="34" customHeight="1">
      <c r="B520" s="8" t="s">
        <v>735</v>
      </c>
      <c r="C520" s="8" t="s">
        <v>554</v>
      </c>
      <c r="D520" s="20" t="s">
        <v>555</v>
      </c>
      <c r="E520" s="8" t="s">
        <v>1989</v>
      </c>
    </row>
    <row r="521" spans="2:5" ht="20" customHeight="1">
      <c r="B521" s="21" t="s">
        <v>1926</v>
      </c>
      <c r="C521" s="22" t="str">
        <f>_xlfn.CONCAT(sample_wld_nsxt_hostname,".",sample_child_dns_zone)</f>
        <v>sfo-w01-nsx01.sfo.rainpole.io</v>
      </c>
      <c r="D521" s="18" t="str">
        <f>wld_nsxt_vip_fqdn</f>
        <v>Value Missing.Value Missing</v>
      </c>
      <c r="E521" s="21"/>
    </row>
    <row r="522" spans="2:5" ht="16" customHeight="1"/>
    <row r="523" spans="2:5" ht="20" customHeight="1">
      <c r="B523" s="486" t="s">
        <v>1927</v>
      </c>
      <c r="C523" s="344"/>
      <c r="D523" s="344"/>
      <c r="E523" s="344"/>
    </row>
    <row r="524" spans="2:5" ht="16" customHeight="1">
      <c r="B524" s="8" t="s">
        <v>735</v>
      </c>
      <c r="C524" s="8" t="s">
        <v>554</v>
      </c>
      <c r="D524" s="20" t="s">
        <v>555</v>
      </c>
      <c r="E524" s="8" t="s">
        <v>1989</v>
      </c>
    </row>
    <row r="525" spans="2:5" ht="34" customHeight="1">
      <c r="B525" s="21" t="s">
        <v>1926</v>
      </c>
      <c r="C525" s="22" t="str">
        <f>_xlfn.CONCAT(sample_wld_nsxt_hostname,".",sample_child_dns_zone)</f>
        <v>sfo-w01-nsx01.sfo.rainpole.io</v>
      </c>
      <c r="D525" s="18" t="str">
        <f>wld_nsxt_vip_fqdn</f>
        <v>Value Missing.Value Missing</v>
      </c>
      <c r="E525" s="21"/>
    </row>
    <row r="526" spans="2:5" ht="20" customHeight="1">
      <c r="B526" s="21" t="s">
        <v>1928</v>
      </c>
      <c r="C526" s="22" t="str">
        <f>sample_wld_en_asn</f>
        <v>65102</v>
      </c>
      <c r="D526" s="18" t="str">
        <f>wld_en_asn</f>
        <v>Value Missing</v>
      </c>
      <c r="E526" s="21"/>
    </row>
    <row r="527" spans="2:5" ht="20" customHeight="1"/>
    <row r="528" spans="2:5" ht="20" customHeight="1">
      <c r="B528" s="486" t="s">
        <v>1929</v>
      </c>
      <c r="C528" s="344"/>
      <c r="D528" s="344"/>
      <c r="E528" s="344"/>
    </row>
    <row r="529" spans="2:7" ht="20" customHeight="1">
      <c r="B529" s="8" t="s">
        <v>735</v>
      </c>
      <c r="C529" s="8" t="s">
        <v>554</v>
      </c>
      <c r="D529" s="20" t="s">
        <v>555</v>
      </c>
      <c r="E529" s="8" t="s">
        <v>1989</v>
      </c>
      <c r="G529" s="91"/>
    </row>
    <row r="530" spans="2:7" ht="20" customHeight="1">
      <c r="B530" s="21" t="s">
        <v>1926</v>
      </c>
      <c r="C530" s="22" t="str">
        <f>_xlfn.CONCAT(sample_wld_nsxt_hostname,".",sample_child_dns_zone)</f>
        <v>sfo-w01-nsx01.sfo.rainpole.io</v>
      </c>
      <c r="D530" s="18" t="str">
        <f>wld_nsxt_vip_fqdn</f>
        <v>Value Missing.Value Missing</v>
      </c>
      <c r="E530" s="21"/>
    </row>
    <row r="531" spans="2:7" ht="20" customHeight="1">
      <c r="B531" s="21" t="s">
        <v>1930</v>
      </c>
      <c r="C531" s="22" t="str">
        <f>sample_wld_az2_tor1_peer_ip</f>
        <v>10.13.17.11</v>
      </c>
      <c r="D531" s="18" t="str">
        <f>wld_az2_tor1_peer_ip</f>
        <v>Value Missing</v>
      </c>
      <c r="E531" s="21"/>
    </row>
    <row r="532" spans="2:7" ht="20" customHeight="1">
      <c r="B532" s="21" t="s">
        <v>1931</v>
      </c>
      <c r="C532" s="22" t="str">
        <f>sample_wld_az2_tor1_peer_asn</f>
        <v>65141</v>
      </c>
      <c r="D532" s="18" t="str">
        <f>wld_az2_tor1_peer_asn</f>
        <v>Value Missing</v>
      </c>
      <c r="E532" s="21"/>
    </row>
    <row r="533" spans="2:7" ht="20" customHeight="1">
      <c r="B533" s="21" t="s">
        <v>1932</v>
      </c>
      <c r="C533" s="22" t="str">
        <f>sample_wld_az1_en1_uplink01_interface_ip</f>
        <v>10.13.17.2</v>
      </c>
      <c r="D533" s="18" t="str">
        <f>wld_az1_en1_uplink01_interface_ip</f>
        <v>Value Missing</v>
      </c>
      <c r="E533" s="21"/>
    </row>
    <row r="534" spans="2:7" ht="20" customHeight="1">
      <c r="B534" s="21" t="s">
        <v>1933</v>
      </c>
      <c r="C534" s="22" t="str">
        <f>sample_wld_az1_en2_uplink01_interface_ip</f>
        <v>10.13.17.3</v>
      </c>
      <c r="D534" s="18" t="str">
        <f>wld_az1_en2_uplink01_interface_ip</f>
        <v>Value Missing</v>
      </c>
      <c r="E534" s="21"/>
    </row>
    <row r="535" spans="2:7" ht="20" customHeight="1">
      <c r="B535" s="21" t="s">
        <v>1934</v>
      </c>
      <c r="C535" s="22" t="str">
        <f>sample_wld_az2_tor1_peer_bgp_password</f>
        <v>VMw@re1!</v>
      </c>
      <c r="D535" s="18" t="str">
        <f>wld_az2_tor1_peer_bgp_password</f>
        <v>Value Missing</v>
      </c>
      <c r="E535" s="21"/>
    </row>
    <row r="536" spans="2:7" ht="16" customHeight="1">
      <c r="B536" s="21" t="s">
        <v>1935</v>
      </c>
      <c r="C536" s="22" t="str">
        <f>sample_wld_az2_tor2_peer_ip</f>
        <v>10.13.18.11</v>
      </c>
      <c r="D536" s="18" t="str">
        <f>wld_az2_tor2_peer_ip</f>
        <v>Value Missing</v>
      </c>
      <c r="E536" s="21"/>
    </row>
    <row r="537" spans="2:7" ht="20" customHeight="1">
      <c r="B537" s="21" t="s">
        <v>1936</v>
      </c>
      <c r="C537" s="22" t="str">
        <f>sample_wld_az2_tor2_peer_asn</f>
        <v>65141</v>
      </c>
      <c r="D537" s="18" t="str">
        <f>wld_az2_tor2_peer_asn</f>
        <v>Value Missing</v>
      </c>
      <c r="E537" s="21"/>
      <c r="G537" s="91"/>
    </row>
    <row r="538" spans="2:7" ht="16" customHeight="1">
      <c r="B538" s="21" t="s">
        <v>1932</v>
      </c>
      <c r="C538" s="22" t="str">
        <f>sample_wld_az1_en1_uplink02_interface_ip</f>
        <v>10.13.18.2</v>
      </c>
      <c r="D538" s="18" t="str">
        <f>wld_az1_en1_uplink02_interface_ip</f>
        <v>Value Missing</v>
      </c>
      <c r="E538" s="21"/>
    </row>
    <row r="539" spans="2:7" ht="34" customHeight="1">
      <c r="B539" s="21" t="s">
        <v>1933</v>
      </c>
      <c r="C539" s="22" t="str">
        <f>sample_wld_az1_en2_uplink02_interface_ip</f>
        <v>10.13.18.3</v>
      </c>
      <c r="D539" s="18" t="str">
        <f>wld_az1_en2_uplink02_interface_ip</f>
        <v>Value Missing</v>
      </c>
      <c r="E539" s="21"/>
    </row>
    <row r="540" spans="2:7" ht="16" customHeight="1">
      <c r="B540" s="21" t="s">
        <v>1934</v>
      </c>
      <c r="C540" s="22" t="str">
        <f>sample_wld_az2_tor2_peer_bgp_password</f>
        <v>VMw@re1!</v>
      </c>
      <c r="D540" s="18" t="str">
        <f>wld_az2_tor2_peer_bgp_password</f>
        <v>Value Missing</v>
      </c>
      <c r="E540" s="21"/>
    </row>
    <row r="541" spans="2:7" ht="36" customHeight="1"/>
    <row r="542" spans="2:7" ht="20" customHeight="1">
      <c r="B542" s="386" t="s">
        <v>56</v>
      </c>
      <c r="C542" s="387"/>
      <c r="D542" s="387"/>
      <c r="E542" s="387"/>
    </row>
    <row r="543" spans="2:7" ht="20" customHeight="1">
      <c r="G543" s="91"/>
    </row>
    <row r="544" spans="2:7" ht="20" customHeight="1">
      <c r="B544" s="486" t="s">
        <v>1937</v>
      </c>
      <c r="C544" s="344"/>
      <c r="D544" s="344"/>
      <c r="E544" s="344"/>
    </row>
    <row r="545" spans="2:7" ht="20" customHeight="1">
      <c r="B545" s="8" t="s">
        <v>735</v>
      </c>
      <c r="C545" s="8" t="s">
        <v>554</v>
      </c>
      <c r="D545" s="20" t="s">
        <v>555</v>
      </c>
      <c r="E545" s="8" t="s">
        <v>1989</v>
      </c>
    </row>
    <row r="546" spans="2:7" ht="20" customHeight="1">
      <c r="B546" s="52" t="s">
        <v>1938</v>
      </c>
      <c r="C546" s="22" t="str">
        <f>_xlfn.CONCAT(sample_mgmt_vc_hostname,".",sample_child_dns_zone)</f>
        <v>sfo-m01-vc01.sfo.rainpole.io</v>
      </c>
      <c r="D546" s="18" t="str">
        <f>mgmt_vc_fqdn</f>
        <v>Value Missing.Value Missing</v>
      </c>
      <c r="E546" s="21"/>
    </row>
    <row r="547" spans="2:7" ht="20" customHeight="1">
      <c r="B547" s="55" t="s">
        <v>2200</v>
      </c>
      <c r="C547" s="22" t="str">
        <f>sample_wld_nsxt_global_mgra_hostname</f>
        <v>sfo-w01-nsx-gm01a</v>
      </c>
      <c r="D547" s="18" t="str">
        <f>wld_nsxt_global_mgra_hostname</f>
        <v>Value Missing</v>
      </c>
      <c r="E547" s="21"/>
      <c r="G547" s="91"/>
    </row>
    <row r="548" spans="2:7" ht="20" customHeight="1">
      <c r="B548" s="55" t="s">
        <v>2201</v>
      </c>
      <c r="C548" s="22" t="str">
        <f>sample_mgmt_datacenter</f>
        <v>sfo-m01-dc01</v>
      </c>
      <c r="D548" s="18" t="str">
        <f>mgmt_datacenter</f>
        <v>Value Missing</v>
      </c>
      <c r="E548" s="21"/>
    </row>
    <row r="549" spans="2:7" ht="20" customHeight="1">
      <c r="B549" s="55" t="s">
        <v>2202</v>
      </c>
      <c r="C549" s="22" t="str">
        <f>sample_mgmt_cl01_cluster</f>
        <v>sfo-m01-cl01</v>
      </c>
      <c r="D549" s="18" t="str">
        <f>mgmt_cl01_cluster</f>
        <v>Value Missing</v>
      </c>
      <c r="E549" s="21"/>
    </row>
    <row r="550" spans="2:7" ht="20" customHeight="1">
      <c r="B550" s="55" t="s">
        <v>2203</v>
      </c>
      <c r="C550" s="22" t="s">
        <v>345</v>
      </c>
      <c r="D550" s="18" t="str">
        <f>sizing_m01_nsxt_gm_appliance_size</f>
        <v>Medium</v>
      </c>
      <c r="E550" s="21"/>
    </row>
    <row r="551" spans="2:7" ht="20" customHeight="1">
      <c r="B551" s="55" t="s">
        <v>2204</v>
      </c>
      <c r="C551" s="22" t="str">
        <f>sample_mgmt_cl01_vsan_datastore</f>
        <v>sfo-m01-cl01-ds-vsan01</v>
      </c>
      <c r="D551" s="18" t="str">
        <f>mgmt_cl01_vsan_datastore</f>
        <v>Value Missing</v>
      </c>
      <c r="E551" s="21"/>
    </row>
    <row r="552" spans="2:7" ht="20" customHeight="1">
      <c r="B552" s="55" t="s">
        <v>2205</v>
      </c>
      <c r="C552" s="22" t="str">
        <f>sample_mgmt_cl01_az1_mgmt_pg</f>
        <v>sfo-m01-cl01-vds01-pg-esxi-mgmt</v>
      </c>
      <c r="D552" s="18" t="str">
        <f>mgmt_cl01_az1_mgmt_pg</f>
        <v>Value Missing</v>
      </c>
      <c r="E552" s="21"/>
    </row>
    <row r="553" spans="2:7" ht="20" customHeight="1">
      <c r="B553" s="55" t="s">
        <v>2206</v>
      </c>
      <c r="C553" s="22" t="str">
        <f>sample_nsxt_gm_root_password</f>
        <v>VMw@re1!VMw@re1!</v>
      </c>
      <c r="D553" s="18" t="str">
        <f>nsxt_gm_root_password</f>
        <v>Value Missing</v>
      </c>
      <c r="E553" s="21"/>
    </row>
    <row r="554" spans="2:7" ht="20" customHeight="1">
      <c r="B554" s="55" t="s">
        <v>2207</v>
      </c>
      <c r="C554" s="22" t="str">
        <f>sample_nsxt_gm_admin_password</f>
        <v>VMw@re1!VMw@re1!</v>
      </c>
      <c r="D554" s="18" t="str">
        <f>nsxt_gm_admin_password</f>
        <v>Value Missing</v>
      </c>
      <c r="E554" s="21"/>
      <c r="G554" s="91"/>
    </row>
    <row r="555" spans="2:7" ht="20" customHeight="1">
      <c r="B555" s="55" t="s">
        <v>2208</v>
      </c>
      <c r="C555" s="22" t="str">
        <f>sample_nsxt_gm_audit_password</f>
        <v>VMw@re1!VMw@re1!</v>
      </c>
      <c r="D555" s="18" t="str">
        <f>nsxt_gm_audit_password</f>
        <v>Value Missing</v>
      </c>
      <c r="E555" s="21"/>
    </row>
    <row r="556" spans="2:7" ht="20" customHeight="1">
      <c r="B556" s="55" t="s">
        <v>2209</v>
      </c>
      <c r="C556" s="22" t="str">
        <f>_xlfn.CONCAT(sample_wld_nsxt_global_mgra_hostname,".",sample_child_dns_zone)</f>
        <v>sfo-w01-nsx-gm01a.sfo.rainpole.io</v>
      </c>
      <c r="D556" s="18" t="str">
        <f>wld_nsxt_global_mgra_fqdn</f>
        <v>Value Missing.Value Missing</v>
      </c>
      <c r="E556" s="21"/>
    </row>
    <row r="557" spans="2:7" ht="20" customHeight="1">
      <c r="B557" s="55" t="s">
        <v>2210</v>
      </c>
      <c r="C557" s="22" t="str">
        <f>sample_wld_nsxt_global_mgra_ip</f>
        <v>10.11.10.142</v>
      </c>
      <c r="D557" s="18" t="str">
        <f>wld_nsxt_global_mgra_ip</f>
        <v>Value Missing</v>
      </c>
      <c r="E557" s="21"/>
    </row>
    <row r="558" spans="2:7" ht="20" customHeight="1">
      <c r="B558" s="55" t="s">
        <v>2211</v>
      </c>
      <c r="C558" s="22" t="str">
        <f>VLOOKUP(INT(RIGHT(sample_mgmt_az1_mgmt_cidr,LEN(sample_mgmt_az1_mgmt_cidr)-FIND("/",sample_mgmt_az1_mgmt_cidr))),table_cidr_to_mask,2,FALSE)</f>
        <v>255.255.255.0</v>
      </c>
      <c r="D558" s="18" t="str">
        <f>mgmt_az1_mgmt_mask</f>
        <v>Value Missing</v>
      </c>
      <c r="E558" s="21"/>
    </row>
    <row r="559" spans="2:7" ht="20" customHeight="1">
      <c r="B559" s="55" t="s">
        <v>2212</v>
      </c>
      <c r="C559" s="22" t="str">
        <f>sample_mgmt_az1_mgmt_gateway_ip</f>
        <v>10.11.11.1</v>
      </c>
      <c r="D559" s="18" t="str">
        <f>mgmt_az1_mgmt_gateway_ip</f>
        <v>Value Missing</v>
      </c>
      <c r="E559" s="21"/>
    </row>
    <row r="560" spans="2:7" ht="20" customHeight="1">
      <c r="B560" s="55" t="s">
        <v>2213</v>
      </c>
      <c r="C560" s="22" t="str">
        <f>CONCATENATE(sample_region_dns1_ip,",",sample_region_dns2_ip)</f>
        <v>10.11.10.4,10.11.10.5</v>
      </c>
      <c r="D560" s="18" t="str">
        <f>IF(ISBLANK(input_region_dns1_ip),"Value Missing",region_dns1_ip)&amp;","&amp;IF(ISBLANK(input_region_dns2_ip),"Value Missing",region_dns2_ip)</f>
        <v>Value Missing,Value Missing</v>
      </c>
      <c r="E560" s="21"/>
    </row>
    <row r="561" spans="2:7" ht="20" customHeight="1">
      <c r="B561" s="55" t="s">
        <v>2214</v>
      </c>
      <c r="C561" s="22" t="str">
        <f>sample_child_dns_zone</f>
        <v>sfo.rainpole.io</v>
      </c>
      <c r="D561" s="18" t="str">
        <f>child_dns_zone</f>
        <v>Value Missing</v>
      </c>
      <c r="E561" s="21"/>
      <c r="G561" s="91"/>
    </row>
    <row r="562" spans="2:7" ht="20" customHeight="1">
      <c r="B562" s="55" t="s">
        <v>2215</v>
      </c>
      <c r="C562" s="22" t="str">
        <f>IF(AND((NOT(ISBLANK(sample_region_ntp2_server))),(sample_region_ntp2_server &lt;&gt; "n/a")),CONCATENATE(sample_region_ntp1_server,",",sample_region_ntp2_server),sample_region_ntp1_server)</f>
        <v>ntp.sfo.rainpole.io</v>
      </c>
      <c r="D562" s="18" t="str">
        <f>IF(AND((NOT(ISBLANK(region_ntp2_server))),(region_ntp2_server &lt;&gt; "n/a"),(region_ntp2_server &lt;&gt; "")),region_ntp1_server&amp;","&amp;region_ntp2_server,region_ntp1_server)</f>
        <v>Value Missing,Value Missing</v>
      </c>
      <c r="E562" s="21"/>
    </row>
    <row r="563" spans="2:7" ht="20" customHeight="1">
      <c r="B563" s="55" t="s">
        <v>2216</v>
      </c>
      <c r="C563" s="22" t="str">
        <f>sample_wld_nsxt_global_mgrb_hostname</f>
        <v>sfo-w01-nsx-gm01b</v>
      </c>
      <c r="D563" s="18" t="str">
        <f>wld_nsxt_global_mgrb_hostname</f>
        <v>Value Missing</v>
      </c>
      <c r="E563" s="21"/>
    </row>
    <row r="564" spans="2:7" ht="20" customHeight="1">
      <c r="B564" s="55" t="s">
        <v>2217</v>
      </c>
      <c r="C564" s="22" t="str">
        <f>sample_mgmt_datacenter</f>
        <v>sfo-m01-dc01</v>
      </c>
      <c r="D564" s="18" t="str">
        <f>mgmt_datacenter</f>
        <v>Value Missing</v>
      </c>
      <c r="E564" s="21"/>
    </row>
    <row r="565" spans="2:7" ht="20" customHeight="1">
      <c r="B565" s="55" t="s">
        <v>2218</v>
      </c>
      <c r="C565" s="22" t="str">
        <f>sample_mgmt_cl01_cluster</f>
        <v>sfo-m01-cl01</v>
      </c>
      <c r="D565" s="18" t="str">
        <f>mgmt_cl01_cluster</f>
        <v>Value Missing</v>
      </c>
      <c r="E565" s="21"/>
    </row>
    <row r="566" spans="2:7" ht="20" customHeight="1">
      <c r="B566" s="55" t="s">
        <v>2219</v>
      </c>
      <c r="C566" s="22" t="s">
        <v>345</v>
      </c>
      <c r="D566" s="18" t="str">
        <f>sizing_m01_nsxt_gm_appliance_size</f>
        <v>Medium</v>
      </c>
      <c r="E566" s="21"/>
    </row>
    <row r="567" spans="2:7" ht="20" customHeight="1">
      <c r="B567" s="55" t="s">
        <v>2220</v>
      </c>
      <c r="C567" s="22" t="str">
        <f>sample_mgmt_cl01_vsan_datastore</f>
        <v>sfo-m01-cl01-ds-vsan01</v>
      </c>
      <c r="D567" s="18" t="str">
        <f>mgmt_cl01_vsan_datastore</f>
        <v>Value Missing</v>
      </c>
      <c r="E567" s="21"/>
    </row>
    <row r="568" spans="2:7" ht="20" customHeight="1">
      <c r="B568" s="55" t="s">
        <v>2221</v>
      </c>
      <c r="C568" s="22" t="str">
        <f>sample_mgmt_cl01_az1_mgmt_pg</f>
        <v>sfo-m01-cl01-vds01-pg-esxi-mgmt</v>
      </c>
      <c r="D568" s="18" t="str">
        <f>mgmt_cl01_az1_mgmt_pg</f>
        <v>Value Missing</v>
      </c>
      <c r="E568" s="21"/>
    </row>
    <row r="569" spans="2:7" ht="20" customHeight="1">
      <c r="B569" s="55" t="s">
        <v>2222</v>
      </c>
      <c r="C569" s="22" t="str">
        <f>sample_nsxt_gm_root_password</f>
        <v>VMw@re1!VMw@re1!</v>
      </c>
      <c r="D569" s="18" t="str">
        <f>nsxt_gm_root_password</f>
        <v>Value Missing</v>
      </c>
      <c r="E569" s="21"/>
    </row>
    <row r="570" spans="2:7" ht="20" customHeight="1">
      <c r="B570" s="55" t="s">
        <v>2223</v>
      </c>
      <c r="C570" s="22" t="str">
        <f>sample_nsxt_gm_admin_password</f>
        <v>VMw@re1!VMw@re1!</v>
      </c>
      <c r="D570" s="18" t="str">
        <f>nsxt_gm_admin_password</f>
        <v>Value Missing</v>
      </c>
      <c r="E570" s="21"/>
      <c r="G570" s="91"/>
    </row>
    <row r="571" spans="2:7" ht="20" customHeight="1">
      <c r="B571" s="55" t="s">
        <v>2224</v>
      </c>
      <c r="C571" s="22" t="str">
        <f>sample_nsxt_gm_audit_password</f>
        <v>VMw@re1!VMw@re1!</v>
      </c>
      <c r="D571" s="18" t="str">
        <f>nsxt_gm_audit_password</f>
        <v>Value Missing</v>
      </c>
      <c r="E571" s="21"/>
    </row>
    <row r="572" spans="2:7" ht="20" customHeight="1">
      <c r="B572" s="55" t="s">
        <v>2225</v>
      </c>
      <c r="C572" s="22" t="str">
        <f>_xlfn.CONCAT(sample_wld_nsxt_global_mgrb_hostname,".",sample_child_dns_zone)</f>
        <v>sfo-w01-nsx-gm01b.sfo.rainpole.io</v>
      </c>
      <c r="D572" s="18" t="str">
        <f>wld_nsxt_global_mgrb_fqdn</f>
        <v>Value Missing.Value Missing</v>
      </c>
      <c r="E572" s="21"/>
    </row>
    <row r="573" spans="2:7" ht="20" customHeight="1">
      <c r="B573" s="55" t="s">
        <v>2226</v>
      </c>
      <c r="C573" s="22" t="str">
        <f>sample_wld_nsxt_global_mgrb_ip</f>
        <v>10.11.10.143</v>
      </c>
      <c r="D573" s="18" t="str">
        <f>wld_nsxt_global_mgrb_ip</f>
        <v>Value Missing</v>
      </c>
      <c r="E573" s="21"/>
    </row>
    <row r="574" spans="2:7" ht="20" customHeight="1">
      <c r="B574" s="55" t="s">
        <v>2227</v>
      </c>
      <c r="C574" s="22" t="str">
        <f>VLOOKUP(INT(RIGHT(sample_mgmt_az1_mgmt_cidr,LEN(sample_mgmt_az1_mgmt_cidr)-FIND("/",sample_mgmt_az1_mgmt_cidr))),table_cidr_to_mask,2,FALSE)</f>
        <v>255.255.255.0</v>
      </c>
      <c r="D574" s="18" t="str">
        <f>mgmt_az1_mgmt_mask</f>
        <v>Value Missing</v>
      </c>
      <c r="E574" s="21"/>
    </row>
    <row r="575" spans="2:7" ht="20" customHeight="1">
      <c r="B575" s="55" t="s">
        <v>2228</v>
      </c>
      <c r="C575" s="22" t="str">
        <f>sample_mgmt_az1_mgmt_gateway_ip</f>
        <v>10.11.11.1</v>
      </c>
      <c r="D575" s="18" t="str">
        <f>mgmt_az1_mgmt_gateway_ip</f>
        <v>Value Missing</v>
      </c>
      <c r="E575" s="21"/>
      <c r="G575" s="91"/>
    </row>
    <row r="576" spans="2:7" ht="20" customHeight="1">
      <c r="B576" s="55" t="s">
        <v>2229</v>
      </c>
      <c r="C576" s="22" t="str">
        <f>CONCATENATE(sample_region_dns1_ip,",",sample_region_dns2_ip)</f>
        <v>10.11.10.4,10.11.10.5</v>
      </c>
      <c r="D576" s="18" t="str">
        <f>IF(ISBLANK(input_region_dns1_ip),"Value Missing",region_dns1_ip)&amp;","&amp;IF(ISBLANK(input_region_dns2_ip),"Value Missing",region_dns2_ip)</f>
        <v>Value Missing,Value Missing</v>
      </c>
      <c r="E576" s="21"/>
    </row>
    <row r="577" spans="2:7" ht="20" customHeight="1">
      <c r="B577" s="55" t="s">
        <v>2230</v>
      </c>
      <c r="C577" s="22" t="str">
        <f>CONCATENATE(sample_child_dns_zone,",",sample_parent_dns_zone)</f>
        <v>sfo.rainpole.io,rainpole.io</v>
      </c>
      <c r="D577" s="18" t="str">
        <f>child_dns_zone&amp;","&amp;parent_dns_zone</f>
        <v>Value Missing,Value Missing</v>
      </c>
      <c r="E577" s="21"/>
    </row>
    <row r="578" spans="2:7" ht="20" customHeight="1">
      <c r="B578" s="55" t="s">
        <v>2231</v>
      </c>
      <c r="C578" s="22" t="str">
        <f>IF(AND((NOT(ISBLANK(sample_region_ntp2_server))),(sample_region_ntp2_server &lt;&gt; "n/a")),CONCATENATE(sample_region_ntp1_server,",",sample_region_ntp2_server),sample_region_ntp1_server)</f>
        <v>ntp.sfo.rainpole.io</v>
      </c>
      <c r="D578" s="18" t="str">
        <f>IF(AND((NOT(ISBLANK(region_ntp2_server))),(region_ntp2_server &lt;&gt; "n/a"),(region_ntp2_server &lt;&gt; "")),region_ntp1_server&amp;","&amp;region_ntp2_server,region_ntp1_server)</f>
        <v>Value Missing,Value Missing</v>
      </c>
      <c r="E578" s="21"/>
    </row>
    <row r="579" spans="2:7" ht="20" customHeight="1">
      <c r="B579" s="55" t="s">
        <v>2232</v>
      </c>
      <c r="C579" s="22" t="str">
        <f>sample_wld_nsxt_global_mgrc_hostname</f>
        <v>sfo-w01-nsx-gm01c</v>
      </c>
      <c r="D579" s="18" t="str">
        <f>wld_nsxt_global_mgrc_hostname</f>
        <v>Value Missing</v>
      </c>
      <c r="E579" s="21"/>
    </row>
    <row r="580" spans="2:7" ht="20" customHeight="1">
      <c r="B580" s="55" t="s">
        <v>2233</v>
      </c>
      <c r="C580" s="22" t="str">
        <f>sample_mgmt_datacenter</f>
        <v>sfo-m01-dc01</v>
      </c>
      <c r="D580" s="18" t="str">
        <f>mgmt_datacenter</f>
        <v>Value Missing</v>
      </c>
      <c r="E580" s="21"/>
    </row>
    <row r="581" spans="2:7" ht="20" customHeight="1">
      <c r="B581" s="55" t="s">
        <v>2234</v>
      </c>
      <c r="C581" s="22" t="str">
        <f>sample_mgmt_cl01_cluster</f>
        <v>sfo-m01-cl01</v>
      </c>
      <c r="D581" s="18" t="str">
        <f>mgmt_cl01_cluster</f>
        <v>Value Missing</v>
      </c>
      <c r="E581" s="21"/>
    </row>
    <row r="582" spans="2:7" ht="20" customHeight="1">
      <c r="B582" s="55" t="s">
        <v>2235</v>
      </c>
      <c r="C582" s="22" t="s">
        <v>345</v>
      </c>
      <c r="D582" s="18" t="str">
        <f>sizing_m01_nsxt_gm_appliance_size</f>
        <v>Medium</v>
      </c>
      <c r="E582" s="21"/>
    </row>
    <row r="583" spans="2:7" ht="20" customHeight="1">
      <c r="B583" s="55" t="s">
        <v>2236</v>
      </c>
      <c r="C583" s="22" t="str">
        <f>sample_mgmt_cl01_vsan_datastore</f>
        <v>sfo-m01-cl01-ds-vsan01</v>
      </c>
      <c r="D583" s="18" t="str">
        <f>mgmt_cl01_vsan_datastore</f>
        <v>Value Missing</v>
      </c>
      <c r="E583" s="21"/>
    </row>
    <row r="584" spans="2:7" ht="20" customHeight="1">
      <c r="B584" s="55" t="s">
        <v>2237</v>
      </c>
      <c r="C584" s="22" t="str">
        <f>sample_mgmt_cl01_az1_mgmt_pg</f>
        <v>sfo-m01-cl01-vds01-pg-esxi-mgmt</v>
      </c>
      <c r="D584" s="18" t="str">
        <f>mgmt_cl01_az1_mgmt_pg</f>
        <v>Value Missing</v>
      </c>
      <c r="E584" s="21"/>
    </row>
    <row r="585" spans="2:7" ht="20" customHeight="1">
      <c r="B585" s="55" t="s">
        <v>2238</v>
      </c>
      <c r="C585" s="22" t="str">
        <f>sample_nsxt_gm_root_password</f>
        <v>VMw@re1!VMw@re1!</v>
      </c>
      <c r="D585" s="18" t="str">
        <f>nsxt_gm_root_password</f>
        <v>Value Missing</v>
      </c>
      <c r="E585" s="21"/>
    </row>
    <row r="586" spans="2:7" ht="20" customHeight="1">
      <c r="B586" s="55" t="s">
        <v>2239</v>
      </c>
      <c r="C586" s="22" t="str">
        <f>sample_nsxt_gm_admin_password</f>
        <v>VMw@re1!VMw@re1!</v>
      </c>
      <c r="D586" s="18" t="str">
        <f>nsxt_gm_admin_password</f>
        <v>Value Missing</v>
      </c>
      <c r="E586" s="21"/>
      <c r="G586" s="91"/>
    </row>
    <row r="587" spans="2:7" ht="20" customHeight="1">
      <c r="B587" s="55" t="s">
        <v>2240</v>
      </c>
      <c r="C587" s="22" t="str">
        <f>sample_nsxt_gm_audit_password</f>
        <v>VMw@re1!VMw@re1!</v>
      </c>
      <c r="D587" s="18" t="str">
        <f>nsxt_gm_audit_password</f>
        <v>Value Missing</v>
      </c>
      <c r="E587" s="21"/>
    </row>
    <row r="588" spans="2:7" ht="20" customHeight="1">
      <c r="B588" s="55" t="s">
        <v>2241</v>
      </c>
      <c r="C588" s="22" t="str">
        <f>_xlfn.CONCAT(sample_wld_nsxt_global_mgrc_hostname,".",sample_child_dns_zone)</f>
        <v>sfo-w01-nsx-gm01c.sfo.rainpole.io</v>
      </c>
      <c r="D588" s="18" t="str">
        <f>wld_nsxt_global_mgrc_fqdn</f>
        <v>Value Missing.Value Missing</v>
      </c>
      <c r="E588" s="21"/>
    </row>
    <row r="589" spans="2:7" ht="20" customHeight="1">
      <c r="B589" s="55" t="s">
        <v>2242</v>
      </c>
      <c r="C589" s="22" t="str">
        <f>sample_wld_nsxt_global_mgrc_ip</f>
        <v>10.11.10.144</v>
      </c>
      <c r="D589" s="18" t="str">
        <f>wld_nsxt_global_mgrc_ip</f>
        <v>Value Missing</v>
      </c>
      <c r="E589" s="21"/>
    </row>
    <row r="590" spans="2:7" ht="20" customHeight="1">
      <c r="B590" s="55" t="s">
        <v>2243</v>
      </c>
      <c r="C590" s="22" t="str">
        <f>VLOOKUP(INT(RIGHT(sample_mgmt_az1_mgmt_cidr,LEN(sample_mgmt_az1_mgmt_cidr)-FIND("/",sample_mgmt_az1_mgmt_cidr))),table_cidr_to_mask,2,FALSE)</f>
        <v>255.255.255.0</v>
      </c>
      <c r="D590" s="18" t="str">
        <f>mgmt_az1_mgmt_mask</f>
        <v>Value Missing</v>
      </c>
      <c r="E590" s="21"/>
    </row>
    <row r="591" spans="2:7" ht="16" customHeight="1">
      <c r="B591" s="55" t="s">
        <v>2244</v>
      </c>
      <c r="C591" s="22" t="str">
        <f>sample_mgmt_az1_mgmt_gateway_ip</f>
        <v>10.11.11.1</v>
      </c>
      <c r="D591" s="18" t="str">
        <f>mgmt_az1_mgmt_gateway_ip</f>
        <v>Value Missing</v>
      </c>
      <c r="E591" s="21"/>
    </row>
    <row r="592" spans="2:7" ht="34" customHeight="1">
      <c r="B592" s="55" t="s">
        <v>2245</v>
      </c>
      <c r="C592" s="22" t="str">
        <f>CONCATENATE(sample_region_dns1_ip,",",sample_region_dns2_ip)</f>
        <v>10.11.10.4,10.11.10.5</v>
      </c>
      <c r="D592" s="18" t="str">
        <f>IF(ISBLANK(input_region_dns1_ip),"Value Missing",region_dns1_ip)&amp;","&amp;IF(ISBLANK(input_region_dns2_ip),"Value Missing",region_dns2_ip)</f>
        <v>Value Missing,Value Missing</v>
      </c>
      <c r="E592" s="21"/>
    </row>
    <row r="593" spans="2:7" ht="16" customHeight="1">
      <c r="B593" s="55" t="s">
        <v>2246</v>
      </c>
      <c r="C593" s="22" t="str">
        <f>CONCATENATE(sample_child_dns_zone,",",sample_parent_dns_zone)</f>
        <v>sfo.rainpole.io,rainpole.io</v>
      </c>
      <c r="D593" s="18" t="str">
        <f>child_dns_zone&amp;","&amp;parent_dns_zone</f>
        <v>Value Missing,Value Missing</v>
      </c>
      <c r="E593" s="21"/>
    </row>
    <row r="594" spans="2:7" ht="34" customHeight="1">
      <c r="B594" s="55" t="s">
        <v>2247</v>
      </c>
      <c r="C594" s="22" t="str">
        <f>IF(AND((NOT(ISBLANK(sample_region_ntp2_server))),(sample_region_ntp2_server &lt;&gt; "n/a")),CONCATENATE(sample_region_ntp1_server,",",sample_region_ntp2_server),sample_region_ntp1_server)</f>
        <v>ntp.sfo.rainpole.io</v>
      </c>
      <c r="D594" s="18" t="str">
        <f>IF(AND((NOT(ISBLANK(region_ntp2_server))),(region_ntp2_server &lt;&gt; "n/a"),(region_ntp2_server &lt;&gt; "")),region_ntp1_server&amp;","&amp;region_ntp2_server,region_ntp1_server)</f>
        <v>Value Missing,Value Missing</v>
      </c>
      <c r="E594" s="21"/>
    </row>
    <row r="595" spans="2:7" ht="20" customHeight="1">
      <c r="B595" s="55" t="s">
        <v>1987</v>
      </c>
      <c r="C595" s="22" t="str">
        <f>_xlfn.CONCAT(sample_wld_nsxt_global_mgra_hostname,".",sample_child_dns_zone)</f>
        <v>sfo-w01-nsx-gm01a.sfo.rainpole.io</v>
      </c>
      <c r="D595" s="18" t="str">
        <f>wld_nsxt_global_mgra_fqdn</f>
        <v>Value Missing.Value Missing</v>
      </c>
      <c r="E595" s="21"/>
    </row>
    <row r="596" spans="2:7" ht="20" customHeight="1"/>
    <row r="597" spans="2:7" ht="20" customHeight="1">
      <c r="B597" s="486" t="s">
        <v>1988</v>
      </c>
      <c r="C597" s="344"/>
      <c r="D597" s="344"/>
      <c r="E597" s="344"/>
    </row>
    <row r="598" spans="2:7" ht="20" customHeight="1">
      <c r="B598" s="8" t="s">
        <v>735</v>
      </c>
      <c r="C598" s="8" t="s">
        <v>554</v>
      </c>
      <c r="D598" s="20" t="s">
        <v>555</v>
      </c>
      <c r="E598" s="8" t="s">
        <v>1989</v>
      </c>
    </row>
    <row r="599" spans="2:7" ht="20" customHeight="1">
      <c r="B599" s="52" t="s">
        <v>1938</v>
      </c>
      <c r="C599" s="22" t="str">
        <f>_xlfn.CONCAT(sample_mgmt_vc_hostname,".",sample_child_dns_zone)</f>
        <v>sfo-m01-vc01.sfo.rainpole.io</v>
      </c>
      <c r="D599" s="18" t="str">
        <f>mgmt_vc_fqdn</f>
        <v>Value Missing.Value Missing</v>
      </c>
      <c r="E599" s="21"/>
    </row>
    <row r="600" spans="2:7" ht="20" customHeight="1">
      <c r="B600" s="52" t="s">
        <v>820</v>
      </c>
      <c r="C600" s="22" t="str">
        <f>sample_wld_nsxt_global_mgr_cluster_id</f>
        <v>da3bd7dc-aa06-4f2d-a9e1-0c4999354c9b</v>
      </c>
      <c r="D600" s="18" t="str">
        <f>wld_nsxt_global_mgr_cluster_id</f>
        <v>Value Missing</v>
      </c>
      <c r="E600" s="64" t="s">
        <v>1990</v>
      </c>
    </row>
    <row r="601" spans="2:7" ht="20" customHeight="1">
      <c r="B601" s="52" t="s">
        <v>2248</v>
      </c>
      <c r="C601" s="22" t="str">
        <f>sample_wld_nsxt_global_mgr_vmca_signed_thumbprint</f>
        <v>d7a6264cd8f74033e851944a205110afdeb046386af42ce47240939c417acb93</v>
      </c>
      <c r="D601" s="18" t="str">
        <f>wld_nsxt_global_mgr_vmca_signed_thumbprint</f>
        <v>Value Missing</v>
      </c>
      <c r="E601" s="64" t="s">
        <v>1990</v>
      </c>
      <c r="G601" s="91"/>
    </row>
    <row r="602" spans="2:7" ht="20" customHeight="1">
      <c r="B602" s="52" t="s">
        <v>1992</v>
      </c>
      <c r="C602" s="22" t="str">
        <f>_xlfn.CONCAT(sample_wld_nsxt_global_mgrb_hostname,".",sample_child_dns_zone)</f>
        <v>sfo-w01-nsx-gm01b.sfo.rainpole.io</v>
      </c>
      <c r="D602" s="18" t="str">
        <f>wld_nsxt_global_mgrb_fqdn</f>
        <v>Value Missing.Value Missing</v>
      </c>
      <c r="E602" s="64"/>
    </row>
    <row r="603" spans="2:7" ht="20" customHeight="1">
      <c r="B603" s="52" t="s">
        <v>1993</v>
      </c>
      <c r="C603" s="22" t="str">
        <f>sample_wld_nsxt_global_mgra_ip</f>
        <v>10.11.10.142</v>
      </c>
      <c r="D603" s="18" t="str">
        <f>wld_nsxt_global_mgra_ip</f>
        <v>Value Missing</v>
      </c>
      <c r="E603" s="64"/>
    </row>
    <row r="604" spans="2:7" ht="20" customHeight="1">
      <c r="B604" s="52" t="s">
        <v>1994</v>
      </c>
      <c r="C604" s="22" t="str">
        <f>sample_wld_nsxt_global_mgr_cluster_id</f>
        <v>da3bd7dc-aa06-4f2d-a9e1-0c4999354c9b</v>
      </c>
      <c r="D604" s="18" t="str">
        <f>wld_nsxt_global_mgr_cluster_id</f>
        <v>Value Missing</v>
      </c>
      <c r="E604" s="64"/>
    </row>
    <row r="605" spans="2:7" ht="20" customHeight="1">
      <c r="B605" s="52" t="s">
        <v>1995</v>
      </c>
      <c r="C605" s="22" t="s">
        <v>746</v>
      </c>
      <c r="D605" s="18" t="str">
        <f>C605</f>
        <v>admin</v>
      </c>
      <c r="E605" s="64"/>
    </row>
    <row r="606" spans="2:7" ht="20" customHeight="1">
      <c r="B606" s="52" t="s">
        <v>1996</v>
      </c>
      <c r="C606" s="22" t="str">
        <f>sample_nsxt_gm_admin_password</f>
        <v>VMw@re1!VMw@re1!</v>
      </c>
      <c r="D606" s="18" t="str">
        <f>nsxt_gm_admin_password</f>
        <v>Value Missing</v>
      </c>
      <c r="E606" s="64"/>
    </row>
    <row r="607" spans="2:7" ht="20" customHeight="1">
      <c r="B607" s="52" t="s">
        <v>1997</v>
      </c>
      <c r="C607" s="22" t="str">
        <f>sample_wld_nsxt_global_mgr_vmca_signed_thumbprint</f>
        <v>d7a6264cd8f74033e851944a205110afdeb046386af42ce47240939c417acb93</v>
      </c>
      <c r="D607" s="18" t="str">
        <f>wld_nsxt_global_mgr_vmca_signed_thumbprint</f>
        <v>Value Missing</v>
      </c>
      <c r="E607" s="64"/>
    </row>
    <row r="608" spans="2:7" ht="20" customHeight="1">
      <c r="B608" s="52" t="s">
        <v>1998</v>
      </c>
      <c r="C608" s="22" t="str">
        <f>_xlfn.CONCAT(sample_wld_nsxt_global_mgrc_hostname,".",sample_child_dns_zone)</f>
        <v>sfo-w01-nsx-gm01c.sfo.rainpole.io</v>
      </c>
      <c r="D608" s="18" t="str">
        <f>wld_nsxt_global_mgrc_fqdn</f>
        <v>Value Missing.Value Missing</v>
      </c>
      <c r="E608" s="64"/>
    </row>
    <row r="609" spans="2:7" ht="16" customHeight="1">
      <c r="B609" s="52" t="s">
        <v>2249</v>
      </c>
      <c r="C609" s="22" t="str">
        <f>sample_wld_nsxt_global_mgra_ip</f>
        <v>10.11.10.142</v>
      </c>
      <c r="D609" s="18" t="str">
        <f>wld_nsxt_global_mgra_ip</f>
        <v>Value Missing</v>
      </c>
      <c r="E609" s="64"/>
      <c r="G609" s="91"/>
    </row>
    <row r="610" spans="2:7" ht="20" customHeight="1">
      <c r="B610" s="52" t="s">
        <v>2250</v>
      </c>
      <c r="C610" s="22" t="str">
        <f>sample_wld_nsxt_global_mgr_cluster_id</f>
        <v>da3bd7dc-aa06-4f2d-a9e1-0c4999354c9b</v>
      </c>
      <c r="D610" s="18" t="str">
        <f>wld_nsxt_global_mgr_cluster_id</f>
        <v>Value Missing</v>
      </c>
      <c r="E610" s="64"/>
    </row>
    <row r="611" spans="2:7" ht="16" customHeight="1">
      <c r="B611" s="52" t="s">
        <v>2001</v>
      </c>
      <c r="C611" s="22" t="s">
        <v>746</v>
      </c>
      <c r="D611" s="18" t="str">
        <f>C611</f>
        <v>admin</v>
      </c>
      <c r="E611" s="64"/>
    </row>
    <row r="612" spans="2:7" ht="34" customHeight="1">
      <c r="B612" s="52" t="s">
        <v>2002</v>
      </c>
      <c r="C612" s="22" t="str">
        <f>sample_nsxt_gm_admin_password</f>
        <v>VMw@re1!VMw@re1!</v>
      </c>
      <c r="D612" s="18" t="str">
        <f>nsxt_gm_admin_password</f>
        <v>Value Missing</v>
      </c>
      <c r="E612" s="64"/>
    </row>
    <row r="613" spans="2:7" ht="20" customHeight="1">
      <c r="B613" s="52" t="s">
        <v>2003</v>
      </c>
      <c r="C613" s="22" t="str">
        <f>sample_wld_nsxt_global_mgr_vmca_signed_thumbprint</f>
        <v>d7a6264cd8f74033e851944a205110afdeb046386af42ce47240939c417acb93</v>
      </c>
      <c r="D613" s="18" t="str">
        <f>wld_nsxt_global_mgr_vmca_signed_thumbprint</f>
        <v>Value Missing</v>
      </c>
      <c r="E613" s="64"/>
    </row>
    <row r="614" spans="2:7" ht="20" customHeight="1"/>
    <row r="615" spans="2:7" ht="20" customHeight="1">
      <c r="B615" s="487" t="s">
        <v>2004</v>
      </c>
      <c r="C615" s="488"/>
      <c r="D615" s="488"/>
      <c r="E615" s="489"/>
      <c r="G615" s="91"/>
    </row>
    <row r="616" spans="2:7" ht="20" customHeight="1">
      <c r="B616" s="8" t="s">
        <v>735</v>
      </c>
      <c r="C616" s="8" t="s">
        <v>554</v>
      </c>
      <c r="D616" s="20" t="s">
        <v>555</v>
      </c>
      <c r="E616" s="8" t="s">
        <v>1989</v>
      </c>
    </row>
    <row r="617" spans="2:7" ht="16" customHeight="1">
      <c r="B617" s="21" t="s">
        <v>1938</v>
      </c>
      <c r="C617" s="22" t="str">
        <f>_xlfn.CONCAT(sample_mgmt_vc_hostname,".",sample_child_dns_zone)</f>
        <v>sfo-m01-vc01.sfo.rainpole.io</v>
      </c>
      <c r="D617" s="18" t="str">
        <f>mgmt_vc_fqdn</f>
        <v>Value Missing.Value Missing</v>
      </c>
      <c r="E617" s="21"/>
    </row>
    <row r="618" spans="2:7" ht="20" customHeight="1">
      <c r="B618" s="21" t="s">
        <v>735</v>
      </c>
      <c r="C618" s="22" t="str">
        <f>sample_wld_nsxt_global_mgr_anti_affinity_rule_name</f>
        <v>sfo-w01-anti-affinity-rule-nsx-global-managers</v>
      </c>
      <c r="D618" s="18" t="str">
        <f>wld_nsxt_global_mgr_anti_affinity_rule_name</f>
        <v>Value Missing</v>
      </c>
      <c r="E618" s="21"/>
    </row>
    <row r="619" spans="2:7" ht="16" customHeight="1">
      <c r="B619" s="21" t="s">
        <v>2005</v>
      </c>
      <c r="C619" s="22" t="str">
        <f>sample_wld_nsxt_global_mgra_hostname</f>
        <v>sfo-w01-nsx-gm01a</v>
      </c>
      <c r="D619" s="18" t="str">
        <f>wld_nsxt_global_mgra_hostname</f>
        <v>Value Missing</v>
      </c>
      <c r="E619" s="21"/>
    </row>
    <row r="620" spans="2:7" ht="34" customHeight="1">
      <c r="B620" s="21" t="s">
        <v>2006</v>
      </c>
      <c r="C620" s="22" t="str">
        <f>sample_wld_nsxt_global_mgrb_hostname</f>
        <v>sfo-w01-nsx-gm01b</v>
      </c>
      <c r="D620" s="18" t="str">
        <f>wld_nsxt_global_mgrb_hostname</f>
        <v>Value Missing</v>
      </c>
      <c r="E620" s="21"/>
    </row>
    <row r="621" spans="2:7" ht="20" customHeight="1">
      <c r="B621" s="21" t="s">
        <v>2007</v>
      </c>
      <c r="C621" s="22" t="str">
        <f>sample_wld_nsxt_global_mgrc_hostname</f>
        <v>sfo-w01-nsx-gm01c</v>
      </c>
      <c r="D621" s="18" t="str">
        <f>wld_nsxt_global_mgrc_hostname</f>
        <v>Value Missing</v>
      </c>
      <c r="E621" s="21"/>
    </row>
    <row r="622" spans="2:7" ht="20" customHeight="1"/>
    <row r="623" spans="2:7" ht="16" customHeight="1">
      <c r="B623" s="487" t="s">
        <v>2008</v>
      </c>
      <c r="C623" s="488"/>
      <c r="D623" s="488"/>
      <c r="E623" s="489"/>
    </row>
    <row r="624" spans="2:7" ht="20" customHeight="1">
      <c r="B624" s="8" t="s">
        <v>735</v>
      </c>
      <c r="C624" s="8" t="s">
        <v>554</v>
      </c>
      <c r="D624" s="20" t="s">
        <v>555</v>
      </c>
      <c r="E624" s="8" t="s">
        <v>1989</v>
      </c>
    </row>
    <row r="625" spans="2:5" ht="16" customHeight="1">
      <c r="B625" s="21" t="s">
        <v>2009</v>
      </c>
      <c r="C625" s="22" t="str">
        <f>_xlfn.CONCAT(sample_wld_nsxt_global_mgra_hostname,".",sample_child_dns_zone)</f>
        <v>sfo-w01-nsx-gm01a.sfo.rainpole.io</v>
      </c>
      <c r="D625" s="18" t="str">
        <f>wld_nsxt_global_mgra_fqdn</f>
        <v>Value Missing.Value Missing</v>
      </c>
      <c r="E625" s="21"/>
    </row>
    <row r="626" spans="2:5" ht="34" customHeight="1">
      <c r="B626" s="21" t="s">
        <v>2010</v>
      </c>
      <c r="C626" s="22" t="str">
        <f>sample_wld_nsxt_gm_ip</f>
        <v>10.11.10.141</v>
      </c>
      <c r="D626" s="18" t="str">
        <f>wld_nsxt_gm_ip</f>
        <v>Value Missing</v>
      </c>
      <c r="E626" s="21"/>
    </row>
    <row r="627" spans="2:5" ht="16" customHeight="1">
      <c r="B627" s="21" t="s">
        <v>2011</v>
      </c>
      <c r="C627" s="22" t="str">
        <f>_xlfn.CONCAT(sample_wld_nsxt_gm_hostname,".",sample_child_dns_zone)</f>
        <v>sfo-w01-nsx-gm01.sfo.rainpole.io</v>
      </c>
      <c r="D627" s="18" t="str">
        <f>wld_nsxt_gm_vip_fqdn</f>
        <v>Value Missing.Value Missing</v>
      </c>
      <c r="E627" s="64"/>
    </row>
    <row r="628" spans="2:5" ht="20" customHeight="1"/>
    <row r="629" spans="2:5" ht="16" customHeight="1">
      <c r="B629" s="487" t="s">
        <v>2012</v>
      </c>
      <c r="C629" s="488"/>
      <c r="D629" s="488"/>
      <c r="E629" s="489"/>
    </row>
    <row r="630" spans="2:5" ht="34" customHeight="1">
      <c r="B630" s="8" t="s">
        <v>735</v>
      </c>
      <c r="C630" s="8" t="s">
        <v>554</v>
      </c>
      <c r="D630" s="20" t="s">
        <v>555</v>
      </c>
      <c r="E630" s="8" t="s">
        <v>1989</v>
      </c>
    </row>
    <row r="631" spans="2:5" ht="20" customHeight="1">
      <c r="B631" s="21" t="s">
        <v>2011</v>
      </c>
      <c r="C631" s="22" t="str">
        <f>_xlfn.CONCAT(sample_wld_nsxt_gm_hostname,".",sample_child_dns_zone)</f>
        <v>sfo-w01-nsx-gm01.sfo.rainpole.io</v>
      </c>
      <c r="D631" s="18" t="str">
        <f>wld_nsxt_gm_vip_fqdn</f>
        <v>Value Missing.Value Missing</v>
      </c>
      <c r="E631" s="64"/>
    </row>
    <row r="632" spans="2:5" ht="20" customHeight="1"/>
    <row r="633" spans="2:5" ht="20" customHeight="1">
      <c r="B633" s="487" t="s">
        <v>2013</v>
      </c>
      <c r="C633" s="488"/>
      <c r="D633" s="488"/>
      <c r="E633" s="489"/>
    </row>
    <row r="634" spans="2:5" ht="20" customHeight="1">
      <c r="B634" s="8" t="s">
        <v>735</v>
      </c>
      <c r="C634" s="8" t="s">
        <v>554</v>
      </c>
      <c r="D634" s="20" t="s">
        <v>555</v>
      </c>
      <c r="E634" s="8" t="s">
        <v>1989</v>
      </c>
    </row>
    <row r="635" spans="2:5" ht="20" customHeight="1">
      <c r="B635" s="21" t="s">
        <v>2011</v>
      </c>
      <c r="C635" s="22" t="str">
        <f>_xlfn.CONCAT(sample_wld_nsxt_gm_hostname,".",sample_child_dns_zone)</f>
        <v>sfo-w01-nsx-gm01.sfo.rainpole.io</v>
      </c>
      <c r="D635" s="18" t="str">
        <f>wld_nsxt_gm_vip_fqdn</f>
        <v>Value Missing.Value Missing</v>
      </c>
      <c r="E635" s="64"/>
    </row>
    <row r="636" spans="2:5" ht="16" customHeight="1">
      <c r="B636" s="21" t="s">
        <v>2014</v>
      </c>
      <c r="C636" s="22" t="str">
        <f>sample_wld_nsxt_global_mgr_certificate_id</f>
        <v>b900065b-aeb5-457e-aca6-4612b17d06d9</v>
      </c>
      <c r="D636" s="18" t="str">
        <f>wld_nsxt_global_mgr_certificate_id</f>
        <v>Value Missing</v>
      </c>
      <c r="E636" s="64" t="s">
        <v>1990</v>
      </c>
    </row>
    <row r="637" spans="2:5" ht="34" customHeight="1">
      <c r="B637" s="21" t="s">
        <v>2009</v>
      </c>
      <c r="C637" s="22" t="str">
        <f>_xlfn.CONCAT(sample_wld_nsxt_global_mgra_hostname,".",sample_child_dns_zone)</f>
        <v>sfo-w01-nsx-gm01a.sfo.rainpole.io</v>
      </c>
      <c r="D637" s="18" t="str">
        <f>wld_nsxt_global_mgra_fqdn</f>
        <v>Value Missing.Value Missing</v>
      </c>
      <c r="E637" s="21"/>
    </row>
    <row r="638" spans="2:5" ht="20" customHeight="1">
      <c r="B638" s="21" t="s">
        <v>2015</v>
      </c>
      <c r="C638" s="22" t="str">
        <f>sample_wld_nsxt_global_mgr_certificate_id</f>
        <v>b900065b-aeb5-457e-aca6-4612b17d06d9</v>
      </c>
      <c r="D638" s="18" t="str">
        <f>wld_nsxt_global_mgr_certificate_id</f>
        <v>Value Missing</v>
      </c>
      <c r="E638" s="64"/>
    </row>
    <row r="639" spans="2:5" ht="20" customHeight="1"/>
    <row r="640" spans="2:5" ht="20" customHeight="1">
      <c r="B640" s="487" t="s">
        <v>2016</v>
      </c>
      <c r="C640" s="488"/>
      <c r="D640" s="488"/>
      <c r="E640" s="489"/>
    </row>
    <row r="641" spans="2:5" ht="16" customHeight="1">
      <c r="B641" s="8" t="s">
        <v>735</v>
      </c>
      <c r="C641" s="8" t="s">
        <v>554</v>
      </c>
      <c r="D641" s="20" t="s">
        <v>555</v>
      </c>
      <c r="E641" s="8" t="s">
        <v>1989</v>
      </c>
    </row>
    <row r="642" spans="2:5" ht="20" customHeight="1">
      <c r="B642" s="21" t="s">
        <v>2011</v>
      </c>
      <c r="C642" s="22" t="str">
        <f>_xlfn.CONCAT(sample_wld_nsxt_gm_hostname,".",sample_child_dns_zone)</f>
        <v>sfo-w01-nsx-gm01.sfo.rainpole.io</v>
      </c>
      <c r="D642" s="18" t="str">
        <f>wld_nsxt_gm_vip_fqdn</f>
        <v>Value Missing.Value Missing</v>
      </c>
      <c r="E642" s="64"/>
    </row>
    <row r="643" spans="2:5" ht="20" customHeight="1">
      <c r="B643" s="21" t="s">
        <v>2017</v>
      </c>
      <c r="C643" s="22" t="str">
        <f>_xlfn.CONCAT(sample_wld_nsxt_global_mgrb_hostname,".",sample_child_dns_zone)</f>
        <v>sfo-w01-nsx-gm01b.sfo.rainpole.io</v>
      </c>
      <c r="D643" s="18" t="str">
        <f>wld_nsxt_global_mgrb_fqdn</f>
        <v>Value Missing.Value Missing</v>
      </c>
      <c r="E643" s="21"/>
    </row>
    <row r="644" spans="2:5" ht="20" customHeight="1">
      <c r="B644" s="21" t="s">
        <v>2018</v>
      </c>
      <c r="C644" s="22" t="str">
        <f>_xlfn.CONCAT(sample_wld_nsxt_global_mgrc_hostname,".",sample_child_dns_zone)</f>
        <v>sfo-w01-nsx-gm01c.sfo.rainpole.io</v>
      </c>
      <c r="D644" s="18" t="str">
        <f>wld_nsxt_global_mgrc_fqdn</f>
        <v>Value Missing.Value Missing</v>
      </c>
      <c r="E644" s="21"/>
    </row>
    <row r="645" spans="2:5" ht="20" customHeight="1">
      <c r="B645" s="21" t="s">
        <v>2015</v>
      </c>
      <c r="C645" s="22" t="str">
        <f>sample_wld_nsxt_global_mgr_certificate_id</f>
        <v>b900065b-aeb5-457e-aca6-4612b17d06d9</v>
      </c>
      <c r="D645" s="18" t="str">
        <f>wld_nsxt_global_mgr_certificate_id</f>
        <v>Value Missing</v>
      </c>
      <c r="E645" s="64"/>
    </row>
    <row r="646" spans="2:5" ht="20" customHeight="1"/>
    <row r="647" spans="2:5" ht="20" customHeight="1">
      <c r="B647" s="487" t="s">
        <v>2019</v>
      </c>
      <c r="C647" s="488"/>
      <c r="D647" s="488"/>
      <c r="E647" s="489"/>
    </row>
    <row r="648" spans="2:5" ht="20" customHeight="1">
      <c r="B648" s="8" t="s">
        <v>735</v>
      </c>
      <c r="C648" s="8" t="s">
        <v>554</v>
      </c>
      <c r="D648" s="20" t="s">
        <v>555</v>
      </c>
      <c r="E648" s="8" t="s">
        <v>1989</v>
      </c>
    </row>
    <row r="649" spans="2:5" ht="20" customHeight="1">
      <c r="B649" s="21" t="s">
        <v>2020</v>
      </c>
      <c r="C649" s="22" t="str">
        <f>_xlfn.CONCAT(sample_wld_nsxt_hostname,".",sample_child_dns_zone)</f>
        <v>sfo-w01-nsx01.sfo.rainpole.io</v>
      </c>
      <c r="D649" s="18" t="str">
        <f>wld_nsxt_vip_fqdn</f>
        <v>Value Missing.Value Missing</v>
      </c>
      <c r="E649" s="21"/>
    </row>
    <row r="650" spans="2:5" ht="16" customHeight="1">
      <c r="B650" s="21" t="s">
        <v>735</v>
      </c>
      <c r="C650" s="22" t="str">
        <f>sample_wld_rtep_ip_pool_name</f>
        <v>sfo-w01-pl01-rtep</v>
      </c>
      <c r="D650" s="18" t="str">
        <f>wld_rtep_ip_pool_name</f>
        <v>Value Missing</v>
      </c>
      <c r="E650" s="21"/>
    </row>
    <row r="651" spans="2:5" ht="20" customHeight="1">
      <c r="B651" s="21" t="s">
        <v>2021</v>
      </c>
      <c r="C651" s="22" t="str">
        <f>_xlfn.CONCAT(sample_wld_rtep_overlay_pool_start_ip,"-",sample_wld_rtep_overlay_pool_end_ip)</f>
        <v>10.13.20.101-10.13.20.116</v>
      </c>
      <c r="D651" s="18" t="str">
        <f>wld_rtep_overlay_pool_start_ip&amp;"-"&amp;wld_rtep_overlay_pool_end_ip</f>
        <v>Value Missing-Value Missing</v>
      </c>
      <c r="E651" s="21"/>
    </row>
    <row r="652" spans="2:5" ht="16" customHeight="1">
      <c r="B652" s="21" t="s">
        <v>411</v>
      </c>
      <c r="C652" s="22" t="e">
        <f>sample_wld_rtep_overlay_cidr</f>
        <v>#NAME?</v>
      </c>
      <c r="D652" s="18" t="str">
        <f>wld_az1_rtep_overlay_cidr</f>
        <v>Value Missing</v>
      </c>
      <c r="E652" s="21"/>
    </row>
    <row r="653" spans="2:5" ht="34" customHeight="1">
      <c r="B653" s="21" t="s">
        <v>2022</v>
      </c>
      <c r="C653" s="22" t="e">
        <f>sample_wld_rtep_overlay_gateway_ip</f>
        <v>#NAME?</v>
      </c>
      <c r="D653" s="18" t="str">
        <f>wld_az1_rtep_overlay_gateway_ip</f>
        <v>Value Missing</v>
      </c>
      <c r="E653" s="21"/>
    </row>
    <row r="654" spans="2:5" ht="20" customHeight="1">
      <c r="B654" s="21" t="s">
        <v>1828</v>
      </c>
      <c r="C654" s="22" t="e">
        <f>sample_wld_rtep_overlay_mtu</f>
        <v>#NAME?</v>
      </c>
      <c r="D654" s="18" t="str">
        <f>wld_az1_rtep_overlay_mtu</f>
        <v>Value Missing</v>
      </c>
      <c r="E654" s="21"/>
    </row>
    <row r="655" spans="2:5" ht="16" customHeight="1"/>
    <row r="656" spans="2:5" ht="20" customHeight="1">
      <c r="B656" s="487" t="s">
        <v>2023</v>
      </c>
      <c r="C656" s="488"/>
      <c r="D656" s="488"/>
      <c r="E656" s="489"/>
    </row>
    <row r="657" spans="2:7" ht="16" customHeight="1">
      <c r="B657" s="8" t="s">
        <v>735</v>
      </c>
      <c r="C657" s="8" t="s">
        <v>554</v>
      </c>
      <c r="D657" s="20" t="s">
        <v>555</v>
      </c>
      <c r="E657" s="8" t="s">
        <v>1989</v>
      </c>
    </row>
    <row r="658" spans="2:7" ht="34" customHeight="1">
      <c r="B658" s="21" t="s">
        <v>2024</v>
      </c>
      <c r="C658" s="22" t="str">
        <f>_xlfn.CONCAT(sample_wld_nsxt_gm_hostname,".",sample_child_dns_zone)</f>
        <v>sfo-w01-nsx-gm01.sfo.rainpole.io</v>
      </c>
      <c r="D658" s="18" t="str">
        <f>wld_nsxt_gm_vip_fqdn</f>
        <v>Value Missing.Value Missing</v>
      </c>
      <c r="E658" s="64"/>
      <c r="G658" s="91"/>
    </row>
    <row r="659" spans="2:7" ht="20" customHeight="1">
      <c r="B659" s="21" t="s">
        <v>2025</v>
      </c>
      <c r="C659" s="22" t="str">
        <f>sample_wld_nsxt_federation_global_manager_name</f>
        <v>sfo-w01-nsx-gm01</v>
      </c>
      <c r="D659" s="18" t="str">
        <f>wld_nsxt_federation_global_manager_name</f>
        <v>Value Missing</v>
      </c>
      <c r="E659" s="64"/>
    </row>
    <row r="660" spans="2:7" ht="20" customHeight="1"/>
    <row r="661" spans="2:7" ht="20" customHeight="1">
      <c r="B661" s="487" t="s">
        <v>2026</v>
      </c>
      <c r="C661" s="488"/>
      <c r="D661" s="488"/>
      <c r="E661" s="489"/>
    </row>
    <row r="662" spans="2:7" ht="20" customHeight="1">
      <c r="B662" s="8" t="s">
        <v>735</v>
      </c>
      <c r="C662" s="8" t="s">
        <v>554</v>
      </c>
      <c r="D662" s="20" t="s">
        <v>555</v>
      </c>
      <c r="E662" s="8" t="s">
        <v>1989</v>
      </c>
    </row>
    <row r="663" spans="2:7" ht="20" customHeight="1">
      <c r="B663" s="21" t="s">
        <v>2027</v>
      </c>
      <c r="C663" s="22" t="str">
        <f>_xlfn.CONCAT(sample_wld_nsxt_gm_hostname,".",sample_child_dns_zone)</f>
        <v>sfo-w01-nsx-gm01.sfo.rainpole.io</v>
      </c>
      <c r="D663" s="18" t="str">
        <f>wld_nsxt_gm_vip_fqdn</f>
        <v>Value Missing.Value Missing</v>
      </c>
      <c r="E663" s="64"/>
    </row>
    <row r="664" spans="2:7" ht="20" customHeight="1">
      <c r="B664" s="21" t="s">
        <v>2028</v>
      </c>
      <c r="C664" s="22" t="str">
        <f t="array" ref="C664">sample_wld_nsxt_gm_fingerprint</f>
        <v>D7:A6:26:4C:D8:F7:40:33:E8:51:94:4A:20:51:10:AF:DE:B0:46:38:6A:F4:2C:E4:72:40:93:9C:41:7A:CB:93</v>
      </c>
      <c r="D664" s="18" t="str">
        <f>wld_nsxt_gm_fingerprint</f>
        <v>Value Missing</v>
      </c>
      <c r="E664" s="64" t="s">
        <v>1990</v>
      </c>
      <c r="G664" s="91"/>
    </row>
    <row r="665" spans="2:7" ht="20" customHeight="1">
      <c r="B665" s="21" t="s">
        <v>2029</v>
      </c>
      <c r="C665" s="22" t="str">
        <f>IF(mgmt_domain_chosen="First Domain",_xlfn.CONCAT(sample_wld_nsxt_gm_hostname,".",sample_child_dns_zone),sample_wld_existing_active_nsx_gm)</f>
        <v>sfo-w01-nsx-gm01.sfo.rainpole.io</v>
      </c>
      <c r="D665" s="18" t="str">
        <f>IF(mgmt_domain_chosen="First Domain",wld_nsxt_gm_vip_fqdn,wld_existing_active_nsx_gm)</f>
        <v>Value Missing.Value Missing</v>
      </c>
      <c r="E665" s="64"/>
    </row>
    <row r="666" spans="2:7" ht="16" customHeight="1">
      <c r="B666" s="21" t="s">
        <v>2030</v>
      </c>
      <c r="C666" s="22" t="str">
        <f>sample_wld_nsxt_federation_global_manager_name</f>
        <v>sfo-w01-nsx-gm01</v>
      </c>
      <c r="D666" s="18" t="str">
        <f>wld_nsxt_federation_global_manager_name</f>
        <v>Value Missing</v>
      </c>
      <c r="E666" s="64"/>
    </row>
    <row r="667" spans="2:7" ht="20" customHeight="1">
      <c r="B667" s="21" t="s">
        <v>2031</v>
      </c>
      <c r="C667" s="22" t="str">
        <f>_xlfn.CONCAT(sample_wld_nsxt_gm_hostname,".",sample_child_dns_zone)</f>
        <v>sfo-w01-nsx-gm01.sfo.rainpole.io</v>
      </c>
      <c r="D667" s="18" t="str">
        <f>wld_nsxt_gm_vip_fqdn</f>
        <v>Value Missing.Value Missing</v>
      </c>
      <c r="E667" s="64"/>
    </row>
    <row r="668" spans="2:7" ht="16" customHeight="1">
      <c r="B668" s="21" t="s">
        <v>1806</v>
      </c>
      <c r="C668" s="22" t="s">
        <v>746</v>
      </c>
      <c r="D668" s="18" t="str">
        <f>C668</f>
        <v>admin</v>
      </c>
      <c r="E668" s="64"/>
    </row>
    <row r="669" spans="2:7" ht="34" customHeight="1">
      <c r="B669" s="21" t="s">
        <v>1796</v>
      </c>
      <c r="C669" s="22" t="str">
        <f>sample_nsxt_gm_admin_password</f>
        <v>VMw@re1!VMw@re1!</v>
      </c>
      <c r="D669" s="18" t="str">
        <f>nsxt_gm_admin_password</f>
        <v>Value Missing</v>
      </c>
      <c r="E669" s="64"/>
    </row>
    <row r="670" spans="2:7" ht="20" customHeight="1">
      <c r="B670" s="21" t="s">
        <v>2028</v>
      </c>
      <c r="C670" s="22" t="str">
        <f t="array" ref="C670">sample_wld_nsxt_gm_fingerprint</f>
        <v>D7:A6:26:4C:D8:F7:40:33:E8:51:94:4A:20:51:10:AF:DE:B0:46:38:6A:F4:2C:E4:72:40:93:9C:41:7A:CB:93</v>
      </c>
      <c r="D670" s="18" t="str">
        <f>wld_nsxt_gm_fingerprint</f>
        <v>Value Missing</v>
      </c>
      <c r="E670" s="64"/>
    </row>
    <row r="671" spans="2:7" ht="20" customHeight="1"/>
    <row r="672" spans="2:7" ht="20" customHeight="1">
      <c r="B672" s="487" t="s">
        <v>2032</v>
      </c>
      <c r="C672" s="488"/>
      <c r="D672" s="488"/>
      <c r="E672" s="489"/>
    </row>
    <row r="673" spans="2:5" ht="20" customHeight="1">
      <c r="B673" s="8" t="s">
        <v>735</v>
      </c>
      <c r="C673" s="8" t="s">
        <v>554</v>
      </c>
      <c r="D673" s="20" t="s">
        <v>555</v>
      </c>
      <c r="E673" s="8" t="s">
        <v>1989</v>
      </c>
    </row>
    <row r="674" spans="2:5" ht="20" customHeight="1">
      <c r="B674" s="21" t="s">
        <v>2020</v>
      </c>
      <c r="C674" s="22" t="str">
        <f>_xlfn.CONCAT(sample_wld_nsxt_hostname,".",sample_child_dns_zone)</f>
        <v>sfo-w01-nsx01.sfo.rainpole.io</v>
      </c>
      <c r="D674" s="18" t="str">
        <f>wld_nsxt_vip_fqdn</f>
        <v>Value Missing.Value Missing</v>
      </c>
      <c r="E674" s="21"/>
    </row>
    <row r="675" spans="2:5" ht="20" customHeight="1">
      <c r="B675" s="21" t="s">
        <v>2028</v>
      </c>
      <c r="C675" s="22" t="str">
        <f>sample_wld_nsxt_lm_fingerprint</f>
        <v>05:CC:8C:D4:AF:B3:22:E1:C5:27:70:24:F5:2A:3B:F9:F3:98:4A:8D:7D:8C:37:F2:4F:EE:8D:78:CB:9E:43:FD</v>
      </c>
      <c r="D675" s="18" t="str">
        <f>wld_nsxt_lm_fingerprint</f>
        <v>Value Missing</v>
      </c>
      <c r="E675" s="64" t="s">
        <v>1990</v>
      </c>
    </row>
    <row r="676" spans="2:5" ht="20" customHeight="1">
      <c r="B676" s="21" t="s">
        <v>2029</v>
      </c>
      <c r="C676" s="22" t="str">
        <f>IF(mgmt_domain_chosen="First Domain",_xlfn.CONCAT(sample_wld_nsxt_gm_hostname,".",sample_child_dns_zone),sample_wld_existing_active_nsx_gm)</f>
        <v>sfo-w01-nsx-gm01.sfo.rainpole.io</v>
      </c>
      <c r="D676" s="18" t="str">
        <f>IF(wld_domain_chosen="First Domain",wld_nsxt_gm_vip_fqdn,wld_existing_active_nsx_gm)</f>
        <v>Value Missing</v>
      </c>
      <c r="E676" s="64"/>
    </row>
    <row r="677" spans="2:5" ht="20" customHeight="1">
      <c r="B677" s="21" t="s">
        <v>2033</v>
      </c>
      <c r="C677" s="22" t="str">
        <f>sample_wld_nsxt_federation_location_name</f>
        <v>sfo-w01</v>
      </c>
      <c r="D677" s="18" t="str">
        <f>wld_nsxt_federation_location_name</f>
        <v>Value Missing</v>
      </c>
      <c r="E677" s="64"/>
    </row>
    <row r="678" spans="2:5" ht="20" customHeight="1">
      <c r="B678" s="21" t="s">
        <v>2031</v>
      </c>
      <c r="C678" s="22" t="str">
        <f>_xlfn.CONCAT(sample_wld_nsxt_hostname,".",sample_child_dns_zone)</f>
        <v>sfo-w01-nsx01.sfo.rainpole.io</v>
      </c>
      <c r="D678" s="18" t="str">
        <f>wld_nsxt_vip_fqdn</f>
        <v>Value Missing.Value Missing</v>
      </c>
      <c r="E678" s="64"/>
    </row>
    <row r="679" spans="2:5" ht="20" customHeight="1">
      <c r="B679" s="21" t="s">
        <v>1806</v>
      </c>
      <c r="C679" s="22" t="s">
        <v>746</v>
      </c>
      <c r="D679" s="18" t="str">
        <f>C679</f>
        <v>admin</v>
      </c>
      <c r="E679" s="64"/>
    </row>
    <row r="680" spans="2:5" ht="20" customHeight="1">
      <c r="B680" s="21" t="s">
        <v>1796</v>
      </c>
      <c r="C680" s="22" t="str">
        <f>sample_nsxt_lm_admin_password</f>
        <v>VMw@re1!VMw@re1!</v>
      </c>
      <c r="D680" s="18" t="str">
        <f>nsxt_lm_admin_password</f>
        <v>Value Missing</v>
      </c>
      <c r="E680" s="64"/>
    </row>
    <row r="681" spans="2:5" ht="16" customHeight="1">
      <c r="B681" s="21" t="s">
        <v>2028</v>
      </c>
      <c r="C681" s="22" t="str">
        <f>sample_wld_nsxt_lm_fingerprint</f>
        <v>05:CC:8C:D4:AF:B3:22:E1:C5:27:70:24:F5:2A:3B:F9:F3:98:4A:8D:7D:8C:37:F2:4F:EE:8D:78:CB:9E:43:FD</v>
      </c>
      <c r="D681" s="18" t="str">
        <f>wld_nsxt_lm_fingerprint</f>
        <v>Value Missing</v>
      </c>
      <c r="E681" s="64"/>
    </row>
    <row r="682" spans="2:5" ht="20" customHeight="1">
      <c r="B682" s="21" t="s">
        <v>2034</v>
      </c>
      <c r="C682" s="22" t="s">
        <v>2035</v>
      </c>
      <c r="D682" s="18" t="str">
        <f>C682</f>
        <v>nsxDefaultHostSwitch</v>
      </c>
      <c r="E682" s="65"/>
    </row>
    <row r="683" spans="2:5" ht="16" customHeight="1">
      <c r="B683" s="21" t="s">
        <v>2036</v>
      </c>
      <c r="C683" s="22" t="e">
        <f>sample_wld_rtep_overlay_vlan</f>
        <v>#NAME?</v>
      </c>
      <c r="D683" s="18" t="str">
        <f>wld_az1_rtep_overlay_vlan</f>
        <v>Value Missing</v>
      </c>
      <c r="E683" s="64"/>
    </row>
    <row r="684" spans="2:5" ht="34" customHeight="1">
      <c r="B684" s="21" t="s">
        <v>2037</v>
      </c>
      <c r="C684" s="22" t="str">
        <f>sample_wld_rtep_ip_pool_name</f>
        <v>sfo-w01-pl01-rtep</v>
      </c>
      <c r="D684" s="18" t="str">
        <f>wld_rtep_ip_pool_name</f>
        <v>Value Missing</v>
      </c>
      <c r="E684" s="64"/>
    </row>
    <row r="685" spans="2:5" ht="20" customHeight="1">
      <c r="B685" s="21" t="s">
        <v>2038</v>
      </c>
      <c r="C685" s="22" t="e">
        <f>sample_wld_rtep_overlay_mtu</f>
        <v>#NAME?</v>
      </c>
      <c r="D685" s="18" t="str">
        <f>wld_az1_rtep_overlay_mtu</f>
        <v>Value Missing</v>
      </c>
      <c r="E685" s="65" t="s">
        <v>2039</v>
      </c>
    </row>
    <row r="686" spans="2:5" ht="20" customHeight="1"/>
    <row r="687" spans="2:5" ht="20" customHeight="1">
      <c r="B687" s="487" t="s">
        <v>2040</v>
      </c>
      <c r="C687" s="488"/>
      <c r="D687" s="488"/>
      <c r="E687" s="489"/>
    </row>
    <row r="688" spans="2:5" ht="20" customHeight="1">
      <c r="B688" s="8" t="s">
        <v>735</v>
      </c>
      <c r="C688" s="8" t="s">
        <v>554</v>
      </c>
      <c r="D688" s="20" t="s">
        <v>555</v>
      </c>
      <c r="E688" s="8" t="s">
        <v>1989</v>
      </c>
    </row>
    <row r="689" spans="2:5" ht="16" customHeight="1">
      <c r="B689" s="21" t="s">
        <v>2011</v>
      </c>
      <c r="C689" s="22" t="str">
        <f>_xlfn.CONCAT(sample_wld_nsxt_gm_hostname,".",sample_child_dns_zone)</f>
        <v>sfo-w01-nsx-gm01.sfo.rainpole.io</v>
      </c>
      <c r="D689" s="18" t="str">
        <f>wld_nsxt_gm_vip_fqdn</f>
        <v>Value Missing.Value Missing</v>
      </c>
      <c r="E689" s="64"/>
    </row>
    <row r="690" spans="2:5" ht="20" customHeight="1">
      <c r="B690" s="21" t="s">
        <v>2041</v>
      </c>
      <c r="C690" s="22" t="str">
        <f>sample_wld_nsxt_xreg_t1_name</f>
        <v>xint-w01-ec01-t1-gw01</v>
      </c>
      <c r="D690" s="18" t="str">
        <f>wld_nsxt_xreg_t1_name</f>
        <v>Value Missing</v>
      </c>
      <c r="E690" s="64"/>
    </row>
    <row r="691" spans="2:5" ht="16" customHeight="1">
      <c r="B691" s="21" t="s">
        <v>2042</v>
      </c>
      <c r="C691" s="22" t="str">
        <f>sample_wld_tier0_name</f>
        <v>sfo-w01-ec01-t0-gw01</v>
      </c>
      <c r="D691" s="18" t="str">
        <f>wld_tier0_name</f>
        <v>Value Missing</v>
      </c>
      <c r="E691" s="64"/>
    </row>
    <row r="692" spans="2:5" ht="34" customHeight="1">
      <c r="B692" s="21" t="s">
        <v>2043</v>
      </c>
      <c r="C692" s="22" t="str">
        <f>sample_wld_nsxt_federation_location_name</f>
        <v>sfo-w01</v>
      </c>
      <c r="D692" s="18" t="str">
        <f>wld_nsxt_federation_location_name</f>
        <v>Value Missing</v>
      </c>
      <c r="E692" s="72"/>
    </row>
    <row r="693" spans="2:5" ht="20" customHeight="1">
      <c r="B693" s="21" t="s">
        <v>1884</v>
      </c>
      <c r="C693" s="22" t="str">
        <f>sample_wld_ec_name</f>
        <v>sfo-w01-ec01</v>
      </c>
      <c r="D693" s="18" t="str">
        <f>wld_ec_name</f>
        <v>Value Missing</v>
      </c>
      <c r="E693" s="64"/>
    </row>
    <row r="694" spans="2:5" ht="20" customHeight="1"/>
    <row r="695" spans="2:5" ht="16" customHeight="1">
      <c r="B695" s="487" t="s">
        <v>2047</v>
      </c>
      <c r="C695" s="488"/>
      <c r="D695" s="488"/>
      <c r="E695" s="489"/>
    </row>
    <row r="696" spans="2:5" ht="20" customHeight="1">
      <c r="B696" s="8" t="s">
        <v>735</v>
      </c>
      <c r="C696" s="8" t="s">
        <v>554</v>
      </c>
      <c r="D696" s="20" t="s">
        <v>555</v>
      </c>
      <c r="E696" s="8" t="s">
        <v>1989</v>
      </c>
    </row>
    <row r="697" spans="2:5" ht="16" customHeight="1">
      <c r="B697" s="21" t="s">
        <v>2029</v>
      </c>
      <c r="C697" s="22" t="str">
        <f>IF(mgmt_domain_chosen="First Domain",_xlfn.CONCAT(sample_wld_nsxt_gm_hostname,".",sample_child_dns_zone),sample_wld_existing_active_nsx_gm)</f>
        <v>sfo-w01-nsx-gm01.sfo.rainpole.io</v>
      </c>
      <c r="D697" s="18" t="str">
        <f>IF(wld_domain_chosen="First Domain",wld_nsxt_gm_vip_fqdn,wld_existing_active_nsx_gm)</f>
        <v>Value Missing</v>
      </c>
      <c r="E697" s="64"/>
    </row>
    <row r="698" spans="2:5" ht="34" customHeight="1">
      <c r="B698" s="21" t="s">
        <v>2048</v>
      </c>
      <c r="C698" s="22" t="str">
        <f>sample_wld_tier1_name</f>
        <v>sfo-w01-ec01-t1-gw01</v>
      </c>
      <c r="D698" s="18" t="str">
        <f>wld_tier1_name</f>
        <v>Value Missing</v>
      </c>
      <c r="E698" s="64"/>
    </row>
    <row r="699" spans="2:5" ht="20" customHeight="1">
      <c r="B699" s="21" t="s">
        <v>2049</v>
      </c>
      <c r="C699" s="22" t="str">
        <f>sample_wld_tier0_name</f>
        <v>sfo-w01-ec01-t0-gw01</v>
      </c>
      <c r="D699" s="18" t="str">
        <f>wld_tier0_name</f>
        <v>Value Missing</v>
      </c>
      <c r="E699" s="64"/>
    </row>
    <row r="700" spans="2:5" ht="20" customHeight="1"/>
    <row r="701" spans="2:5" ht="20" customHeight="1">
      <c r="B701" s="487" t="s">
        <v>2050</v>
      </c>
      <c r="C701" s="488"/>
      <c r="D701" s="488"/>
      <c r="E701" s="489"/>
    </row>
    <row r="702" spans="2:5" ht="20" customHeight="1">
      <c r="B702" s="8" t="s">
        <v>735</v>
      </c>
      <c r="C702" s="8" t="s">
        <v>554</v>
      </c>
      <c r="D702" s="20" t="s">
        <v>555</v>
      </c>
      <c r="E702" s="8" t="s">
        <v>1989</v>
      </c>
    </row>
    <row r="703" spans="2:5" ht="20" customHeight="1">
      <c r="B703" s="21" t="s">
        <v>2029</v>
      </c>
      <c r="C703" s="22" t="str">
        <f>IF(mgmt_domain_chosen="First Domain",_xlfn.CONCAT(sample_wld_nsxt_gm_hostname,".",sample_child_dns_zone),sample_wld_existing_active_nsx_gm)</f>
        <v>sfo-w01-nsx-gm01.sfo.rainpole.io</v>
      </c>
      <c r="D703" s="18" t="str">
        <f>IF(mgmt_domain_chosen="First Domain",wld_nsxt_gm_vip_fqdn,wld_existing_active_nsx_gm)</f>
        <v>Value Missing.Value Missing</v>
      </c>
      <c r="E703" s="64"/>
    </row>
    <row r="704" spans="2:5" ht="20" customHeight="1">
      <c r="B704" s="21" t="s">
        <v>2051</v>
      </c>
      <c r="C704" s="22" t="str">
        <f>sample_wld_tier0_name</f>
        <v>sfo-w01-ec01-t0-gw01</v>
      </c>
      <c r="D704" s="18" t="str">
        <f>wld_tier0_name</f>
        <v>Value Missing</v>
      </c>
      <c r="E704" s="64"/>
    </row>
    <row r="705" spans="2:5" ht="20" customHeight="1">
      <c r="B705" s="21" t="s">
        <v>2043</v>
      </c>
      <c r="C705" s="22" t="str">
        <f>sample_wld_nsxt_federation_location_name</f>
        <v>sfo-w01</v>
      </c>
      <c r="D705" s="18" t="str">
        <f>wld_nsxt_federation_location_name</f>
        <v>Value Missing</v>
      </c>
      <c r="E705" s="72"/>
    </row>
    <row r="706" spans="2:5" ht="20" customHeight="1">
      <c r="B706" s="21" t="s">
        <v>1884</v>
      </c>
      <c r="C706" s="22" t="str">
        <f>sample_wld_ec_name</f>
        <v>sfo-w01-ec01</v>
      </c>
      <c r="D706" s="18" t="str">
        <f>wld_ec_name</f>
        <v>Value Missing</v>
      </c>
      <c r="E706" s="64"/>
    </row>
    <row r="707" spans="2:5" ht="20" customHeight="1">
      <c r="B707" s="21" t="s">
        <v>2052</v>
      </c>
      <c r="C707" s="22" t="str">
        <f>_xlfn.CONCAT(sample_wld_az1_en1_hostname,"_VCF-edge_",sample_wld_ec_name,"_segment_",sample_wld_az1_uplink01_vlan,"_",sample_wld_az1_en1_uplink01_interface_ip)</f>
        <v>sfo-w01-r01-en01_VCF-edge_sfo-w01-ec01_segment_1317_10.13.17.2</v>
      </c>
      <c r="D707" s="18" t="str">
        <f>wld_az1_en1_hostname&amp;"_VCF-edge_"&amp;wld_ec_name&amp;"_segment_"&amp;wld_az1_uplink01_vlan&amp;"_"&amp;wld_az1_en1_uplink01_interface_ip</f>
        <v>Value Missing_VCF-edge_Value Missing_segment_Value Missing_Value Missing</v>
      </c>
      <c r="E707" s="64"/>
    </row>
    <row r="708" spans="2:5" ht="20" customHeight="1">
      <c r="B708" s="21" t="s">
        <v>2053</v>
      </c>
      <c r="C708" s="22" t="str">
        <f>sample_wld_nsxt_federation_location_name</f>
        <v>sfo-w01</v>
      </c>
      <c r="D708" s="18" t="str">
        <f>wld_nsxt_federation_location_name</f>
        <v>Value Missing</v>
      </c>
      <c r="E708" s="64"/>
    </row>
    <row r="709" spans="2:5" ht="20" customHeight="1">
      <c r="B709" s="21" t="s">
        <v>2054</v>
      </c>
      <c r="C709" s="22" t="str">
        <f>_xlfn.CONCAT(sample_wld_az1_en1_uplink01_interface_ip,"/",INT(RIGHT(sample_wld_az1_uplink01_cidr,LEN(sample_wld_az1_uplink01_cidr)-FIND("/",sample_wld_az1_uplink01_cidr))))</f>
        <v>10.13.17.2/24</v>
      </c>
      <c r="D709" s="18" t="str">
        <f>IF(OR((wld_az1_en1_uplink01_interface_ip="Value Missing"),(_xlfn.SINGLE(wld_az1_uplink01_cidr)="Value Missing")),"Value Missing",wld_az1_en1_uplink01_interface_ip&amp;"/"&amp;INT(RIGHT(_xlfn.SINGLE(wld_az1_uplink01_cidr),LEN(_xlfn.SINGLE(wld_az1_uplink01_cidr))-FIND("/",_xlfn.SINGLE(wld_az1_uplink01_cidr)))))</f>
        <v>Value Missing</v>
      </c>
      <c r="E709" s="64"/>
    </row>
    <row r="710" spans="2:5" ht="20" customHeight="1">
      <c r="B710" s="21" t="s">
        <v>2055</v>
      </c>
      <c r="C710" s="22" t="str">
        <f>_xlfn.CONCAT("VCF-edge_",sample_wld_ec_name,"_segment_uplink1_",sample_wld_az1_uplink01_vlan)</f>
        <v>VCF-edge_sfo-w01-ec01_segment_uplink1_1317</v>
      </c>
      <c r="D710" s="18" t="str">
        <f>_xlfn.CONCAT("VCF-edge_",wld_ec_name,"_segment_uplink1_",wld_az1_uplink01_vlan)</f>
        <v>VCF-edge_Value Missing_segment_uplink1_Value Missing</v>
      </c>
      <c r="E710" s="64"/>
    </row>
    <row r="711" spans="2:5" ht="20" customHeight="1">
      <c r="B711" s="21" t="s">
        <v>2251</v>
      </c>
      <c r="C711" s="22" t="str">
        <f>sample_wld_az1_en1_hostname</f>
        <v>sfo-w01-r01-en01</v>
      </c>
      <c r="D711" s="18" t="str">
        <f>wld_az1_en1_hostname</f>
        <v>Value Missing</v>
      </c>
      <c r="E711" s="64"/>
    </row>
    <row r="712" spans="2:5" ht="20" customHeight="1">
      <c r="B712" s="21" t="s">
        <v>2252</v>
      </c>
      <c r="C712" s="22" t="e">
        <f>sample_wld_uplink01_mtu</f>
        <v>#NAME?</v>
      </c>
      <c r="D712" s="18" t="str">
        <f>wld_az1_uplink01_mtu</f>
        <v>Value Missing</v>
      </c>
      <c r="E712" s="64"/>
    </row>
    <row r="713" spans="2:5" ht="20" customHeight="1">
      <c r="B713" s="21" t="s">
        <v>2253</v>
      </c>
      <c r="C713" s="22" t="str">
        <f>_xlfn.CONCAT(sample_wld_az1_en1_hostname,"_VCF-edge_",sample_wld_ec_name,"_segment_",sample_wld_az1_uplink02_vlan,"_",sample_wld_az1_en1_uplink02_interface_ip)</f>
        <v>sfo-w01-r01-en01_VCF-edge_sfo-w01-ec01_segment_1318_10.13.18.2</v>
      </c>
      <c r="D713" s="18" t="str">
        <f>wld_az1_en1_hostname&amp;"_VCF-edge_"&amp;wld_ec_name&amp;"_segment_"&amp;wld_az1_uplink02_vlan&amp;"_"&amp;wld_az1_en1_uplink02_interface_ip</f>
        <v>Value Missing_VCF-edge_Value Missing_segment_Value Missing_Value Missing</v>
      </c>
      <c r="E713" s="64"/>
    </row>
    <row r="714" spans="2:5" ht="20" customHeight="1">
      <c r="B714" s="21" t="s">
        <v>2254</v>
      </c>
      <c r="C714" s="22" t="str">
        <f>sample_wld_nsxt_federation_location_name</f>
        <v>sfo-w01</v>
      </c>
      <c r="D714" s="18" t="str">
        <f>wld_nsxt_federation_location_name</f>
        <v>Value Missing</v>
      </c>
      <c r="E714" s="64"/>
    </row>
    <row r="715" spans="2:5" ht="20" customHeight="1">
      <c r="B715" s="21" t="s">
        <v>2060</v>
      </c>
      <c r="C715" s="22" t="str">
        <f>_xlfn.CONCAT(sample_wld_az1_en1_uplink02_interface_ip,"/",INT(RIGHT(_xlfn.SINGLE(sample_wld_az1_uplink02_cidr),LEN(_xlfn.SINGLE(sample_wld_az1_uplink02_cidr))-FIND("/",_xlfn.SINGLE(sample_wld_az1_uplink02_cidr)))))</f>
        <v>10.13.18.2/24</v>
      </c>
      <c r="D715" s="18" t="str">
        <f>IF(OR((wld_az1_en1_uplink02_interface_ip="Value Missing"),(_xlfn.SINGLE(wld_az1_uplink02_cidr)="Value Missing")),"Value Missing",wld_az1_en1_uplink02_interface_ip&amp;"/"&amp;INT(RIGHT(_xlfn.SINGLE(wld_az1_uplink02_cidr),LEN(_xlfn.SINGLE(wld_az1_uplink02_cidr))-FIND("/",_xlfn.SINGLE(wld_az1_uplink02_cidr)))))</f>
        <v>Value Missing</v>
      </c>
      <c r="E715" s="64"/>
    </row>
    <row r="716" spans="2:5" ht="20" customHeight="1">
      <c r="B716" s="52" t="s">
        <v>2255</v>
      </c>
      <c r="C716" s="22" t="str">
        <f>_xlfn.CONCAT("VCF-edge_",sample_wld_ec_name,"_segment_uplink2_",sample_wld_az1_uplink02_vlan)</f>
        <v>VCF-edge_sfo-w01-ec01_segment_uplink2_1318</v>
      </c>
      <c r="D716" s="18" t="str">
        <f>"VCF-edge_"&amp;wld_ec_name&amp;"_segment_uplink2_"&amp;wld_az1_uplink02_vlan</f>
        <v>VCF-edge_Value Missing_segment_uplink2_Value Missing</v>
      </c>
      <c r="E716" s="64"/>
    </row>
    <row r="717" spans="2:5" ht="20" customHeight="1">
      <c r="B717" s="21" t="s">
        <v>2062</v>
      </c>
      <c r="C717" s="22" t="str">
        <f>sample_wld_az1_en1_hostname</f>
        <v>sfo-w01-r01-en01</v>
      </c>
      <c r="D717" s="18" t="str">
        <f>wld_az1_en1_hostname</f>
        <v>Value Missing</v>
      </c>
      <c r="E717" s="64"/>
    </row>
    <row r="718" spans="2:5" ht="20" customHeight="1">
      <c r="B718" s="21" t="s">
        <v>2063</v>
      </c>
      <c r="C718" s="22" t="e">
        <f>sample_wld_uplink02_mtu</f>
        <v>#NAME?</v>
      </c>
      <c r="D718" s="18" t="str">
        <f>wld_az1_uplink02_mtu</f>
        <v>Value Missing</v>
      </c>
      <c r="E718" s="64"/>
    </row>
    <row r="719" spans="2:5" ht="20" customHeight="1">
      <c r="B719" s="21" t="s">
        <v>2064</v>
      </c>
      <c r="C719" s="22" t="str">
        <f>_xlfn.CONCAT(sample_wld_az1_en2_hostname,"_VCF-edge_",sample_wld_ec_name,"_segment_",sample_wld_az1_uplink01_vlan,"_",sample_wld_az1_en2_uplink01_interface_ip)</f>
        <v>sfo-w01-r01-en02_VCF-edge_sfo-w01-ec01_segment_1317_10.13.17.3</v>
      </c>
      <c r="D719" s="18" t="str">
        <f>wld_az1_en2_hostname&amp;"_VCF-edge_"&amp;wld_ec_name&amp;"_segment_"&amp;wld_az1_uplink01_vlan&amp;"_"&amp;wld_az1_en2_uplink01_interface_ip</f>
        <v>Value Missing_VCF-edge_Value Missing_segment_Value Missing_Value Missing</v>
      </c>
      <c r="E719" s="64"/>
    </row>
    <row r="720" spans="2:5" ht="20" customHeight="1">
      <c r="B720" s="21" t="s">
        <v>2256</v>
      </c>
      <c r="C720" s="22" t="str">
        <f>sample_wld_nsxt_federation_location_name</f>
        <v>sfo-w01</v>
      </c>
      <c r="D720" s="18" t="str">
        <f>wld_nsxt_federation_location_name</f>
        <v>Value Missing</v>
      </c>
      <c r="E720" s="64"/>
    </row>
    <row r="721" spans="2:5" ht="20" customHeight="1">
      <c r="B721" s="21" t="s">
        <v>2257</v>
      </c>
      <c r="C721" s="22" t="str">
        <f>_xlfn.CONCAT(sample_wld_az1_en2_uplink01_interface_ip,"/",INT(RIGHT(sample_wld_az1_uplink01_cidr,LEN(sample_wld_az1_uplink01_cidr)-FIND("/",sample_wld_az1_uplink01_cidr))))</f>
        <v>10.13.17.3/24</v>
      </c>
      <c r="D721" s="18" t="str">
        <f>IF(OR((wld_az1_en2_uplink01_interface_ip="Value Missing"),(_xlfn.SINGLE(wld_az1_uplink01_cidr)="Value Missing")),"Value Missing",wld_az1_en2_uplink01_interface_ip&amp;"/"&amp;INT(RIGHT(_xlfn.SINGLE(wld_az1_uplink01_cidr),LEN(_xlfn.SINGLE(wld_az1_uplink01_cidr))-FIND("/",_xlfn.SINGLE(wld_az1_uplink01_cidr)))))</f>
        <v>Value Missing</v>
      </c>
      <c r="E721" s="64"/>
    </row>
    <row r="722" spans="2:5" ht="20" customHeight="1">
      <c r="B722" s="52" t="s">
        <v>2258</v>
      </c>
      <c r="C722" s="22" t="str">
        <f>_xlfn.CONCAT("VCF-edge_",sample_wld_ec_name,"_segment_uplink1_",sample_wld_az1_uplink01_vlan)</f>
        <v>VCF-edge_sfo-w01-ec01_segment_uplink1_1317</v>
      </c>
      <c r="D722" s="18" t="str">
        <f>"VCF-edge_"&amp;wld_ec_name&amp;"_segment_uplink1_"&amp;wld_az1_uplink01_vlan</f>
        <v>VCF-edge_Value Missing_segment_uplink1_Value Missing</v>
      </c>
      <c r="E722" s="64"/>
    </row>
    <row r="723" spans="2:5" ht="20" customHeight="1">
      <c r="B723" s="21" t="s">
        <v>2259</v>
      </c>
      <c r="C723" s="22" t="str">
        <f>sample_wld_az1_en2_hostname</f>
        <v>sfo-w01-r01-en02</v>
      </c>
      <c r="D723" s="18" t="str">
        <f>wld_az1_en2_hostname</f>
        <v>Value Missing</v>
      </c>
      <c r="E723" s="64"/>
    </row>
    <row r="724" spans="2:5" ht="20" customHeight="1">
      <c r="B724" s="21" t="s">
        <v>2260</v>
      </c>
      <c r="C724" s="22" t="e">
        <f>sample_wld_uplink01_mtu</f>
        <v>#NAME?</v>
      </c>
      <c r="D724" s="18" t="str">
        <f>wld_az1_uplink01_mtu</f>
        <v>Value Missing</v>
      </c>
      <c r="E724" s="64"/>
    </row>
    <row r="725" spans="2:5" ht="20" customHeight="1">
      <c r="B725" s="21" t="s">
        <v>2070</v>
      </c>
      <c r="C725" s="22" t="str">
        <f>_xlfn.CONCAT(sample_wld_az1_en2_hostname,"_VCF-edge_",sample_wld_ec_name,"_segment_",sample_wld_az1_uplink02_vlan,"_",sample_wld_az1_en2_uplink02_interface_ip)</f>
        <v>sfo-w01-r01-en02_VCF-edge_sfo-w01-ec01_segment_1318_10.13.18.3</v>
      </c>
      <c r="D725" s="18" t="str">
        <f>wld_az1_en2_hostname&amp;"_VCF-edge_"&amp;wld_ec_name&amp;"_segment_"&amp;wld_az1_uplink02_vlan&amp;"_"&amp;wld_az1_en2_uplink02_interface_ip</f>
        <v>Value Missing_VCF-edge_Value Missing_segment_Value Missing_Value Missing</v>
      </c>
      <c r="E725" s="64"/>
    </row>
    <row r="726" spans="2:5" ht="20" customHeight="1">
      <c r="B726" s="21" t="s">
        <v>2071</v>
      </c>
      <c r="C726" s="22" t="str">
        <f>sample_wld_nsxt_federation_location_name</f>
        <v>sfo-w01</v>
      </c>
      <c r="D726" s="18" t="str">
        <f>wld_nsxt_federation_location_name</f>
        <v>Value Missing</v>
      </c>
      <c r="E726" s="64"/>
    </row>
    <row r="727" spans="2:5" ht="20" customHeight="1">
      <c r="B727" s="21" t="s">
        <v>2261</v>
      </c>
      <c r="C727" s="22" t="str">
        <f>_xlfn.CONCAT(sample_wld_az1_en2_uplink02_interface_ip,"/",INT(RIGHT(_xlfn.SINGLE(sample_wld_az1_uplink02_cidr),LEN(_xlfn.SINGLE(sample_wld_az1_uplink02_cidr))-FIND("/",_xlfn.SINGLE(sample_wld_az1_uplink02_cidr)))))</f>
        <v>10.13.18.3/24</v>
      </c>
      <c r="D727" s="18" t="str">
        <f>IF(OR((wld_az1_en2_uplink02_interface_ip="Value Missing"),(_xlfn.SINGLE(wld_az1_uplink02_cidr)="Value Missing")),"Value Missing",wld_az1_en2_uplink02_interface_ip&amp;"/"&amp;INT(RIGHT(_xlfn.SINGLE(wld_az1_uplink02_cidr),LEN(_xlfn.SINGLE(wld_az1_uplink02_cidr))-FIND("/",_xlfn.SINGLE(wld_az1_uplink02_cidr)))))</f>
        <v>Value Missing</v>
      </c>
      <c r="E727" s="64"/>
    </row>
    <row r="728" spans="2:5" ht="20" customHeight="1">
      <c r="B728" s="52" t="s">
        <v>2073</v>
      </c>
      <c r="C728" s="22" t="str">
        <f>_xlfn.CONCAT("VCF-edge_",sample_wld_ec_name,"_segment_uplink2_",sample_wld_az1_uplink02_vlan)</f>
        <v>VCF-edge_sfo-w01-ec01_segment_uplink2_1318</v>
      </c>
      <c r="D728" s="18" t="str">
        <f>"VCF-edge_"&amp;wld_ec_name&amp;"_segment_uplink2_"&amp;wld_az1_uplink02_vlan</f>
        <v>VCF-edge_Value Missing_segment_uplink2_Value Missing</v>
      </c>
      <c r="E728" s="64"/>
    </row>
    <row r="729" spans="2:5" ht="20" customHeight="1">
      <c r="B729" s="21" t="s">
        <v>2262</v>
      </c>
      <c r="C729" s="22" t="str">
        <f>sample_wld_az1_en2_hostname</f>
        <v>sfo-w01-r01-en02</v>
      </c>
      <c r="D729" s="18" t="str">
        <f>wld_az1_en2_hostname</f>
        <v>Value Missing</v>
      </c>
      <c r="E729" s="64"/>
    </row>
    <row r="730" spans="2:5" ht="20" customHeight="1">
      <c r="B730" s="21" t="s">
        <v>2075</v>
      </c>
      <c r="C730" s="22" t="e">
        <f>sample_wld_uplink02_mtu</f>
        <v>#NAME?</v>
      </c>
      <c r="D730" s="18" t="str">
        <f>wld_az1_uplink02_mtu</f>
        <v>Value Missing</v>
      </c>
      <c r="E730" s="64"/>
    </row>
    <row r="731" spans="2:5" ht="20" customHeight="1">
      <c r="B731" s="21" t="s">
        <v>2076</v>
      </c>
      <c r="C731" s="22" t="str">
        <f>sample_wld_az1_tor1_peer_ip</f>
        <v>10.13.17.10</v>
      </c>
      <c r="D731" s="18" t="str">
        <f>wld_az1_tor1_peer_ip</f>
        <v>Value Missing</v>
      </c>
      <c r="E731" s="64"/>
    </row>
    <row r="732" spans="2:5" ht="20" customHeight="1">
      <c r="B732" s="21" t="s">
        <v>2263</v>
      </c>
      <c r="C732" s="22" t="str">
        <f>sample_wld_nsxt_federation_location_name</f>
        <v>sfo-w01</v>
      </c>
      <c r="D732" s="18" t="str">
        <f>wld_nsxt_federation_location_name</f>
        <v>Value Missing</v>
      </c>
      <c r="E732" s="64"/>
    </row>
    <row r="733" spans="2:5" ht="20" customHeight="1">
      <c r="B733" s="21" t="s">
        <v>2078</v>
      </c>
      <c r="C733" s="22" t="str">
        <f>sample_wld_az1_tor1_peer_asn</f>
        <v>65131</v>
      </c>
      <c r="D733" s="18" t="str">
        <f>wld_az1_tor1_peer_asn</f>
        <v>Value Missing</v>
      </c>
      <c r="E733" s="64"/>
    </row>
    <row r="734" spans="2:5" ht="20" customHeight="1">
      <c r="B734" s="21" t="s">
        <v>2264</v>
      </c>
      <c r="C734" s="22" t="str">
        <f>sample_wld_az1_en1_uplink01_interface_ip</f>
        <v>10.13.17.2</v>
      </c>
      <c r="D734" s="18" t="str">
        <f>wld_az1_en1_uplink01_interface_ip</f>
        <v>Value Missing</v>
      </c>
      <c r="E734" s="64"/>
    </row>
    <row r="735" spans="2:5" ht="20" customHeight="1">
      <c r="B735" s="21" t="s">
        <v>2265</v>
      </c>
      <c r="C735" s="22" t="str">
        <f>sample_wld_az1_en2_uplink01_interface_ip</f>
        <v>10.13.17.3</v>
      </c>
      <c r="D735" s="18" t="str">
        <f>wld_az1_en2_uplink01_interface_ip</f>
        <v>Value Missing</v>
      </c>
      <c r="E735" s="64"/>
    </row>
    <row r="736" spans="2:5" ht="20" customHeight="1">
      <c r="B736" s="21" t="s">
        <v>2266</v>
      </c>
      <c r="C736" s="22" t="str">
        <f>sample_wld_az1_tor1_peer_bgp_password</f>
        <v>VMw@re1!</v>
      </c>
      <c r="D736" s="18" t="str">
        <f>wld_az1_tor1_peer_bgp_password</f>
        <v>Value Missing</v>
      </c>
      <c r="E736" s="64"/>
    </row>
    <row r="737" spans="2:5" ht="20" customHeight="1">
      <c r="B737" s="21" t="s">
        <v>2267</v>
      </c>
      <c r="C737" s="22" t="str">
        <f>sample_wld_az1_tor2_peer_ip</f>
        <v>10.13.18.10</v>
      </c>
      <c r="D737" s="18" t="str">
        <f>wld_az1_tor2_peer_ip</f>
        <v>Value Missing</v>
      </c>
      <c r="E737" s="64"/>
    </row>
    <row r="738" spans="2:5" ht="20" customHeight="1">
      <c r="B738" s="21" t="s">
        <v>2083</v>
      </c>
      <c r="C738" s="22" t="str">
        <f>sample_wld_nsxt_federation_location_name</f>
        <v>sfo-w01</v>
      </c>
      <c r="D738" s="18" t="str">
        <f>wld_nsxt_federation_location_name</f>
        <v>Value Missing</v>
      </c>
      <c r="E738" s="64"/>
    </row>
    <row r="739" spans="2:5" ht="20" customHeight="1">
      <c r="B739" s="21" t="s">
        <v>2268</v>
      </c>
      <c r="C739" s="22" t="str">
        <f>sample_wld_az1_tor1_peer_asn</f>
        <v>65131</v>
      </c>
      <c r="D739" s="18" t="str">
        <f>wld_az1_tor1_peer_asn</f>
        <v>Value Missing</v>
      </c>
      <c r="E739" s="64"/>
    </row>
    <row r="740" spans="2:5" ht="16" customHeight="1">
      <c r="B740" s="21" t="s">
        <v>2269</v>
      </c>
      <c r="C740" s="22" t="str">
        <f>sample_wld_az1_en1_uplink02_interface_ip</f>
        <v>10.13.18.2</v>
      </c>
      <c r="D740" s="18" t="str">
        <f>wld_az1_en1_uplink02_interface_ip</f>
        <v>Value Missing</v>
      </c>
      <c r="E740" s="64"/>
    </row>
    <row r="741" spans="2:5" ht="34" customHeight="1">
      <c r="B741" s="21" t="s">
        <v>2270</v>
      </c>
      <c r="C741" s="22" t="str">
        <f>sample_wld_az1_en2_uplink02_interface_ip</f>
        <v>10.13.18.3</v>
      </c>
      <c r="D741" s="18" t="str">
        <f>wld_az1_en2_uplink02_interface_ip</f>
        <v>Value Missing</v>
      </c>
      <c r="E741" s="64"/>
    </row>
    <row r="742" spans="2:5" ht="20" customHeight="1">
      <c r="B742" s="21" t="s">
        <v>2087</v>
      </c>
      <c r="C742" s="22" t="str">
        <f>sample_wld_az1_tor2_peer_bgp_password</f>
        <v>VMw@re1!</v>
      </c>
      <c r="D742" s="18" t="str">
        <f>wld_az1_tor2_peer_bgp_password</f>
        <v>Value Missing</v>
      </c>
      <c r="E742" s="64"/>
    </row>
    <row r="743" spans="2:5" ht="20" customHeight="1"/>
    <row r="744" spans="2:5" ht="20" customHeight="1">
      <c r="B744" s="487" t="s">
        <v>2088</v>
      </c>
      <c r="C744" s="488"/>
      <c r="D744" s="488"/>
      <c r="E744" s="489"/>
    </row>
    <row r="745" spans="2:5" ht="20" customHeight="1">
      <c r="B745" s="8" t="s">
        <v>735</v>
      </c>
      <c r="C745" s="8" t="s">
        <v>554</v>
      </c>
      <c r="D745" s="20" t="s">
        <v>555</v>
      </c>
      <c r="E745" s="8" t="s">
        <v>1989</v>
      </c>
    </row>
    <row r="746" spans="2:5" ht="16" customHeight="1">
      <c r="B746" s="21" t="s">
        <v>2029</v>
      </c>
      <c r="C746" s="22" t="str">
        <f>IF(mgmt_domain_chosen="First Domain",_xlfn.CONCAT(sample_wld_nsxt_gm_hostname,".",sample_child_dns_zone),sample_wld_existing_active_nsx_gm)</f>
        <v>sfo-w01-nsx-gm01.sfo.rainpole.io</v>
      </c>
      <c r="D746" s="18" t="str">
        <f>IF(mgmt_domain_chosen="First Domain",wld_nsxt_gm_vip_fqdn,wld_existing_active_nsx_gm)</f>
        <v>Value Missing.Value Missing</v>
      </c>
      <c r="E746" s="64"/>
    </row>
    <row r="747" spans="2:5" ht="34" customHeight="1">
      <c r="B747" s="21" t="s">
        <v>2089</v>
      </c>
      <c r="C747" s="22" t="str">
        <f>sample_wld_tier1_name</f>
        <v>sfo-w01-ec01-t1-gw01</v>
      </c>
      <c r="D747" s="18" t="str">
        <f>wld_tier1_name</f>
        <v>Value Missing</v>
      </c>
      <c r="E747" s="64"/>
    </row>
    <row r="748" spans="2:5" ht="20" customHeight="1">
      <c r="B748" s="21" t="s">
        <v>2090</v>
      </c>
      <c r="C748" s="22" t="str">
        <f>IF(mgmt_domain_chosen="First Domain",sample_wld_tier0_name,sample_wld_existing_cross_instance_t0_name)</f>
        <v>sfo-w01-ec01-t0-gw01</v>
      </c>
      <c r="D748" s="18" t="str">
        <f>IF(mgmt_domain_chosen="First Domain",wld_tier0_name,wld_existing_cross_instance_t0_name)</f>
        <v>Value Missing</v>
      </c>
      <c r="E748" s="64"/>
    </row>
    <row r="749" spans="2:5" ht="20" customHeight="1"/>
    <row r="750" spans="2:5" ht="20" customHeight="1">
      <c r="B750" s="487" t="s">
        <v>2091</v>
      </c>
      <c r="C750" s="488"/>
      <c r="D750" s="488"/>
      <c r="E750" s="489"/>
    </row>
    <row r="751" spans="2:5" ht="20" customHeight="1">
      <c r="B751" s="8" t="s">
        <v>735</v>
      </c>
      <c r="C751" s="8" t="s">
        <v>554</v>
      </c>
      <c r="D751" s="20" t="s">
        <v>555</v>
      </c>
      <c r="E751" s="8" t="s">
        <v>1989</v>
      </c>
    </row>
    <row r="752" spans="2:5" ht="20" customHeight="1">
      <c r="B752" s="21" t="s">
        <v>2029</v>
      </c>
      <c r="C752" s="22" t="str">
        <f>IF(mgmt_domain_chosen="First Domain",_xlfn.CONCAT(sample_wld_nsxt_gm_hostname,".",sample_child_dns_zone),sample_wld_existing_active_nsx_gm)</f>
        <v>sfo-w01-nsx-gm01.sfo.rainpole.io</v>
      </c>
      <c r="D752" s="18" t="str">
        <f>IF(mgmt_domain_chosen="First Domain",wld_nsxt_gm_vip_fqdn,wld_existing_active_nsx_gm)</f>
        <v>Value Missing.Value Missing</v>
      </c>
      <c r="E752" s="64"/>
    </row>
    <row r="753" spans="2:5">
      <c r="B753" s="21" t="s">
        <v>2046</v>
      </c>
      <c r="C753" s="22" t="str">
        <f>sample_wld_nsxt_xreg_t1_name</f>
        <v>xint-w01-ec01-t1-gw01</v>
      </c>
      <c r="D753" s="18" t="str">
        <f>IF(mgmt_domain_chosen="First Domain",wld_nsxt_xreg_t1_name,wld_existing_cross_instance_t0_name)</f>
        <v>Value Missing</v>
      </c>
      <c r="E753" s="64"/>
    </row>
    <row r="754" spans="2:5">
      <c r="B754" s="21" t="s">
        <v>2043</v>
      </c>
      <c r="C754" s="22" t="str">
        <f>sample_wld_nsxt_federation_location_name</f>
        <v>sfo-w01</v>
      </c>
      <c r="D754" s="18" t="str">
        <f>wld_nsxt_federation_location_name</f>
        <v>Value Missing</v>
      </c>
      <c r="E754" s="72"/>
    </row>
    <row r="755" spans="2:5">
      <c r="B755" s="21" t="s">
        <v>1884</v>
      </c>
      <c r="C755" s="22" t="str">
        <f>sample_wld_ec_name</f>
        <v>sfo-w01-ec01</v>
      </c>
      <c r="D755" s="18" t="str">
        <f>wld_ec_name</f>
        <v>Value Missing</v>
      </c>
      <c r="E755" s="64"/>
    </row>
  </sheetData>
  <sheetProtection algorithmName="SHA-512" hashValue="psACH9oggYbQaHT2mYmuW137Z3zoO355VpsRNlF8PRztdrLkQo7vf1OyaB1zAkodCDzawa4lx6wDr49f11nFew==" saltValue="PnUvvrR6VCRirgXtwreSeQ==" spinCount="100000" sheet="1" objects="1" scenarios="1"/>
  <mergeCells count="54">
    <mergeCell ref="B484:E484"/>
    <mergeCell ref="B491:E491"/>
    <mergeCell ref="B497:E497"/>
    <mergeCell ref="B503:E503"/>
    <mergeCell ref="B519:E519"/>
    <mergeCell ref="B2:C2"/>
    <mergeCell ref="D2:E2"/>
    <mergeCell ref="B3:E3"/>
    <mergeCell ref="B6:E6"/>
    <mergeCell ref="B7:E7"/>
    <mergeCell ref="B28:E28"/>
    <mergeCell ref="B21:E21"/>
    <mergeCell ref="B16:E16"/>
    <mergeCell ref="B254:E254"/>
    <mergeCell ref="B313:E313"/>
    <mergeCell ref="B104:E104"/>
    <mergeCell ref="B105:E105"/>
    <mergeCell ref="B107:E107"/>
    <mergeCell ref="B115:E115"/>
    <mergeCell ref="B111:E111"/>
    <mergeCell ref="B372:E372"/>
    <mergeCell ref="B374:E374"/>
    <mergeCell ref="B469:E469"/>
    <mergeCell ref="B385:E385"/>
    <mergeCell ref="B387:E387"/>
    <mergeCell ref="B389:E389"/>
    <mergeCell ref="B404:E404"/>
    <mergeCell ref="B409:E409"/>
    <mergeCell ref="B467:E467"/>
    <mergeCell ref="B456:E456"/>
    <mergeCell ref="B458:E458"/>
    <mergeCell ref="B452:E452"/>
    <mergeCell ref="B454:E454"/>
    <mergeCell ref="B449:E449"/>
    <mergeCell ref="B450:E450"/>
    <mergeCell ref="B744:E744"/>
    <mergeCell ref="B750:E750"/>
    <mergeCell ref="B672:E672"/>
    <mergeCell ref="B687:E687"/>
    <mergeCell ref="B695:E695"/>
    <mergeCell ref="B701:E701"/>
    <mergeCell ref="B633:E633"/>
    <mergeCell ref="B640:E640"/>
    <mergeCell ref="B647:E647"/>
    <mergeCell ref="B656:E656"/>
    <mergeCell ref="B661:E661"/>
    <mergeCell ref="B597:E597"/>
    <mergeCell ref="B615:E615"/>
    <mergeCell ref="B623:E623"/>
    <mergeCell ref="B629:E629"/>
    <mergeCell ref="B523:E523"/>
    <mergeCell ref="B528:E528"/>
    <mergeCell ref="B544:E544"/>
    <mergeCell ref="B542:E542"/>
  </mergeCells>
  <phoneticPr fontId="45" type="noConversion"/>
  <conditionalFormatting sqref="B261:B276 B287:E293 B303:E311 D315:D364 B346:E352 B362:E370">
    <cfRule type="expression" dxfId="1644" priority="327">
      <formula>wld_domain_result="Excluded"</formula>
    </cfRule>
  </conditionalFormatting>
  <conditionalFormatting sqref="B6:E6 B28:E71 C72:E72 B256 B315">
    <cfRule type="expression" dxfId="1643" priority="534">
      <formula>wld_domain_result="Excluded"</formula>
    </cfRule>
  </conditionalFormatting>
  <conditionalFormatting sqref="B7:E14">
    <cfRule type="expression" dxfId="1642" priority="395" stopIfTrue="1">
      <formula>OR((wld_principal_storage_result="Excluded"),(wld_principal_storage_chosen="vSAN-ESA"),(wld_principal_storage_chosen="vSAN-OSA"),(wld_principal_storage_chosen="NFS"),(wld_principal_storage_chosen="VMFS on FC"))</formula>
    </cfRule>
  </conditionalFormatting>
  <conditionalFormatting sqref="B16:E19">
    <cfRule type="expression" dxfId="1641" priority="360">
      <formula>OR((wld_vlcm_model_result="Excluded"),(wld_vlcm_model_chosen="Baselines"))</formula>
    </cfRule>
  </conditionalFormatting>
  <conditionalFormatting sqref="B16:E26">
    <cfRule type="expression" dxfId="1640" priority="344">
      <formula>wld_domain_result="Excluded"</formula>
    </cfRule>
  </conditionalFormatting>
  <conditionalFormatting sqref="B21:E26">
    <cfRule type="expression" dxfId="1639" priority="359">
      <formula>OR((wld_vlcm_model_result="Excluded"),(wld_vlcm_model_chosen="Baselines"))</formula>
    </cfRule>
  </conditionalFormatting>
  <conditionalFormatting sqref="B28:E102">
    <cfRule type="expression" dxfId="1638" priority="201">
      <formula>wld_multirack_result="Included"</formula>
    </cfRule>
  </conditionalFormatting>
  <conditionalFormatting sqref="B36:E36">
    <cfRule type="expression" dxfId="1637" priority="352">
      <formula>wld_vlcm_model_chosen&lt;&gt;"Images"</formula>
    </cfRule>
  </conditionalFormatting>
  <conditionalFormatting sqref="B52:E52">
    <cfRule type="expression" dxfId="1636" priority="354">
      <formula>AND((wld_principal_storage_chosen&lt;&gt;"vSAN-ESA"),(wld_principal_storage_chosen&lt;&gt;"vSAN-OSA"))</formula>
    </cfRule>
  </conditionalFormatting>
  <conditionalFormatting sqref="B52:E53">
    <cfRule type="expression" dxfId="1635" priority="353">
      <formula>(wld_principal_storage_chosen&lt;&gt;"vSAN-OSA")</formula>
    </cfRule>
  </conditionalFormatting>
  <conditionalFormatting sqref="B54:E54">
    <cfRule type="expression" dxfId="1634" priority="399">
      <formula>(wld_principal_storage_chosen&lt;&gt;"VMFS on FC")</formula>
    </cfRule>
  </conditionalFormatting>
  <conditionalFormatting sqref="B55:E60">
    <cfRule type="expression" dxfId="1633" priority="480">
      <formula>OR((wld_principal_storage_chosen="vSAN-OSA"),(wld_principal_storage_chosen="vSAN-ESA"),(wld_principal_storage_chosen="NFS"),(wld_principal_storage_chosen="VMFS on FC"))</formula>
    </cfRule>
  </conditionalFormatting>
  <conditionalFormatting sqref="B61:E63">
    <cfRule type="expression" dxfId="1632" priority="479">
      <formula>(wld_principal_storage_chosen&lt;&gt;"NFS")</formula>
    </cfRule>
  </conditionalFormatting>
  <conditionalFormatting sqref="B68:E68">
    <cfRule type="expression" dxfId="1631" priority="142">
      <formula>$D$68="Value Missing"</formula>
    </cfRule>
  </conditionalFormatting>
  <conditionalFormatting sqref="B69:E69">
    <cfRule type="expression" dxfId="1630" priority="143">
      <formula>$D$69="Value Missing"</formula>
    </cfRule>
  </conditionalFormatting>
  <conditionalFormatting sqref="B70:E70">
    <cfRule type="expression" dxfId="1629" priority="144">
      <formula>$D$70="Value Missing"</formula>
    </cfRule>
  </conditionalFormatting>
  <conditionalFormatting sqref="B71:E71">
    <cfRule type="expression" dxfId="1628" priority="145">
      <formula>$D$71="Value Missing"</formula>
    </cfRule>
  </conditionalFormatting>
  <conditionalFormatting sqref="B72:E72">
    <cfRule type="expression" dxfId="1627" priority="146">
      <formula>$D$72="Value Missing"</formula>
    </cfRule>
  </conditionalFormatting>
  <conditionalFormatting sqref="B73:E73">
    <cfRule type="expression" dxfId="1626" priority="147">
      <formula>$D$73="Value Missing"</formula>
    </cfRule>
  </conditionalFormatting>
  <conditionalFormatting sqref="B73:E102 B320:B335">
    <cfRule type="expression" dxfId="1625" priority="295">
      <formula>wld_domain_result="Excluded"</formula>
    </cfRule>
  </conditionalFormatting>
  <conditionalFormatting sqref="B74:E74">
    <cfRule type="expression" dxfId="1624" priority="148">
      <formula>$D$74="Value Missing"</formula>
    </cfRule>
  </conditionalFormatting>
  <conditionalFormatting sqref="B75:E75">
    <cfRule type="expression" dxfId="1623" priority="149">
      <formula>$D$75="Value Missing"</formula>
    </cfRule>
  </conditionalFormatting>
  <conditionalFormatting sqref="B76:E76">
    <cfRule type="expression" dxfId="1622" priority="150">
      <formula>$D$76="Value Missing"</formula>
    </cfRule>
  </conditionalFormatting>
  <conditionalFormatting sqref="B77:E77">
    <cfRule type="expression" dxfId="1621" priority="151">
      <formula>$D$77="Value Missing"</formula>
    </cfRule>
  </conditionalFormatting>
  <conditionalFormatting sqref="B78:E78">
    <cfRule type="expression" dxfId="1620" priority="152">
      <formula>$D$78="Value Missing"</formula>
    </cfRule>
  </conditionalFormatting>
  <conditionalFormatting sqref="B79:E79">
    <cfRule type="expression" dxfId="1619" priority="153">
      <formula>$D$79="Value Missing"</formula>
    </cfRule>
  </conditionalFormatting>
  <conditionalFormatting sqref="B81:E81 B83:E83 B94:E99">
    <cfRule type="expression" dxfId="1618" priority="184">
      <formula>wld_host_overlay_addressing_chosen="DHCP"</formula>
    </cfRule>
  </conditionalFormatting>
  <conditionalFormatting sqref="B82:E91">
    <cfRule type="expression" dxfId="1617" priority="345">
      <formula>wld_cl01_vds_profile="Custom"</formula>
    </cfRule>
  </conditionalFormatting>
  <conditionalFormatting sqref="B86:E91">
    <cfRule type="expression" dxfId="1616" priority="348">
      <formula>wld_cl01_vds_profile="Default"</formula>
    </cfRule>
  </conditionalFormatting>
  <conditionalFormatting sqref="B89:E91">
    <cfRule type="expression" dxfId="1615" priority="349">
      <formula>wld_cl01_vds_profile="NSX Traffic Separation"</formula>
    </cfRule>
    <cfRule type="expression" dxfId="1614" priority="351">
      <formula>wld_cl01_vds_profile="Storage Traffic Separation"</formula>
    </cfRule>
  </conditionalFormatting>
  <conditionalFormatting sqref="B99:E99">
    <cfRule type="expression" dxfId="1613" priority="2">
      <formula>vcf_license_now_output="Yes"</formula>
    </cfRule>
  </conditionalFormatting>
  <conditionalFormatting sqref="B100:E102 B256 D256:D302 B315 D315:D368">
    <cfRule type="expression" dxfId="1612" priority="217">
      <formula>(vcf_plus_result="Included")</formula>
    </cfRule>
  </conditionalFormatting>
  <conditionalFormatting sqref="B100:E102">
    <cfRule type="expression" dxfId="1611" priority="1">
      <formula>vcf_license_now_output="No"</formula>
    </cfRule>
  </conditionalFormatting>
  <conditionalFormatting sqref="B104:E105">
    <cfRule type="expression" dxfId="1610" priority="192">
      <formula>wld_multirack_result="Excluded"</formula>
    </cfRule>
  </conditionalFormatting>
  <conditionalFormatting sqref="B111:E113">
    <cfRule type="expression" dxfId="1609" priority="157">
      <formula>wld_domain_result="Excluded"</formula>
    </cfRule>
    <cfRule type="expression" dxfId="1608" priority="154">
      <formula>wld_multirack_result="Excluded"</formula>
    </cfRule>
  </conditionalFormatting>
  <conditionalFormatting sqref="B115:E252 B107:E109">
    <cfRule type="expression" dxfId="1607" priority="141">
      <formula>wld_multirack_result="Excluded"</formula>
    </cfRule>
    <cfRule type="expression" dxfId="1606" priority="155">
      <formula>wld_domain_result="Excluded"</formula>
    </cfRule>
  </conditionalFormatting>
  <conditionalFormatting sqref="B117:E133">
    <cfRule type="expression" dxfId="1605" priority="11">
      <formula>(AND(OR(wld_dedicated_edge_cluster_chosen_first=1,wld_dedicated_edge_cluster_chosen_second=1),(wld_dedicated_edge_cluster_chosen="Include")))</formula>
    </cfRule>
  </conditionalFormatting>
  <conditionalFormatting sqref="B118:E118">
    <cfRule type="expression" dxfId="1604" priority="125">
      <formula>wld_compute_hosts_per_rack1_calculated&lt;1</formula>
    </cfRule>
  </conditionalFormatting>
  <conditionalFormatting sqref="B119:E119">
    <cfRule type="expression" dxfId="1603" priority="126">
      <formula>wld_compute_hosts_per_rack1_calculated&lt;2</formula>
    </cfRule>
  </conditionalFormatting>
  <conditionalFormatting sqref="B120:E120">
    <cfRule type="expression" dxfId="1602" priority="127">
      <formula>wld_compute_hosts_per_rack1_calculated&lt;3</formula>
    </cfRule>
  </conditionalFormatting>
  <conditionalFormatting sqref="B121:E121">
    <cfRule type="expression" dxfId="1601" priority="128">
      <formula>wld_compute_hosts_per_rack1_calculated&lt;4</formula>
    </cfRule>
  </conditionalFormatting>
  <conditionalFormatting sqref="B122:E122">
    <cfRule type="expression" dxfId="1600" priority="129">
      <formula>wld_compute_hosts_per_rack1_calculated&lt;5</formula>
    </cfRule>
  </conditionalFormatting>
  <conditionalFormatting sqref="B123:E123">
    <cfRule type="expression" dxfId="1599" priority="130">
      <formula>wld_compute_hosts_per_rack1_calculated&lt;6</formula>
    </cfRule>
  </conditionalFormatting>
  <conditionalFormatting sqref="B124:E124">
    <cfRule type="expression" dxfId="1598" priority="131">
      <formula>wld_compute_hosts_per_rack1_calculated&lt;7</formula>
    </cfRule>
  </conditionalFormatting>
  <conditionalFormatting sqref="B125:E125">
    <cfRule type="expression" dxfId="1597" priority="132">
      <formula>wld_compute_hosts_per_rack1_calculated&lt;8</formula>
    </cfRule>
  </conditionalFormatting>
  <conditionalFormatting sqref="B126:E126">
    <cfRule type="expression" dxfId="1596" priority="133">
      <formula>wld_compute_hosts_per_rack1_calculated&lt;9</formula>
    </cfRule>
  </conditionalFormatting>
  <conditionalFormatting sqref="B127:E127">
    <cfRule type="expression" dxfId="1595" priority="134">
      <formula>wld_compute_hosts_per_rack1_calculated&lt;10</formula>
    </cfRule>
  </conditionalFormatting>
  <conditionalFormatting sqref="B128:E128">
    <cfRule type="expression" dxfId="1594" priority="135">
      <formula>wld_compute_hosts_per_rack1_calculated&lt;11</formula>
    </cfRule>
  </conditionalFormatting>
  <conditionalFormatting sqref="B129:E129">
    <cfRule type="expression" dxfId="1593" priority="136">
      <formula>wld_compute_hosts_per_rack1_calculated&lt;12</formula>
    </cfRule>
  </conditionalFormatting>
  <conditionalFormatting sqref="B130:E130">
    <cfRule type="expression" dxfId="1592" priority="137">
      <formula>wld_compute_hosts_per_rack1_calculated&lt;13</formula>
    </cfRule>
  </conditionalFormatting>
  <conditionalFormatting sqref="B131:E131">
    <cfRule type="expression" dxfId="1591" priority="138">
      <formula>wld_compute_hosts_per_rack1_calculated&lt;14</formula>
    </cfRule>
  </conditionalFormatting>
  <conditionalFormatting sqref="B132:E132">
    <cfRule type="expression" dxfId="1590" priority="139">
      <formula>wld_compute_hosts_per_rack1_calculated&lt;15</formula>
    </cfRule>
  </conditionalFormatting>
  <conditionalFormatting sqref="B133:E133">
    <cfRule type="expression" dxfId="1589" priority="140">
      <formula>wld_compute_hosts_per_rack1_calculated&lt;16</formula>
    </cfRule>
  </conditionalFormatting>
  <conditionalFormatting sqref="B134:E150">
    <cfRule type="expression" dxfId="1588" priority="12">
      <formula>(AND(OR(wld_dedicated_edge_cluster_chosen_first=2,wld_dedicated_edge_cluster_chosen_second=2),(wld_dedicated_edge_cluster_chosen="Include")))</formula>
    </cfRule>
  </conditionalFormatting>
  <conditionalFormatting sqref="B135:E135">
    <cfRule type="expression" dxfId="1587" priority="109">
      <formula>wld_compute_hosts_per_rack2_calculated&lt;1</formula>
    </cfRule>
  </conditionalFormatting>
  <conditionalFormatting sqref="B136:E136">
    <cfRule type="expression" dxfId="1586" priority="110">
      <formula>wld_compute_hosts_per_rack2_calculated&lt;2</formula>
    </cfRule>
  </conditionalFormatting>
  <conditionalFormatting sqref="B137:E137">
    <cfRule type="expression" dxfId="1585" priority="111">
      <formula>wld_compute_hosts_per_rack2_calculated&lt;3</formula>
    </cfRule>
  </conditionalFormatting>
  <conditionalFormatting sqref="B138:E138">
    <cfRule type="expression" dxfId="1584" priority="112">
      <formula>wld_compute_hosts_per_rack2_calculated&lt;4</formula>
    </cfRule>
  </conditionalFormatting>
  <conditionalFormatting sqref="B139:E139">
    <cfRule type="expression" dxfId="1583" priority="113">
      <formula>wld_compute_hosts_per_rack2_calculated&lt;5</formula>
    </cfRule>
  </conditionalFormatting>
  <conditionalFormatting sqref="B140:E140">
    <cfRule type="expression" dxfId="1582" priority="114">
      <formula>wld_compute_hosts_per_rack2_calculated&lt;6</formula>
    </cfRule>
  </conditionalFormatting>
  <conditionalFormatting sqref="B141:E141">
    <cfRule type="expression" dxfId="1581" priority="115">
      <formula>wld_compute_hosts_per_rack2_calculated&lt;7</formula>
    </cfRule>
  </conditionalFormatting>
  <conditionalFormatting sqref="B142:E142">
    <cfRule type="expression" dxfId="1580" priority="116">
      <formula>wld_compute_hosts_per_rack2_calculated&lt;8</formula>
    </cfRule>
  </conditionalFormatting>
  <conditionalFormatting sqref="B143:E143">
    <cfRule type="expression" dxfId="1579" priority="117">
      <formula>wld_compute_hosts_per_rack2_calculated&lt;9</formula>
    </cfRule>
  </conditionalFormatting>
  <conditionalFormatting sqref="B144:E144">
    <cfRule type="expression" dxfId="1578" priority="118">
      <formula>wld_compute_hosts_per_rack2_calculated&lt;10</formula>
    </cfRule>
  </conditionalFormatting>
  <conditionalFormatting sqref="B145:E145">
    <cfRule type="expression" dxfId="1577" priority="119">
      <formula>wld_compute_hosts_per_rack2_calculated&lt;11</formula>
    </cfRule>
  </conditionalFormatting>
  <conditionalFormatting sqref="B146:E146">
    <cfRule type="expression" dxfId="1576" priority="120">
      <formula>wld_compute_hosts_per_rack2_calculated&lt;12</formula>
    </cfRule>
  </conditionalFormatting>
  <conditionalFormatting sqref="B147:E147">
    <cfRule type="expression" dxfId="1575" priority="121">
      <formula>wld_compute_hosts_per_rack2_calculated&lt;13</formula>
    </cfRule>
  </conditionalFormatting>
  <conditionalFormatting sqref="B148:E148">
    <cfRule type="expression" dxfId="1574" priority="122">
      <formula>wld_compute_hosts_per_rack2_calculated&lt;14</formula>
    </cfRule>
  </conditionalFormatting>
  <conditionalFormatting sqref="B149:E149">
    <cfRule type="expression" dxfId="1573" priority="123">
      <formula>wld_compute_hosts_per_rack2_calculated&lt;15</formula>
    </cfRule>
  </conditionalFormatting>
  <conditionalFormatting sqref="B150:E150">
    <cfRule type="expression" dxfId="1572" priority="124">
      <formula>wld_compute_hosts_per_rack2_calculated&lt;16</formula>
    </cfRule>
  </conditionalFormatting>
  <conditionalFormatting sqref="B151:E167">
    <cfRule type="expression" dxfId="1571" priority="10">
      <formula>(AND(OR(wld_dedicated_edge_cluster_chosen_first=3,wld_dedicated_edge_cluster_chosen_second=3),(wld_dedicated_edge_cluster_chosen="Include")))</formula>
    </cfRule>
  </conditionalFormatting>
  <conditionalFormatting sqref="B152:E152">
    <cfRule type="expression" dxfId="1570" priority="93">
      <formula>wld_compute_hosts_per_rack3_calculated&lt;1</formula>
    </cfRule>
  </conditionalFormatting>
  <conditionalFormatting sqref="B153:E153">
    <cfRule type="expression" dxfId="1569" priority="94">
      <formula>wld_compute_hosts_per_rack3_calculated&lt;2</formula>
    </cfRule>
  </conditionalFormatting>
  <conditionalFormatting sqref="B154:E154">
    <cfRule type="expression" dxfId="1568" priority="95">
      <formula>wld_compute_hosts_per_rack3_calculated&lt;3</formula>
    </cfRule>
  </conditionalFormatting>
  <conditionalFormatting sqref="B155:E155">
    <cfRule type="expression" dxfId="1567" priority="96">
      <formula>wld_compute_hosts_per_rack3_calculated&lt;4</formula>
    </cfRule>
  </conditionalFormatting>
  <conditionalFormatting sqref="B156:E156">
    <cfRule type="expression" dxfId="1566" priority="97">
      <formula>wld_compute_hosts_per_rack3_calculated&lt;5</formula>
    </cfRule>
  </conditionalFormatting>
  <conditionalFormatting sqref="B157:E157">
    <cfRule type="expression" dxfId="1565" priority="98">
      <formula>wld_compute_hosts_per_rack3_calculated&lt;6</formula>
    </cfRule>
  </conditionalFormatting>
  <conditionalFormatting sqref="B158:E158">
    <cfRule type="expression" dxfId="1564" priority="99">
      <formula>wld_compute_hosts_per_rack3_calculated&lt;7</formula>
    </cfRule>
  </conditionalFormatting>
  <conditionalFormatting sqref="B159:E159">
    <cfRule type="expression" dxfId="1563" priority="100">
      <formula>wld_compute_hosts_per_rack3_calculated&lt;8</formula>
    </cfRule>
  </conditionalFormatting>
  <conditionalFormatting sqref="B160:E160">
    <cfRule type="expression" dxfId="1562" priority="101">
      <formula>wld_compute_hosts_per_rack3_calculated&lt;9</formula>
    </cfRule>
  </conditionalFormatting>
  <conditionalFormatting sqref="B161:E161">
    <cfRule type="expression" dxfId="1561" priority="102">
      <formula>wld_compute_hosts_per_rack3_calculated&lt;10</formula>
    </cfRule>
  </conditionalFormatting>
  <conditionalFormatting sqref="B162:E162">
    <cfRule type="expression" dxfId="1560" priority="103">
      <formula>wld_compute_hosts_per_rack3_calculated&lt;11</formula>
    </cfRule>
  </conditionalFormatting>
  <conditionalFormatting sqref="B163:E163">
    <cfRule type="expression" dxfId="1559" priority="104">
      <formula>wld_compute_hosts_per_rack3_calculated&lt;12</formula>
    </cfRule>
  </conditionalFormatting>
  <conditionalFormatting sqref="B164:E164">
    <cfRule type="expression" dxfId="1558" priority="105">
      <formula>wld_compute_hosts_per_rack3_calculated&lt;13</formula>
    </cfRule>
  </conditionalFormatting>
  <conditionalFormatting sqref="B165:E165">
    <cfRule type="expression" dxfId="1557" priority="106">
      <formula>wld_compute_hosts_per_rack3_calculated&lt;14</formula>
    </cfRule>
  </conditionalFormatting>
  <conditionalFormatting sqref="B166:E166">
    <cfRule type="expression" dxfId="1556" priority="107">
      <formula>wld_compute_hosts_per_rack3_calculated&lt;15</formula>
    </cfRule>
  </conditionalFormatting>
  <conditionalFormatting sqref="B167:E167">
    <cfRule type="expression" dxfId="1555" priority="108">
      <formula>wld_compute_hosts_per_rack3_calculated&lt;16</formula>
    </cfRule>
  </conditionalFormatting>
  <conditionalFormatting sqref="B168:E184">
    <cfRule type="expression" dxfId="1554" priority="9">
      <formula>(AND(OR(wld_dedicated_edge_cluster_chosen_first=4,wld_dedicated_edge_cluster_chosen_second=4),(wld_dedicated_edge_cluster_chosen="Include")))</formula>
    </cfRule>
  </conditionalFormatting>
  <conditionalFormatting sqref="B169:E169">
    <cfRule type="expression" dxfId="1553" priority="77">
      <formula>wld_compute_hosts_per_rack4_calculated&lt;1</formula>
    </cfRule>
  </conditionalFormatting>
  <conditionalFormatting sqref="B170:E170">
    <cfRule type="expression" dxfId="1552" priority="78">
      <formula>wld_compute_hosts_per_rack4_calculated&lt;2</formula>
    </cfRule>
  </conditionalFormatting>
  <conditionalFormatting sqref="B171:E171">
    <cfRule type="expression" dxfId="1551" priority="79">
      <formula>wld_compute_hosts_per_rack4_calculated&lt;3</formula>
    </cfRule>
  </conditionalFormatting>
  <conditionalFormatting sqref="B172:E172">
    <cfRule type="expression" dxfId="1550" priority="80">
      <formula>wld_compute_hosts_per_rack4_calculated&lt;4</formula>
    </cfRule>
  </conditionalFormatting>
  <conditionalFormatting sqref="B173:E173">
    <cfRule type="expression" dxfId="1549" priority="81">
      <formula>wld_compute_hosts_per_rack4_calculated&lt;5</formula>
    </cfRule>
  </conditionalFormatting>
  <conditionalFormatting sqref="B174:E174">
    <cfRule type="expression" dxfId="1548" priority="82">
      <formula>wld_compute_hosts_per_rack4_calculated&lt;6</formula>
    </cfRule>
  </conditionalFormatting>
  <conditionalFormatting sqref="B175:E175">
    <cfRule type="expression" dxfId="1547" priority="83">
      <formula>wld_compute_hosts_per_rack4_calculated&lt;7</formula>
    </cfRule>
  </conditionalFormatting>
  <conditionalFormatting sqref="B176:E176">
    <cfRule type="expression" dxfId="1546" priority="84">
      <formula>wld_compute_hosts_per_rack4_calculated&lt;8</formula>
    </cfRule>
  </conditionalFormatting>
  <conditionalFormatting sqref="B177:E177">
    <cfRule type="expression" dxfId="1545" priority="85">
      <formula>wld_compute_hosts_per_rack4_calculated&lt;9</formula>
    </cfRule>
  </conditionalFormatting>
  <conditionalFormatting sqref="B178:E178">
    <cfRule type="expression" dxfId="1544" priority="86">
      <formula>wld_compute_hosts_per_rack4_calculated&lt;10</formula>
    </cfRule>
  </conditionalFormatting>
  <conditionalFormatting sqref="B179:E179">
    <cfRule type="expression" dxfId="1543" priority="87">
      <formula>wld_compute_hosts_per_rack4_calculated&lt;11</formula>
    </cfRule>
  </conditionalFormatting>
  <conditionalFormatting sqref="B180:E180">
    <cfRule type="expression" dxfId="1542" priority="88">
      <formula>wld_compute_hosts_per_rack4_calculated&lt;12</formula>
    </cfRule>
  </conditionalFormatting>
  <conditionalFormatting sqref="B181:E181">
    <cfRule type="expression" dxfId="1541" priority="89">
      <formula>wld_compute_hosts_per_rack4_calculated&lt;13</formula>
    </cfRule>
  </conditionalFormatting>
  <conditionalFormatting sqref="B182:E182">
    <cfRule type="expression" dxfId="1540" priority="90">
      <formula>wld_compute_hosts_per_rack4_calculated&lt;14</formula>
    </cfRule>
  </conditionalFormatting>
  <conditionalFormatting sqref="B183:E183">
    <cfRule type="expression" dxfId="1539" priority="91">
      <formula>wld_compute_hosts_per_rack4_calculated&lt;15</formula>
    </cfRule>
  </conditionalFormatting>
  <conditionalFormatting sqref="B184:E184">
    <cfRule type="expression" dxfId="1538" priority="92">
      <formula>wld_compute_hosts_per_rack4_calculated&lt;16</formula>
    </cfRule>
  </conditionalFormatting>
  <conditionalFormatting sqref="B185:E201">
    <cfRule type="expression" dxfId="1537" priority="8">
      <formula>(AND(OR(wld_dedicated_edge_cluster_chosen_first=5,wld_dedicated_edge_cluster_chosen_second=5),(wld_dedicated_edge_cluster_chosen="Include")))</formula>
    </cfRule>
  </conditionalFormatting>
  <conditionalFormatting sqref="B186:E186">
    <cfRule type="expression" dxfId="1536" priority="61">
      <formula>wld_compute_hosts_per_rack5_calculated&lt;1</formula>
    </cfRule>
  </conditionalFormatting>
  <conditionalFormatting sqref="B187:E187">
    <cfRule type="expression" dxfId="1535" priority="62">
      <formula>wld_compute_hosts_per_rack5_calculated&lt;2</formula>
    </cfRule>
  </conditionalFormatting>
  <conditionalFormatting sqref="B188:E188">
    <cfRule type="expression" dxfId="1534" priority="63">
      <formula>wld_compute_hosts_per_rack5_calculated&lt;3</formula>
    </cfRule>
  </conditionalFormatting>
  <conditionalFormatting sqref="B189:E189">
    <cfRule type="expression" dxfId="1533" priority="64">
      <formula>wld_compute_hosts_per_rack5_calculated&lt;4</formula>
    </cfRule>
  </conditionalFormatting>
  <conditionalFormatting sqref="B190:E190">
    <cfRule type="expression" dxfId="1532" priority="65">
      <formula>wld_compute_hosts_per_rack5_calculated&lt;5</formula>
    </cfRule>
  </conditionalFormatting>
  <conditionalFormatting sqref="B191:E191">
    <cfRule type="expression" dxfId="1531" priority="66">
      <formula>wld_compute_hosts_per_rack5_calculated&lt;6</formula>
    </cfRule>
  </conditionalFormatting>
  <conditionalFormatting sqref="B192:E192">
    <cfRule type="expression" dxfId="1530" priority="67">
      <formula>wld_compute_hosts_per_rack5_calculated&lt;7</formula>
    </cfRule>
  </conditionalFormatting>
  <conditionalFormatting sqref="B193:E193">
    <cfRule type="expression" dxfId="1529" priority="68">
      <formula>wld_compute_hosts_per_rack5_calculated&lt;8</formula>
    </cfRule>
  </conditionalFormatting>
  <conditionalFormatting sqref="B194:E194">
    <cfRule type="expression" dxfId="1528" priority="69">
      <formula>wld_compute_hosts_per_rack5_calculated&lt;9</formula>
    </cfRule>
  </conditionalFormatting>
  <conditionalFormatting sqref="B195:E195">
    <cfRule type="expression" dxfId="1527" priority="70">
      <formula>wld_compute_hosts_per_rack5_calculated&lt;10</formula>
    </cfRule>
  </conditionalFormatting>
  <conditionalFormatting sqref="B196:E196">
    <cfRule type="expression" dxfId="1526" priority="71">
      <formula>wld_compute_hosts_per_rack5_calculated&lt;11</formula>
    </cfRule>
  </conditionalFormatting>
  <conditionalFormatting sqref="B197:E197">
    <cfRule type="expression" dxfId="1525" priority="72">
      <formula>wld_compute_hosts_per_rack5_calculated&lt;12</formula>
    </cfRule>
  </conditionalFormatting>
  <conditionalFormatting sqref="B198:E198">
    <cfRule type="expression" dxfId="1524" priority="73">
      <formula>wld_compute_hosts_per_rack5_calculated&lt;13</formula>
    </cfRule>
  </conditionalFormatting>
  <conditionalFormatting sqref="B199:E199">
    <cfRule type="expression" dxfId="1523" priority="74">
      <formula>wld_compute_hosts_per_rack5_calculated&lt;14</formula>
    </cfRule>
  </conditionalFormatting>
  <conditionalFormatting sqref="B200:E200">
    <cfRule type="expression" dxfId="1522" priority="75">
      <formula>wld_compute_hosts_per_rack5_calculated&lt;15</formula>
    </cfRule>
  </conditionalFormatting>
  <conditionalFormatting sqref="B201:E201">
    <cfRule type="expression" dxfId="1521" priority="76">
      <formula>wld_compute_hosts_per_rack5_calculated&lt;16</formula>
    </cfRule>
  </conditionalFormatting>
  <conditionalFormatting sqref="B202:E218">
    <cfRule type="expression" dxfId="1520" priority="7">
      <formula>(AND(OR(wld_dedicated_edge_cluster_chosen_first=6,wld_dedicated_edge_cluster_chosen_second=6),(wld_dedicated_edge_cluster_chosen="Include")))</formula>
    </cfRule>
  </conditionalFormatting>
  <conditionalFormatting sqref="B203:E203">
    <cfRule type="expression" dxfId="1519" priority="45">
      <formula>wld_compute_hosts_per_rack6_calculated&lt;1</formula>
    </cfRule>
  </conditionalFormatting>
  <conditionalFormatting sqref="B204:E204">
    <cfRule type="expression" dxfId="1518" priority="46">
      <formula>wld_compute_hosts_per_rack6_calculated&lt;2</formula>
    </cfRule>
  </conditionalFormatting>
  <conditionalFormatting sqref="B205:E205">
    <cfRule type="expression" dxfId="1517" priority="47">
      <formula>wld_compute_hosts_per_rack6_calculated&lt;3</formula>
    </cfRule>
  </conditionalFormatting>
  <conditionalFormatting sqref="B206:E206">
    <cfRule type="expression" dxfId="1516" priority="48">
      <formula>wld_compute_hosts_per_rack6_calculated&lt;4</formula>
    </cfRule>
  </conditionalFormatting>
  <conditionalFormatting sqref="B207:E207">
    <cfRule type="expression" dxfId="1515" priority="49">
      <formula>wld_compute_hosts_per_rack6_calculated&lt;5</formula>
    </cfRule>
  </conditionalFormatting>
  <conditionalFormatting sqref="B208:E208">
    <cfRule type="expression" dxfId="1514" priority="50">
      <formula>wld_compute_hosts_per_rack6_calculated&lt;6</formula>
    </cfRule>
  </conditionalFormatting>
  <conditionalFormatting sqref="B209:E209">
    <cfRule type="expression" dxfId="1513" priority="51">
      <formula>wld_compute_hosts_per_rack6_calculated&lt;7</formula>
    </cfRule>
  </conditionalFormatting>
  <conditionalFormatting sqref="B210:E210">
    <cfRule type="expression" dxfId="1512" priority="52">
      <formula>wld_compute_hosts_per_rack6_calculated&lt;8</formula>
    </cfRule>
  </conditionalFormatting>
  <conditionalFormatting sqref="B211:E211">
    <cfRule type="expression" dxfId="1511" priority="53">
      <formula>wld_compute_hosts_per_rack6_calculated&lt;9</formula>
    </cfRule>
  </conditionalFormatting>
  <conditionalFormatting sqref="B212:E212">
    <cfRule type="expression" dxfId="1510" priority="54">
      <formula>wld_compute_hosts_per_rack6_calculated&lt;10</formula>
    </cfRule>
  </conditionalFormatting>
  <conditionalFormatting sqref="B213:E213">
    <cfRule type="expression" dxfId="1509" priority="55">
      <formula>wld_compute_hosts_per_rack6_calculated&lt;11</formula>
    </cfRule>
  </conditionalFormatting>
  <conditionalFormatting sqref="B214:E214">
    <cfRule type="expression" dxfId="1508" priority="56">
      <formula>wld_compute_hosts_per_rack6_calculated&lt;12</formula>
    </cfRule>
  </conditionalFormatting>
  <conditionalFormatting sqref="B215:E215">
    <cfRule type="expression" dxfId="1507" priority="57">
      <formula>wld_compute_hosts_per_rack6_calculated&lt;13</formula>
    </cfRule>
  </conditionalFormatting>
  <conditionalFormatting sqref="B216:E216">
    <cfRule type="expression" dxfId="1506" priority="58">
      <formula>wld_compute_hosts_per_rack6_calculated&lt;14</formula>
    </cfRule>
  </conditionalFormatting>
  <conditionalFormatting sqref="B217:E217">
    <cfRule type="expression" dxfId="1505" priority="59">
      <formula>wld_compute_hosts_per_rack6_calculated&lt;15</formula>
    </cfRule>
  </conditionalFormatting>
  <conditionalFormatting sqref="B218:E218">
    <cfRule type="expression" dxfId="1504" priority="60">
      <formula>wld_compute_hosts_per_rack6_calculated&lt;16</formula>
    </cfRule>
  </conditionalFormatting>
  <conditionalFormatting sqref="B219:E235">
    <cfRule type="expression" dxfId="1503" priority="6">
      <formula>(AND(OR(wld_dedicated_edge_cluster_chosen_first=7,wld_dedicated_edge_cluster_chosen_second=7),(wld_dedicated_edge_cluster_chosen="Include")))</formula>
    </cfRule>
  </conditionalFormatting>
  <conditionalFormatting sqref="B220:E220">
    <cfRule type="expression" dxfId="1502" priority="29">
      <formula>wld_compute_hosts_per_rack7_calculated&lt;1</formula>
    </cfRule>
  </conditionalFormatting>
  <conditionalFormatting sqref="B221:E221">
    <cfRule type="expression" dxfId="1501" priority="30">
      <formula>wld_compute_hosts_per_rack7_calculated&lt;2</formula>
    </cfRule>
  </conditionalFormatting>
  <conditionalFormatting sqref="B222:E222">
    <cfRule type="expression" dxfId="1500" priority="31">
      <formula>wld_compute_hosts_per_rack7_calculated&lt;3</formula>
    </cfRule>
  </conditionalFormatting>
  <conditionalFormatting sqref="B223:E223">
    <cfRule type="expression" dxfId="1499" priority="32">
      <formula>wld_compute_hosts_per_rack7_calculated&lt;4</formula>
    </cfRule>
  </conditionalFormatting>
  <conditionalFormatting sqref="B224:E224">
    <cfRule type="expression" dxfId="1498" priority="33">
      <formula>wld_compute_hosts_per_rack7_calculated&lt;5</formula>
    </cfRule>
  </conditionalFormatting>
  <conditionalFormatting sqref="B225:E225">
    <cfRule type="expression" dxfId="1497" priority="34">
      <formula>wld_compute_hosts_per_rack7_calculated&lt;6</formula>
    </cfRule>
  </conditionalFormatting>
  <conditionalFormatting sqref="B226:E226">
    <cfRule type="expression" dxfId="1496" priority="35">
      <formula>wld_compute_hosts_per_rack7_calculated&lt;7</formula>
    </cfRule>
  </conditionalFormatting>
  <conditionalFormatting sqref="B227:E227">
    <cfRule type="expression" dxfId="1495" priority="36">
      <formula>wld_compute_hosts_per_rack7_calculated&lt;8</formula>
    </cfRule>
  </conditionalFormatting>
  <conditionalFormatting sqref="B228:E228">
    <cfRule type="expression" dxfId="1494" priority="37">
      <formula>wld_compute_hosts_per_rack7_calculated&lt;9</formula>
    </cfRule>
  </conditionalFormatting>
  <conditionalFormatting sqref="B229:E229">
    <cfRule type="expression" dxfId="1493" priority="38">
      <formula>wld_compute_hosts_per_rack7_calculated&lt;10</formula>
    </cfRule>
  </conditionalFormatting>
  <conditionalFormatting sqref="B230:E230">
    <cfRule type="expression" dxfId="1492" priority="39">
      <formula>wld_compute_hosts_per_rack7_calculated&lt;11</formula>
    </cfRule>
  </conditionalFormatting>
  <conditionalFormatting sqref="B231:E231">
    <cfRule type="expression" dxfId="1491" priority="40">
      <formula>wld_compute_hosts_per_rack7_calculated&lt;12</formula>
    </cfRule>
  </conditionalFormatting>
  <conditionalFormatting sqref="B232:E232">
    <cfRule type="expression" dxfId="1490" priority="41">
      <formula>wld_compute_hosts_per_rack7_calculated&lt;13</formula>
    </cfRule>
  </conditionalFormatting>
  <conditionalFormatting sqref="B233:E233">
    <cfRule type="expression" dxfId="1489" priority="42">
      <formula>wld_compute_hosts_per_rack7_calculated&lt;14</formula>
    </cfRule>
  </conditionalFormatting>
  <conditionalFormatting sqref="B234:E234">
    <cfRule type="expression" dxfId="1488" priority="43">
      <formula>wld_compute_hosts_per_rack7_calculated&lt;15</formula>
    </cfRule>
  </conditionalFormatting>
  <conditionalFormatting sqref="B235:E235">
    <cfRule type="expression" dxfId="1487" priority="44">
      <formula>wld_compute_hosts_per_rack7_calculated&lt;16</formula>
    </cfRule>
  </conditionalFormatting>
  <conditionalFormatting sqref="B236:E252">
    <cfRule type="expression" dxfId="1486" priority="5">
      <formula>(AND(OR(wld_dedicated_edge_cluster_chosen_first=8,wld_dedicated_edge_cluster_chosen_second=8),(wld_dedicated_edge_cluster_chosen="Include")))</formula>
    </cfRule>
  </conditionalFormatting>
  <conditionalFormatting sqref="B237:E237">
    <cfRule type="expression" dxfId="1485" priority="13">
      <formula>wld_compute_hosts_per_rack8_calculated&lt;1</formula>
    </cfRule>
  </conditionalFormatting>
  <conditionalFormatting sqref="B238:E238">
    <cfRule type="expression" dxfId="1484" priority="14">
      <formula>wld_compute_hosts_per_rack8_calculated&lt;2</formula>
    </cfRule>
  </conditionalFormatting>
  <conditionalFormatting sqref="B239:E239">
    <cfRule type="expression" dxfId="1483" priority="15">
      <formula>wld_compute_hosts_per_rack8_calculated&lt;3</formula>
    </cfRule>
  </conditionalFormatting>
  <conditionalFormatting sqref="B240:E240">
    <cfRule type="expression" dxfId="1482" priority="16">
      <formula>wld_compute_hosts_per_rack8_calculated&lt;4</formula>
    </cfRule>
  </conditionalFormatting>
  <conditionalFormatting sqref="B241:E241">
    <cfRule type="expression" dxfId="1481" priority="17">
      <formula>wld_compute_hosts_per_rack8_calculated&lt;5</formula>
    </cfRule>
  </conditionalFormatting>
  <conditionalFormatting sqref="B242:E242">
    <cfRule type="expression" dxfId="1480" priority="18">
      <formula>wld_compute_hosts_per_rack8_calculated&lt;6</formula>
    </cfRule>
  </conditionalFormatting>
  <conditionalFormatting sqref="B243:E243">
    <cfRule type="expression" dxfId="1479" priority="19">
      <formula>wld_compute_hosts_per_rack8_calculated&lt;7</formula>
    </cfRule>
  </conditionalFormatting>
  <conditionalFormatting sqref="B244:E244">
    <cfRule type="expression" dxfId="1478" priority="20">
      <formula>wld_compute_hosts_per_rack8_calculated&lt;8</formula>
    </cfRule>
  </conditionalFormatting>
  <conditionalFormatting sqref="B245:E245">
    <cfRule type="expression" dxfId="1477" priority="21">
      <formula>wld_compute_hosts_per_rack8_calculated&lt;9</formula>
    </cfRule>
  </conditionalFormatting>
  <conditionalFormatting sqref="B246:E246">
    <cfRule type="expression" dxfId="1476" priority="22">
      <formula>wld_compute_hosts_per_rack8_calculated&lt;10</formula>
    </cfRule>
  </conditionalFormatting>
  <conditionalFormatting sqref="B247:E247">
    <cfRule type="expression" dxfId="1475" priority="23">
      <formula>wld_compute_hosts_per_rack8_calculated&lt;11</formula>
    </cfRule>
  </conditionalFormatting>
  <conditionalFormatting sqref="B248:E248">
    <cfRule type="expression" dxfId="1474" priority="24">
      <formula>wld_compute_hosts_per_rack8_calculated&lt;12</formula>
    </cfRule>
  </conditionalFormatting>
  <conditionalFormatting sqref="B249:E249">
    <cfRule type="expression" dxfId="1473" priority="25">
      <formula>wld_compute_hosts_per_rack8_calculated&lt;13</formula>
    </cfRule>
  </conditionalFormatting>
  <conditionalFormatting sqref="B250:E250">
    <cfRule type="expression" dxfId="1472" priority="26">
      <formula>wld_compute_hosts_per_rack8_calculated&lt;14</formula>
    </cfRule>
  </conditionalFormatting>
  <conditionalFormatting sqref="B251:E251">
    <cfRule type="expression" dxfId="1471" priority="27">
      <formula>wld_compute_hosts_per_rack8_calculated&lt;15</formula>
    </cfRule>
  </conditionalFormatting>
  <conditionalFormatting sqref="B252:E252">
    <cfRule type="expression" dxfId="1470" priority="28" stopIfTrue="1">
      <formula>wld_compute_hosts_per_rack8_calculated&lt;16</formula>
    </cfRule>
  </conditionalFormatting>
  <conditionalFormatting sqref="B254:E255">
    <cfRule type="expression" dxfId="1469" priority="338">
      <formula>wld_domain_result="Excluded"</formula>
    </cfRule>
  </conditionalFormatting>
  <conditionalFormatting sqref="B254:E311 B313:E370">
    <cfRule type="expression" dxfId="1468" priority="203">
      <formula>wld_multirack_result="Excluded"</formula>
    </cfRule>
  </conditionalFormatting>
  <conditionalFormatting sqref="B259:E260">
    <cfRule type="expression" dxfId="1467" priority="183">
      <formula>(wld_principal_storage_chosen&lt;&gt;"vSAN-OSA")</formula>
    </cfRule>
  </conditionalFormatting>
  <conditionalFormatting sqref="B264:E264">
    <cfRule type="expression" dxfId="1466" priority="296">
      <formula>wld_dedicated_edge_cluster_chosen_first_count &lt; 4</formula>
    </cfRule>
  </conditionalFormatting>
  <conditionalFormatting sqref="B265:E265">
    <cfRule type="expression" dxfId="1465" priority="297">
      <formula>wld_dedicated_edge_cluster_chosen_first_count &lt; 5</formula>
    </cfRule>
  </conditionalFormatting>
  <conditionalFormatting sqref="B266:E266">
    <cfRule type="expression" dxfId="1464" priority="299">
      <formula>wld_dedicated_edge_cluster_chosen_first_count &lt; 6</formula>
    </cfRule>
  </conditionalFormatting>
  <conditionalFormatting sqref="B267:E268">
    <cfRule type="expression" dxfId="1463" priority="298">
      <formula>wld_dedicated_edge_cluster_chosen_first_count &lt; 7</formula>
    </cfRule>
  </conditionalFormatting>
  <conditionalFormatting sqref="B269:E269">
    <cfRule type="expression" dxfId="1462" priority="300">
      <formula>wld_dedicated_edge_cluster_chosen_first_count &lt; 9</formula>
    </cfRule>
  </conditionalFormatting>
  <conditionalFormatting sqref="B270:E270">
    <cfRule type="expression" dxfId="1461" priority="301">
      <formula>wld_dedicated_edge_cluster_chosen_first_count &lt; 10</formula>
    </cfRule>
  </conditionalFormatting>
  <conditionalFormatting sqref="B271:E271">
    <cfRule type="expression" dxfId="1460" priority="302">
      <formula>wld_dedicated_edge_cluster_chosen_first_count &lt; 11</formula>
    </cfRule>
  </conditionalFormatting>
  <conditionalFormatting sqref="B272:E272">
    <cfRule type="expression" dxfId="1459" priority="303">
      <formula>wld_dedicated_edge_cluster_chosen_first_count &lt; 12</formula>
    </cfRule>
  </conditionalFormatting>
  <conditionalFormatting sqref="B273:E273">
    <cfRule type="expression" dxfId="1458" priority="304">
      <formula>wld_dedicated_edge_cluster_chosen_first_count &lt; 13</formula>
    </cfRule>
  </conditionalFormatting>
  <conditionalFormatting sqref="B274:E274">
    <cfRule type="expression" dxfId="1457" priority="305">
      <formula>wld_dedicated_edge_cluster_chosen_first_count &lt; 14</formula>
    </cfRule>
  </conditionalFormatting>
  <conditionalFormatting sqref="B275:E275">
    <cfRule type="expression" dxfId="1456" priority="306">
      <formula>wld_dedicated_edge_cluster_chosen_first_count &lt; 15</formula>
    </cfRule>
  </conditionalFormatting>
  <conditionalFormatting sqref="B276:E276">
    <cfRule type="expression" dxfId="1455" priority="307">
      <formula>wld_dedicated_edge_cluster_chosen_first_count &lt; 16</formula>
    </cfRule>
  </conditionalFormatting>
  <conditionalFormatting sqref="B286:E286">
    <cfRule type="expression" dxfId="1454" priority="167">
      <formula>OR((wld_cl02_vds_profile="Storage Traffic Separation"),(wld_cl02_vds_profile="Storage Traffic and NSX Traffic Separation"))</formula>
    </cfRule>
  </conditionalFormatting>
  <conditionalFormatting sqref="B287:E293">
    <cfRule type="expression" dxfId="1453" priority="168">
      <formula>OR((wld_cl02_vds_profile="NSX Traffic Separation"),(wld_cl02_vds_profile="Storage Traffic and NSX Traffic Separation"))</formula>
    </cfRule>
  </conditionalFormatting>
  <conditionalFormatting sqref="B294:E297">
    <cfRule type="expression" dxfId="1452" priority="181">
      <formula>wld_cl02_vds_profile="Default"</formula>
    </cfRule>
  </conditionalFormatting>
  <conditionalFormatting sqref="B298:E298">
    <cfRule type="expression" dxfId="1451" priority="169">
      <formula>OR((wld_cl02_vds_profile="NSX Traffic Separation"),(wld_cl03_vds_profile="vSAN Traffic and NSX Traffic Separation"),(wld_cl02_vds_profile="Default"))</formula>
    </cfRule>
  </conditionalFormatting>
  <conditionalFormatting sqref="B299:E302">
    <cfRule type="expression" dxfId="1450" priority="180">
      <formula>wld_cl02_vds_profile&lt;&gt;"Storage Traffic and NSX Traffic Separation"</formula>
    </cfRule>
  </conditionalFormatting>
  <conditionalFormatting sqref="B303:E309">
    <cfRule type="expression" dxfId="1449" priority="166">
      <formula>OR((wld_cl02_vds_profile="Default"),(wld_cl02_vds_profile="Storage Traffic Separation"))</formula>
    </cfRule>
  </conditionalFormatting>
  <conditionalFormatting sqref="B310:E311">
    <cfRule type="expression" dxfId="1448" priority="324">
      <formula>(vcf_plus_result="Included")</formula>
    </cfRule>
  </conditionalFormatting>
  <conditionalFormatting sqref="B313:E314">
    <cfRule type="expression" dxfId="1447" priority="319">
      <formula>wld_domain_result="Excluded"</formula>
    </cfRule>
  </conditionalFormatting>
  <conditionalFormatting sqref="B318:E319">
    <cfRule type="expression" dxfId="1446" priority="202">
      <formula>(wld_principal_storage_chosen&lt;&gt;"vSAN-OSA")</formula>
    </cfRule>
  </conditionalFormatting>
  <conditionalFormatting sqref="B323:E323">
    <cfRule type="expression" dxfId="1445" priority="283">
      <formula>wld_dedicated_edge_cluster_chosen_second_count &lt; 4</formula>
    </cfRule>
  </conditionalFormatting>
  <conditionalFormatting sqref="B324:E324">
    <cfRule type="expression" dxfId="1444" priority="284">
      <formula>wld_dedicated_edge_cluster_chosen_second_count  &lt; 5</formula>
    </cfRule>
  </conditionalFormatting>
  <conditionalFormatting sqref="B325:E325">
    <cfRule type="expression" dxfId="1443" priority="292">
      <formula>wld_dedicated_edge_cluster_chosen_second_count &lt; 6</formula>
    </cfRule>
  </conditionalFormatting>
  <conditionalFormatting sqref="B326:E327">
    <cfRule type="expression" dxfId="1442" priority="285">
      <formula>wld_dedicated_edge_cluster_chosen_second_count &lt; 7</formula>
    </cfRule>
  </conditionalFormatting>
  <conditionalFormatting sqref="B328:E328">
    <cfRule type="expression" dxfId="1441" priority="286">
      <formula>wld_dedicated_edge_cluster_chosen_second_count  &lt; 9</formula>
    </cfRule>
  </conditionalFormatting>
  <conditionalFormatting sqref="B329:E329">
    <cfRule type="expression" dxfId="1440" priority="287">
      <formula>wld_dedicated_edge_cluster_chosen_second_count  &lt; 10</formula>
    </cfRule>
  </conditionalFormatting>
  <conditionalFormatting sqref="B330:E330">
    <cfRule type="expression" dxfId="1439" priority="288">
      <formula>wld_dedicated_edge_cluster_chosen_second_count &lt; 11</formula>
    </cfRule>
  </conditionalFormatting>
  <conditionalFormatting sqref="B331:E331">
    <cfRule type="expression" dxfId="1438" priority="289">
      <formula>wld_dedicated_edge_cluster_chosen_second_count  &lt; 12</formula>
    </cfRule>
  </conditionalFormatting>
  <conditionalFormatting sqref="B332:E332">
    <cfRule type="expression" dxfId="1437" priority="290">
      <formula>wld_dedicated_edge_cluster_chosen_second_count &lt; 13</formula>
    </cfRule>
  </conditionalFormatting>
  <conditionalFormatting sqref="B333:E333">
    <cfRule type="expression" dxfId="1436" priority="291">
      <formula>wld_dedicated_edge_cluster_chosen_second_count &lt; 14</formula>
    </cfRule>
  </conditionalFormatting>
  <conditionalFormatting sqref="B334:E334">
    <cfRule type="expression" dxfId="1435" priority="293">
      <formula>wld_dedicated_edge_cluster_chosen_second_count &lt; 15</formula>
    </cfRule>
  </conditionalFormatting>
  <conditionalFormatting sqref="B335:E335">
    <cfRule type="expression" dxfId="1434" priority="294">
      <formula>wld_dedicated_edge_cluster_chosen_second_count  &lt; 16</formula>
    </cfRule>
  </conditionalFormatting>
  <conditionalFormatting sqref="B345:E345">
    <cfRule type="expression" dxfId="1433" priority="173">
      <formula>OR((wld_cl03_vds_profile="vSAN Traffic Separation"),(wld_cl03_vds_profile="Storage Traffic and NSX Traffic Separation"))</formula>
    </cfRule>
  </conditionalFormatting>
  <conditionalFormatting sqref="B346:E352">
    <cfRule type="expression" dxfId="1432" priority="170">
      <formula>OR((wld_cl03_vds_profile="NSX Traffic Separation"),wld_cl03_vds_profile="Storage Traffic and NSX Traffic Separation")</formula>
    </cfRule>
  </conditionalFormatting>
  <conditionalFormatting sqref="B353:E357">
    <cfRule type="expression" dxfId="1431" priority="171">
      <formula>OR((wld_cl03_vds_profile="NSX Traffic Separation"),(wld_cl03_vds_profile="vSAN Traffic and NSX Traffic Separation"),(wld_cl03_vds_profile="Default"))</formula>
    </cfRule>
  </conditionalFormatting>
  <conditionalFormatting sqref="B358:E361">
    <cfRule type="expression" dxfId="1430" priority="174">
      <formula>wld_cl03_vds_profile&lt;&gt;"Storage Traffic and NSX Traffic Separation"</formula>
    </cfRule>
  </conditionalFormatting>
  <conditionalFormatting sqref="B362:E368">
    <cfRule type="expression" dxfId="1429" priority="172">
      <formula>OR((wld_cl03_vds_profile="Default"),(wld_cl03_vds_profile="Storage Traffic Separation"))</formula>
    </cfRule>
  </conditionalFormatting>
  <conditionalFormatting sqref="B369:E370">
    <cfRule type="expression" dxfId="1428" priority="314">
      <formula>(vcf_plus_result="Included")</formula>
    </cfRule>
  </conditionalFormatting>
  <conditionalFormatting sqref="B372:E372">
    <cfRule type="expression" dxfId="1427" priority="529">
      <formula>wld_signed_certs_result="Excluded"</formula>
    </cfRule>
  </conditionalFormatting>
  <conditionalFormatting sqref="B374:E383">
    <cfRule type="expression" dxfId="1426" priority="379">
      <formula>wld_signed_certs_result="Excluded"</formula>
    </cfRule>
  </conditionalFormatting>
  <conditionalFormatting sqref="B385:E385">
    <cfRule type="expression" dxfId="1425" priority="527">
      <formula>wld_bgp_result="Excluded"</formula>
    </cfRule>
  </conditionalFormatting>
  <conditionalFormatting sqref="B387:E447">
    <cfRule type="expression" dxfId="1424" priority="486">
      <formula>wld_bgp_result="Excluded"</formula>
    </cfRule>
    <cfRule type="expression" dxfId="1423" priority="194">
      <formula>wld_multirack_result="Included"</formula>
    </cfRule>
  </conditionalFormatting>
  <conditionalFormatting sqref="B397:E400">
    <cfRule type="expression" dxfId="1422" priority="343">
      <formula>wld_ec_profile_type="Default"</formula>
    </cfRule>
  </conditionalFormatting>
  <conditionalFormatting sqref="B421:E423">
    <cfRule type="expression" dxfId="1421" priority="526">
      <formula>wld_bgp_chosen="VLAN-Backed"</formula>
    </cfRule>
  </conditionalFormatting>
  <conditionalFormatting sqref="B426:E428">
    <cfRule type="expression" dxfId="1420" priority="488">
      <formula>wld_bgp_chosen="VLAN-Backed"</formula>
    </cfRule>
  </conditionalFormatting>
  <conditionalFormatting sqref="B440:E442">
    <cfRule type="expression" dxfId="1419" priority="487">
      <formula>wld_bgp_chosen="VLAN-Backed"</formula>
    </cfRule>
  </conditionalFormatting>
  <conditionalFormatting sqref="B445:E447">
    <cfRule type="expression" dxfId="1418" priority="485">
      <formula>wld_bgp_chosen="VLAN-Backed"</formula>
    </cfRule>
  </conditionalFormatting>
  <conditionalFormatting sqref="B449:E450">
    <cfRule type="expression" dxfId="1417" priority="190">
      <formula>wld_multirack_result="Excluded"</formula>
    </cfRule>
    <cfRule type="colorScale" priority="191">
      <colorScale>
        <cfvo type="min"/>
        <cfvo type="max"/>
        <color rgb="FFFF7128"/>
        <color rgb="FFFFEF9C"/>
      </colorScale>
    </cfRule>
  </conditionalFormatting>
  <conditionalFormatting sqref="B452:E465">
    <cfRule type="expression" dxfId="1416" priority="204">
      <formula>wld_avi_loadbalancer_result="Excluded"</formula>
    </cfRule>
  </conditionalFormatting>
  <conditionalFormatting sqref="B467:E467 B484:E489 B503:E517">
    <cfRule type="expression" dxfId="1415" priority="525">
      <formula>wld_stretched_cluster_result="Excluded"</formula>
    </cfRule>
  </conditionalFormatting>
  <conditionalFormatting sqref="B469:E482">
    <cfRule type="expression" dxfId="1414" priority="378">
      <formula>wld_stretched_cluster_result="Excluded"</formula>
    </cfRule>
  </conditionalFormatting>
  <conditionalFormatting sqref="B491:E495">
    <cfRule type="expression" dxfId="1413" priority="377">
      <formula>wld_stretched_cluster_result="Excluded"</formula>
    </cfRule>
  </conditionalFormatting>
  <conditionalFormatting sqref="B497:E501">
    <cfRule type="expression" dxfId="1412" priority="376">
      <formula>wld_stretched_cluster_result="Excluded"</formula>
    </cfRule>
  </conditionalFormatting>
  <conditionalFormatting sqref="B510:E512">
    <cfRule type="expression" dxfId="1411" priority="3">
      <formula>wld_host_overlay_addressing_chosen="DHCP"</formula>
    </cfRule>
  </conditionalFormatting>
  <conditionalFormatting sqref="B519:E521">
    <cfRule type="expression" dxfId="1410" priority="374">
      <formula>wld_stretched_cluster_result="Excluded"</formula>
    </cfRule>
  </conditionalFormatting>
  <conditionalFormatting sqref="B523:E526">
    <cfRule type="expression" dxfId="1409" priority="373">
      <formula>wld_stretched_cluster_result="Excluded"</formula>
    </cfRule>
  </conditionalFormatting>
  <conditionalFormatting sqref="B528:E529">
    <cfRule type="expression" dxfId="1408" priority="372">
      <formula>wld_stretched_cluster_result="Excluded"</formula>
    </cfRule>
  </conditionalFormatting>
  <conditionalFormatting sqref="B530:E540">
    <cfRule type="expression" dxfId="1407" priority="516">
      <formula>wld_stretched_cluster_result="Excluded"</formula>
    </cfRule>
  </conditionalFormatting>
  <conditionalFormatting sqref="B538:E539">
    <cfRule type="expression" dxfId="1406" priority="396">
      <formula>wld_stretched_cluster_result="Excluded"</formula>
    </cfRule>
  </conditionalFormatting>
  <conditionalFormatting sqref="B542:E542">
    <cfRule type="expression" dxfId="1405" priority="498">
      <formula>wld_nsxt_federation_result="Excluded"</formula>
    </cfRule>
  </conditionalFormatting>
  <conditionalFormatting sqref="B544:E595">
    <cfRule type="expression" dxfId="1404" priority="371">
      <formula>OR((wld_nsxt_federation_result="Excluded"),(wld_nsxt_federation_chosen="Connect Instance"))</formula>
    </cfRule>
  </conditionalFormatting>
  <conditionalFormatting sqref="B597:E613">
    <cfRule type="expression" dxfId="1403" priority="370">
      <formula>OR((wld_nsxt_federation_result="Excluded"),(wld_nsxt_federation_chosen="Connect Instance"))</formula>
    </cfRule>
  </conditionalFormatting>
  <conditionalFormatting sqref="B615:E621">
    <cfRule type="expression" dxfId="1402" priority="369">
      <formula>OR((wld_nsxt_federation_result="Excluded"),(wld_nsxt_federation_chosen="Connect Instance"))</formula>
    </cfRule>
  </conditionalFormatting>
  <conditionalFormatting sqref="B623:E627">
    <cfRule type="expression" dxfId="1401" priority="368">
      <formula>OR((wld_nsxt_federation_result="Excluded"),(wld_nsxt_federation_chosen="Connect Instance"))</formula>
    </cfRule>
  </conditionalFormatting>
  <conditionalFormatting sqref="B629:E631">
    <cfRule type="expression" dxfId="1400" priority="367">
      <formula>OR((wld_nsxt_federation_result="Excluded"),(wld_nsxt_federation_chosen="Connect Instance"),(wld_signed_certs_result="Excluded"))</formula>
    </cfRule>
  </conditionalFormatting>
  <conditionalFormatting sqref="B633:E638">
    <cfRule type="expression" dxfId="1399" priority="366">
      <formula>OR((wld_nsxt_federation_result="Excluded"),(wld_nsxt_federation_chosen="Connect Instance"),(wld_signed_certs_result="Excluded"))</formula>
    </cfRule>
  </conditionalFormatting>
  <conditionalFormatting sqref="B640:E645">
    <cfRule type="expression" dxfId="1398" priority="365">
      <formula>OR((wld_nsxt_federation_result="Excluded"),(wld_nsxt_federation_chosen="Connect Instance"),(wld_signed_certs_result="Excluded"))</formula>
    </cfRule>
  </conditionalFormatting>
  <conditionalFormatting sqref="B647:E654">
    <cfRule type="expression" dxfId="1397" priority="364">
      <formula>wld_nsxt_federation_result="Excluded"</formula>
    </cfRule>
  </conditionalFormatting>
  <conditionalFormatting sqref="B656:E659">
    <cfRule type="expression" dxfId="1396" priority="363">
      <formula>OR((wld_nsxt_federation_result="Excluded"),(wld_nsxt_federation_chosen&lt;&gt;"Active Global Manager"))</formula>
    </cfRule>
  </conditionalFormatting>
  <conditionalFormatting sqref="B661:E670">
    <cfRule type="expression" dxfId="1395" priority="358">
      <formula>OR((wld_nsxt_federation_result="Excluded"),(wld_nsxt_federation_chosen&lt;&gt;"Standby Global Manager"))</formula>
    </cfRule>
  </conditionalFormatting>
  <conditionalFormatting sqref="B672:E685">
    <cfRule type="expression" dxfId="1394" priority="362">
      <formula>wld_nsxt_federation_result="Excluded"</formula>
    </cfRule>
  </conditionalFormatting>
  <conditionalFormatting sqref="B687:E693">
    <cfRule type="expression" dxfId="1393" priority="361">
      <formula>OR((wld_nsxt_federation_result="Excluded"),(wld_nsxt_federation_chosen&lt;&gt;"Active Global Manager"))</formula>
    </cfRule>
  </conditionalFormatting>
  <conditionalFormatting sqref="B695:E699">
    <cfRule type="expression" dxfId="1392" priority="357">
      <formula>OR((wld_nsxt_federation_result="Excluded"),(wld_nsxt_federation_chosen="Active Global Manager"))</formula>
    </cfRule>
  </conditionalFormatting>
  <conditionalFormatting sqref="B701:E742">
    <cfRule type="expression" dxfId="1391" priority="356">
      <formula>OR((wld_nsxt_federation_result="Excluded"),(wld_nsxt_federation_chosen="Active Global Manager"))</formula>
    </cfRule>
  </conditionalFormatting>
  <conditionalFormatting sqref="B744:E748">
    <cfRule type="expression" dxfId="1390" priority="500">
      <formula>OR((wld_nsxt_federation_result="Excluded"),(wld_nsxt_federation_chosen="Active Global Manager"))</formula>
    </cfRule>
  </conditionalFormatting>
  <conditionalFormatting sqref="B750:E755">
    <cfRule type="expression" dxfId="1389" priority="355">
      <formula>OR((wld_nsxt_federation_result="Excluded"),(wld_nsxt_federation_chosen="Active Global Manager"))</formula>
    </cfRule>
  </conditionalFormatting>
  <conditionalFormatting sqref="D109">
    <cfRule type="notContainsBlanks" dxfId="1377" priority="164">
      <formula>LEN(TRIM(D109))&gt;0</formula>
    </cfRule>
  </conditionalFormatting>
  <conditionalFormatting sqref="D113">
    <cfRule type="notContainsBlanks" dxfId="1375" priority="158">
      <formula>LEN(TRIM(D113))&gt;0</formula>
    </cfRule>
  </conditionalFormatting>
  <conditionalFormatting sqref="D117:D252">
    <cfRule type="notContainsBlanks" dxfId="1374" priority="1258">
      <formula>LEN(TRIM(D117))&gt;0</formula>
    </cfRule>
  </conditionalFormatting>
  <conditionalFormatting sqref="D256:D302">
    <cfRule type="expression" dxfId="1369" priority="163">
      <formula>wld_domain_result="Excluded"</formula>
    </cfRule>
  </conditionalFormatting>
  <dataValidations disablePrompts="1" count="1">
    <dataValidation type="list" allowBlank="1" showInputMessage="1" showErrorMessage="1" sqref="C33" xr:uid="{0E90BCD8-8A72-6B4A-85BA-56EF51C0B0AC}">
      <formula1>"Create New SSO Domain, Join Management SSO Domain"</formula1>
    </dataValidation>
  </dataValidations>
  <hyperlinks>
    <hyperlink ref="E600" location="'VI Workload Domain'!input_wld_nsxt_global_mgr_cluster_id" display="Note: Click this cell to redirect to the location for storing this output" xr:uid="{00000000-0004-0000-0F00-000000000000}"/>
    <hyperlink ref="E601" location="'VI Workload Domain'!input_wld_nsxt_global_mgr_vmca_signed_thumbprint" display="Note: Click this cell to redirect to the location for storing this output" xr:uid="{00000000-0004-0000-0F00-000001000000}"/>
    <hyperlink ref="E636" location="'VI Workload Domain'!input_wld_nsxt_global_mgr_certificate_id" display="Note: Click this cell to redirect to the location for storing this output" xr:uid="{00000000-0004-0000-0F00-000002000000}"/>
    <hyperlink ref="E664" location="'VI Workload Domain'!input_wld_nsxt_gm_fingerprint" display="Note: Click this cell to redirect to the location for storing this output" xr:uid="{00000000-0004-0000-0F00-000003000000}"/>
    <hyperlink ref="E675" location="'VI Workload Domain'!input_wld_nsxt_lm_fingerprint" display="Note: Click this cell to redirect to the location for storing this output" xr:uid="{00000000-0004-0000-0F00-000004000000}"/>
    <hyperlink ref="B105" location="'VI WLD MultiRack API Sample'!A1" display="Some Text" xr:uid="{8AE03601-62FE-4448-B009-97C856370CCC}"/>
    <hyperlink ref="B450" location="'VI WLD MultiRack API Sample'!A1" display="Some Text" xr:uid="{ADD9E094-73CC-654E-82CC-43E7A932F8E0}"/>
    <hyperlink ref="B450:E450" location="'VI WLD MultiRack EdgeAPI Sample'!A1" display="Use Sample JSON to Build MultiRack Workload Domain" xr:uid="{A6254F3C-B1FB-6B45-A2D3-7F578F891194}"/>
  </hyperlinks>
  <pageMargins left="0.7" right="0.7" top="0.75" bottom="0.75" header="0.3" footer="0.3"/>
  <pageSetup paperSize="9" orientation="portrait" horizontalDpi="0" verticalDpi="0"/>
  <ignoredErrors>
    <ignoredError sqref="D406 D488 C488" formula="1"/>
  </ignoredErrors>
  <extLst>
    <ext xmlns:x14="http://schemas.microsoft.com/office/spreadsheetml/2009/9/main" uri="{78C0D931-6437-407d-A8EE-F0AAD7539E65}">
      <x14:conditionalFormattings>
        <x14:conditionalFormatting xmlns:xm="http://schemas.microsoft.com/office/excel/2006/main">
          <x14:cfRule type="notContainsText" priority="1257" operator="notContains" id="{A2891BCC-5852-0D43-87F0-1B0D53503A52}">
            <xm:f>ISERROR(SEARCH("Value Missing",D9))</xm:f>
            <xm:f>"Value Missing"</xm:f>
            <x14:dxf>
              <font>
                <color rgb="FF006100"/>
              </font>
              <fill>
                <patternFill>
                  <bgColor rgb="FFC6EFCE"/>
                </patternFill>
              </fill>
            </x14:dxf>
          </x14:cfRule>
          <xm:sqref>D16 D18:D19 D21 D23:D26 D28 D30:D102 D505:D517 D9:D14 D315:D370 D256:D311</xm:sqref>
        </x14:conditionalFormatting>
        <x14:conditionalFormatting xmlns:xm="http://schemas.microsoft.com/office/excel/2006/main">
          <x14:cfRule type="containsText" priority="1194" operator="containsText" id="{A177E2F8-2EB6-7D44-A658-3FB7F813C713}">
            <xm:f>NOT(ISERROR(SEARCH("Value Missing",D16)))</xm:f>
            <xm:f>"Value Missing"</xm:f>
            <x14:dxf>
              <font>
                <color rgb="FF9C0006"/>
              </font>
              <fill>
                <patternFill>
                  <bgColor rgb="FFFFC7CE"/>
                </patternFill>
              </fill>
            </x14:dxf>
          </x14:cfRule>
          <xm:sqref>D16 D18:D19 D21 D23:D26 D28 D30:D102 D505:D517</xm:sqref>
        </x14:conditionalFormatting>
        <x14:conditionalFormatting xmlns:xm="http://schemas.microsoft.com/office/excel/2006/main">
          <x14:cfRule type="containsText" priority="1184" operator="containsText" id="{B450FF07-EE0F-9549-8698-8BC239425060}">
            <xm:f>NOT(ISERROR(SEARCH("Value Missing",D21)))</xm:f>
            <xm:f>"Value Missing"</xm:f>
            <x14:dxf>
              <font>
                <color rgb="FF9C0006"/>
              </font>
              <fill>
                <patternFill>
                  <bgColor rgb="FFFFC7CE"/>
                </patternFill>
              </fill>
            </x14:dxf>
          </x14:cfRule>
          <xm:sqref>D21 D23:D25</xm:sqref>
        </x14:conditionalFormatting>
        <x14:conditionalFormatting xmlns:xm="http://schemas.microsoft.com/office/excel/2006/main">
          <x14:cfRule type="containsText" priority="1190" operator="containsText" id="{AA0C146F-A3D6-8846-9935-7838D5DADAFF}">
            <xm:f>NOT(ISERROR(SEARCH("Value Missing",D23)))</xm:f>
            <xm:f>"Value Missing"</xm:f>
            <x14:dxf>
              <font>
                <color rgb="FF9C0006"/>
              </font>
              <fill>
                <patternFill>
                  <bgColor rgb="FFFFC7CE"/>
                </patternFill>
              </fill>
            </x14:dxf>
          </x14:cfRule>
          <x14:cfRule type="notContainsText" priority="1189" operator="notContains" id="{D1A6056F-4C5F-724D-A449-A09901E13ED4}">
            <xm:f>ISERROR(SEARCH("Value Missing",D23))</xm:f>
            <xm:f>"Value Missing"</xm:f>
            <x14:dxf>
              <font>
                <color rgb="FF006100"/>
              </font>
              <fill>
                <patternFill>
                  <bgColor rgb="FFC6EFCE"/>
                </patternFill>
              </fill>
            </x14:dxf>
          </x14:cfRule>
          <xm:sqref>D23:D24</xm:sqref>
        </x14:conditionalFormatting>
        <x14:conditionalFormatting xmlns:xm="http://schemas.microsoft.com/office/excel/2006/main">
          <x14:cfRule type="notContainsText" priority="1183" operator="notContains" id="{6FDEB307-4E29-B744-9F88-7996ADD9D365}">
            <xm:f>ISERROR(SEARCH("Value Missing",D21))</xm:f>
            <xm:f>"Value Missing"</xm:f>
            <x14:dxf>
              <font>
                <color rgb="FF006100"/>
              </font>
              <fill>
                <patternFill>
                  <bgColor rgb="FFC6EFCE"/>
                </patternFill>
              </fill>
            </x14:dxf>
          </x14:cfRule>
          <xm:sqref>D23:D25 D21</xm:sqref>
        </x14:conditionalFormatting>
        <x14:conditionalFormatting xmlns:xm="http://schemas.microsoft.com/office/excel/2006/main">
          <x14:cfRule type="notContainsText" priority="1193" operator="notContains" id="{1BDFD222-FA49-8645-9213-B788AA3C0DA3}">
            <xm:f>ISERROR(SEARCH("Value Missing",D16))</xm:f>
            <xm:f>"Value Missing"</xm:f>
            <x14:dxf>
              <font>
                <color rgb="FF006100"/>
              </font>
              <fill>
                <patternFill>
                  <bgColor rgb="FFC6EFCE"/>
                </patternFill>
              </fill>
            </x14:dxf>
          </x14:cfRule>
          <xm:sqref>D23:D26 D21 D16 D18:D19 D28</xm:sqref>
        </x14:conditionalFormatting>
        <x14:conditionalFormatting xmlns:xm="http://schemas.microsoft.com/office/excel/2006/main">
          <x14:cfRule type="containsText" priority="1128" operator="containsText" id="{1E4FF830-4837-9E47-8199-A37C0542ECD1}">
            <xm:f>NOT(ISERROR(SEARCH("Value Missing",D25)))</xm:f>
            <xm:f>"Value Missing"</xm:f>
            <x14:dxf>
              <font>
                <color rgb="FF9C0006"/>
              </font>
              <fill>
                <patternFill>
                  <bgColor rgb="FFFFC7CE"/>
                </patternFill>
              </fill>
            </x14:dxf>
          </x14:cfRule>
          <x14:cfRule type="notContainsText" priority="1127" operator="notContains" id="{401A0703-73E0-8D43-99D6-7146657DC455}">
            <xm:f>ISERROR(SEARCH("Value Missing",D25))</xm:f>
            <xm:f>"Value Missing"</xm:f>
            <x14:dxf>
              <font>
                <color rgb="FF006100"/>
              </font>
              <fill>
                <patternFill>
                  <bgColor rgb="FFC6EFCE"/>
                </patternFill>
              </fill>
            </x14:dxf>
          </x14:cfRule>
          <xm:sqref>D25:D26</xm:sqref>
        </x14:conditionalFormatting>
        <x14:conditionalFormatting xmlns:xm="http://schemas.microsoft.com/office/excel/2006/main">
          <x14:cfRule type="containsText" priority="540" operator="containsText" id="{12A99F38-4A38-6A40-8EB4-1B810635D369}">
            <xm:f>NOT(ISERROR(SEARCH("Value Missing",D9)))</xm:f>
            <xm:f>"Value Missing"</xm:f>
            <x14:dxf>
              <font>
                <color rgb="FF9C0006"/>
              </font>
              <fill>
                <patternFill>
                  <bgColor rgb="FFFFC7CE"/>
                </patternFill>
              </fill>
            </x14:dxf>
          </x14:cfRule>
          <xm:sqref>D28 D9:D14 D16 D18:D19 D21 D23:D26 D314:D370 D116:D252</xm:sqref>
        </x14:conditionalFormatting>
        <x14:conditionalFormatting xmlns:xm="http://schemas.microsoft.com/office/excel/2006/main">
          <x14:cfRule type="containsText" priority="165" operator="containsText" id="{AE48A282-300D-A345-A6CC-CD75A513EF23}">
            <xm:f>NOT(ISERROR(SEARCH("Value Missing",D108)))</xm:f>
            <xm:f>"Value Missing"</xm:f>
            <x14:dxf>
              <font>
                <color rgb="FF9C0006"/>
              </font>
              <fill>
                <patternFill>
                  <bgColor rgb="FFFFC7CE"/>
                </patternFill>
              </fill>
            </x14:dxf>
          </x14:cfRule>
          <xm:sqref>D108</xm:sqref>
        </x14:conditionalFormatting>
        <x14:conditionalFormatting xmlns:xm="http://schemas.microsoft.com/office/excel/2006/main">
          <x14:cfRule type="containsText" priority="159" operator="containsText" id="{804D9F51-1DB2-0241-BEAA-98183F99BA76}">
            <xm:f>NOT(ISERROR(SEARCH("Value Missing",D112)))</xm:f>
            <xm:f>"Value Missing"</xm:f>
            <x14:dxf>
              <font>
                <color rgb="FF9C0006"/>
              </font>
              <fill>
                <patternFill>
                  <bgColor rgb="FFFFC7CE"/>
                </patternFill>
              </fill>
            </x14:dxf>
          </x14:cfRule>
          <xm:sqref>D112</xm:sqref>
        </x14:conditionalFormatting>
        <x14:conditionalFormatting xmlns:xm="http://schemas.microsoft.com/office/excel/2006/main">
          <x14:cfRule type="notContainsText" priority="339" operator="notContains" id="{4EB61970-E78B-4741-BD5E-876DEAA24429}">
            <xm:f>ISERROR(SEARCH("Value Missing",D254))</xm:f>
            <xm:f>"Value Missing"</xm:f>
            <x14:dxf>
              <font>
                <color rgb="FF006100"/>
              </font>
              <fill>
                <patternFill>
                  <bgColor rgb="FFC6EFCE"/>
                </patternFill>
              </fill>
            </x14:dxf>
          </x14:cfRule>
          <x14:cfRule type="containsText" priority="340" operator="containsText" id="{72B8CB84-721A-794A-B072-FC518E116F61}">
            <xm:f>NOT(ISERROR(SEARCH("Value Missing",D254)))</xm:f>
            <xm:f>"Value Missing"</xm:f>
            <x14:dxf>
              <font>
                <color rgb="FF9C0006"/>
              </font>
              <fill>
                <patternFill>
                  <bgColor rgb="FFFFC7CE"/>
                </patternFill>
              </fill>
            </x14:dxf>
          </x14:cfRule>
          <x14:cfRule type="notContainsText" priority="341" operator="notContains" id="{9C1DE62F-9982-164D-9710-57E82F88E864}">
            <xm:f>ISERROR(SEARCH("Value Missing",D254))</xm:f>
            <xm:f>"Value Missing"</xm:f>
            <x14:dxf>
              <font>
                <color rgb="FF006100"/>
              </font>
              <fill>
                <patternFill>
                  <bgColor rgb="FFC6EFCE"/>
                </patternFill>
              </fill>
            </x14:dxf>
          </x14:cfRule>
          <xm:sqref>D254</xm:sqref>
        </x14:conditionalFormatting>
        <x14:conditionalFormatting xmlns:xm="http://schemas.microsoft.com/office/excel/2006/main">
          <x14:cfRule type="containsText" priority="342" operator="containsText" id="{E0CC55F4-FDC0-B74A-9D82-BEA0D0E2FFA0}">
            <xm:f>NOT(ISERROR(SEARCH("Value Missing",D254)))</xm:f>
            <xm:f>"Value Missing"</xm:f>
            <x14:dxf>
              <font>
                <color rgb="FF9C0006"/>
              </font>
              <fill>
                <patternFill>
                  <bgColor rgb="FFFFC7CE"/>
                </patternFill>
              </fill>
            </x14:dxf>
          </x14:cfRule>
          <xm:sqref>D254:D311</xm:sqref>
        </x14:conditionalFormatting>
        <x14:conditionalFormatting xmlns:xm="http://schemas.microsoft.com/office/excel/2006/main">
          <x14:cfRule type="notContainsText" priority="320" operator="notContains" id="{42D5E611-2891-ED45-BB30-5BD9ADD4A1A2}">
            <xm:f>ISERROR(SEARCH("Value Missing",D313))</xm:f>
            <xm:f>"Value Missing"</xm:f>
            <x14:dxf>
              <font>
                <color rgb="FF006100"/>
              </font>
              <fill>
                <patternFill>
                  <bgColor rgb="FFC6EFCE"/>
                </patternFill>
              </fill>
            </x14:dxf>
          </x14:cfRule>
          <x14:cfRule type="containsText" priority="323" operator="containsText" id="{58362C0B-CE1A-764F-AB74-FE9BFBD69A1C}">
            <xm:f>NOT(ISERROR(SEARCH("Value Missing",D313)))</xm:f>
            <xm:f>"Value Missing"</xm:f>
            <x14:dxf>
              <font>
                <color rgb="FF9C0006"/>
              </font>
              <fill>
                <patternFill>
                  <bgColor rgb="FFFFC7CE"/>
                </patternFill>
              </fill>
            </x14:dxf>
          </x14:cfRule>
          <x14:cfRule type="notContainsText" priority="322" operator="notContains" id="{01863BF3-C610-D942-BAA1-B47852F8D446}">
            <xm:f>ISERROR(SEARCH("Value Missing",D313))</xm:f>
            <xm:f>"Value Missing"</xm:f>
            <x14:dxf>
              <font>
                <color rgb="FF006100"/>
              </font>
              <fill>
                <patternFill>
                  <bgColor rgb="FFC6EFCE"/>
                </patternFill>
              </fill>
            </x14:dxf>
          </x14:cfRule>
          <x14:cfRule type="containsText" priority="321" operator="containsText" id="{BF070783-396E-204C-B125-B76C5465EAD3}">
            <xm:f>NOT(ISERROR(SEARCH("Value Missing",D313)))</xm:f>
            <xm:f>"Value Missing"</xm:f>
            <x14:dxf>
              <font>
                <color rgb="FF9C0006"/>
              </font>
              <fill>
                <patternFill>
                  <bgColor rgb="FFFFC7CE"/>
                </patternFill>
              </fill>
            </x14:dxf>
          </x14:cfRule>
          <xm:sqref>D313</xm:sqref>
        </x14:conditionalFormatting>
        <x14:conditionalFormatting xmlns:xm="http://schemas.microsoft.com/office/excel/2006/main">
          <x14:cfRule type="containsText" priority="1088" operator="containsText" id="{8D4B5F77-0A5C-0849-8852-68C5CAAAA7A5}">
            <xm:f>NOT(ISERROR(SEARCH("Value Missing",D372)))</xm:f>
            <xm:f>"Value Missing"</xm:f>
            <x14:dxf>
              <font>
                <color rgb="FF9C0006"/>
              </font>
              <fill>
                <patternFill>
                  <bgColor rgb="FFFFC7CE"/>
                </patternFill>
              </fill>
            </x14:dxf>
          </x14:cfRule>
          <x14:cfRule type="notContainsText" priority="1087" operator="notContains" id="{A9998884-CFA0-A14E-9C21-D223F14B1298}">
            <xm:f>ISERROR(SEARCH("Value Missing",D372))</xm:f>
            <xm:f>"Value Missing"</xm:f>
            <x14:dxf>
              <font>
                <color rgb="FF006100"/>
              </font>
              <fill>
                <patternFill>
                  <bgColor rgb="FFC6EFCE"/>
                </patternFill>
              </fill>
            </x14:dxf>
          </x14:cfRule>
          <xm:sqref>D372 D374 D376:D383</xm:sqref>
        </x14:conditionalFormatting>
        <x14:conditionalFormatting xmlns:xm="http://schemas.microsoft.com/office/excel/2006/main">
          <x14:cfRule type="containsText" priority="1084" operator="containsText" id="{076CB3B6-7FBB-F64B-ACFE-DE52B6494218}">
            <xm:f>NOT(ISERROR(SEARCH("Value Missing",D390)))</xm:f>
            <xm:f>"Value Missing"</xm:f>
            <x14:dxf>
              <font>
                <color rgb="FF9C0006"/>
              </font>
              <fill>
                <patternFill>
                  <bgColor rgb="FFFFC7CE"/>
                </patternFill>
              </fill>
            </x14:dxf>
          </x14:cfRule>
          <x14:cfRule type="notContainsText" priority="1083" operator="notContains" id="{D85932EA-0327-8A46-BB76-53B5B8656E72}">
            <xm:f>ISERROR(SEARCH("Value Missing",D390))</xm:f>
            <xm:f>"Value Missing"</xm:f>
            <x14:dxf>
              <font>
                <color rgb="FF006100"/>
              </font>
              <fill>
                <patternFill>
                  <bgColor rgb="FFC6EFCE"/>
                </patternFill>
              </fill>
            </x14:dxf>
          </x14:cfRule>
          <xm:sqref>D390:D447 D467 D469 D471:D481</xm:sqref>
        </x14:conditionalFormatting>
        <x14:conditionalFormatting xmlns:xm="http://schemas.microsoft.com/office/excel/2006/main">
          <x14:cfRule type="notContainsText" priority="1347" operator="notContains" id="{06FF19C5-F873-0547-9C97-41EA0D356FDF}">
            <xm:f>ISERROR(SEARCH("Value Missing",D391))</xm:f>
            <xm:f>"Value Missing"</xm:f>
            <x14:dxf>
              <font>
                <color rgb="FF006100"/>
              </font>
              <fill>
                <patternFill>
                  <bgColor rgb="FFC6EFCE"/>
                </patternFill>
              </fill>
            </x14:dxf>
          </x14:cfRule>
          <x14:cfRule type="containsText" priority="1348" operator="containsText" id="{B91DAA7E-744A-4B4B-AF30-40DA820BFFB1}">
            <xm:f>NOT(ISERROR(SEARCH("Value Missing",D391)))</xm:f>
            <xm:f>"Value Missing"</xm:f>
            <x14:dxf>
              <font>
                <color rgb="FF9C0006"/>
              </font>
              <fill>
                <patternFill>
                  <bgColor rgb="FFFFC7CE"/>
                </patternFill>
              </fill>
            </x14:dxf>
          </x14:cfRule>
          <xm:sqref>D391:D392</xm:sqref>
        </x14:conditionalFormatting>
        <x14:conditionalFormatting xmlns:xm="http://schemas.microsoft.com/office/excel/2006/main">
          <x14:cfRule type="containsText" priority="1350" operator="containsText" id="{7168B70A-A8C8-5143-9A73-EB8EE24CDFA3}">
            <xm:f>NOT(ISERROR(SEARCH("Value Missing",D392)))</xm:f>
            <xm:f>"Value Missing"</xm:f>
            <x14:dxf>
              <font>
                <color rgb="FF9C0006"/>
              </font>
              <fill>
                <patternFill>
                  <bgColor rgb="FFFFC7CE"/>
                </patternFill>
              </fill>
            </x14:dxf>
          </x14:cfRule>
          <xm:sqref>D392:D393</xm:sqref>
        </x14:conditionalFormatting>
        <x14:conditionalFormatting xmlns:xm="http://schemas.microsoft.com/office/excel/2006/main">
          <x14:cfRule type="notContainsText" priority="1349" operator="notContains" id="{D146C2D9-8794-A344-A5FC-2793F94F2704}">
            <xm:f>ISERROR(SEARCH("Value Missing",D392))</xm:f>
            <xm:f>"Value Missing"</xm:f>
            <x14:dxf>
              <font>
                <color rgb="FF006100"/>
              </font>
              <fill>
                <patternFill>
                  <bgColor rgb="FFC6EFCE"/>
                </patternFill>
              </fill>
            </x14:dxf>
          </x14:cfRule>
          <xm:sqref>D392:D403</xm:sqref>
        </x14:conditionalFormatting>
        <x14:conditionalFormatting xmlns:xm="http://schemas.microsoft.com/office/excel/2006/main">
          <x14:cfRule type="containsText" priority="1358" operator="containsText" id="{EEE439F6-CCA3-524D-8515-4EF85A8CB230}">
            <xm:f>NOT(ISERROR(SEARCH("Value Missing",D394)))</xm:f>
            <xm:f>"Value Missing"</xm:f>
            <x14:dxf>
              <font>
                <color rgb="FF9C0006"/>
              </font>
              <fill>
                <patternFill>
                  <bgColor rgb="FFFFC7CE"/>
                </patternFill>
              </fill>
            </x14:dxf>
          </x14:cfRule>
          <xm:sqref>D394:D447</xm:sqref>
        </x14:conditionalFormatting>
        <x14:conditionalFormatting xmlns:xm="http://schemas.microsoft.com/office/excel/2006/main">
          <x14:cfRule type="containsText" priority="1517" operator="containsText" id="{0F2ABB63-2A80-0845-AB1D-272345FF3FBE}">
            <xm:f>NOT(ISERROR(SEARCH("Value Missing",D400)))</xm:f>
            <xm:f>"Value Missing"</xm:f>
            <x14:dxf>
              <font>
                <color rgb="FF9C0006"/>
              </font>
              <fill>
                <patternFill>
                  <bgColor rgb="FFFFC7CE"/>
                </patternFill>
              </fill>
            </x14:dxf>
          </x14:cfRule>
          <x14:cfRule type="notContainsText" priority="1516" operator="notContains" id="{7F937044-A92E-AD45-921D-CF85064E533B}">
            <xm:f>ISERROR(SEARCH("Value Missing",D400))</xm:f>
            <xm:f>"Value Missing"</xm:f>
            <x14:dxf>
              <font>
                <color rgb="FF006100"/>
              </font>
              <fill>
                <patternFill>
                  <bgColor rgb="FFC6EFCE"/>
                </patternFill>
              </fill>
            </x14:dxf>
          </x14:cfRule>
          <xm:sqref>D400 D406:D408</xm:sqref>
        </x14:conditionalFormatting>
        <x14:conditionalFormatting xmlns:xm="http://schemas.microsoft.com/office/excel/2006/main">
          <x14:cfRule type="containsText" priority="1342" operator="containsText" id="{D475C810-19AC-214F-8DD5-499EB4C1E6AC}">
            <xm:f>NOT(ISERROR(SEARCH("Value Missing",D401)))</xm:f>
            <xm:f>"Value Missing"</xm:f>
            <x14:dxf>
              <font>
                <color rgb="FF9C0006"/>
              </font>
              <fill>
                <patternFill>
                  <bgColor rgb="FFFFC7CE"/>
                </patternFill>
              </fill>
            </x14:dxf>
          </x14:cfRule>
          <xm:sqref>D401:D403</xm:sqref>
        </x14:conditionalFormatting>
        <x14:conditionalFormatting xmlns:xm="http://schemas.microsoft.com/office/excel/2006/main">
          <x14:cfRule type="notContainsText" priority="1335" operator="notContains" id="{D7C02206-078F-AC44-8104-BFE85ACAB61B}">
            <xm:f>ISERROR(SEARCH("Value Missing",D401))</xm:f>
            <xm:f>"Value Missing"</xm:f>
            <x14:dxf>
              <font>
                <color rgb="FF006100"/>
              </font>
              <fill>
                <patternFill>
                  <bgColor rgb="FFC6EFCE"/>
                </patternFill>
              </fill>
            </x14:dxf>
          </x14:cfRule>
          <xm:sqref>D401:D435</xm:sqref>
        </x14:conditionalFormatting>
        <x14:conditionalFormatting xmlns:xm="http://schemas.microsoft.com/office/excel/2006/main">
          <x14:cfRule type="containsText" priority="1354" operator="containsText" id="{8428715C-9F8D-FC45-8A8F-57E0776071FD}">
            <xm:f>NOT(ISERROR(SEARCH("Value Missing",D396)))</xm:f>
            <xm:f>"Value Missing"</xm:f>
            <x14:dxf>
              <font>
                <color rgb="FF9C0006"/>
              </font>
              <fill>
                <patternFill>
                  <bgColor rgb="FFFFC7CE"/>
                </patternFill>
              </fill>
            </x14:dxf>
          </x14:cfRule>
          <xm:sqref>D405:D408 D410:D447 D396:D403</xm:sqref>
        </x14:conditionalFormatting>
        <x14:conditionalFormatting xmlns:xm="http://schemas.microsoft.com/office/excel/2006/main">
          <x14:cfRule type="notContainsText" priority="1353" operator="notContains" id="{95CF5CDC-EB1D-AB49-A809-8B3A2EB4CAFA}">
            <xm:f>ISERROR(SEARCH("Value Missing",D405))</xm:f>
            <xm:f>"Value Missing"</xm:f>
            <x14:dxf>
              <font>
                <color rgb="FF006100"/>
              </font>
              <fill>
                <patternFill>
                  <bgColor rgb="FFC6EFCE"/>
                </patternFill>
              </fill>
            </x14:dxf>
          </x14:cfRule>
          <xm:sqref>D405:D408 D410:D447</xm:sqref>
        </x14:conditionalFormatting>
        <x14:conditionalFormatting xmlns:xm="http://schemas.microsoft.com/office/excel/2006/main">
          <x14:cfRule type="containsText" priority="1336" operator="containsText" id="{6DEDECC6-5D46-C94E-A9B7-4CD9B9904EAA}">
            <xm:f>NOT(ISERROR(SEARCH("Value Missing",D405)))</xm:f>
            <xm:f>"Value Missing"</xm:f>
            <x14:dxf>
              <font>
                <color rgb="FF9C0006"/>
              </font>
              <fill>
                <patternFill>
                  <bgColor rgb="FFFFC7CE"/>
                </patternFill>
              </fill>
            </x14:dxf>
          </x14:cfRule>
          <xm:sqref>D405:D435</xm:sqref>
        </x14:conditionalFormatting>
        <x14:conditionalFormatting xmlns:xm="http://schemas.microsoft.com/office/excel/2006/main">
          <x14:cfRule type="notContainsText" priority="1355" operator="notContains" id="{E53E57A3-F981-0247-950E-75F8951BD16E}">
            <xm:f>ISERROR(SEARCH("Value Missing",D416))</xm:f>
            <xm:f>"Value Missing"</xm:f>
            <x14:dxf>
              <font>
                <color rgb="FF006100"/>
              </font>
              <fill>
                <patternFill>
                  <bgColor rgb="FFC6EFCE"/>
                </patternFill>
              </fill>
            </x14:dxf>
          </x14:cfRule>
          <x14:cfRule type="containsText" priority="1356" operator="containsText" id="{7CB26308-DF0E-5641-B5C7-F4450C22D4D8}">
            <xm:f>NOT(ISERROR(SEARCH("Value Missing",D416)))</xm:f>
            <xm:f>"Value Missing"</xm:f>
            <x14:dxf>
              <font>
                <color rgb="FF9C0006"/>
              </font>
              <fill>
                <patternFill>
                  <bgColor rgb="FFFFC7CE"/>
                </patternFill>
              </fill>
            </x14:dxf>
          </x14:cfRule>
          <xm:sqref>D416</xm:sqref>
        </x14:conditionalFormatting>
        <x14:conditionalFormatting xmlns:xm="http://schemas.microsoft.com/office/excel/2006/main">
          <x14:cfRule type="notContainsText" priority="1357" operator="notContains" id="{02D6D0BC-9525-3D48-B3F3-152ADCBEDBE5}">
            <xm:f>ISERROR(SEARCH("Value Missing",D418))</xm:f>
            <xm:f>"Value Missing"</xm:f>
            <x14:dxf>
              <font>
                <color rgb="FF006100"/>
              </font>
              <fill>
                <patternFill>
                  <bgColor rgb="FFC6EFCE"/>
                </patternFill>
              </fill>
            </x14:dxf>
          </x14:cfRule>
          <xm:sqref>D418:D427</xm:sqref>
        </x14:conditionalFormatting>
        <x14:conditionalFormatting xmlns:xm="http://schemas.microsoft.com/office/excel/2006/main">
          <x14:cfRule type="notContainsText" priority="209" operator="notContains" id="{068ABC6D-FEFA-AA40-BCDE-35F7672CE3EE}">
            <xm:f>ISERROR(SEARCH("Value Missing",D452))</xm:f>
            <xm:f>"Value Missing"</xm:f>
            <x14:dxf>
              <font>
                <color rgb="FF006100"/>
              </font>
              <fill>
                <patternFill>
                  <bgColor rgb="FFC6EFCE"/>
                </patternFill>
              </fill>
            </x14:dxf>
          </x14:cfRule>
          <x14:cfRule type="containsText" priority="210" operator="containsText" id="{2D1C188C-1ADC-B84A-A2B7-56CF8A2C4D2D}">
            <xm:f>NOT(ISERROR(SEARCH("Value Missing",D452)))</xm:f>
            <xm:f>"Value Missing"</xm:f>
            <x14:dxf>
              <font>
                <color rgb="FF9C0006"/>
              </font>
              <fill>
                <patternFill>
                  <bgColor rgb="FFFFC7CE"/>
                </patternFill>
              </fill>
            </x14:dxf>
          </x14:cfRule>
          <xm:sqref>D452</xm:sqref>
        </x14:conditionalFormatting>
        <x14:conditionalFormatting xmlns:xm="http://schemas.microsoft.com/office/excel/2006/main">
          <x14:cfRule type="containsText" priority="213" operator="containsText" id="{66298B7C-4113-ED48-8DCC-D395246EC9F9}">
            <xm:f>NOT(ISERROR(SEARCH("Value Missing",D454)))</xm:f>
            <xm:f>"Value Missing"</xm:f>
            <x14:dxf>
              <font>
                <color rgb="FF9C0006"/>
              </font>
              <fill>
                <patternFill>
                  <bgColor rgb="FFFFC7CE"/>
                </patternFill>
              </fill>
            </x14:dxf>
          </x14:cfRule>
          <x14:cfRule type="notContainsText" priority="212" stopIfTrue="1" operator="notContains" id="{D166693D-8076-7846-A3EB-FA799D52E208}">
            <xm:f>ISERROR(SEARCH("Value Missing",D454))</xm:f>
            <xm:f>"Value Missing"</xm:f>
            <x14:dxf>
              <font>
                <color rgb="FF006100"/>
              </font>
              <fill>
                <patternFill>
                  <bgColor rgb="FFC6EFCE"/>
                </patternFill>
              </fill>
            </x14:dxf>
          </x14:cfRule>
          <xm:sqref>D454:D465</xm:sqref>
        </x14:conditionalFormatting>
        <x14:conditionalFormatting xmlns:xm="http://schemas.microsoft.com/office/excel/2006/main">
          <x14:cfRule type="notContainsText" priority="207" operator="notContains" id="{A7EDBBC3-3955-0B42-9AD1-5FC37705E08A}">
            <xm:f>ISERROR(SEARCH("Value Missing",D455))</xm:f>
            <xm:f>"Value Missing"</xm:f>
            <x14:dxf>
              <font>
                <color rgb="FF006100"/>
              </font>
              <fill>
                <patternFill>
                  <bgColor rgb="FFC6EFCE"/>
                </patternFill>
              </fill>
            </x14:dxf>
          </x14:cfRule>
          <x14:cfRule type="containsText" priority="208" operator="containsText" id="{4025C9C1-D2B8-5440-A88A-60FFD2DC4403}">
            <xm:f>NOT(ISERROR(SEARCH("Value Missing",D455)))</xm:f>
            <xm:f>"Value Missing"</xm:f>
            <x14:dxf>
              <font>
                <color rgb="FF9C0006"/>
              </font>
              <fill>
                <patternFill>
                  <bgColor rgb="FFFFC7CE"/>
                </patternFill>
              </fill>
            </x14:dxf>
          </x14:cfRule>
          <xm:sqref>D455</xm:sqref>
        </x14:conditionalFormatting>
        <x14:conditionalFormatting xmlns:xm="http://schemas.microsoft.com/office/excel/2006/main">
          <x14:cfRule type="containsText" priority="215" operator="containsText" id="{829F6BCC-EAC1-2147-A4C4-DA2CEA69DC84}">
            <xm:f>NOT(ISERROR(SEARCH("Value Missing",D457)))</xm:f>
            <xm:f>"Value Missing"</xm:f>
            <x14:dxf>
              <font>
                <color rgb="FF9C0006"/>
              </font>
              <fill>
                <patternFill>
                  <bgColor rgb="FFFFC7CE"/>
                </patternFill>
              </fill>
            </x14:dxf>
          </x14:cfRule>
          <x14:cfRule type="notContainsText" priority="214" operator="notContains" id="{620DA2DA-B0F6-D24D-9566-58E7DB299F3F}">
            <xm:f>ISERROR(SEARCH("Value Missing",D457))</xm:f>
            <xm:f>"Value Missing"</xm:f>
            <x14:dxf>
              <font>
                <color rgb="FF006100"/>
              </font>
              <fill>
                <patternFill>
                  <bgColor rgb="FFC6EFCE"/>
                </patternFill>
              </fill>
            </x14:dxf>
          </x14:cfRule>
          <xm:sqref>D457:D465</xm:sqref>
        </x14:conditionalFormatting>
        <x14:conditionalFormatting xmlns:xm="http://schemas.microsoft.com/office/excel/2006/main">
          <x14:cfRule type="containsText" priority="206" operator="containsText" id="{8D5E981C-22BC-6845-A460-8A32C4AAECDA}">
            <xm:f>NOT(ISERROR(SEARCH("Value Missing",D459)))</xm:f>
            <xm:f>"Value Missing"</xm:f>
            <x14:dxf>
              <font>
                <color rgb="FF9C0006"/>
              </font>
              <fill>
                <patternFill>
                  <bgColor rgb="FFFFC7CE"/>
                </patternFill>
              </fill>
            </x14:dxf>
          </x14:cfRule>
          <x14:cfRule type="notContainsText" priority="205" operator="notContains" id="{4E393CDF-26A7-3047-B268-9C6A7AF92008}">
            <xm:f>ISERROR(SEARCH("Value Missing",D459))</xm:f>
            <xm:f>"Value Missing"</xm:f>
            <x14:dxf>
              <font>
                <color rgb="FF006100"/>
              </font>
              <fill>
                <patternFill>
                  <bgColor rgb="FFC6EFCE"/>
                </patternFill>
              </fill>
            </x14:dxf>
          </x14:cfRule>
          <xm:sqref>D459:D465</xm:sqref>
        </x14:conditionalFormatting>
        <x14:conditionalFormatting xmlns:xm="http://schemas.microsoft.com/office/excel/2006/main">
          <x14:cfRule type="containsText" priority="1400" operator="containsText" id="{4D78BF15-6914-0B49-9F2F-9D83B4373106}">
            <xm:f>NOT(ISERROR(SEARCH("Value Missing",D471)))</xm:f>
            <xm:f>"Value Missing"</xm:f>
            <x14:dxf>
              <font>
                <color rgb="FF9C0006"/>
              </font>
              <fill>
                <patternFill>
                  <bgColor rgb="FFFFC7CE"/>
                </patternFill>
              </fill>
            </x14:dxf>
          </x14:cfRule>
          <xm:sqref>D471:D480</xm:sqref>
        </x14:conditionalFormatting>
        <x14:conditionalFormatting xmlns:xm="http://schemas.microsoft.com/office/excel/2006/main">
          <x14:cfRule type="notContainsText" priority="1363" operator="notContains" id="{4D7CC570-9410-FC4D-8B91-2C30B11931B5}">
            <xm:f>ISERROR(SEARCH("Value Missing",D471))</xm:f>
            <xm:f>"Value Missing"</xm:f>
            <x14:dxf>
              <font>
                <color rgb="FF006100"/>
              </font>
              <fill>
                <patternFill>
                  <bgColor rgb="FFC6EFCE"/>
                </patternFill>
              </fill>
            </x14:dxf>
          </x14:cfRule>
          <xm:sqref>D471:D482</xm:sqref>
        </x14:conditionalFormatting>
        <x14:conditionalFormatting xmlns:xm="http://schemas.microsoft.com/office/excel/2006/main">
          <x14:cfRule type="containsText" priority="1366" operator="containsText" id="{C5741A1B-5FB1-C14A-9291-0C11DBB55DD6}">
            <xm:f>NOT(ISERROR(SEARCH("Value Missing",D479)))</xm:f>
            <xm:f>"Value Missing"</xm:f>
            <x14:dxf>
              <font>
                <color rgb="FF9C0006"/>
              </font>
              <fill>
                <patternFill>
                  <bgColor rgb="FFFFC7CE"/>
                </patternFill>
              </fill>
            </x14:dxf>
          </x14:cfRule>
          <xm:sqref>D479:D480</xm:sqref>
        </x14:conditionalFormatting>
        <x14:conditionalFormatting xmlns:xm="http://schemas.microsoft.com/office/excel/2006/main">
          <x14:cfRule type="notContainsText" priority="1399" operator="notContains" id="{62C376CA-8120-504E-8792-05CDECEA98FD}">
            <xm:f>ISERROR(SEARCH("Value Missing",D480))</xm:f>
            <xm:f>"Value Missing"</xm:f>
            <x14:dxf>
              <font>
                <color rgb="FF006100"/>
              </font>
              <fill>
                <patternFill>
                  <bgColor rgb="FFC6EFCE"/>
                </patternFill>
              </fill>
            </x14:dxf>
          </x14:cfRule>
          <xm:sqref>D480</xm:sqref>
        </x14:conditionalFormatting>
        <x14:conditionalFormatting xmlns:xm="http://schemas.microsoft.com/office/excel/2006/main">
          <x14:cfRule type="containsText" priority="1364" operator="containsText" id="{62D6E143-89A1-314A-9487-FEA6D5A2EE74}">
            <xm:f>NOT(ISERROR(SEARCH("Value Missing",D482)))</xm:f>
            <xm:f>"Value Missing"</xm:f>
            <x14:dxf>
              <font>
                <color rgb="FF9C0006"/>
              </font>
              <fill>
                <patternFill>
                  <bgColor rgb="FFFFC7CE"/>
                </patternFill>
              </fill>
            </x14:dxf>
          </x14:cfRule>
          <x14:cfRule type="notContainsText" priority="1383" operator="notContains" id="{49F6CC51-DE8E-714B-9C1F-40DA645C2835}">
            <xm:f>ISERROR(SEARCH("Value Missing",D482))</xm:f>
            <xm:f>"Value Missing"</xm:f>
            <x14:dxf>
              <font>
                <color rgb="FF006100"/>
              </font>
              <fill>
                <patternFill>
                  <bgColor rgb="FFC6EFCE"/>
                </patternFill>
              </fill>
            </x14:dxf>
          </x14:cfRule>
          <x14:cfRule type="containsText" priority="1384" operator="containsText" id="{56B65F28-356D-6E4F-B302-58055FD41F1F}">
            <xm:f>NOT(ISERROR(SEARCH("Value Missing",D482)))</xm:f>
            <xm:f>"Value Missing"</xm:f>
            <x14:dxf>
              <font>
                <color rgb="FF9C0006"/>
              </font>
              <fill>
                <patternFill>
                  <bgColor rgb="FFFFC7CE"/>
                </patternFill>
              </fill>
            </x14:dxf>
          </x14:cfRule>
          <xm:sqref>D482</xm:sqref>
        </x14:conditionalFormatting>
        <x14:conditionalFormatting xmlns:xm="http://schemas.microsoft.com/office/excel/2006/main">
          <x14:cfRule type="notContainsText" priority="1381" operator="notContains" id="{0388C714-F489-944F-8598-63272EB053AC}">
            <xm:f>ISERROR(SEARCH("Value Missing",D486))</xm:f>
            <xm:f>"Value Missing"</xm:f>
            <x14:dxf>
              <font>
                <color rgb="FF006100"/>
              </font>
              <fill>
                <patternFill>
                  <bgColor rgb="FFC6EFCE"/>
                </patternFill>
              </fill>
            </x14:dxf>
          </x14:cfRule>
          <x14:cfRule type="containsText" priority="1382" operator="containsText" id="{FC0B30CE-7B84-7245-8375-0D533AB472BE}">
            <xm:f>NOT(ISERROR(SEARCH("Value Missing",D486)))</xm:f>
            <xm:f>"Value Missing"</xm:f>
            <x14:dxf>
              <font>
                <color rgb="FF9C0006"/>
              </font>
              <fill>
                <patternFill>
                  <bgColor rgb="FFFFC7CE"/>
                </patternFill>
              </fill>
            </x14:dxf>
          </x14:cfRule>
          <xm:sqref>D486:D489 D491 D493:D495 D497 D499</xm:sqref>
        </x14:conditionalFormatting>
        <x14:conditionalFormatting xmlns:xm="http://schemas.microsoft.com/office/excel/2006/main">
          <x14:cfRule type="containsText" priority="814" operator="containsText" id="{F4233566-88A1-B04F-ABEA-4FE8E8B10ECB}">
            <xm:f>NOT(ISERROR(SEARCH("Value Missing",D488)))</xm:f>
            <xm:f>"Value Missing"</xm:f>
            <x14:dxf>
              <font>
                <color rgb="FF9C0006"/>
              </font>
              <fill>
                <patternFill>
                  <bgColor rgb="FFFFC7CE"/>
                </patternFill>
              </fill>
            </x14:dxf>
          </x14:cfRule>
          <xm:sqref>D488:D489 D491 D493:D495 D497 D499:D501 D503 D519 D521 D523 D525:D526 D528 D530:D540 D542 D544 D546:D595 D597 D599:D613 D615 D617:D621 D623 D625:D627 D629 D631 D633 D635:D638 D640 D642:D645 D647 D649:D654 D656 D658:D659 D661 D663:D670 D672 D674:D685</xm:sqref>
        </x14:conditionalFormatting>
        <x14:conditionalFormatting xmlns:xm="http://schemas.microsoft.com/office/excel/2006/main">
          <x14:cfRule type="notContainsText" priority="391" operator="notContains" id="{2377D6F7-74A4-8F46-84BD-5CDDF409C0F0}">
            <xm:f>ISERROR(SEARCH("Value Missing",D495))</xm:f>
            <xm:f>"Value Missing"</xm:f>
            <x14:dxf>
              <font>
                <color rgb="FF006100"/>
              </font>
              <fill>
                <patternFill>
                  <bgColor rgb="FFC6EFCE"/>
                </patternFill>
              </fill>
            </x14:dxf>
          </x14:cfRule>
          <x14:cfRule type="containsText" priority="392" operator="containsText" id="{5D17FA0A-1BEC-BE4E-9A36-FEF9E59E7DB5}">
            <xm:f>NOT(ISERROR(SEARCH("Value Missing",D495)))</xm:f>
            <xm:f>"Value Missing"</xm:f>
            <x14:dxf>
              <font>
                <color rgb="FF9C0006"/>
              </font>
              <fill>
                <patternFill>
                  <bgColor rgb="FFFFC7CE"/>
                </patternFill>
              </fill>
            </x14:dxf>
          </x14:cfRule>
          <x14:cfRule type="notContainsText" priority="393" operator="notContains" id="{72228F49-276A-324E-8B34-A3C36557470D}">
            <xm:f>ISERROR(SEARCH("Value Missing",D495))</xm:f>
            <xm:f>"Value Missing"</xm:f>
            <x14:dxf>
              <font>
                <color rgb="FF006100"/>
              </font>
              <fill>
                <patternFill>
                  <bgColor rgb="FFC6EFCE"/>
                </patternFill>
              </fill>
            </x14:dxf>
          </x14:cfRule>
          <x14:cfRule type="containsText" priority="394" operator="containsText" id="{5BDFFA1B-F28C-634C-BFB4-2222B3753C7E}">
            <xm:f>NOT(ISERROR(SEARCH("Value Missing",D495)))</xm:f>
            <xm:f>"Value Missing"</xm:f>
            <x14:dxf>
              <font>
                <color rgb="FF9C0006"/>
              </font>
              <fill>
                <patternFill>
                  <bgColor rgb="FFFFC7CE"/>
                </patternFill>
              </fill>
            </x14:dxf>
          </x14:cfRule>
          <xm:sqref>D495</xm:sqref>
        </x14:conditionalFormatting>
        <x14:conditionalFormatting xmlns:xm="http://schemas.microsoft.com/office/excel/2006/main">
          <x14:cfRule type="notContainsText" priority="384" operator="notContains" id="{DB258346-BF0C-834D-B45D-310DDEF19A0A}">
            <xm:f>ISERROR(SEARCH("Value Missing",D500))</xm:f>
            <xm:f>"Value Missing"</xm:f>
            <x14:dxf>
              <font>
                <color rgb="FF006100"/>
              </font>
              <fill>
                <patternFill>
                  <bgColor rgb="FFC6EFCE"/>
                </patternFill>
              </fill>
            </x14:dxf>
          </x14:cfRule>
          <x14:cfRule type="containsText" priority="385" operator="containsText" id="{32F7DE7A-C8E5-9D42-829A-E4C89CA07BE3}">
            <xm:f>NOT(ISERROR(SEARCH("Value Missing",D500)))</xm:f>
            <xm:f>"Value Missing"</xm:f>
            <x14:dxf>
              <font>
                <color rgb="FF9C0006"/>
              </font>
              <fill>
                <patternFill>
                  <bgColor rgb="FFFFC7CE"/>
                </patternFill>
              </fill>
            </x14:dxf>
          </x14:cfRule>
          <xm:sqref>D500:D501</xm:sqref>
        </x14:conditionalFormatting>
        <x14:conditionalFormatting xmlns:xm="http://schemas.microsoft.com/office/excel/2006/main">
          <x14:cfRule type="containsText" priority="398" operator="containsText" id="{C5D6B45D-023F-C54A-9FB5-E3600A0EE65A}">
            <xm:f>NOT(ISERROR(SEARCH("Value Missing",D538)))</xm:f>
            <xm:f>"Value Missing"</xm:f>
            <x14:dxf>
              <font>
                <color rgb="FF9C0006"/>
              </font>
              <fill>
                <patternFill>
                  <bgColor rgb="FFFFC7CE"/>
                </patternFill>
              </fill>
            </x14:dxf>
          </x14:cfRule>
          <x14:cfRule type="notContainsText" priority="397" operator="notContains" id="{307D198E-FEA6-E24D-A964-4234A6DDE3A5}">
            <xm:f>ISERROR(SEARCH("Value Missing",D538))</xm:f>
            <xm:f>"Value Missing"</xm:f>
            <x14:dxf>
              <font>
                <color rgb="FF006100"/>
              </font>
              <fill>
                <patternFill>
                  <bgColor rgb="FFC6EFCE"/>
                </patternFill>
              </fill>
            </x14:dxf>
          </x14:cfRule>
          <xm:sqref>D538:D539</xm:sqref>
        </x14:conditionalFormatting>
        <x14:conditionalFormatting xmlns:xm="http://schemas.microsoft.com/office/excel/2006/main">
          <x14:cfRule type="notContainsText" priority="813" operator="notContains" id="{F8AAB419-0A11-B244-8990-06F196FD3303}">
            <xm:f>ISERROR(SEARCH("Value Missing",D488))</xm:f>
            <xm:f>"Value Missing"</xm:f>
            <x14:dxf>
              <font>
                <color rgb="FF006100"/>
              </font>
              <fill>
                <patternFill>
                  <bgColor rgb="FFC6EFCE"/>
                </patternFill>
              </fill>
            </x14:dxf>
          </x14:cfRule>
          <xm:sqref>D546:D595 D617:D621 D625:D627 D629 D631 D633 D635:D638 D640 D642:D645 D647 D649:D654 D658:D659 D656 D661 D663:D670 D672 D674:D685 D488:D489 D503 D530:D540 D542 D597 D599:D613 D493:D495 D499:D501 D491 D497 D519 D521 D523 D525:D526 D528 D544 D615 D623</xm:sqref>
        </x14:conditionalFormatting>
        <x14:conditionalFormatting xmlns:xm="http://schemas.microsoft.com/office/excel/2006/main">
          <x14:cfRule type="containsText" priority="796" operator="containsText" id="{04CA5AAA-0F1D-2044-9979-0DEFB1138917}">
            <xm:f>NOT(ISERROR(SEARCH("Value Missing",D546)))</xm:f>
            <xm:f>"Value Missing"</xm:f>
            <x14:dxf>
              <font>
                <color rgb="FF9C0006"/>
              </font>
              <fill>
                <patternFill>
                  <bgColor rgb="FFFFC7CE"/>
                </patternFill>
              </fill>
            </x14:dxf>
          </x14:cfRule>
          <x14:cfRule type="notContainsText" priority="795" operator="notContains" id="{5075AB93-7EF6-4D4C-993E-46D7A16E62D0}">
            <xm:f>ISERROR(SEARCH("Value Missing",D546))</xm:f>
            <xm:f>"Value Missing"</xm:f>
            <x14:dxf>
              <font>
                <color rgb="FF006100"/>
              </font>
              <fill>
                <patternFill>
                  <bgColor rgb="FFC6EFCE"/>
                </patternFill>
              </fill>
            </x14:dxf>
          </x14:cfRule>
          <xm:sqref>D546:D595</xm:sqref>
        </x14:conditionalFormatting>
        <x14:conditionalFormatting xmlns:xm="http://schemas.microsoft.com/office/excel/2006/main">
          <x14:cfRule type="containsText" priority="447" operator="containsText" id="{2A10E1EF-2BC6-C74E-8BDD-8D939ACBB787}">
            <xm:f>NOT(ISERROR(SEARCH("Value Missing",D563)))</xm:f>
            <xm:f>"Value Missing"</xm:f>
            <x14:dxf>
              <font>
                <color rgb="FF9C0006"/>
              </font>
              <fill>
                <patternFill>
                  <bgColor rgb="FFFFC7CE"/>
                </patternFill>
              </fill>
            </x14:dxf>
          </x14:cfRule>
          <xm:sqref>D563:D595 D597 D599:D601</xm:sqref>
        </x14:conditionalFormatting>
        <x14:conditionalFormatting xmlns:xm="http://schemas.microsoft.com/office/excel/2006/main">
          <x14:cfRule type="notContainsText" priority="446" operator="notContains" id="{A97678C0-F4DE-8340-8B16-89DE89D2A7FE}">
            <xm:f>ISERROR(SEARCH("Value Missing",D563))</xm:f>
            <xm:f>"Value Missing"</xm:f>
            <x14:dxf>
              <font>
                <color rgb="FF006100"/>
              </font>
              <fill>
                <patternFill>
                  <bgColor rgb="FFC6EFCE"/>
                </patternFill>
              </fill>
            </x14:dxf>
          </x14:cfRule>
          <xm:sqref>D599:D601 D563:D595 D597</xm:sqref>
        </x14:conditionalFormatting>
        <x14:conditionalFormatting xmlns:xm="http://schemas.microsoft.com/office/excel/2006/main">
          <x14:cfRule type="notContainsText" priority="444" operator="notContains" id="{1DC3E65B-6CD3-9149-8F5B-D25DC387B6A9}">
            <xm:f>ISERROR(SEARCH("Value Missing",D600))</xm:f>
            <xm:f>"Value Missing"</xm:f>
            <x14:dxf>
              <font>
                <color rgb="FF006100"/>
              </font>
              <fill>
                <patternFill>
                  <bgColor rgb="FFC6EFCE"/>
                </patternFill>
              </fill>
            </x14:dxf>
          </x14:cfRule>
          <x14:cfRule type="containsText" priority="445" operator="containsText" id="{D8A2194D-E0A9-DB41-8C21-6D41BE5E82C1}">
            <xm:f>NOT(ISERROR(SEARCH("Value Missing",D600)))</xm:f>
            <xm:f>"Value Missing"</xm:f>
            <x14:dxf>
              <font>
                <color rgb="FF9C0006"/>
              </font>
              <fill>
                <patternFill>
                  <bgColor rgb="FFFFC7CE"/>
                </patternFill>
              </fill>
            </x14:dxf>
          </x14:cfRule>
          <xm:sqref>D600</xm:sqref>
        </x14:conditionalFormatting>
        <x14:conditionalFormatting xmlns:xm="http://schemas.microsoft.com/office/excel/2006/main">
          <x14:cfRule type="notContainsText" priority="404" operator="notContains" id="{4115D953-1781-6346-8D1F-CD6376AB76A0}">
            <xm:f>ISERROR(SEARCH("Value Missing",D602))</xm:f>
            <xm:f>"Value Missing"</xm:f>
            <x14:dxf>
              <font>
                <color rgb="FF006100"/>
              </font>
              <fill>
                <patternFill>
                  <bgColor rgb="FFC6EFCE"/>
                </patternFill>
              </fill>
            </x14:dxf>
          </x14:cfRule>
          <x14:cfRule type="containsText" priority="405" operator="containsText" id="{6D225701-4ABF-4C46-B01D-3D9E3B0E9A70}">
            <xm:f>NOT(ISERROR(SEARCH("Value Missing",D602)))</xm:f>
            <xm:f>"Value Missing"</xm:f>
            <x14:dxf>
              <font>
                <color rgb="FF9C0006"/>
              </font>
              <fill>
                <patternFill>
                  <bgColor rgb="FFFFC7CE"/>
                </patternFill>
              </fill>
            </x14:dxf>
          </x14:cfRule>
          <xm:sqref>D602:D613</xm:sqref>
        </x14:conditionalFormatting>
        <x14:conditionalFormatting xmlns:xm="http://schemas.microsoft.com/office/excel/2006/main">
          <x14:cfRule type="containsText" priority="736" operator="containsText" id="{8E51DC06-A2D5-9C40-B8EA-F66BC5AC99DF}">
            <xm:f>NOT(ISERROR(SEARCH("Value Missing",D617)))</xm:f>
            <xm:f>"Value Missing"</xm:f>
            <x14:dxf>
              <font>
                <color rgb="FF9C0006"/>
              </font>
              <fill>
                <patternFill>
                  <bgColor rgb="FFFFC7CE"/>
                </patternFill>
              </fill>
            </x14:dxf>
          </x14:cfRule>
          <x14:cfRule type="notContainsText" priority="735" operator="notContains" id="{76AF8E15-3EB3-2F45-960A-221B5B4247AD}">
            <xm:f>ISERROR(SEARCH("Value Missing",D617))</xm:f>
            <xm:f>"Value Missing"</xm:f>
            <x14:dxf>
              <font>
                <color rgb="FF006100"/>
              </font>
              <fill>
                <patternFill>
                  <bgColor rgb="FFC6EFCE"/>
                </patternFill>
              </fill>
            </x14:dxf>
          </x14:cfRule>
          <xm:sqref>D617:D621</xm:sqref>
        </x14:conditionalFormatting>
        <x14:conditionalFormatting xmlns:xm="http://schemas.microsoft.com/office/excel/2006/main">
          <x14:cfRule type="containsText" priority="728" operator="containsText" id="{6D2DB0AC-CA5C-1743-9C41-9E90ED8570CF}">
            <xm:f>NOT(ISERROR(SEARCH("Value Missing",D625)))</xm:f>
            <xm:f>"Value Missing"</xm:f>
            <x14:dxf>
              <font>
                <color rgb="FF9C0006"/>
              </font>
              <fill>
                <patternFill>
                  <bgColor rgb="FFFFC7CE"/>
                </patternFill>
              </fill>
            </x14:dxf>
          </x14:cfRule>
          <xm:sqref>D625:D627 D629 D631 D633 D635:D638 D640 D642:D645 D647 D649:D653</xm:sqref>
        </x14:conditionalFormatting>
        <x14:conditionalFormatting xmlns:xm="http://schemas.microsoft.com/office/excel/2006/main">
          <x14:cfRule type="containsText" priority="704" operator="containsText" id="{8EA3E855-6BA9-0248-A2C5-880678413658}">
            <xm:f>NOT(ISERROR(SEARCH("Value Missing",D627)))</xm:f>
            <xm:f>"Value Missing"</xm:f>
            <x14:dxf>
              <font>
                <color rgb="FF9C0006"/>
              </font>
              <fill>
                <patternFill>
                  <bgColor rgb="FFFFC7CE"/>
                </patternFill>
              </fill>
            </x14:dxf>
          </x14:cfRule>
          <xm:sqref>D627 D629 D631</xm:sqref>
        </x14:conditionalFormatting>
        <x14:conditionalFormatting xmlns:xm="http://schemas.microsoft.com/office/excel/2006/main">
          <x14:cfRule type="containsText" priority="726" operator="containsText" id="{1C136920-0779-834F-BE27-A4F975CAA13E}">
            <xm:f>NOT(ISERROR(SEARCH("Value Missing",D629)))</xm:f>
            <xm:f>"Value Missing"</xm:f>
            <x14:dxf>
              <font>
                <color rgb="FF9C0006"/>
              </font>
              <fill>
                <patternFill>
                  <bgColor rgb="FFFFC7CE"/>
                </patternFill>
              </fill>
            </x14:dxf>
          </x14:cfRule>
          <x14:cfRule type="notContainsText" priority="725" operator="notContains" id="{758F6CDC-26BC-1047-B24E-B226A9F10D8F}">
            <xm:f>ISERROR(SEARCH("Value Missing",D629))</xm:f>
            <xm:f>"Value Missing"</xm:f>
            <x14:dxf>
              <font>
                <color rgb="FF006100"/>
              </font>
              <fill>
                <patternFill>
                  <bgColor rgb="FFC6EFCE"/>
                </patternFill>
              </fill>
            </x14:dxf>
          </x14:cfRule>
          <xm:sqref>D629 D631 D635:D637 D643:D645 D658:D659</xm:sqref>
        </x14:conditionalFormatting>
        <x14:conditionalFormatting xmlns:xm="http://schemas.microsoft.com/office/excel/2006/main">
          <x14:cfRule type="notContainsText" priority="727" operator="notContains" id="{2C527F74-098A-6848-A7AA-1E47C668D58E}">
            <xm:f>ISERROR(SEARCH("Value Missing",D625))</xm:f>
            <xm:f>"Value Missing"</xm:f>
            <x14:dxf>
              <font>
                <color rgb="FF006100"/>
              </font>
              <fill>
                <patternFill>
                  <bgColor rgb="FFC6EFCE"/>
                </patternFill>
              </fill>
            </x14:dxf>
          </x14:cfRule>
          <xm:sqref>D629 D631 D635:D638 D642:D645 D625:D627 D633 D640 D647 D649:D653</xm:sqref>
        </x14:conditionalFormatting>
        <x14:conditionalFormatting xmlns:xm="http://schemas.microsoft.com/office/excel/2006/main">
          <x14:cfRule type="notContainsText" priority="703" operator="notContains" id="{9DD555A6-DAF6-2740-B15E-A8396D033E07}">
            <xm:f>ISERROR(SEARCH("Value Missing",D627))</xm:f>
            <xm:f>"Value Missing"</xm:f>
            <x14:dxf>
              <font>
                <color rgb="FF006100"/>
              </font>
              <fill>
                <patternFill>
                  <bgColor rgb="FFC6EFCE"/>
                </patternFill>
              </fill>
            </x14:dxf>
          </x14:cfRule>
          <xm:sqref>D631 D627 D629</xm:sqref>
        </x14:conditionalFormatting>
        <x14:conditionalFormatting xmlns:xm="http://schemas.microsoft.com/office/excel/2006/main">
          <x14:cfRule type="containsText" priority="688" operator="containsText" id="{5CBC27FB-C5F0-374B-9E44-4CC9A2BCD13F}">
            <xm:f>NOT(ISERROR(SEARCH("Value Missing",D631)))</xm:f>
            <xm:f>"Value Missing"</xm:f>
            <x14:dxf>
              <font>
                <color rgb="FF9C0006"/>
              </font>
              <fill>
                <patternFill>
                  <bgColor rgb="FFFFC7CE"/>
                </patternFill>
              </fill>
            </x14:dxf>
          </x14:cfRule>
          <x14:cfRule type="notContainsText" priority="687" operator="notContains" id="{8F37652C-B7BC-4546-A064-ED346D293E8B}">
            <xm:f>ISERROR(SEARCH("Value Missing",D631))</xm:f>
            <xm:f>"Value Missing"</xm:f>
            <x14:dxf>
              <font>
                <color rgb="FF006100"/>
              </font>
              <fill>
                <patternFill>
                  <bgColor rgb="FFC6EFCE"/>
                </patternFill>
              </fill>
            </x14:dxf>
          </x14:cfRule>
          <xm:sqref>D631</xm:sqref>
        </x14:conditionalFormatting>
        <x14:conditionalFormatting xmlns:xm="http://schemas.microsoft.com/office/excel/2006/main">
          <x14:cfRule type="containsText" priority="698" operator="containsText" id="{F5CA1FEA-FE28-E74E-92BB-C5D5087C992F}">
            <xm:f>NOT(ISERROR(SEARCH("Value Missing",D633)))</xm:f>
            <xm:f>"Value Missing"</xm:f>
            <x14:dxf>
              <font>
                <color rgb="FF9C0006"/>
              </font>
              <fill>
                <patternFill>
                  <bgColor rgb="FFFFC7CE"/>
                </patternFill>
              </fill>
            </x14:dxf>
          </x14:cfRule>
          <xm:sqref>D633 D635:D638 D640 D642:D645 D647 D649:D654 D656 D658:D659 D661 D663:D670 D672 D674:D685 D687 D689:D693 D695 D697:D699 D701 D703:D706</xm:sqref>
        </x14:conditionalFormatting>
        <x14:conditionalFormatting xmlns:xm="http://schemas.microsoft.com/office/excel/2006/main">
          <x14:cfRule type="notContainsText" priority="697" operator="notContains" id="{DCFDF402-1C84-3549-99E7-5D0446C4848D}">
            <xm:f>ISERROR(SEARCH("Value Missing",D633))</xm:f>
            <xm:f>"Value Missing"</xm:f>
            <x14:dxf>
              <font>
                <color rgb="FF006100"/>
              </font>
              <fill>
                <patternFill>
                  <bgColor rgb="FFC6EFCE"/>
                </patternFill>
              </fill>
            </x14:dxf>
          </x14:cfRule>
          <xm:sqref>D633 D635:D638 D640 D642:D645 D647 D649:D654 D656 D658:D659 D661 D663:D670 D672 D674:D685 D687 D689:D693 D695 D697:D699 D703:D706 D701</xm:sqref>
        </x14:conditionalFormatting>
        <x14:conditionalFormatting xmlns:xm="http://schemas.microsoft.com/office/excel/2006/main">
          <x14:cfRule type="containsText" priority="686" operator="containsText" id="{DD878EFE-D6D1-CB4D-BDCD-1570E301AEFD}">
            <xm:f>NOT(ISERROR(SEARCH("Value Missing",D633)))</xm:f>
            <xm:f>"Value Missing"</xm:f>
            <x14:dxf>
              <font>
                <color rgb="FF9C0006"/>
              </font>
              <fill>
                <patternFill>
                  <bgColor rgb="FFFFC7CE"/>
                </patternFill>
              </fill>
            </x14:dxf>
          </x14:cfRule>
          <xm:sqref>D633 D635:D638 D640</xm:sqref>
        </x14:conditionalFormatting>
        <x14:conditionalFormatting xmlns:xm="http://schemas.microsoft.com/office/excel/2006/main">
          <x14:cfRule type="containsText" priority="684" operator="containsText" id="{A90BADBA-9BE1-A243-99A9-34B29AF32D50}">
            <xm:f>NOT(ISERROR(SEARCH("Value Missing",D635)))</xm:f>
            <xm:f>"Value Missing"</xm:f>
            <x14:dxf>
              <font>
                <color rgb="FF9C0006"/>
              </font>
              <fill>
                <patternFill>
                  <bgColor rgb="FFFFC7CE"/>
                </patternFill>
              </fill>
            </x14:dxf>
          </x14:cfRule>
          <x14:cfRule type="notContainsText" priority="683" operator="notContains" id="{7DEF0895-DD44-C344-90A1-13484C138985}">
            <xm:f>ISERROR(SEARCH("Value Missing",D635))</xm:f>
            <xm:f>"Value Missing"</xm:f>
            <x14:dxf>
              <font>
                <color rgb="FF006100"/>
              </font>
              <fill>
                <patternFill>
                  <bgColor rgb="FFC6EFCE"/>
                </patternFill>
              </fill>
            </x14:dxf>
          </x14:cfRule>
          <xm:sqref>D635</xm:sqref>
        </x14:conditionalFormatting>
        <x14:conditionalFormatting xmlns:xm="http://schemas.microsoft.com/office/excel/2006/main">
          <x14:cfRule type="notContainsText" priority="685" operator="notContains" id="{219078AD-9109-564D-ADE4-D3E8D3A8AEEA}">
            <xm:f>ISERROR(SEARCH("Value Missing",D633))</xm:f>
            <xm:f>"Value Missing"</xm:f>
            <x14:dxf>
              <font>
                <color rgb="FF006100"/>
              </font>
              <fill>
                <patternFill>
                  <bgColor rgb="FFC6EFCE"/>
                </patternFill>
              </fill>
            </x14:dxf>
          </x14:cfRule>
          <xm:sqref>D635:D636 D633</xm:sqref>
        </x14:conditionalFormatting>
        <x14:conditionalFormatting xmlns:xm="http://schemas.microsoft.com/office/excel/2006/main">
          <x14:cfRule type="containsText" priority="672" operator="containsText" id="{29D1B28D-ED21-A04A-B340-132905B4FDA6}">
            <xm:f>NOT(ISERROR(SEARCH("Value Missing",D637)))</xm:f>
            <xm:f>"Value Missing"</xm:f>
            <x14:dxf>
              <font>
                <color rgb="FF9C0006"/>
              </font>
              <fill>
                <patternFill>
                  <bgColor rgb="FFFFC7CE"/>
                </patternFill>
              </fill>
            </x14:dxf>
          </x14:cfRule>
          <x14:cfRule type="notContainsText" priority="671" operator="notContains" id="{AF3FC4DB-9CE6-6746-9867-6D543A35D96C}">
            <xm:f>ISERROR(SEARCH("Value Missing",D637))</xm:f>
            <xm:f>"Value Missing"</xm:f>
            <x14:dxf>
              <font>
                <color rgb="FF006100"/>
              </font>
              <fill>
                <patternFill>
                  <bgColor rgb="FFC6EFCE"/>
                </patternFill>
              </fill>
            </x14:dxf>
          </x14:cfRule>
          <xm:sqref>D637:D638</xm:sqref>
        </x14:conditionalFormatting>
        <x14:conditionalFormatting xmlns:xm="http://schemas.microsoft.com/office/excel/2006/main">
          <x14:cfRule type="containsText" priority="670" operator="containsText" id="{268FFB3E-D844-714C-B579-09040A8C517C}">
            <xm:f>NOT(ISERROR(SEARCH("Value Missing",D638)))</xm:f>
            <xm:f>"Value Missing"</xm:f>
            <x14:dxf>
              <font>
                <color rgb="FF9C0006"/>
              </font>
              <fill>
                <patternFill>
                  <bgColor rgb="FFFFC7CE"/>
                </patternFill>
              </fill>
            </x14:dxf>
          </x14:cfRule>
          <x14:cfRule type="notContainsText" priority="669" operator="notContains" id="{9DE25E4D-D1B7-FF40-ACBE-A754842B359C}">
            <xm:f>ISERROR(SEARCH("Value Missing",D638))</xm:f>
            <xm:f>"Value Missing"</xm:f>
            <x14:dxf>
              <font>
                <color rgb="FF006100"/>
              </font>
              <fill>
                <patternFill>
                  <bgColor rgb="FFC6EFCE"/>
                </patternFill>
              </fill>
            </x14:dxf>
          </x14:cfRule>
          <xm:sqref>D638</xm:sqref>
        </x14:conditionalFormatting>
        <x14:conditionalFormatting xmlns:xm="http://schemas.microsoft.com/office/excel/2006/main">
          <x14:cfRule type="containsText" priority="668" operator="containsText" id="{062465E6-EB24-7C42-B96D-E76B8DDA4401}">
            <xm:f>NOT(ISERROR(SEARCH("Value Missing",D642)))</xm:f>
            <xm:f>"Value Missing"</xm:f>
            <x14:dxf>
              <font>
                <color rgb="FF9C0006"/>
              </font>
              <fill>
                <patternFill>
                  <bgColor rgb="FFFFC7CE"/>
                </patternFill>
              </fill>
            </x14:dxf>
          </x14:cfRule>
          <x14:cfRule type="notContainsText" priority="667" operator="notContains" id="{B2E73193-E101-D646-8D4B-BCB7379536AB}">
            <xm:f>ISERROR(SEARCH("Value Missing",D642))</xm:f>
            <xm:f>"Value Missing"</xm:f>
            <x14:dxf>
              <font>
                <color rgb="FF006100"/>
              </font>
              <fill>
                <patternFill>
                  <bgColor rgb="FFC6EFCE"/>
                </patternFill>
              </fill>
            </x14:dxf>
          </x14:cfRule>
          <x14:cfRule type="containsText" priority="666" operator="containsText" id="{98C4F7A0-55C6-BE44-87D3-27E88244D9BC}">
            <xm:f>NOT(ISERROR(SEARCH("Value Missing",D642)))</xm:f>
            <xm:f>"Value Missing"</xm:f>
            <x14:dxf>
              <font>
                <color rgb="FF9C0006"/>
              </font>
              <fill>
                <patternFill>
                  <bgColor rgb="FFFFC7CE"/>
                </patternFill>
              </fill>
            </x14:dxf>
          </x14:cfRule>
          <x14:cfRule type="notContainsText" priority="665" operator="notContains" id="{4F6C97AF-C5E7-5A4D-927C-87C31F430D71}">
            <xm:f>ISERROR(SEARCH("Value Missing",D642))</xm:f>
            <xm:f>"Value Missing"</xm:f>
            <x14:dxf>
              <font>
                <color rgb="FF006100"/>
              </font>
              <fill>
                <patternFill>
                  <bgColor rgb="FFC6EFCE"/>
                </patternFill>
              </fill>
            </x14:dxf>
          </x14:cfRule>
          <xm:sqref>D642</xm:sqref>
        </x14:conditionalFormatting>
        <x14:conditionalFormatting xmlns:xm="http://schemas.microsoft.com/office/excel/2006/main">
          <x14:cfRule type="notContainsText" priority="677" operator="notContains" id="{1F90DF97-FD82-4C41-A19A-B6EDF6FCD116}">
            <xm:f>ISERROR(SEARCH("Value Missing",D640))</xm:f>
            <xm:f>"Value Missing"</xm:f>
            <x14:dxf>
              <font>
                <color rgb="FF006100"/>
              </font>
              <fill>
                <patternFill>
                  <bgColor rgb="FFC6EFCE"/>
                </patternFill>
              </fill>
            </x14:dxf>
          </x14:cfRule>
          <xm:sqref>D642:D645 D640</xm:sqref>
        </x14:conditionalFormatting>
        <x14:conditionalFormatting xmlns:xm="http://schemas.microsoft.com/office/excel/2006/main">
          <x14:cfRule type="containsText" priority="678" operator="containsText" id="{0B90EADE-C980-F149-A2FC-C636E4BFB6EB}">
            <xm:f>NOT(ISERROR(SEARCH("Value Missing",D642)))</xm:f>
            <xm:f>"Value Missing"</xm:f>
            <x14:dxf>
              <font>
                <color rgb="FF9C0006"/>
              </font>
              <fill>
                <patternFill>
                  <bgColor rgb="FFFFC7CE"/>
                </patternFill>
              </fill>
            </x14:dxf>
          </x14:cfRule>
          <xm:sqref>D642:D645</xm:sqref>
        </x14:conditionalFormatting>
        <x14:conditionalFormatting xmlns:xm="http://schemas.microsoft.com/office/excel/2006/main">
          <x14:cfRule type="containsText" priority="660" operator="containsText" id="{90C33556-F2B8-0F47-954A-933AC57367D6}">
            <xm:f>NOT(ISERROR(SEARCH("Value Missing",D645)))</xm:f>
            <xm:f>"Value Missing"</xm:f>
            <x14:dxf>
              <font>
                <color rgb="FF9C0006"/>
              </font>
              <fill>
                <patternFill>
                  <bgColor rgb="FFFFC7CE"/>
                </patternFill>
              </fill>
            </x14:dxf>
          </x14:cfRule>
          <xm:sqref>D645 D647 D649:D654 D656 D658:D659 D661 D663:D670 D672 D674:D685 D687 D689:D693 D695 D697:D699</xm:sqref>
        </x14:conditionalFormatting>
        <x14:conditionalFormatting xmlns:xm="http://schemas.microsoft.com/office/excel/2006/main">
          <x14:cfRule type="notContainsText" priority="547" operator="notContains" id="{4297A8F5-B9E6-2647-985A-C46EE91F56B2}">
            <xm:f>ISERROR(SEARCH("Value Missing",D661))</xm:f>
            <xm:f>"Value Missing"</xm:f>
            <x14:dxf>
              <font>
                <color rgb="FF006100"/>
              </font>
              <fill>
                <patternFill>
                  <bgColor rgb="FFC6EFCE"/>
                </patternFill>
              </fill>
            </x14:dxf>
          </x14:cfRule>
          <x14:cfRule type="containsText" priority="548" operator="containsText" id="{3CF8F556-C2CE-364A-B391-38A0BD1C5F5B}">
            <xm:f>NOT(ISERROR(SEARCH("Value Missing",D661)))</xm:f>
            <xm:f>"Value Missing"</xm:f>
            <x14:dxf>
              <font>
                <color rgb="FF9C0006"/>
              </font>
              <fill>
                <patternFill>
                  <bgColor rgb="FFFFC7CE"/>
                </patternFill>
              </fill>
            </x14:dxf>
          </x14:cfRule>
          <xm:sqref>D661</xm:sqref>
        </x14:conditionalFormatting>
        <x14:conditionalFormatting xmlns:xm="http://schemas.microsoft.com/office/excel/2006/main">
          <x14:cfRule type="containsText" priority="566" operator="containsText" id="{768620AE-5CF2-D54E-91AD-E4051F8F2B73}">
            <xm:f>NOT(ISERROR(SEARCH("Value Missing",D663)))</xm:f>
            <xm:f>"Value Missing"</xm:f>
            <x14:dxf>
              <font>
                <color rgb="FF9C0006"/>
              </font>
              <fill>
                <patternFill>
                  <bgColor rgb="FFFFC7CE"/>
                </patternFill>
              </fill>
            </x14:dxf>
          </x14:cfRule>
          <x14:cfRule type="notContainsText" priority="565" operator="notContains" id="{2E6EA25C-0608-D140-9853-A6E98728A3EB}">
            <xm:f>ISERROR(SEARCH("Value Missing",D663))</xm:f>
            <xm:f>"Value Missing"</xm:f>
            <x14:dxf>
              <font>
                <color rgb="FF006100"/>
              </font>
              <fill>
                <patternFill>
                  <bgColor rgb="FFC6EFCE"/>
                </patternFill>
              </fill>
            </x14:dxf>
          </x14:cfRule>
          <xm:sqref>D663</xm:sqref>
        </x14:conditionalFormatting>
        <x14:conditionalFormatting xmlns:xm="http://schemas.microsoft.com/office/excel/2006/main">
          <x14:cfRule type="containsText" priority="568" operator="containsText" id="{01AFD3FC-9A50-6149-898B-3BC42226188E}">
            <xm:f>NOT(ISERROR(SEARCH("Value Missing",D663)))</xm:f>
            <xm:f>"Value Missing"</xm:f>
            <x14:dxf>
              <font>
                <color rgb="FF9C0006"/>
              </font>
              <fill>
                <patternFill>
                  <bgColor rgb="FFFFC7CE"/>
                </patternFill>
              </fill>
            </x14:dxf>
          </x14:cfRule>
          <x14:cfRule type="notContainsText" priority="567" operator="notContains" id="{00D0BF69-B848-1F45-8847-4963244C6B28}">
            <xm:f>ISERROR(SEARCH("Value Missing",D663))</xm:f>
            <xm:f>"Value Missing"</xm:f>
            <x14:dxf>
              <font>
                <color rgb="FF006100"/>
              </font>
              <fill>
                <patternFill>
                  <bgColor rgb="FFC6EFCE"/>
                </patternFill>
              </fill>
            </x14:dxf>
          </x14:cfRule>
          <xm:sqref>D663:D664</xm:sqref>
        </x14:conditionalFormatting>
        <x14:conditionalFormatting xmlns:xm="http://schemas.microsoft.com/office/excel/2006/main">
          <x14:cfRule type="containsText" priority="558" operator="containsText" id="{6B0F2147-EC06-8947-BAD8-10F2585F0526}">
            <xm:f>NOT(ISERROR(SEARCH("Value Missing",D665)))</xm:f>
            <xm:f>"Value Missing"</xm:f>
            <x14:dxf>
              <font>
                <color rgb="FF9C0006"/>
              </font>
              <fill>
                <patternFill>
                  <bgColor rgb="FFFFC7CE"/>
                </patternFill>
              </fill>
            </x14:dxf>
          </x14:cfRule>
          <x14:cfRule type="notContainsText" priority="557" operator="notContains" id="{259E61B0-1E5F-2349-B3A9-18E0939D5BA9}">
            <xm:f>ISERROR(SEARCH("Value Missing",D665))</xm:f>
            <xm:f>"Value Missing"</xm:f>
            <x14:dxf>
              <font>
                <color rgb="FF006100"/>
              </font>
              <fill>
                <patternFill>
                  <bgColor rgb="FFC6EFCE"/>
                </patternFill>
              </fill>
            </x14:dxf>
          </x14:cfRule>
          <xm:sqref>D665:D666</xm:sqref>
        </x14:conditionalFormatting>
        <x14:conditionalFormatting xmlns:xm="http://schemas.microsoft.com/office/excel/2006/main">
          <x14:cfRule type="notContainsText" priority="553" operator="notContains" id="{47A1F71B-9D61-7B44-96BB-8A5C8573BCD3}">
            <xm:f>ISERROR(SEARCH("Value Missing",D666))</xm:f>
            <xm:f>"Value Missing"</xm:f>
            <x14:dxf>
              <font>
                <color rgb="FF006100"/>
              </font>
              <fill>
                <patternFill>
                  <bgColor rgb="FFC6EFCE"/>
                </patternFill>
              </fill>
            </x14:dxf>
          </x14:cfRule>
          <x14:cfRule type="containsText" priority="554" operator="containsText" id="{4BBD2FB5-C035-D942-96E5-231C7801D869}">
            <xm:f>NOT(ISERROR(SEARCH("Value Missing",D666)))</xm:f>
            <xm:f>"Value Missing"</xm:f>
            <x14:dxf>
              <font>
                <color rgb="FF9C0006"/>
              </font>
              <fill>
                <patternFill>
                  <bgColor rgb="FFFFC7CE"/>
                </patternFill>
              </fill>
            </x14:dxf>
          </x14:cfRule>
          <xm:sqref>D666:D668</xm:sqref>
        </x14:conditionalFormatting>
        <x14:conditionalFormatting xmlns:xm="http://schemas.microsoft.com/office/excel/2006/main">
          <x14:cfRule type="notContainsText" priority="551" operator="notContains" id="{DBB28069-80A5-DD47-8B94-80F6C3E11299}">
            <xm:f>ISERROR(SEARCH("Value Missing",D667))</xm:f>
            <xm:f>"Value Missing"</xm:f>
            <x14:dxf>
              <font>
                <color rgb="FF006100"/>
              </font>
              <fill>
                <patternFill>
                  <bgColor rgb="FFC6EFCE"/>
                </patternFill>
              </fill>
            </x14:dxf>
          </x14:cfRule>
          <x14:cfRule type="containsText" priority="552" operator="containsText" id="{3C341927-BF68-544D-B4E3-F0804A28F5B4}">
            <xm:f>NOT(ISERROR(SEARCH("Value Missing",D667)))</xm:f>
            <xm:f>"Value Missing"</xm:f>
            <x14:dxf>
              <font>
                <color rgb="FF9C0006"/>
              </font>
              <fill>
                <patternFill>
                  <bgColor rgb="FFFFC7CE"/>
                </patternFill>
              </fill>
            </x14:dxf>
          </x14:cfRule>
          <xm:sqref>D667</xm:sqref>
        </x14:conditionalFormatting>
        <x14:conditionalFormatting xmlns:xm="http://schemas.microsoft.com/office/excel/2006/main">
          <x14:cfRule type="notContainsText" priority="549" operator="notContains" id="{84867800-2672-9341-9FE4-73276B77CF98}">
            <xm:f>ISERROR(SEARCH("Value Missing",D669))</xm:f>
            <xm:f>"Value Missing"</xm:f>
            <x14:dxf>
              <font>
                <color rgb="FF006100"/>
              </font>
              <fill>
                <patternFill>
                  <bgColor rgb="FFC6EFCE"/>
                </patternFill>
              </fill>
            </x14:dxf>
          </x14:cfRule>
          <x14:cfRule type="containsText" priority="550" operator="containsText" id="{32728AA0-AABA-0F4E-B236-86E5061CA94F}">
            <xm:f>NOT(ISERROR(SEARCH("Value Missing",D669)))</xm:f>
            <xm:f>"Value Missing"</xm:f>
            <x14:dxf>
              <font>
                <color rgb="FF9C0006"/>
              </font>
              <fill>
                <patternFill>
                  <bgColor rgb="FFFFC7CE"/>
                </patternFill>
              </fill>
            </x14:dxf>
          </x14:cfRule>
          <xm:sqref>D669:D670</xm:sqref>
        </x14:conditionalFormatting>
        <x14:conditionalFormatting xmlns:xm="http://schemas.microsoft.com/office/excel/2006/main">
          <x14:cfRule type="notContainsText" priority="659" operator="notContains" id="{7AD25E27-752E-2E40-9BE8-249B01933984}">
            <xm:f>ISERROR(SEARCH("Value Missing",D645))</xm:f>
            <xm:f>"Value Missing"</xm:f>
            <x14:dxf>
              <font>
                <color rgb="FF006100"/>
              </font>
              <fill>
                <patternFill>
                  <bgColor rgb="FFC6EFCE"/>
                </patternFill>
              </fill>
            </x14:dxf>
          </x14:cfRule>
          <xm:sqref>D689:D693 D663:D670 D661 D645 D647 D649:D654 D656 D658:D659 D672 D674:D685 D687 D695 D697:D699</xm:sqref>
        </x14:conditionalFormatting>
        <x14:conditionalFormatting xmlns:xm="http://schemas.microsoft.com/office/excel/2006/main">
          <x14:cfRule type="notContainsText" priority="655" operator="notContains" id="{A6D516D5-72DC-F94D-B583-22274FA67A90}">
            <xm:f>ISERROR(SEARCH("Value Missing",D692))</xm:f>
            <xm:f>"Value Missing"</xm:f>
            <x14:dxf>
              <font>
                <color rgb="FF006100"/>
              </font>
              <fill>
                <patternFill>
                  <bgColor rgb="FFC6EFCE"/>
                </patternFill>
              </fill>
            </x14:dxf>
          </x14:cfRule>
          <x14:cfRule type="containsText" priority="656" operator="containsText" id="{339AF2BE-202F-A34E-9F74-2DFA9D20F326}">
            <xm:f>NOT(ISERROR(SEARCH("Value Missing",D692)))</xm:f>
            <xm:f>"Value Missing"</xm:f>
            <x14:dxf>
              <font>
                <color rgb="FF9C0006"/>
              </font>
              <fill>
                <patternFill>
                  <bgColor rgb="FFFFC7CE"/>
                </patternFill>
              </fill>
            </x14:dxf>
          </x14:cfRule>
          <xm:sqref>D692</xm:sqref>
        </x14:conditionalFormatting>
        <x14:conditionalFormatting xmlns:xm="http://schemas.microsoft.com/office/excel/2006/main">
          <x14:cfRule type="containsText" priority="576" operator="containsText" id="{ECF1663B-B146-D848-B7C2-A33AD90EB9E0}">
            <xm:f>NOT(ISERROR(SEARCH("Value Missing",D703)))</xm:f>
            <xm:f>"Value Missing"</xm:f>
            <x14:dxf>
              <font>
                <color rgb="FF9C0006"/>
              </font>
              <fill>
                <patternFill>
                  <bgColor rgb="FFFFC7CE"/>
                </patternFill>
              </fill>
            </x14:dxf>
          </x14:cfRule>
          <x14:cfRule type="notContainsText" priority="575" operator="notContains" id="{3884A932-B55A-1648-94C6-B649FCE78088}">
            <xm:f>ISERROR(SEARCH("Value Missing",D703))</xm:f>
            <xm:f>"Value Missing"</xm:f>
            <x14:dxf>
              <font>
                <color rgb="FF006100"/>
              </font>
              <fill>
                <patternFill>
                  <bgColor rgb="FFC6EFCE"/>
                </patternFill>
              </fill>
            </x14:dxf>
          </x14:cfRule>
          <xm:sqref>D703</xm:sqref>
        </x14:conditionalFormatting>
        <x14:conditionalFormatting xmlns:xm="http://schemas.microsoft.com/office/excel/2006/main">
          <x14:cfRule type="containsText" priority="654" operator="containsText" id="{6EA54059-1CD9-0941-9C2D-10045B87F904}">
            <xm:f>NOT(ISERROR(SEARCH("Value Missing",D704)))</xm:f>
            <xm:f>"Value Missing"</xm:f>
            <x14:dxf>
              <font>
                <color rgb="FF9C0006"/>
              </font>
              <fill>
                <patternFill>
                  <bgColor rgb="FFFFC7CE"/>
                </patternFill>
              </fill>
            </x14:dxf>
          </x14:cfRule>
          <x14:cfRule type="notContainsText" priority="653" operator="notContains" id="{FE6B16F7-92A1-1841-94B1-3DABD0240258}">
            <xm:f>ISERROR(SEARCH("Value Missing",D704))</xm:f>
            <xm:f>"Value Missing"</xm:f>
            <x14:dxf>
              <font>
                <color rgb="FF006100"/>
              </font>
              <fill>
                <patternFill>
                  <bgColor rgb="FFC6EFCE"/>
                </patternFill>
              </fill>
            </x14:dxf>
          </x14:cfRule>
          <xm:sqref>D704:D734</xm:sqref>
        </x14:conditionalFormatting>
        <x14:conditionalFormatting xmlns:xm="http://schemas.microsoft.com/office/excel/2006/main">
          <x14:cfRule type="containsText" priority="614" operator="containsText" id="{1D0EDC42-A5E1-D743-89ED-4E0B9998C92A}">
            <xm:f>NOT(ISERROR(SEARCH("Value Missing",D707)))</xm:f>
            <xm:f>"Value Missing"</xm:f>
            <x14:dxf>
              <font>
                <color rgb="FF9C0006"/>
              </font>
              <fill>
                <patternFill>
                  <bgColor rgb="FFFFC7CE"/>
                </patternFill>
              </fill>
            </x14:dxf>
          </x14:cfRule>
          <x14:cfRule type="notContainsText" priority="613" operator="notContains" id="{23BD88AB-89FA-FC49-9801-122D7FB1AF1E}">
            <xm:f>ISERROR(SEARCH("Value Missing",D707))</xm:f>
            <xm:f>"Value Missing"</xm:f>
            <x14:dxf>
              <font>
                <color rgb="FF006100"/>
              </font>
              <fill>
                <patternFill>
                  <bgColor rgb="FFC6EFCE"/>
                </patternFill>
              </fill>
            </x14:dxf>
          </x14:cfRule>
          <xm:sqref>D707:D714</xm:sqref>
        </x14:conditionalFormatting>
        <x14:conditionalFormatting xmlns:xm="http://schemas.microsoft.com/office/excel/2006/main">
          <x14:cfRule type="notContainsText" priority="631" operator="notContains" id="{1802EEBA-1216-AC4D-9EBF-FF9F5E57DD42}">
            <xm:f>ISERROR(SEARCH("Value Missing",D709))</xm:f>
            <xm:f>"Value Missing"</xm:f>
            <x14:dxf>
              <font>
                <color rgb="FF006100"/>
              </font>
              <fill>
                <patternFill>
                  <bgColor rgb="FFC6EFCE"/>
                </patternFill>
              </fill>
            </x14:dxf>
          </x14:cfRule>
          <x14:cfRule type="containsText" priority="632" operator="containsText" id="{FB851B95-3212-484B-B429-144CC0302513}">
            <xm:f>NOT(ISERROR(SEARCH("Value Missing",D709)))</xm:f>
            <xm:f>"Value Missing"</xm:f>
            <x14:dxf>
              <font>
                <color rgb="FF9C0006"/>
              </font>
              <fill>
                <patternFill>
                  <bgColor rgb="FFFFC7CE"/>
                </patternFill>
              </fill>
            </x14:dxf>
          </x14:cfRule>
          <xm:sqref>D709:D716</xm:sqref>
        </x14:conditionalFormatting>
        <x14:conditionalFormatting xmlns:xm="http://schemas.microsoft.com/office/excel/2006/main">
          <x14:cfRule type="containsText" priority="606" operator="containsText" id="{D30DD43D-67EE-4E4C-8E88-EA7824A124E5}">
            <xm:f>NOT(ISERROR(SEARCH("Value Missing",D717)))</xm:f>
            <xm:f>"Value Missing"</xm:f>
            <x14:dxf>
              <font>
                <color rgb="FF9C0006"/>
              </font>
              <fill>
                <patternFill>
                  <bgColor rgb="FFFFC7CE"/>
                </patternFill>
              </fill>
            </x14:dxf>
          </x14:cfRule>
          <x14:cfRule type="notContainsText" priority="605" operator="notContains" id="{EF9D72D7-24F0-E24F-A76E-31F6C782D3A0}">
            <xm:f>ISERROR(SEARCH("Value Missing",D717))</xm:f>
            <xm:f>"Value Missing"</xm:f>
            <x14:dxf>
              <font>
                <color rgb="FF006100"/>
              </font>
              <fill>
                <patternFill>
                  <bgColor rgb="FFC6EFCE"/>
                </patternFill>
              </fill>
            </x14:dxf>
          </x14:cfRule>
          <xm:sqref>D717:D727</xm:sqref>
        </x14:conditionalFormatting>
        <x14:conditionalFormatting xmlns:xm="http://schemas.microsoft.com/office/excel/2006/main">
          <x14:cfRule type="notContainsText" priority="603" operator="notContains" id="{25D70779-57DE-6F49-9064-F440821FB949}">
            <xm:f>ISERROR(SEARCH("Value Missing",D718))</xm:f>
            <xm:f>"Value Missing"</xm:f>
            <x14:dxf>
              <font>
                <color rgb="FF006100"/>
              </font>
              <fill>
                <patternFill>
                  <bgColor rgb="FFC6EFCE"/>
                </patternFill>
              </fill>
            </x14:dxf>
          </x14:cfRule>
          <x14:cfRule type="containsText" priority="604" operator="containsText" id="{48F6C27F-3BF7-CB41-977F-A097B741F747}">
            <xm:f>NOT(ISERROR(SEARCH("Value Missing",D718)))</xm:f>
            <xm:f>"Value Missing"</xm:f>
            <x14:dxf>
              <font>
                <color rgb="FF9C0006"/>
              </font>
              <fill>
                <patternFill>
                  <bgColor rgb="FFFFC7CE"/>
                </patternFill>
              </fill>
            </x14:dxf>
          </x14:cfRule>
          <xm:sqref>D718</xm:sqref>
        </x14:conditionalFormatting>
        <x14:conditionalFormatting xmlns:xm="http://schemas.microsoft.com/office/excel/2006/main">
          <x14:cfRule type="notContainsText" priority="627" operator="notContains" id="{0EC1A98E-BEDB-DA4A-B26A-5ECCB939C57E}">
            <xm:f>ISERROR(SEARCH("Value Missing",D722))</xm:f>
            <xm:f>"Value Missing"</xm:f>
            <x14:dxf>
              <font>
                <color rgb="FF006100"/>
              </font>
              <fill>
                <patternFill>
                  <bgColor rgb="FFC6EFCE"/>
                </patternFill>
              </fill>
            </x14:dxf>
          </x14:cfRule>
          <x14:cfRule type="containsText" priority="628" operator="containsText" id="{3BC29EF5-0D57-1B47-97F3-38135F510726}">
            <xm:f>NOT(ISERROR(SEARCH("Value Missing",D722)))</xm:f>
            <xm:f>"Value Missing"</xm:f>
            <x14:dxf>
              <font>
                <color rgb="FF9C0006"/>
              </font>
              <fill>
                <patternFill>
                  <bgColor rgb="FFFFC7CE"/>
                </patternFill>
              </fill>
            </x14:dxf>
          </x14:cfRule>
          <xm:sqref>D722:D729</xm:sqref>
        </x14:conditionalFormatting>
        <x14:conditionalFormatting xmlns:xm="http://schemas.microsoft.com/office/excel/2006/main">
          <x14:cfRule type="notContainsText" priority="589" operator="notContains" id="{DC6BEB60-D6F2-5440-AF43-25598B65F9C2}">
            <xm:f>ISERROR(SEARCH("Value Missing",D730))</xm:f>
            <xm:f>"Value Missing"</xm:f>
            <x14:dxf>
              <font>
                <color rgb="FF006100"/>
              </font>
              <fill>
                <patternFill>
                  <bgColor rgb="FFC6EFCE"/>
                </patternFill>
              </fill>
            </x14:dxf>
          </x14:cfRule>
          <x14:cfRule type="containsText" priority="590" operator="containsText" id="{E5E06B6A-2DAE-0643-B751-4A0EC06B3079}">
            <xm:f>NOT(ISERROR(SEARCH("Value Missing",D730)))</xm:f>
            <xm:f>"Value Missing"</xm:f>
            <x14:dxf>
              <font>
                <color rgb="FF9C0006"/>
              </font>
              <fill>
                <patternFill>
                  <bgColor rgb="FFFFC7CE"/>
                </patternFill>
              </fill>
            </x14:dxf>
          </x14:cfRule>
          <xm:sqref>D730:D742</xm:sqref>
        </x14:conditionalFormatting>
        <x14:conditionalFormatting xmlns:xm="http://schemas.microsoft.com/office/excel/2006/main">
          <x14:cfRule type="notContainsText" priority="587" operator="notContains" id="{FD31EF86-54C0-E646-9CF0-6AB189769177}">
            <xm:f>ISERROR(SEARCH("Value Missing",D741))</xm:f>
            <xm:f>"Value Missing"</xm:f>
            <x14:dxf>
              <font>
                <color rgb="FF006100"/>
              </font>
              <fill>
                <patternFill>
                  <bgColor rgb="FFC6EFCE"/>
                </patternFill>
              </fill>
            </x14:dxf>
          </x14:cfRule>
          <x14:cfRule type="containsText" priority="588" operator="containsText" id="{0FFB3D2E-EC6B-1844-A1DF-94E7BD511F99}">
            <xm:f>NOT(ISERROR(SEARCH("Value Missing",D741)))</xm:f>
            <xm:f>"Value Missing"</xm:f>
            <x14:dxf>
              <font>
                <color rgb="FF9C0006"/>
              </font>
              <fill>
                <patternFill>
                  <bgColor rgb="FFFFC7CE"/>
                </patternFill>
              </fill>
            </x14:dxf>
          </x14:cfRule>
          <xm:sqref>D741</xm:sqref>
        </x14:conditionalFormatting>
        <x14:conditionalFormatting xmlns:xm="http://schemas.microsoft.com/office/excel/2006/main">
          <x14:cfRule type="containsText" priority="574" operator="containsText" id="{640C9BA9-618C-EF44-AD42-F154486804F6}">
            <xm:f>NOT(ISERROR(SEARCH("Value Missing",D746)))</xm:f>
            <xm:f>"Value Missing"</xm:f>
            <x14:dxf>
              <font>
                <color rgb="FF9C0006"/>
              </font>
              <fill>
                <patternFill>
                  <bgColor rgb="FFFFC7CE"/>
                </patternFill>
              </fill>
            </x14:dxf>
          </x14:cfRule>
          <xm:sqref>D746:D748 D750 D752:D755</xm:sqref>
        </x14:conditionalFormatting>
        <x14:conditionalFormatting xmlns:xm="http://schemas.microsoft.com/office/excel/2006/main">
          <x14:cfRule type="notContainsText" priority="571" operator="notContains" id="{1B1E8618-F143-5342-9CF9-ABCEBB2287E9}">
            <xm:f>ISERROR(SEARCH("Value Missing",D752))</xm:f>
            <xm:f>"Value Missing"</xm:f>
            <x14:dxf>
              <font>
                <color rgb="FF006100"/>
              </font>
              <fill>
                <patternFill>
                  <bgColor rgb="FFC6EFCE"/>
                </patternFill>
              </fill>
            </x14:dxf>
          </x14:cfRule>
          <x14:cfRule type="containsText" priority="572" operator="containsText" id="{C2F5B54C-5E14-7C41-B02C-269F625A09A3}">
            <xm:f>NOT(ISERROR(SEARCH("Value Missing",D752)))</xm:f>
            <xm:f>"Value Missing"</xm:f>
            <x14:dxf>
              <font>
                <color rgb="FF9C0006"/>
              </font>
              <fill>
                <patternFill>
                  <bgColor rgb="FFFFC7CE"/>
                </patternFill>
              </fill>
            </x14:dxf>
          </x14:cfRule>
          <xm:sqref>D752</xm:sqref>
        </x14:conditionalFormatting>
        <x14:conditionalFormatting xmlns:xm="http://schemas.microsoft.com/office/excel/2006/main">
          <x14:cfRule type="notContainsText" priority="573" operator="notContains" id="{93AC9C77-2F57-004B-9661-FF27B74F65D9}">
            <xm:f>ISERROR(SEARCH("Value Missing",D746))</xm:f>
            <xm:f>"Value Missing"</xm:f>
            <x14:dxf>
              <font>
                <color rgb="FF006100"/>
              </font>
              <fill>
                <patternFill>
                  <bgColor rgb="FFC6EFCE"/>
                </patternFill>
              </fill>
            </x14:dxf>
          </x14:cfRule>
          <xm:sqref>D752:D755 D746:D748 D750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EF924-92E0-A74B-AB62-4F66A8C68F33}">
  <sheetPr codeName="Sheet22">
    <tabColor theme="7"/>
  </sheetPr>
  <dimension ref="B2:L470"/>
  <sheetViews>
    <sheetView workbookViewId="0">
      <pane ySplit="4" topLeftCell="A5" activePane="bottomLeft" state="frozen"/>
      <selection pane="bottomLeft"/>
    </sheetView>
  </sheetViews>
  <sheetFormatPr baseColWidth="10" defaultRowHeight="16"/>
  <cols>
    <col min="1" max="1" width="2.83203125" style="103" customWidth="1"/>
    <col min="2" max="2" width="10.83203125" style="103"/>
    <col min="3" max="3" width="48.83203125" style="103" bestFit="1" customWidth="1"/>
    <col min="4" max="4" width="76.6640625" style="273" bestFit="1" customWidth="1"/>
    <col min="5" max="5" width="10.83203125" style="103"/>
    <col min="6" max="6" width="48.83203125" style="103" bestFit="1" customWidth="1"/>
    <col min="7" max="7" width="10.83203125" style="103"/>
    <col min="8" max="8" width="44.5" style="103" bestFit="1" customWidth="1"/>
    <col min="9" max="9" width="77.83203125" style="103" bestFit="1" customWidth="1"/>
    <col min="10" max="10" width="10.83203125" style="103"/>
    <col min="11" max="11" width="44.5" style="103" bestFit="1" customWidth="1"/>
    <col min="12" max="12" width="77.83203125" style="103" bestFit="1" customWidth="1"/>
    <col min="13" max="16384" width="10.83203125" style="103"/>
  </cols>
  <sheetData>
    <row r="2" spans="2:9" s="106" customFormat="1" ht="54" customHeight="1">
      <c r="B2" s="524" t="e" vm="1">
        <v>#VALUE!</v>
      </c>
      <c r="C2" s="525"/>
      <c r="D2" s="495" t="s">
        <v>4659</v>
      </c>
      <c r="E2" s="526"/>
      <c r="F2" s="496"/>
      <c r="G2" s="103"/>
      <c r="H2" s="103"/>
      <c r="I2" s="103"/>
    </row>
    <row r="3" spans="2:9" s="106" customFormat="1">
      <c r="B3" s="527" t="s">
        <v>4557</v>
      </c>
      <c r="C3" s="528"/>
      <c r="D3" s="528"/>
      <c r="E3" s="528"/>
      <c r="F3" s="529"/>
      <c r="G3" s="103"/>
      <c r="H3" s="103"/>
      <c r="I3" s="103"/>
    </row>
    <row r="4" spans="2:9" s="106" customFormat="1">
      <c r="D4" s="130"/>
      <c r="E4" s="131"/>
      <c r="F4" s="131"/>
      <c r="G4" s="103"/>
    </row>
    <row r="5" spans="2:9">
      <c r="C5" s="279" t="str">
        <f>CONCATENATE("Layer 3 Multi Rack VI Workload Domain with ",wld_cl01_vds_profile," Networking Profile"," deployment JSON ")</f>
        <v xml:space="preserve">Layer 3 Multi Rack VI Workload Domain with Default Networking Profile deployment JSON </v>
      </c>
    </row>
    <row r="6" spans="2:9">
      <c r="C6" s="276" t="str" cm="1">
        <f t="array" aca="1" ref="C6:D423" ca="1">IF(input_wld_cl01_vds_profile="Default",wld_multirack_default_networking_json,IF(input_wld_cl01_vds_profile="Storage Traffic Separation",wld_multirack_storage_separation_networking_json,IF(input_wld_cl01_vds_profile="NSX Traffic Separation",wld_multirack_storage_nsx_separation_networking_json,IF(input_wld_cl01_vds_profile="Storage Traffic and NSX Traffic Separation",wld_multirack_storage_nsx_separation_networking_json,"Only JSON Specs for predefined netowrking profiles are generated "))))</f>
        <v/>
      </c>
      <c r="D6" s="277" t="str">
        <f ca="1"/>
        <v>{</v>
      </c>
      <c r="F6" s="279" t="s">
        <v>4566</v>
      </c>
      <c r="G6" s="279"/>
      <c r="H6" s="279"/>
    </row>
    <row r="7" spans="2:9">
      <c r="C7" s="275" t="str">
        <f ca="1"/>
        <v/>
      </c>
      <c r="D7" s="278" t="str">
        <f ca="1"/>
        <v>"domainName": "Value Missing",</v>
      </c>
      <c r="F7" s="279" t="s">
        <v>4565</v>
      </c>
      <c r="G7" s="279"/>
      <c r="H7" s="279"/>
    </row>
    <row r="8" spans="2:9">
      <c r="C8" s="275" t="str">
        <f ca="1"/>
        <v/>
      </c>
      <c r="D8" s="278" t="str">
        <f ca="1"/>
        <v>"orgName": "Value Missing",</v>
      </c>
      <c r="F8" s="279" t="s">
        <v>4558</v>
      </c>
      <c r="G8" s="279"/>
      <c r="H8" s="279"/>
    </row>
    <row r="9" spans="2:9">
      <c r="C9" s="275" t="str">
        <f ca="1"/>
        <v/>
      </c>
      <c r="D9" s="278" t="str">
        <f ca="1"/>
        <v>"vcenterSpec": {</v>
      </c>
      <c r="F9" s="279" t="s">
        <v>4559</v>
      </c>
      <c r="G9" s="279"/>
      <c r="H9" s="279"/>
    </row>
    <row r="10" spans="2:9">
      <c r="C10" s="275" t="str">
        <f ca="1"/>
        <v/>
      </c>
      <c r="D10" s="278" t="str">
        <f ca="1"/>
        <v>"name": "Value Missing",</v>
      </c>
    </row>
    <row r="11" spans="2:9">
      <c r="C11" s="275" t="str">
        <f ca="1"/>
        <v/>
      </c>
      <c r="D11" s="278" t="str">
        <f ca="1"/>
        <v>"networkDetailsSpec": {</v>
      </c>
    </row>
    <row r="12" spans="2:9">
      <c r="C12" s="275" t="str">
        <f ca="1"/>
        <v/>
      </c>
      <c r="D12" s="278" t="str">
        <f ca="1"/>
        <v>"ipAddress": "Value Missing",</v>
      </c>
    </row>
    <row r="13" spans="2:9">
      <c r="C13" s="275" t="str">
        <f ca="1"/>
        <v/>
      </c>
      <c r="D13" s="278" t="str">
        <f ca="1"/>
        <v>"dnsName": "Value Missing.Value Missing",</v>
      </c>
    </row>
    <row r="14" spans="2:9">
      <c r="C14" s="275" t="str">
        <f ca="1"/>
        <v/>
      </c>
      <c r="D14" s="278" t="str">
        <f ca="1"/>
        <v>"gateway": "Value Missing",</v>
      </c>
    </row>
    <row r="15" spans="2:9">
      <c r="C15" s="275" t="str">
        <f ca="1"/>
        <v/>
      </c>
      <c r="D15" s="278" t="str">
        <f ca="1"/>
        <v>"subnetMask": "Value Missing"</v>
      </c>
    </row>
    <row r="16" spans="2:9">
      <c r="C16" s="275" t="str">
        <f ca="1"/>
        <v/>
      </c>
      <c r="D16" s="278" t="str">
        <f ca="1"/>
        <v>},</v>
      </c>
    </row>
    <row r="17" spans="3:4">
      <c r="C17" s="275" t="str">
        <f ca="1"/>
        <v/>
      </c>
      <c r="D17" s="278" t="str">
        <f ca="1"/>
        <v>"rootPassword": "Value Missing",</v>
      </c>
    </row>
    <row r="18" spans="3:4">
      <c r="C18" s="275" t="str">
        <f ca="1"/>
        <v/>
      </c>
      <c r="D18" s="278" t="str">
        <f ca="1"/>
        <v>"datacenterName": "Value Missing",</v>
      </c>
    </row>
    <row r="19" spans="3:4">
      <c r="C19" s="275" t="str">
        <f ca="1"/>
        <v/>
      </c>
      <c r="D19" s="278" t="str">
        <f ca="1"/>
        <v>"vmSize": "Medium"</v>
      </c>
    </row>
    <row r="20" spans="3:4">
      <c r="C20" s="275" t="str">
        <f ca="1"/>
        <v/>
      </c>
      <c r="D20" s="278" t="str">
        <f ca="1"/>
        <v>},</v>
      </c>
    </row>
    <row r="21" spans="3:4">
      <c r="C21" s="275" t="str">
        <f ca="1"/>
        <v/>
      </c>
      <c r="D21" s="278" t="str">
        <f ca="1"/>
        <v>"computeSpec": {</v>
      </c>
    </row>
    <row r="22" spans="3:4">
      <c r="C22" s="275" t="str">
        <f ca="1"/>
        <v/>
      </c>
      <c r="D22" s="278" t="str">
        <f ca="1"/>
        <v>"clusterSpecs": [</v>
      </c>
    </row>
    <row r="23" spans="3:4">
      <c r="C23" s="275" t="str">
        <f ca="1"/>
        <v/>
      </c>
      <c r="D23" s="278" t="str">
        <f ca="1"/>
        <v>{</v>
      </c>
    </row>
    <row r="24" spans="3:4">
      <c r="C24" s="275" t="str">
        <f ca="1"/>
        <v/>
      </c>
      <c r="D24" s="278" t="str">
        <f ca="1"/>
        <v>"name": "Value Missing",</v>
      </c>
    </row>
    <row r="25" spans="3:4">
      <c r="C25" s="275" t="str">
        <f ca="1"/>
        <v/>
      </c>
      <c r="D25" s="278" t="str">
        <f ca="1"/>
        <v>"hostSpecs": [</v>
      </c>
    </row>
    <row r="26" spans="3:4">
      <c r="C26" s="275" t="str">
        <f ca="1"/>
        <v/>
      </c>
      <c r="D26" s="278" t="str">
        <f ca="1"/>
        <v>{</v>
      </c>
    </row>
    <row r="27" spans="3:4">
      <c r="C27" s="275" t="str">
        <f ca="1"/>
        <v>USE /v1/Hosts to list availaible hosts Detail incl ID's</v>
      </c>
      <c r="D27" s="278" t="str">
        <f ca="1"/>
        <v>"id": "&lt;------------Insert Host ID -------------&gt;",</v>
      </c>
    </row>
    <row r="28" spans="3:4">
      <c r="C28" s="275" t="str">
        <f ca="1"/>
        <v/>
      </c>
      <c r="D28" s="278" t="str">
        <f ca="1"/>
        <v>"licenseKey": "Value Missing",</v>
      </c>
    </row>
    <row r="29" spans="3:4">
      <c r="C29" s="275" t="str">
        <f ca="1"/>
        <v/>
      </c>
      <c r="D29" s="278" t="str">
        <f ca="1"/>
        <v>"hostname": "",</v>
      </c>
    </row>
    <row r="30" spans="3:4">
      <c r="C30" s="275" t="str">
        <f ca="1"/>
        <v/>
      </c>
      <c r="D30" s="278" t="str">
        <f ca="1"/>
        <v>"hostNetworkSpec": {</v>
      </c>
    </row>
    <row r="31" spans="3:4">
      <c r="C31" s="275" t="str">
        <f ca="1"/>
        <v/>
      </c>
      <c r="D31" s="278" t="str">
        <f ca="1"/>
        <v>"networkProfileName": "0",</v>
      </c>
    </row>
    <row r="32" spans="3:4">
      <c r="C32" s="275" t="str">
        <f ca="1"/>
        <v/>
      </c>
      <c r="D32" s="278" t="str">
        <f ca="1"/>
        <v>"vmNics": [</v>
      </c>
    </row>
    <row r="33" spans="3:4">
      <c r="C33" s="275" t="str">
        <f ca="1"/>
        <v/>
      </c>
      <c r="D33" s="278" t="str">
        <f ca="1"/>
        <v>{</v>
      </c>
    </row>
    <row r="34" spans="3:4">
      <c r="C34" s="275" t="str">
        <f ca="1"/>
        <v/>
      </c>
      <c r="D34" s="278" t="str">
        <f ca="1"/>
        <v>"id": "vmnic0",</v>
      </c>
    </row>
    <row r="35" spans="3:4">
      <c r="C35" s="275" t="str">
        <f ca="1"/>
        <v/>
      </c>
      <c r="D35" s="278" t="str">
        <f ca="1"/>
        <v>"vdsName": "Value Missing",</v>
      </c>
    </row>
    <row r="36" spans="3:4">
      <c r="C36" s="275" t="str">
        <f ca="1"/>
        <v/>
      </c>
      <c r="D36" s="278" t="str">
        <f ca="1"/>
        <v>"uplink": "uplink1"</v>
      </c>
    </row>
    <row r="37" spans="3:4">
      <c r="C37" s="275" t="str">
        <f ca="1"/>
        <v/>
      </c>
      <c r="D37" s="278" t="str">
        <f ca="1"/>
        <v>},</v>
      </c>
    </row>
    <row r="38" spans="3:4">
      <c r="C38" s="275" t="str">
        <f ca="1"/>
        <v/>
      </c>
      <c r="D38" s="278" t="str">
        <f ca="1"/>
        <v>{</v>
      </c>
    </row>
    <row r="39" spans="3:4">
      <c r="C39" s="275" t="str">
        <f ca="1"/>
        <v/>
      </c>
      <c r="D39" s="278" t="str">
        <f ca="1"/>
        <v>"id": "vmnic1",</v>
      </c>
    </row>
    <row r="40" spans="3:4">
      <c r="C40" s="275" t="str">
        <f ca="1"/>
        <v/>
      </c>
      <c r="D40" s="278" t="str">
        <f ca="1"/>
        <v>"vdsName": "Value Missing",</v>
      </c>
    </row>
    <row r="41" spans="3:4">
      <c r="C41" s="275" t="str">
        <f ca="1"/>
        <v/>
      </c>
      <c r="D41" s="278" t="str">
        <f ca="1"/>
        <v>"uplink": "uplink2"</v>
      </c>
    </row>
    <row r="42" spans="3:4">
      <c r="C42" s="275" t="str">
        <f ca="1"/>
        <v/>
      </c>
      <c r="D42" s="278" t="str">
        <f ca="1"/>
        <v>}</v>
      </c>
    </row>
    <row r="43" spans="3:4">
      <c r="C43" s="275" t="str">
        <f ca="1"/>
        <v/>
      </c>
      <c r="D43" s="278" t="str">
        <f ca="1"/>
        <v>]</v>
      </c>
    </row>
    <row r="44" spans="3:4">
      <c r="C44" s="275" t="str">
        <f ca="1"/>
        <v/>
      </c>
      <c r="D44" s="278" t="str">
        <f ca="1"/>
        <v>}</v>
      </c>
    </row>
    <row r="45" spans="3:4">
      <c r="C45" s="275" t="str">
        <f ca="1"/>
        <v/>
      </c>
      <c r="D45" s="278" t="str">
        <f ca="1"/>
        <v>},</v>
      </c>
    </row>
    <row r="46" spans="3:4">
      <c r="C46" s="275" t="str">
        <f ca="1"/>
        <v/>
      </c>
      <c r="D46" s="278" t="str">
        <f ca="1"/>
        <v>{</v>
      </c>
    </row>
    <row r="47" spans="3:4">
      <c r="C47" s="275" t="str">
        <f ca="1"/>
        <v/>
      </c>
      <c r="D47" s="278" t="str">
        <f ca="1"/>
        <v>"id": "&lt;------------Insert Host ID -------------&gt;",</v>
      </c>
    </row>
    <row r="48" spans="3:4">
      <c r="C48" s="275" t="str">
        <f ca="1"/>
        <v/>
      </c>
      <c r="D48" s="278" t="str">
        <f ca="1"/>
        <v>"licenseKey": "Value Missing",</v>
      </c>
    </row>
    <row r="49" spans="3:4">
      <c r="C49" s="275" t="str">
        <f ca="1"/>
        <v/>
      </c>
      <c r="D49" s="278" t="e">
        <f ca="1"/>
        <v>#VALUE!</v>
      </c>
    </row>
    <row r="50" spans="3:4">
      <c r="C50" s="275" t="str">
        <f ca="1"/>
        <v/>
      </c>
      <c r="D50" s="278" t="str">
        <f ca="1"/>
        <v>"hostNetworkSpec": {</v>
      </c>
    </row>
    <row r="51" spans="3:4">
      <c r="C51" s="275" t="str">
        <f ca="1"/>
        <v/>
      </c>
      <c r="D51" s="278" t="e">
        <f ca="1"/>
        <v>#N/A</v>
      </c>
    </row>
    <row r="52" spans="3:4">
      <c r="C52" s="275" t="str">
        <f ca="1"/>
        <v/>
      </c>
      <c r="D52" s="278" t="str">
        <f ca="1"/>
        <v>"vmNics": [</v>
      </c>
    </row>
    <row r="53" spans="3:4">
      <c r="C53" s="275" t="str">
        <f ca="1"/>
        <v/>
      </c>
      <c r="D53" s="278" t="str">
        <f ca="1"/>
        <v>{</v>
      </c>
    </row>
    <row r="54" spans="3:4">
      <c r="C54" s="275" t="str">
        <f ca="1"/>
        <v/>
      </c>
      <c r="D54" s="278" t="str">
        <f ca="1"/>
        <v>"id": "vmnic0",</v>
      </c>
    </row>
    <row r="55" spans="3:4">
      <c r="C55" s="275" t="str">
        <f ca="1"/>
        <v/>
      </c>
      <c r="D55" s="278" t="str">
        <f ca="1"/>
        <v>"vdsName": "Value Missing",</v>
      </c>
    </row>
    <row r="56" spans="3:4">
      <c r="C56" s="275" t="str">
        <f ca="1"/>
        <v/>
      </c>
      <c r="D56" s="278" t="str">
        <f ca="1"/>
        <v>"uplink": "uplink1"</v>
      </c>
    </row>
    <row r="57" spans="3:4">
      <c r="C57" s="275" t="str">
        <f ca="1"/>
        <v/>
      </c>
      <c r="D57" s="278" t="str">
        <f ca="1"/>
        <v>},</v>
      </c>
    </row>
    <row r="58" spans="3:4">
      <c r="C58" s="275" t="str">
        <f ca="1"/>
        <v/>
      </c>
      <c r="D58" s="278" t="str">
        <f ca="1"/>
        <v>{</v>
      </c>
    </row>
    <row r="59" spans="3:4">
      <c r="C59" s="275" t="str">
        <f ca="1"/>
        <v/>
      </c>
      <c r="D59" s="278" t="str">
        <f ca="1"/>
        <v>"id": "vmnic1",</v>
      </c>
    </row>
    <row r="60" spans="3:4">
      <c r="C60" s="275" t="str">
        <f ca="1"/>
        <v/>
      </c>
      <c r="D60" s="278" t="str">
        <f ca="1"/>
        <v>"vdsName": "Value Missing",</v>
      </c>
    </row>
    <row r="61" spans="3:4">
      <c r="C61" s="275" t="str">
        <f ca="1"/>
        <v/>
      </c>
      <c r="D61" s="278" t="str">
        <f ca="1"/>
        <v>"uplink": "uplink2"</v>
      </c>
    </row>
    <row r="62" spans="3:4">
      <c r="C62" s="275" t="str">
        <f ca="1"/>
        <v/>
      </c>
      <c r="D62" s="278" t="str">
        <f ca="1"/>
        <v>}</v>
      </c>
    </row>
    <row r="63" spans="3:4">
      <c r="C63" s="275" t="str">
        <f ca="1"/>
        <v/>
      </c>
      <c r="D63" s="278" t="str">
        <f ca="1"/>
        <v>]</v>
      </c>
    </row>
    <row r="64" spans="3:4">
      <c r="C64" s="275" t="str">
        <f ca="1"/>
        <v/>
      </c>
      <c r="D64" s="278" t="str">
        <f ca="1"/>
        <v>}</v>
      </c>
    </row>
    <row r="65" spans="3:4">
      <c r="C65" s="275" t="str">
        <f ca="1"/>
        <v/>
      </c>
      <c r="D65" s="278" t="str">
        <f ca="1"/>
        <v>},</v>
      </c>
    </row>
    <row r="66" spans="3:4">
      <c r="C66" s="275" t="str">
        <f ca="1"/>
        <v/>
      </c>
      <c r="D66" s="278" t="str">
        <f ca="1"/>
        <v>{</v>
      </c>
    </row>
    <row r="67" spans="3:4">
      <c r="C67" s="275" t="str">
        <f ca="1"/>
        <v/>
      </c>
      <c r="D67" s="278" t="str">
        <f ca="1"/>
        <v>"id": "&lt;------------Insert Host ID -------------&gt;",</v>
      </c>
    </row>
    <row r="68" spans="3:4">
      <c r="C68" s="275" t="str">
        <f ca="1"/>
        <v/>
      </c>
      <c r="D68" s="278" t="str">
        <f ca="1"/>
        <v>"licenseKey": "Value Missing",</v>
      </c>
    </row>
    <row r="69" spans="3:4">
      <c r="C69" s="275" t="str">
        <f ca="1"/>
        <v/>
      </c>
      <c r="D69" s="278" t="e">
        <f ca="1"/>
        <v>#VALUE!</v>
      </c>
    </row>
    <row r="70" spans="3:4">
      <c r="C70" s="275" t="str">
        <f ca="1"/>
        <v/>
      </c>
      <c r="D70" s="278" t="str">
        <f ca="1"/>
        <v>"hostNetworkSpec": {</v>
      </c>
    </row>
    <row r="71" spans="3:4">
      <c r="C71" s="275" t="str">
        <f ca="1"/>
        <v/>
      </c>
      <c r="D71" s="278" t="e">
        <f ca="1"/>
        <v>#N/A</v>
      </c>
    </row>
    <row r="72" spans="3:4">
      <c r="C72" s="275" t="str">
        <f ca="1"/>
        <v/>
      </c>
      <c r="D72" s="278" t="str">
        <f ca="1"/>
        <v>"vmNics": [</v>
      </c>
    </row>
    <row r="73" spans="3:4">
      <c r="C73" s="275" t="str">
        <f ca="1"/>
        <v/>
      </c>
      <c r="D73" s="278" t="str">
        <f ca="1"/>
        <v>{</v>
      </c>
    </row>
    <row r="74" spans="3:4">
      <c r="C74" s="275" t="str">
        <f ca="1"/>
        <v/>
      </c>
      <c r="D74" s="278" t="str">
        <f ca="1"/>
        <v>"id": "vmnic0",</v>
      </c>
    </row>
    <row r="75" spans="3:4">
      <c r="C75" s="275" t="str">
        <f ca="1"/>
        <v/>
      </c>
      <c r="D75" s="278" t="str">
        <f ca="1"/>
        <v>"vdsName": "Value Missing",</v>
      </c>
    </row>
    <row r="76" spans="3:4">
      <c r="C76" s="275" t="str">
        <f ca="1"/>
        <v/>
      </c>
      <c r="D76" s="278" t="str">
        <f ca="1"/>
        <v>"uplink": "uplink1"</v>
      </c>
    </row>
    <row r="77" spans="3:4">
      <c r="C77" s="275" t="str">
        <f ca="1"/>
        <v/>
      </c>
      <c r="D77" s="278" t="str">
        <f ca="1"/>
        <v>},</v>
      </c>
    </row>
    <row r="78" spans="3:4">
      <c r="C78" s="275" t="str">
        <f ca="1"/>
        <v/>
      </c>
      <c r="D78" s="278" t="str">
        <f ca="1"/>
        <v>{</v>
      </c>
    </row>
    <row r="79" spans="3:4">
      <c r="C79" s="275" t="str">
        <f ca="1"/>
        <v/>
      </c>
      <c r="D79" s="278" t="str">
        <f ca="1"/>
        <v>"id": "vmnic1",</v>
      </c>
    </row>
    <row r="80" spans="3:4">
      <c r="C80" s="275" t="str">
        <f ca="1"/>
        <v/>
      </c>
      <c r="D80" s="278" t="str">
        <f ca="1"/>
        <v>"vdsName": "Value Missing",</v>
      </c>
    </row>
    <row r="81" spans="3:4">
      <c r="C81" s="275" t="str">
        <f ca="1"/>
        <v/>
      </c>
      <c r="D81" s="278" t="str">
        <f ca="1"/>
        <v>"uplink": "uplink2"</v>
      </c>
    </row>
    <row r="82" spans="3:4">
      <c r="C82" s="275" t="str">
        <f ca="1"/>
        <v/>
      </c>
      <c r="D82" s="278" t="str">
        <f ca="1"/>
        <v>}</v>
      </c>
    </row>
    <row r="83" spans="3:4">
      <c r="C83" s="275" t="str">
        <f ca="1"/>
        <v/>
      </c>
      <c r="D83" s="278" t="str">
        <f ca="1"/>
        <v>]</v>
      </c>
    </row>
    <row r="84" spans="3:4">
      <c r="C84" s="275" t="str">
        <f ca="1"/>
        <v/>
      </c>
      <c r="D84" s="278" t="str">
        <f ca="1"/>
        <v>}</v>
      </c>
    </row>
    <row r="85" spans="3:4">
      <c r="C85" s="275" t="str">
        <f ca="1"/>
        <v/>
      </c>
      <c r="D85" s="278" t="str">
        <f ca="1"/>
        <v>},</v>
      </c>
    </row>
    <row r="86" spans="3:4">
      <c r="C86" s="275" t="str">
        <f ca="1"/>
        <v/>
      </c>
      <c r="D86" s="278" t="str">
        <f ca="1"/>
        <v>{</v>
      </c>
    </row>
    <row r="87" spans="3:4">
      <c r="C87" s="275" t="str">
        <f ca="1"/>
        <v/>
      </c>
      <c r="D87" s="278" t="str">
        <f ca="1"/>
        <v>"id": "&lt;------------Insert Host ID -------------&gt;",</v>
      </c>
    </row>
    <row r="88" spans="3:4">
      <c r="C88" s="275" t="str">
        <f ca="1"/>
        <v/>
      </c>
      <c r="D88" s="278" t="str">
        <f ca="1"/>
        <v>"licenseKey": "Value Missing",</v>
      </c>
    </row>
    <row r="89" spans="3:4">
      <c r="C89" s="275" t="str">
        <f ca="1"/>
        <v/>
      </c>
      <c r="D89" s="278" t="e">
        <f ca="1"/>
        <v>#VALUE!</v>
      </c>
    </row>
    <row r="90" spans="3:4">
      <c r="C90" s="275" t="str">
        <f ca="1"/>
        <v/>
      </c>
      <c r="D90" s="278" t="str">
        <f ca="1"/>
        <v>"hostNetworkSpec": {</v>
      </c>
    </row>
    <row r="91" spans="3:4">
      <c r="C91" s="275" t="str">
        <f ca="1"/>
        <v/>
      </c>
      <c r="D91" s="278" t="e">
        <f ca="1"/>
        <v>#N/A</v>
      </c>
    </row>
    <row r="92" spans="3:4">
      <c r="C92" s="275" t="str">
        <f ca="1"/>
        <v/>
      </c>
      <c r="D92" s="278" t="str">
        <f ca="1"/>
        <v>"vmNics": [</v>
      </c>
    </row>
    <row r="93" spans="3:4">
      <c r="C93" s="275" t="str">
        <f ca="1"/>
        <v/>
      </c>
      <c r="D93" s="278" t="str">
        <f ca="1"/>
        <v>{</v>
      </c>
    </row>
    <row r="94" spans="3:4">
      <c r="C94" s="275" t="str">
        <f ca="1"/>
        <v/>
      </c>
      <c r="D94" s="278" t="str">
        <f ca="1"/>
        <v>"id": "vmnic0",</v>
      </c>
    </row>
    <row r="95" spans="3:4">
      <c r="C95" s="275" t="str">
        <f ca="1"/>
        <v/>
      </c>
      <c r="D95" s="278" t="str">
        <f ca="1"/>
        <v>"vdsName": "Value Missing",</v>
      </c>
    </row>
    <row r="96" spans="3:4">
      <c r="C96" s="275" t="str">
        <f ca="1"/>
        <v/>
      </c>
      <c r="D96" s="278" t="str">
        <f ca="1"/>
        <v>"uplink": "uplink1"</v>
      </c>
    </row>
    <row r="97" spans="3:4">
      <c r="C97" s="275" t="str">
        <f ca="1"/>
        <v/>
      </c>
      <c r="D97" s="278" t="str">
        <f ca="1"/>
        <v>},</v>
      </c>
    </row>
    <row r="98" spans="3:4">
      <c r="C98" s="275" t="str">
        <f ca="1"/>
        <v/>
      </c>
      <c r="D98" s="278" t="str">
        <f ca="1"/>
        <v>{</v>
      </c>
    </row>
    <row r="99" spans="3:4">
      <c r="C99" s="275" t="str">
        <f ca="1"/>
        <v/>
      </c>
      <c r="D99" s="278" t="str">
        <f ca="1"/>
        <v>"id": "vmnic1",</v>
      </c>
    </row>
    <row r="100" spans="3:4">
      <c r="C100" s="275" t="str">
        <f ca="1"/>
        <v/>
      </c>
      <c r="D100" s="278" t="str">
        <f ca="1"/>
        <v>"vdsName": "Value Missing",</v>
      </c>
    </row>
    <row r="101" spans="3:4">
      <c r="C101" s="275" t="str">
        <f ca="1"/>
        <v/>
      </c>
      <c r="D101" s="278" t="str">
        <f ca="1"/>
        <v>"uplink": "uplink2"</v>
      </c>
    </row>
    <row r="102" spans="3:4">
      <c r="C102" s="275" t="str">
        <f ca="1"/>
        <v/>
      </c>
      <c r="D102" s="278" t="str">
        <f ca="1"/>
        <v>}</v>
      </c>
    </row>
    <row r="103" spans="3:4">
      <c r="C103" s="275" t="str">
        <f ca="1"/>
        <v/>
      </c>
      <c r="D103" s="278" t="str">
        <f ca="1"/>
        <v>]</v>
      </c>
    </row>
    <row r="104" spans="3:4">
      <c r="C104" s="275" t="str">
        <f ca="1"/>
        <v/>
      </c>
      <c r="D104" s="278" t="str">
        <f ca="1"/>
        <v>}</v>
      </c>
    </row>
    <row r="105" spans="3:4">
      <c r="C105" s="275" t="str">
        <f ca="1"/>
        <v/>
      </c>
      <c r="D105" s="278" t="str">
        <f ca="1"/>
        <v>}</v>
      </c>
    </row>
    <row r="106" spans="3:4">
      <c r="C106" s="275" t="str">
        <f ca="1"/>
        <v/>
      </c>
      <c r="D106" s="278" t="str">
        <f ca="1"/>
        <v>],</v>
      </c>
    </row>
    <row r="107" spans="3:4">
      <c r="C107" s="275" t="str">
        <f ca="1"/>
        <v/>
      </c>
      <c r="D107" s="278" t="str">
        <f ca="1"/>
        <v>"datastoreSpec": {</v>
      </c>
    </row>
    <row r="108" spans="3:4">
      <c r="C108" s="275" t="str">
        <f ca="1"/>
        <v/>
      </c>
      <c r="D108" s="278" t="str">
        <f ca="1"/>
        <v>"vsanDatastoreSpec": {</v>
      </c>
    </row>
    <row r="109" spans="3:4">
      <c r="C109" s="275" t="str">
        <f ca="1"/>
        <v/>
      </c>
      <c r="D109" s="278" t="str">
        <f ca="1"/>
        <v>"licenseKey": "Value Missing",</v>
      </c>
    </row>
    <row r="110" spans="3:4">
      <c r="C110" s="275" t="str">
        <f ca="1"/>
        <v/>
      </c>
      <c r="D110" s="278" t="str">
        <f ca="1"/>
        <v>"datastoreName": "Value Missing",</v>
      </c>
    </row>
    <row r="111" spans="3:4">
      <c r="C111" s="275" t="str">
        <f ca="1"/>
        <v/>
      </c>
      <c r="D111" s="278" t="str">
        <f ca="1"/>
        <v>"esaConfig": {</v>
      </c>
    </row>
    <row r="112" spans="3:4">
      <c r="C112" s="275" t="str">
        <f ca="1"/>
        <v/>
      </c>
      <c r="D112" s="278" t="str">
        <f ca="1"/>
        <v>"enabled":"true"</v>
      </c>
    </row>
    <row r="113" spans="3:4">
      <c r="C113" s="275" t="str">
        <f ca="1"/>
        <v/>
      </c>
      <c r="D113" s="278" t="str">
        <f ca="1"/>
        <v>}</v>
      </c>
    </row>
    <row r="114" spans="3:4">
      <c r="C114" s="275" t="str">
        <f ca="1"/>
        <v/>
      </c>
      <c r="D114" s="278" t="str">
        <f ca="1"/>
        <v>}</v>
      </c>
    </row>
    <row r="115" spans="3:4">
      <c r="C115" s="275" t="str">
        <f ca="1"/>
        <v/>
      </c>
      <c r="D115" s="278" t="str">
        <f ca="1"/>
        <v>},</v>
      </c>
    </row>
    <row r="116" spans="3:4">
      <c r="C116" s="275" t="str">
        <f ca="1"/>
        <v/>
      </c>
      <c r="D116" s="278" t="str">
        <f ca="1"/>
        <v>"networkSpec": {</v>
      </c>
    </row>
    <row r="117" spans="3:4">
      <c r="C117" s="275" t="str">
        <f ca="1"/>
        <v/>
      </c>
      <c r="D117" s="278" t="str">
        <f ca="1"/>
        <v>"vdsSpecs": [</v>
      </c>
    </row>
    <row r="118" spans="3:4">
      <c r="C118" s="275" t="str">
        <f ca="1"/>
        <v/>
      </c>
      <c r="D118" s="278" t="str">
        <f ca="1"/>
        <v>{</v>
      </c>
    </row>
    <row r="119" spans="3:4">
      <c r="C119" s="275" t="str">
        <f ca="1"/>
        <v/>
      </c>
      <c r="D119" s="278" t="str">
        <f ca="1"/>
        <v>"name": "Value Missing",</v>
      </c>
    </row>
    <row r="120" spans="3:4">
      <c r="C120" s="275" t="str">
        <f ca="1"/>
        <v/>
      </c>
      <c r="D120" s="278" t="str">
        <f ca="1"/>
        <v>"mtu": "Value Missing",</v>
      </c>
    </row>
    <row r="121" spans="3:4">
      <c r="C121" s="275" t="str">
        <f ca="1"/>
        <v/>
      </c>
      <c r="D121" s="278" t="str">
        <f ca="1"/>
        <v>"portGroupSpecs": [</v>
      </c>
    </row>
    <row r="122" spans="3:4">
      <c r="C122" s="275" t="str">
        <f ca="1"/>
        <v/>
      </c>
      <c r="D122" s="278" t="str">
        <f ca="1"/>
        <v>{</v>
      </c>
    </row>
    <row r="123" spans="3:4">
      <c r="C123" s="275" t="str">
        <f ca="1"/>
        <v/>
      </c>
      <c r="D123" s="278" t="str">
        <f ca="1"/>
        <v>"name": "Value Missing",</v>
      </c>
    </row>
    <row r="124" spans="3:4">
      <c r="C124" s="275" t="str">
        <f ca="1"/>
        <v/>
      </c>
      <c r="D124" s="278" t="str">
        <f ca="1"/>
        <v>"transportType": "MANAGEMENT",</v>
      </c>
    </row>
    <row r="125" spans="3:4">
      <c r="C125" s="275" t="str">
        <f ca="1"/>
        <v/>
      </c>
      <c r="D125" s="278" t="str">
        <f ca="1"/>
        <v>"standByUplinks": [],</v>
      </c>
    </row>
    <row r="126" spans="3:4">
      <c r="C126" s="275" t="str">
        <f ca="1"/>
        <v/>
      </c>
      <c r="D126" s="278" t="str">
        <f ca="1"/>
        <v>"teamingPolicy": "loadbalance_loadbased",</v>
      </c>
    </row>
    <row r="127" spans="3:4">
      <c r="C127" s="275" t="str">
        <f ca="1"/>
        <v/>
      </c>
      <c r="D127" s="278" t="str">
        <f ca="1"/>
        <v>"activeUplinks": [</v>
      </c>
    </row>
    <row r="128" spans="3:4">
      <c r="C128" s="275" t="str">
        <f ca="1"/>
        <v/>
      </c>
      <c r="D128" s="278" t="str">
        <f ca="1"/>
        <v>"uplink1",</v>
      </c>
    </row>
    <row r="129" spans="3:4">
      <c r="C129" s="275" t="str">
        <f ca="1"/>
        <v/>
      </c>
      <c r="D129" s="278" t="str">
        <f ca="1"/>
        <v>"uplink2"</v>
      </c>
    </row>
    <row r="130" spans="3:4">
      <c r="C130" s="275" t="str">
        <f ca="1"/>
        <v/>
      </c>
      <c r="D130" s="278" t="str">
        <f ca="1"/>
        <v>]</v>
      </c>
    </row>
    <row r="131" spans="3:4">
      <c r="C131" s="275" t="str">
        <f ca="1"/>
        <v/>
      </c>
      <c r="D131" s="278" t="str">
        <f ca="1"/>
        <v>},</v>
      </c>
    </row>
    <row r="132" spans="3:4">
      <c r="C132" s="275" t="str">
        <f ca="1"/>
        <v/>
      </c>
      <c r="D132" s="278" t="str">
        <f ca="1"/>
        <v>{</v>
      </c>
    </row>
    <row r="133" spans="3:4">
      <c r="C133" s="275" t="str">
        <f ca="1"/>
        <v/>
      </c>
      <c r="D133" s="278" t="str">
        <f ca="1"/>
        <v>"name": "Value Missing",</v>
      </c>
    </row>
    <row r="134" spans="3:4">
      <c r="C134" s="275" t="str">
        <f ca="1"/>
        <v/>
      </c>
      <c r="D134" s="278" t="str">
        <f ca="1"/>
        <v>"transportType": "VMOTION",</v>
      </c>
    </row>
    <row r="135" spans="3:4">
      <c r="C135" s="275" t="str">
        <f ca="1"/>
        <v/>
      </c>
      <c r="D135" s="278" t="str">
        <f ca="1"/>
        <v>"standByUplinks": [],</v>
      </c>
    </row>
    <row r="136" spans="3:4">
      <c r="C136" s="275" t="str">
        <f ca="1"/>
        <v/>
      </c>
      <c r="D136" s="278" t="str">
        <f ca="1"/>
        <v>"teamingPolicy": "loadbalance_loadbased",</v>
      </c>
    </row>
    <row r="137" spans="3:4">
      <c r="C137" s="275" t="str">
        <f ca="1"/>
        <v/>
      </c>
      <c r="D137" s="278" t="str">
        <f ca="1"/>
        <v>"activeUplinks": [</v>
      </c>
    </row>
    <row r="138" spans="3:4">
      <c r="C138" s="275" t="str">
        <f ca="1"/>
        <v/>
      </c>
      <c r="D138" s="278" t="str">
        <f ca="1"/>
        <v>"uplink1",</v>
      </c>
    </row>
    <row r="139" spans="3:4">
      <c r="C139" s="275" t="str">
        <f ca="1"/>
        <v/>
      </c>
      <c r="D139" s="278" t="str">
        <f ca="1"/>
        <v>"uplink2"</v>
      </c>
    </row>
    <row r="140" spans="3:4">
      <c r="C140" s="275" t="str">
        <f ca="1"/>
        <v/>
      </c>
      <c r="D140" s="278" t="str">
        <f ca="1"/>
        <v>]</v>
      </c>
    </row>
    <row r="141" spans="3:4">
      <c r="C141" s="275" t="str">
        <f ca="1"/>
        <v/>
      </c>
      <c r="D141" s="278" t="str">
        <f ca="1"/>
        <v>},</v>
      </c>
    </row>
    <row r="142" spans="3:4">
      <c r="C142" s="275" t="str">
        <f ca="1"/>
        <v/>
      </c>
      <c r="D142" s="278" t="str">
        <f ca="1"/>
        <v>{</v>
      </c>
    </row>
    <row r="143" spans="3:4">
      <c r="C143" s="275" t="str">
        <f ca="1"/>
        <v/>
      </c>
      <c r="D143" s="278" t="str">
        <f ca="1"/>
        <v>"name": "Value Missing",</v>
      </c>
    </row>
    <row r="144" spans="3:4">
      <c r="C144" s="275" t="str">
        <f ca="1"/>
        <v/>
      </c>
      <c r="D144" s="278" t="str">
        <f ca="1"/>
        <v>"transportType": "VSAN",</v>
      </c>
    </row>
    <row r="145" spans="3:4">
      <c r="C145" s="275" t="str">
        <f ca="1"/>
        <v/>
      </c>
      <c r="D145" s="278" t="str">
        <f ca="1"/>
        <v>"standByUplinks": [],</v>
      </c>
    </row>
    <row r="146" spans="3:4">
      <c r="C146" s="275" t="str">
        <f ca="1"/>
        <v/>
      </c>
      <c r="D146" s="278" t="str">
        <f ca="1"/>
        <v>"teamingPolicy": "loadbalance_loadbased",</v>
      </c>
    </row>
    <row r="147" spans="3:4">
      <c r="C147" s="275" t="str">
        <f ca="1"/>
        <v/>
      </c>
      <c r="D147" s="278" t="str">
        <f ca="1"/>
        <v>"activeUplinks": [</v>
      </c>
    </row>
    <row r="148" spans="3:4">
      <c r="C148" s="275" t="str">
        <f ca="1"/>
        <v/>
      </c>
      <c r="D148" s="278" t="str">
        <f ca="1"/>
        <v>"uplink1",</v>
      </c>
    </row>
    <row r="149" spans="3:4">
      <c r="C149" s="275" t="str">
        <f ca="1"/>
        <v/>
      </c>
      <c r="D149" s="278" t="str">
        <f ca="1"/>
        <v>"uplink2"</v>
      </c>
    </row>
    <row r="150" spans="3:4">
      <c r="C150" s="275" t="str">
        <f ca="1"/>
        <v/>
      </c>
      <c r="D150" s="278" t="str">
        <f ca="1"/>
        <v>]</v>
      </c>
    </row>
    <row r="151" spans="3:4">
      <c r="C151" s="275" t="str">
        <f ca="1"/>
        <v/>
      </c>
      <c r="D151" s="278" t="str">
        <f ca="1"/>
        <v>}</v>
      </c>
    </row>
    <row r="152" spans="3:4">
      <c r="C152" s="275" t="str">
        <f ca="1"/>
        <v/>
      </c>
      <c r="D152" s="278" t="str">
        <f ca="1"/>
        <v>],</v>
      </c>
    </row>
    <row r="153" spans="3:4">
      <c r="C153" s="275" t="str">
        <f ca="1"/>
        <v/>
      </c>
      <c r="D153" s="278" t="str">
        <f ca="1"/>
        <v>"nsxtSwitchConfig": {</v>
      </c>
    </row>
    <row r="154" spans="3:4">
      <c r="C154" s="275" t="str">
        <f ca="1"/>
        <v/>
      </c>
      <c r="D154" s="278" t="str">
        <f ca="1"/>
        <v>"hostSwitchOperationalMode": "STANDARD",</v>
      </c>
    </row>
    <row r="155" spans="3:4">
      <c r="C155" s="275" t="str">
        <f ca="1"/>
        <v/>
      </c>
      <c r="D155" s="278" t="str">
        <f ca="1"/>
        <v>"transportZones": [</v>
      </c>
    </row>
    <row r="156" spans="3:4">
      <c r="C156" s="275" t="str">
        <f ca="1"/>
        <v/>
      </c>
      <c r="D156" s="278" t="str">
        <f ca="1"/>
        <v>{</v>
      </c>
    </row>
    <row r="157" spans="3:4">
      <c r="C157" s="275" t="str">
        <f ca="1"/>
        <v/>
      </c>
      <c r="D157" s="278" t="str">
        <f ca="1"/>
        <v>"name": "Value Missing-vlan-tz",</v>
      </c>
    </row>
    <row r="158" spans="3:4">
      <c r="C158" s="275" t="str">
        <f ca="1"/>
        <v/>
      </c>
      <c r="D158" s="278" t="str">
        <f ca="1"/>
        <v>"transportType": "VLAN"</v>
      </c>
    </row>
    <row r="159" spans="3:4">
      <c r="C159" s="275" t="str">
        <f ca="1"/>
        <v/>
      </c>
      <c r="D159" s="278" t="str">
        <f ca="1"/>
        <v>},</v>
      </c>
    </row>
    <row r="160" spans="3:4">
      <c r="C160" s="275" t="str">
        <f ca="1"/>
        <v/>
      </c>
      <c r="D160" s="278" t="str">
        <f ca="1"/>
        <v>{</v>
      </c>
    </row>
    <row r="161" spans="3:4">
      <c r="C161" s="275" t="str">
        <f ca="1"/>
        <v/>
      </c>
      <c r="D161" s="278" t="str">
        <f ca="1"/>
        <v>"name": "Value Missing-overlay-tz",</v>
      </c>
    </row>
    <row r="162" spans="3:4">
      <c r="C162" s="275" t="str">
        <f ca="1"/>
        <v/>
      </c>
      <c r="D162" s="278" t="str">
        <f ca="1"/>
        <v>"transportType": "OVERLAY"</v>
      </c>
    </row>
    <row r="163" spans="3:4">
      <c r="C163" s="275" t="str">
        <f ca="1"/>
        <v/>
      </c>
      <c r="D163" s="278" t="str">
        <f ca="1"/>
        <v>}</v>
      </c>
    </row>
    <row r="164" spans="3:4">
      <c r="C164" s="275" t="str">
        <f ca="1"/>
        <v/>
      </c>
      <c r="D164" s="278" t="str">
        <f ca="1"/>
        <v>]</v>
      </c>
    </row>
    <row r="165" spans="3:4">
      <c r="C165" s="275" t="str">
        <f ca="1"/>
        <v/>
      </c>
      <c r="D165" s="278" t="str">
        <f ca="1"/>
        <v>}</v>
      </c>
    </row>
    <row r="166" spans="3:4">
      <c r="C166" s="275" t="str">
        <f ca="1"/>
        <v/>
      </c>
      <c r="D166" s="278" t="str">
        <f ca="1"/>
        <v>}</v>
      </c>
    </row>
    <row r="167" spans="3:4">
      <c r="C167" s="275" t="str">
        <f ca="1"/>
        <v/>
      </c>
      <c r="D167" s="278" t="str">
        <f ca="1"/>
        <v>],</v>
      </c>
    </row>
    <row r="168" spans="3:4">
      <c r="C168" s="275" t="str">
        <f ca="1"/>
        <v/>
      </c>
      <c r="D168" s="278" t="str">
        <f ca="1"/>
        <v>"networkProfiles": [</v>
      </c>
    </row>
    <row r="169" spans="3:4">
      <c r="C169" s="275" t="str">
        <f ca="1"/>
        <v/>
      </c>
      <c r="D169" s="278" t="str">
        <f ca="1"/>
        <v>{</v>
      </c>
    </row>
    <row r="170" spans="3:4">
      <c r="C170" s="275" t="str">
        <f ca="1"/>
        <v/>
      </c>
      <c r="D170" s="278" t="str">
        <f ca="1"/>
        <v>"isDefault": true,</v>
      </c>
    </row>
    <row r="171" spans="3:4">
      <c r="C171" s="275" t="str">
        <f ca="1"/>
        <v/>
      </c>
      <c r="D171" s="278" t="str">
        <f ca="1"/>
        <v>"name": "0",</v>
      </c>
    </row>
    <row r="172" spans="3:4">
      <c r="C172" s="275" t="str">
        <f ca="1"/>
        <v/>
      </c>
      <c r="D172" s="278" t="str">
        <f ca="1"/>
        <v>"nsxtHostSwitchConfigs": [</v>
      </c>
    </row>
    <row r="173" spans="3:4">
      <c r="C173" s="275" t="str">
        <f ca="1"/>
        <v/>
      </c>
      <c r="D173" s="278" t="str">
        <f ca="1"/>
        <v>{</v>
      </c>
    </row>
    <row r="174" spans="3:4">
      <c r="C174" s="275" t="str">
        <f ca="1"/>
        <v/>
      </c>
      <c r="D174" s="278" t="str">
        <f ca="1"/>
        <v>"ipAddressPoolName": "0",</v>
      </c>
    </row>
    <row r="175" spans="3:4">
      <c r="C175" s="275" t="str">
        <f ca="1"/>
        <v/>
      </c>
      <c r="D175" s="278" t="str">
        <f ca="1"/>
        <v>"uplinkProfileName": "0",</v>
      </c>
    </row>
    <row r="176" spans="3:4">
      <c r="C176" s="275" t="str">
        <f ca="1"/>
        <v/>
      </c>
      <c r="D176" s="278" t="str">
        <f ca="1"/>
        <v>"vdsName": "Value Missing",</v>
      </c>
    </row>
    <row r="177" spans="3:4">
      <c r="C177" s="275" t="str">
        <f ca="1"/>
        <v/>
      </c>
      <c r="D177" s="278" t="str">
        <f ca="1"/>
        <v>"vdsUplinkToNsxUplink": [</v>
      </c>
    </row>
    <row r="178" spans="3:4">
      <c r="C178" s="275" t="str">
        <f ca="1"/>
        <v/>
      </c>
      <c r="D178" s="278" t="str">
        <f ca="1"/>
        <v>{</v>
      </c>
    </row>
    <row r="179" spans="3:4">
      <c r="C179" s="275" t="str">
        <f ca="1"/>
        <v/>
      </c>
      <c r="D179" s="278" t="str">
        <f ca="1"/>
        <v>"nsxUplinkName": "uplink1",</v>
      </c>
    </row>
    <row r="180" spans="3:4">
      <c r="C180" s="275" t="str">
        <f ca="1"/>
        <v/>
      </c>
      <c r="D180" s="278" t="str">
        <f ca="1"/>
        <v>"vdsUplinkName": "uplink1"</v>
      </c>
    </row>
    <row r="181" spans="3:4">
      <c r="C181" s="275" t="str">
        <f ca="1"/>
        <v/>
      </c>
      <c r="D181" s="278" t="str">
        <f ca="1"/>
        <v>},</v>
      </c>
    </row>
    <row r="182" spans="3:4">
      <c r="C182" s="275" t="str">
        <f ca="1"/>
        <v/>
      </c>
      <c r="D182" s="278" t="str">
        <f ca="1"/>
        <v>{</v>
      </c>
    </row>
    <row r="183" spans="3:4">
      <c r="C183" s="275" t="str">
        <f ca="1"/>
        <v/>
      </c>
      <c r="D183" s="278" t="str">
        <f ca="1"/>
        <v>"nsxUplinkName": "uplink2",</v>
      </c>
    </row>
    <row r="184" spans="3:4">
      <c r="C184" s="275" t="str">
        <f ca="1"/>
        <v/>
      </c>
      <c r="D184" s="278" t="str">
        <f ca="1"/>
        <v>"vdsUplinkName": "uplink2"</v>
      </c>
    </row>
    <row r="185" spans="3:4">
      <c r="C185" s="275" t="str">
        <f ca="1"/>
        <v/>
      </c>
      <c r="D185" s="278" t="str">
        <f ca="1"/>
        <v>}</v>
      </c>
    </row>
    <row r="186" spans="3:4">
      <c r="C186" s="275" t="str">
        <f ca="1"/>
        <v/>
      </c>
      <c r="D186" s="278" t="str">
        <f ca="1"/>
        <v>]</v>
      </c>
    </row>
    <row r="187" spans="3:4">
      <c r="C187" s="275" t="str">
        <f ca="1"/>
        <v/>
      </c>
      <c r="D187" s="278" t="str">
        <f ca="1"/>
        <v>}</v>
      </c>
    </row>
    <row r="188" spans="3:4">
      <c r="C188" s="275" t="str">
        <f ca="1"/>
        <v/>
      </c>
      <c r="D188" s="278" t="str">
        <f ca="1"/>
        <v>]</v>
      </c>
    </row>
    <row r="189" spans="3:4">
      <c r="C189" s="275" t="str">
        <f ca="1"/>
        <v/>
      </c>
      <c r="D189" s="278" t="str">
        <f ca="1"/>
        <v>},</v>
      </c>
    </row>
    <row r="190" spans="3:4">
      <c r="C190" s="275" t="str">
        <f ca="1"/>
        <v/>
      </c>
      <c r="D190" s="278" t="str">
        <f ca="1"/>
        <v>{</v>
      </c>
    </row>
    <row r="191" spans="3:4">
      <c r="C191" s="275" t="str">
        <f ca="1"/>
        <v/>
      </c>
      <c r="D191" s="278" t="str">
        <f ca="1"/>
        <v>"isDefault": false,</v>
      </c>
    </row>
    <row r="192" spans="3:4">
      <c r="C192" s="275" t="str">
        <f ca="1"/>
        <v/>
      </c>
      <c r="D192" s="278" t="e">
        <f ca="1"/>
        <v>#N/A</v>
      </c>
    </row>
    <row r="193" spans="3:4">
      <c r="C193" s="275" t="str">
        <f ca="1"/>
        <v/>
      </c>
      <c r="D193" s="278" t="str">
        <f ca="1"/>
        <v>"nsxtHostSwitchConfigs": [</v>
      </c>
    </row>
    <row r="194" spans="3:4">
      <c r="C194" s="275" t="str">
        <f ca="1"/>
        <v/>
      </c>
      <c r="D194" s="278" t="str">
        <f ca="1"/>
        <v>{</v>
      </c>
    </row>
    <row r="195" spans="3:4">
      <c r="C195" s="275" t="str">
        <f ca="1"/>
        <v/>
      </c>
      <c r="D195" s="278" t="e">
        <f ca="1"/>
        <v>#N/A</v>
      </c>
    </row>
    <row r="196" spans="3:4">
      <c r="C196" s="275" t="str">
        <f ca="1"/>
        <v/>
      </c>
      <c r="D196" s="278" t="e">
        <f ca="1"/>
        <v>#N/A</v>
      </c>
    </row>
    <row r="197" spans="3:4">
      <c r="C197" s="275" t="str">
        <f ca="1"/>
        <v/>
      </c>
      <c r="D197" s="278" t="str">
        <f ca="1"/>
        <v>"vdsName": "Value Missing",</v>
      </c>
    </row>
    <row r="198" spans="3:4">
      <c r="C198" s="275" t="str">
        <f ca="1"/>
        <v/>
      </c>
      <c r="D198" s="278" t="str">
        <f ca="1"/>
        <v>"vdsUplinkToNsxUplink": [</v>
      </c>
    </row>
    <row r="199" spans="3:4">
      <c r="C199" s="275" t="str">
        <f ca="1"/>
        <v/>
      </c>
      <c r="D199" s="278" t="str">
        <f ca="1"/>
        <v>{</v>
      </c>
    </row>
    <row r="200" spans="3:4">
      <c r="C200" s="275" t="str">
        <f ca="1"/>
        <v/>
      </c>
      <c r="D200" s="278" t="str">
        <f ca="1"/>
        <v>"nsxUplinkName": "uplink1",</v>
      </c>
    </row>
    <row r="201" spans="3:4">
      <c r="C201" s="275" t="str">
        <f ca="1"/>
        <v/>
      </c>
      <c r="D201" s="278" t="str">
        <f ca="1"/>
        <v>"vdsUplinkName": "uplink1"</v>
      </c>
    </row>
    <row r="202" spans="3:4">
      <c r="C202" s="275" t="str">
        <f ca="1"/>
        <v/>
      </c>
      <c r="D202" s="278" t="str">
        <f ca="1"/>
        <v>},</v>
      </c>
    </row>
    <row r="203" spans="3:4">
      <c r="C203" s="275" t="str">
        <f ca="1"/>
        <v/>
      </c>
      <c r="D203" s="278" t="str">
        <f ca="1"/>
        <v>{</v>
      </c>
    </row>
    <row r="204" spans="3:4">
      <c r="C204" s="275" t="str">
        <f ca="1"/>
        <v/>
      </c>
      <c r="D204" s="278" t="str">
        <f ca="1"/>
        <v>"nsxUplinkName": "uplink2",</v>
      </c>
    </row>
    <row r="205" spans="3:4">
      <c r="C205" s="275" t="str">
        <f ca="1"/>
        <v/>
      </c>
      <c r="D205" s="278" t="str">
        <f ca="1"/>
        <v>"vdsUplinkName": "uplink2"</v>
      </c>
    </row>
    <row r="206" spans="3:4">
      <c r="C206" s="275" t="str">
        <f ca="1"/>
        <v/>
      </c>
      <c r="D206" s="278" t="str">
        <f ca="1"/>
        <v>}</v>
      </c>
    </row>
    <row r="207" spans="3:4">
      <c r="C207" s="275" t="str">
        <f ca="1"/>
        <v/>
      </c>
      <c r="D207" s="278" t="str">
        <f ca="1"/>
        <v>]</v>
      </c>
    </row>
    <row r="208" spans="3:4">
      <c r="C208" s="275" t="str">
        <f ca="1"/>
        <v/>
      </c>
      <c r="D208" s="278" t="str">
        <f ca="1"/>
        <v>}</v>
      </c>
    </row>
    <row r="209" spans="3:4">
      <c r="C209" s="275" t="str">
        <f ca="1"/>
        <v/>
      </c>
      <c r="D209" s="278" t="str">
        <f ca="1"/>
        <v>]</v>
      </c>
    </row>
    <row r="210" spans="3:4">
      <c r="C210" s="275" t="str">
        <f ca="1"/>
        <v/>
      </c>
      <c r="D210" s="278" t="str">
        <f ca="1"/>
        <v>},</v>
      </c>
    </row>
    <row r="211" spans="3:4">
      <c r="C211" s="275" t="str">
        <f ca="1"/>
        <v/>
      </c>
      <c r="D211" s="278" t="str">
        <f ca="1"/>
        <v>{</v>
      </c>
    </row>
    <row r="212" spans="3:4">
      <c r="C212" s="275" t="str">
        <f ca="1"/>
        <v/>
      </c>
      <c r="D212" s="278" t="str">
        <f ca="1"/>
        <v>"isDefault": false,</v>
      </c>
    </row>
    <row r="213" spans="3:4">
      <c r="C213" s="275" t="str">
        <f ca="1"/>
        <v/>
      </c>
      <c r="D213" s="278" t="e">
        <f ca="1"/>
        <v>#N/A</v>
      </c>
    </row>
    <row r="214" spans="3:4">
      <c r="C214" s="275" t="str">
        <f ca="1"/>
        <v/>
      </c>
      <c r="D214" s="278" t="str">
        <f ca="1"/>
        <v>"nsxtHostSwitchConfigs": [</v>
      </c>
    </row>
    <row r="215" spans="3:4">
      <c r="C215" s="275" t="str">
        <f ca="1"/>
        <v/>
      </c>
      <c r="D215" s="278" t="str">
        <f ca="1"/>
        <v>{</v>
      </c>
    </row>
    <row r="216" spans="3:4">
      <c r="C216" s="275" t="str">
        <f ca="1"/>
        <v/>
      </c>
      <c r="D216" s="278" t="e">
        <f ca="1"/>
        <v>#N/A</v>
      </c>
    </row>
    <row r="217" spans="3:4">
      <c r="C217" s="275" t="str">
        <f ca="1"/>
        <v/>
      </c>
      <c r="D217" s="278" t="e">
        <f ca="1"/>
        <v>#N/A</v>
      </c>
    </row>
    <row r="218" spans="3:4">
      <c r="C218" s="275" t="str">
        <f ca="1"/>
        <v/>
      </c>
      <c r="D218" s="278" t="str">
        <f ca="1"/>
        <v>"vdsName": "Value Missing",</v>
      </c>
    </row>
    <row r="219" spans="3:4">
      <c r="C219" s="275" t="str">
        <f ca="1"/>
        <v/>
      </c>
      <c r="D219" s="278" t="str">
        <f ca="1"/>
        <v>"vdsUplinkToNsxUplink": [</v>
      </c>
    </row>
    <row r="220" spans="3:4">
      <c r="C220" s="275" t="str">
        <f ca="1"/>
        <v/>
      </c>
      <c r="D220" s="278" t="str">
        <f ca="1"/>
        <v>{</v>
      </c>
    </row>
    <row r="221" spans="3:4">
      <c r="C221" s="275" t="str">
        <f ca="1"/>
        <v/>
      </c>
      <c r="D221" s="278" t="str">
        <f ca="1"/>
        <v>"nsxUplinkName": "uplink1",</v>
      </c>
    </row>
    <row r="222" spans="3:4">
      <c r="C222" s="275" t="str">
        <f ca="1"/>
        <v/>
      </c>
      <c r="D222" s="278" t="str">
        <f ca="1"/>
        <v>"vdsUplinkName": "uplink1"</v>
      </c>
    </row>
    <row r="223" spans="3:4">
      <c r="C223" s="275" t="str">
        <f ca="1"/>
        <v/>
      </c>
      <c r="D223" s="278" t="str">
        <f ca="1"/>
        <v>},</v>
      </c>
    </row>
    <row r="224" spans="3:4">
      <c r="C224" s="275" t="str">
        <f ca="1"/>
        <v/>
      </c>
      <c r="D224" s="278" t="str">
        <f ca="1"/>
        <v>{</v>
      </c>
    </row>
    <row r="225" spans="3:4">
      <c r="C225" s="275" t="str">
        <f ca="1"/>
        <v/>
      </c>
      <c r="D225" s="278" t="str">
        <f ca="1"/>
        <v>"nsxUplinkName": "uplink2",</v>
      </c>
    </row>
    <row r="226" spans="3:4">
      <c r="C226" s="275" t="str">
        <f ca="1"/>
        <v/>
      </c>
      <c r="D226" s="278" t="str">
        <f ca="1"/>
        <v>"vdsUplinkName": "uplink2"</v>
      </c>
    </row>
    <row r="227" spans="3:4">
      <c r="C227" s="275" t="str">
        <f ca="1"/>
        <v/>
      </c>
      <c r="D227" s="278" t="str">
        <f ca="1"/>
        <v>}</v>
      </c>
    </row>
    <row r="228" spans="3:4">
      <c r="C228" s="275" t="str">
        <f ca="1"/>
        <v/>
      </c>
      <c r="D228" s="278" t="str">
        <f ca="1"/>
        <v>]</v>
      </c>
    </row>
    <row r="229" spans="3:4">
      <c r="C229" s="275" t="str">
        <f ca="1"/>
        <v/>
      </c>
      <c r="D229" s="278" t="str">
        <f ca="1"/>
        <v>}</v>
      </c>
    </row>
    <row r="230" spans="3:4">
      <c r="C230" s="275" t="str">
        <f ca="1"/>
        <v/>
      </c>
      <c r="D230" s="278" t="str">
        <f ca="1"/>
        <v>]</v>
      </c>
    </row>
    <row r="231" spans="3:4">
      <c r="C231" s="275" t="str">
        <f ca="1"/>
        <v/>
      </c>
      <c r="D231" s="278" t="str">
        <f ca="1"/>
        <v>},</v>
      </c>
    </row>
    <row r="232" spans="3:4">
      <c r="C232" s="275" t="str">
        <f ca="1"/>
        <v/>
      </c>
      <c r="D232" s="278" t="str">
        <f ca="1"/>
        <v>{</v>
      </c>
    </row>
    <row r="233" spans="3:4">
      <c r="C233" s="275" t="str">
        <f ca="1"/>
        <v/>
      </c>
      <c r="D233" s="278" t="str">
        <f ca="1"/>
        <v>"isDefault": false,</v>
      </c>
    </row>
    <row r="234" spans="3:4">
      <c r="C234" s="275" t="str">
        <f ca="1"/>
        <v/>
      </c>
      <c r="D234" s="278" t="e">
        <f ca="1"/>
        <v>#N/A</v>
      </c>
    </row>
    <row r="235" spans="3:4">
      <c r="C235" s="275" t="str">
        <f ca="1"/>
        <v/>
      </c>
      <c r="D235" s="278" t="str">
        <f ca="1"/>
        <v>"nsxtHostSwitchConfigs": [</v>
      </c>
    </row>
    <row r="236" spans="3:4">
      <c r="C236" s="275" t="str">
        <f ca="1"/>
        <v/>
      </c>
      <c r="D236" s="278" t="str">
        <f ca="1"/>
        <v>{</v>
      </c>
    </row>
    <row r="237" spans="3:4">
      <c r="C237" s="275" t="str">
        <f ca="1"/>
        <v/>
      </c>
      <c r="D237" s="278" t="e">
        <f ca="1"/>
        <v>#N/A</v>
      </c>
    </row>
    <row r="238" spans="3:4">
      <c r="C238" s="275" t="str">
        <f ca="1"/>
        <v/>
      </c>
      <c r="D238" s="278" t="e">
        <f ca="1"/>
        <v>#N/A</v>
      </c>
    </row>
    <row r="239" spans="3:4">
      <c r="C239" s="275" t="str">
        <f ca="1"/>
        <v/>
      </c>
      <c r="D239" s="278" t="str">
        <f ca="1"/>
        <v>"vdsName": "Value Missing",</v>
      </c>
    </row>
    <row r="240" spans="3:4">
      <c r="C240" s="275" t="str">
        <f ca="1"/>
        <v/>
      </c>
      <c r="D240" s="278" t="str">
        <f ca="1"/>
        <v>"vdsUplinkToNsxUplink": [</v>
      </c>
    </row>
    <row r="241" spans="3:4">
      <c r="C241" s="275" t="str">
        <f ca="1"/>
        <v/>
      </c>
      <c r="D241" s="278" t="str">
        <f ca="1"/>
        <v>{</v>
      </c>
    </row>
    <row r="242" spans="3:4">
      <c r="C242" s="275" t="str">
        <f ca="1"/>
        <v/>
      </c>
      <c r="D242" s="278" t="str">
        <f ca="1"/>
        <v>"nsxUplinkName": "uplink1",</v>
      </c>
    </row>
    <row r="243" spans="3:4">
      <c r="C243" s="275" t="str">
        <f ca="1"/>
        <v/>
      </c>
      <c r="D243" s="278" t="str">
        <f ca="1"/>
        <v>"vdsUplinkName": "uplink1"</v>
      </c>
    </row>
    <row r="244" spans="3:4">
      <c r="C244" s="275" t="str">
        <f ca="1"/>
        <v/>
      </c>
      <c r="D244" s="278" t="str">
        <f ca="1"/>
        <v>},</v>
      </c>
    </row>
    <row r="245" spans="3:4">
      <c r="C245" s="275" t="str">
        <f ca="1"/>
        <v/>
      </c>
      <c r="D245" s="278" t="str">
        <f ca="1"/>
        <v>{</v>
      </c>
    </row>
    <row r="246" spans="3:4">
      <c r="C246" s="275" t="str">
        <f ca="1"/>
        <v/>
      </c>
      <c r="D246" s="278" t="str">
        <f ca="1"/>
        <v>"nsxUplinkName": "uplink2",</v>
      </c>
    </row>
    <row r="247" spans="3:4">
      <c r="C247" s="275" t="str">
        <f ca="1"/>
        <v/>
      </c>
      <c r="D247" s="278" t="str">
        <f ca="1"/>
        <v>"vdsUplinkName": "uplink2"</v>
      </c>
    </row>
    <row r="248" spans="3:4">
      <c r="C248" s="275" t="str">
        <f ca="1"/>
        <v/>
      </c>
      <c r="D248" s="278" t="str">
        <f ca="1"/>
        <v>}</v>
      </c>
    </row>
    <row r="249" spans="3:4">
      <c r="C249" s="275" t="str">
        <f ca="1"/>
        <v/>
      </c>
      <c r="D249" s="278" t="str">
        <f ca="1"/>
        <v>]</v>
      </c>
    </row>
    <row r="250" spans="3:4">
      <c r="C250" s="275" t="str">
        <f ca="1"/>
        <v/>
      </c>
      <c r="D250" s="278" t="str">
        <f ca="1"/>
        <v>}</v>
      </c>
    </row>
    <row r="251" spans="3:4">
      <c r="C251" s="275" t="str">
        <f ca="1"/>
        <v/>
      </c>
      <c r="D251" s="278" t="str">
        <f ca="1"/>
        <v>]</v>
      </c>
    </row>
    <row r="252" spans="3:4">
      <c r="C252" s="275" t="str">
        <f ca="1"/>
        <v/>
      </c>
      <c r="D252" s="278" t="str">
        <f ca="1"/>
        <v>}</v>
      </c>
    </row>
    <row r="253" spans="3:4">
      <c r="C253" s="275" t="str">
        <f ca="1"/>
        <v/>
      </c>
      <c r="D253" s="278" t="str">
        <f ca="1"/>
        <v>],</v>
      </c>
    </row>
    <row r="254" spans="3:4">
      <c r="C254" s="275" t="str">
        <f ca="1"/>
        <v/>
      </c>
      <c r="D254" s="278" t="str">
        <f ca="1"/>
        <v>"nsxClusterSpec": {</v>
      </c>
    </row>
    <row r="255" spans="3:4">
      <c r="C255" s="275" t="str">
        <f ca="1"/>
        <v/>
      </c>
      <c r="D255" s="278" t="str">
        <f ca="1"/>
        <v>"nsxTClusterSpec": {</v>
      </c>
    </row>
    <row r="256" spans="3:4">
      <c r="C256" s="275" t="str">
        <f ca="1"/>
        <v/>
      </c>
      <c r="D256" s="278" t="str">
        <f ca="1"/>
        <v>"ipAddressPoolsSpec": [</v>
      </c>
    </row>
    <row r="257" spans="3:4">
      <c r="C257" s="275" t="str">
        <f ca="1"/>
        <v/>
      </c>
      <c r="D257" s="278" t="str">
        <f ca="1"/>
        <v>{</v>
      </c>
    </row>
    <row r="258" spans="3:4">
      <c r="C258" s="275" t="str">
        <f ca="1"/>
        <v/>
      </c>
      <c r="D258" s="278" t="str">
        <f ca="1"/>
        <v>"name": "0",</v>
      </c>
    </row>
    <row r="259" spans="3:4">
      <c r="C259" s="275" t="str">
        <f ca="1"/>
        <v/>
      </c>
      <c r="D259" s="278" t="str">
        <f ca="1"/>
        <v>"subnets": [</v>
      </c>
    </row>
    <row r="260" spans="3:4">
      <c r="C260" s="275" t="str">
        <f ca="1"/>
        <v/>
      </c>
      <c r="D260" s="278" t="str">
        <f ca="1"/>
        <v>{</v>
      </c>
    </row>
    <row r="261" spans="3:4">
      <c r="C261" s="275" t="str">
        <f ca="1"/>
        <v/>
      </c>
      <c r="D261" s="278" t="str">
        <f ca="1"/>
        <v>"cidr": "0",</v>
      </c>
    </row>
    <row r="262" spans="3:4">
      <c r="C262" s="275" t="str">
        <f ca="1"/>
        <v/>
      </c>
      <c r="D262" s="278" t="str">
        <f ca="1"/>
        <v>"gateway": "0",</v>
      </c>
    </row>
    <row r="263" spans="3:4">
      <c r="C263" s="275" t="str">
        <f ca="1"/>
        <v/>
      </c>
      <c r="D263" s="278" t="str">
        <f ca="1"/>
        <v>"ipAddressPoolRanges": [</v>
      </c>
    </row>
    <row r="264" spans="3:4">
      <c r="C264" s="275" t="str">
        <f ca="1"/>
        <v/>
      </c>
      <c r="D264" s="278" t="str">
        <f ca="1"/>
        <v>{</v>
      </c>
    </row>
    <row r="265" spans="3:4">
      <c r="C265" s="275" t="str">
        <f ca="1"/>
        <v/>
      </c>
      <c r="D265" s="278" t="str">
        <f ca="1"/>
        <v>"start": "0",</v>
      </c>
    </row>
    <row r="266" spans="3:4">
      <c r="C266" s="275" t="str">
        <f ca="1"/>
        <v/>
      </c>
      <c r="D266" s="278" t="str">
        <f ca="1"/>
        <v>"end": "0"</v>
      </c>
    </row>
    <row r="267" spans="3:4">
      <c r="C267" s="275" t="str">
        <f ca="1"/>
        <v/>
      </c>
      <c r="D267" s="278" t="str">
        <f ca="1"/>
        <v>}</v>
      </c>
    </row>
    <row r="268" spans="3:4">
      <c r="C268" s="275" t="str">
        <f ca="1"/>
        <v/>
      </c>
      <c r="D268" s="278" t="str">
        <f ca="1"/>
        <v>]</v>
      </c>
    </row>
    <row r="269" spans="3:4">
      <c r="C269" s="275" t="str">
        <f ca="1"/>
        <v/>
      </c>
      <c r="D269" s="278" t="str">
        <f ca="1"/>
        <v>}</v>
      </c>
    </row>
    <row r="270" spans="3:4">
      <c r="C270" s="275" t="str">
        <f ca="1"/>
        <v/>
      </c>
      <c r="D270" s="278" t="str">
        <f ca="1"/>
        <v>]</v>
      </c>
    </row>
    <row r="271" spans="3:4">
      <c r="C271" s="275" t="str">
        <f ca="1"/>
        <v/>
      </c>
      <c r="D271" s="278" t="str">
        <f ca="1"/>
        <v>},</v>
      </c>
    </row>
    <row r="272" spans="3:4">
      <c r="C272" s="275" t="str">
        <f ca="1"/>
        <v/>
      </c>
      <c r="D272" s="278" t="str">
        <f ca="1"/>
        <v>{</v>
      </c>
    </row>
    <row r="273" spans="3:4">
      <c r="C273" s="275" t="str">
        <f ca="1"/>
        <v/>
      </c>
      <c r="D273" s="278" t="e">
        <f ca="1"/>
        <v>#N/A</v>
      </c>
    </row>
    <row r="274" spans="3:4">
      <c r="C274" s="275" t="str">
        <f ca="1"/>
        <v/>
      </c>
      <c r="D274" s="278" t="str">
        <f ca="1"/>
        <v>"subnets": [</v>
      </c>
    </row>
    <row r="275" spans="3:4">
      <c r="C275" s="275" t="str">
        <f ca="1"/>
        <v/>
      </c>
      <c r="D275" s="278" t="str">
        <f ca="1"/>
        <v>{</v>
      </c>
    </row>
    <row r="276" spans="3:4">
      <c r="C276" s="275" t="str">
        <f ca="1"/>
        <v/>
      </c>
      <c r="D276" s="278" t="e">
        <f ca="1"/>
        <v>#N/A</v>
      </c>
    </row>
    <row r="277" spans="3:4">
      <c r="C277" s="275" t="str">
        <f ca="1"/>
        <v/>
      </c>
      <c r="D277" s="278" t="e">
        <f ca="1"/>
        <v>#N/A</v>
      </c>
    </row>
    <row r="278" spans="3:4">
      <c r="C278" s="275" t="str">
        <f ca="1"/>
        <v/>
      </c>
      <c r="D278" s="278" t="str">
        <f ca="1"/>
        <v>"ipAddressPoolRanges": [</v>
      </c>
    </row>
    <row r="279" spans="3:4">
      <c r="C279" s="275" t="str">
        <f ca="1"/>
        <v/>
      </c>
      <c r="D279" s="278" t="str">
        <f ca="1"/>
        <v>{</v>
      </c>
    </row>
    <row r="280" spans="3:4">
      <c r="C280" s="275" t="str">
        <f ca="1"/>
        <v/>
      </c>
      <c r="D280" s="278" t="e">
        <f ca="1"/>
        <v>#N/A</v>
      </c>
    </row>
    <row r="281" spans="3:4">
      <c r="C281" s="275" t="str">
        <f ca="1"/>
        <v/>
      </c>
      <c r="D281" s="278" t="e">
        <f ca="1"/>
        <v>#N/A</v>
      </c>
    </row>
    <row r="282" spans="3:4">
      <c r="C282" s="275" t="str">
        <f ca="1"/>
        <v/>
      </c>
      <c r="D282" s="278" t="str">
        <f ca="1"/>
        <v>}</v>
      </c>
    </row>
    <row r="283" spans="3:4">
      <c r="C283" s="275" t="str">
        <f ca="1"/>
        <v/>
      </c>
      <c r="D283" s="278" t="str">
        <f ca="1"/>
        <v>]</v>
      </c>
    </row>
    <row r="284" spans="3:4">
      <c r="C284" s="275" t="str">
        <f ca="1"/>
        <v/>
      </c>
      <c r="D284" s="278" t="str">
        <f ca="1"/>
        <v>}</v>
      </c>
    </row>
    <row r="285" spans="3:4">
      <c r="C285" s="275" t="str">
        <f ca="1"/>
        <v/>
      </c>
      <c r="D285" s="278" t="str">
        <f ca="1"/>
        <v>]</v>
      </c>
    </row>
    <row r="286" spans="3:4">
      <c r="C286" s="275" t="str">
        <f ca="1"/>
        <v/>
      </c>
      <c r="D286" s="278" t="str">
        <f ca="1"/>
        <v>},</v>
      </c>
    </row>
    <row r="287" spans="3:4">
      <c r="C287" s="275" t="str">
        <f ca="1"/>
        <v/>
      </c>
      <c r="D287" s="278" t="str">
        <f ca="1"/>
        <v>{</v>
      </c>
    </row>
    <row r="288" spans="3:4">
      <c r="C288" s="275" t="str">
        <f ca="1"/>
        <v/>
      </c>
      <c r="D288" s="278" t="e">
        <f ca="1"/>
        <v>#N/A</v>
      </c>
    </row>
    <row r="289" spans="3:4">
      <c r="C289" s="275" t="str">
        <f ca="1"/>
        <v/>
      </c>
      <c r="D289" s="278" t="str">
        <f ca="1"/>
        <v>"subnets": [</v>
      </c>
    </row>
    <row r="290" spans="3:4">
      <c r="C290" s="275" t="str">
        <f ca="1"/>
        <v/>
      </c>
      <c r="D290" s="278" t="str">
        <f ca="1"/>
        <v>{</v>
      </c>
    </row>
    <row r="291" spans="3:4">
      <c r="C291" s="275" t="str">
        <f ca="1"/>
        <v/>
      </c>
      <c r="D291" s="278" t="e">
        <f ca="1"/>
        <v>#N/A</v>
      </c>
    </row>
    <row r="292" spans="3:4">
      <c r="C292" s="275" t="str">
        <f ca="1"/>
        <v/>
      </c>
      <c r="D292" s="278" t="e">
        <f ca="1"/>
        <v>#N/A</v>
      </c>
    </row>
    <row r="293" spans="3:4">
      <c r="C293" s="275" t="str">
        <f ca="1"/>
        <v/>
      </c>
      <c r="D293" s="278" t="str">
        <f ca="1"/>
        <v>"ipAddressPoolRanges": [</v>
      </c>
    </row>
    <row r="294" spans="3:4">
      <c r="C294" s="275" t="str">
        <f ca="1"/>
        <v/>
      </c>
      <c r="D294" s="278" t="str">
        <f ca="1"/>
        <v>{</v>
      </c>
    </row>
    <row r="295" spans="3:4">
      <c r="C295" s="275" t="str">
        <f ca="1"/>
        <v/>
      </c>
      <c r="D295" s="278" t="e">
        <f ca="1"/>
        <v>#N/A</v>
      </c>
    </row>
    <row r="296" spans="3:4">
      <c r="C296" s="275" t="str">
        <f ca="1"/>
        <v/>
      </c>
      <c r="D296" s="278" t="e">
        <f ca="1"/>
        <v>#N/A</v>
      </c>
    </row>
    <row r="297" spans="3:4">
      <c r="C297" s="275" t="str">
        <f ca="1"/>
        <v/>
      </c>
      <c r="D297" s="278" t="str">
        <f ca="1"/>
        <v>}</v>
      </c>
    </row>
    <row r="298" spans="3:4">
      <c r="C298" s="275" t="str">
        <f ca="1"/>
        <v/>
      </c>
      <c r="D298" s="278" t="str">
        <f ca="1"/>
        <v>]</v>
      </c>
    </row>
    <row r="299" spans="3:4">
      <c r="C299" s="275" t="str">
        <f ca="1"/>
        <v/>
      </c>
      <c r="D299" s="278" t="str">
        <f ca="1"/>
        <v>}</v>
      </c>
    </row>
    <row r="300" spans="3:4">
      <c r="C300" s="275" t="str">
        <f ca="1"/>
        <v/>
      </c>
      <c r="D300" s="278" t="str">
        <f ca="1"/>
        <v>]</v>
      </c>
    </row>
    <row r="301" spans="3:4">
      <c r="C301" s="275" t="str">
        <f ca="1"/>
        <v/>
      </c>
      <c r="D301" s="278" t="str">
        <f ca="1"/>
        <v>},</v>
      </c>
    </row>
    <row r="302" spans="3:4">
      <c r="C302" s="275" t="str">
        <f ca="1"/>
        <v/>
      </c>
      <c r="D302" s="278" t="str">
        <f ca="1"/>
        <v>{</v>
      </c>
    </row>
    <row r="303" spans="3:4">
      <c r="C303" s="275" t="str">
        <f ca="1"/>
        <v/>
      </c>
      <c r="D303" s="278" t="e">
        <f ca="1"/>
        <v>#N/A</v>
      </c>
    </row>
    <row r="304" spans="3:4">
      <c r="C304" s="275" t="str">
        <f ca="1"/>
        <v/>
      </c>
      <c r="D304" s="278" t="str">
        <f ca="1"/>
        <v>"subnets": [</v>
      </c>
    </row>
    <row r="305" spans="3:4">
      <c r="C305" s="275" t="str">
        <f ca="1"/>
        <v/>
      </c>
      <c r="D305" s="278" t="str">
        <f ca="1"/>
        <v>{</v>
      </c>
    </row>
    <row r="306" spans="3:4">
      <c r="C306" s="275" t="str">
        <f ca="1"/>
        <v/>
      </c>
      <c r="D306" s="278" t="e">
        <f ca="1"/>
        <v>#N/A</v>
      </c>
    </row>
    <row r="307" spans="3:4">
      <c r="C307" s="275" t="str">
        <f ca="1"/>
        <v/>
      </c>
      <c r="D307" s="278" t="e">
        <f ca="1"/>
        <v>#N/A</v>
      </c>
    </row>
    <row r="308" spans="3:4">
      <c r="C308" s="275" t="str">
        <f ca="1"/>
        <v/>
      </c>
      <c r="D308" s="278" t="str">
        <f ca="1"/>
        <v>"ipAddressPoolRanges": [</v>
      </c>
    </row>
    <row r="309" spans="3:4">
      <c r="C309" s="275" t="str">
        <f ca="1"/>
        <v/>
      </c>
      <c r="D309" s="278" t="str">
        <f ca="1"/>
        <v>{</v>
      </c>
    </row>
    <row r="310" spans="3:4">
      <c r="C310" s="275" t="str">
        <f ca="1"/>
        <v/>
      </c>
      <c r="D310" s="278" t="e">
        <f ca="1"/>
        <v>#N/A</v>
      </c>
    </row>
    <row r="311" spans="3:4">
      <c r="C311" s="275" t="str">
        <f ca="1"/>
        <v/>
      </c>
      <c r="D311" s="278" t="e">
        <f ca="1"/>
        <v>#N/A</v>
      </c>
    </row>
    <row r="312" spans="3:4">
      <c r="C312" s="275" t="str">
        <f ca="1"/>
        <v/>
      </c>
      <c r="D312" s="278" t="str">
        <f ca="1"/>
        <v>}</v>
      </c>
    </row>
    <row r="313" spans="3:4">
      <c r="C313" s="275" t="str">
        <f ca="1"/>
        <v/>
      </c>
      <c r="D313" s="278" t="str">
        <f ca="1"/>
        <v>]</v>
      </c>
    </row>
    <row r="314" spans="3:4">
      <c r="C314" s="275" t="str">
        <f ca="1"/>
        <v/>
      </c>
      <c r="D314" s="278" t="str">
        <f ca="1"/>
        <v>}</v>
      </c>
    </row>
    <row r="315" spans="3:4">
      <c r="C315" s="275" t="str">
        <f ca="1"/>
        <v/>
      </c>
      <c r="D315" s="278" t="str">
        <f ca="1"/>
        <v>]</v>
      </c>
    </row>
    <row r="316" spans="3:4">
      <c r="C316" s="275" t="str">
        <f ca="1"/>
        <v/>
      </c>
      <c r="D316" s="278" t="str">
        <f ca="1"/>
        <v>}</v>
      </c>
    </row>
    <row r="317" spans="3:4">
      <c r="C317" s="275" t="str">
        <f ca="1"/>
        <v/>
      </c>
      <c r="D317" s="278" t="str">
        <f ca="1"/>
        <v>],</v>
      </c>
    </row>
    <row r="318" spans="3:4">
      <c r="C318" s="275" t="str">
        <f ca="1"/>
        <v/>
      </c>
      <c r="D318" s="278" t="str">
        <f ca="1"/>
        <v>"uplinkProfiles": [</v>
      </c>
    </row>
    <row r="319" spans="3:4">
      <c r="C319" s="275" t="str">
        <f ca="1"/>
        <v/>
      </c>
      <c r="D319" s="278" t="str">
        <f ca="1"/>
        <v>{</v>
      </c>
    </row>
    <row r="320" spans="3:4">
      <c r="C320" s="275" t="str">
        <f ca="1"/>
        <v/>
      </c>
      <c r="D320" s="278" t="str">
        <f ca="1"/>
        <v>"name": "0",</v>
      </c>
    </row>
    <row r="321" spans="3:4">
      <c r="C321" s="275" t="str">
        <f ca="1"/>
        <v/>
      </c>
      <c r="D321" s="278" t="str">
        <f ca="1"/>
        <v>"transportVlan": 0,</v>
      </c>
    </row>
    <row r="322" spans="3:4">
      <c r="C322" s="275" t="str">
        <f ca="1"/>
        <v/>
      </c>
      <c r="D322" s="278" t="str">
        <f ca="1"/>
        <v>"teamings": [</v>
      </c>
    </row>
    <row r="323" spans="3:4">
      <c r="C323" s="275" t="str">
        <f ca="1"/>
        <v/>
      </c>
      <c r="D323" s="278" t="str">
        <f ca="1"/>
        <v>{</v>
      </c>
    </row>
    <row r="324" spans="3:4">
      <c r="C324" s="275" t="str">
        <f ca="1"/>
        <v/>
      </c>
      <c r="D324" s="278" t="str">
        <f ca="1"/>
        <v>"name": "DEFAULT",</v>
      </c>
    </row>
    <row r="325" spans="3:4">
      <c r="C325" s="275" t="str">
        <f ca="1"/>
        <v/>
      </c>
      <c r="D325" s="278" t="str">
        <f ca="1"/>
        <v>"policy": "LOADBALANCE_SRCID",</v>
      </c>
    </row>
    <row r="326" spans="3:4">
      <c r="C326" s="275" t="str">
        <f ca="1"/>
        <v/>
      </c>
      <c r="D326" s="278" t="str">
        <f ca="1"/>
        <v>"standByUplinks": [],</v>
      </c>
    </row>
    <row r="327" spans="3:4">
      <c r="C327" s="275" t="str">
        <f ca="1"/>
        <v/>
      </c>
      <c r="D327" s="278" t="str">
        <f ca="1"/>
        <v>"activeUplinks": [</v>
      </c>
    </row>
    <row r="328" spans="3:4">
      <c r="C328" s="275" t="str">
        <f ca="1"/>
        <v/>
      </c>
      <c r="D328" s="278" t="str">
        <f ca="1"/>
        <v>"uplink1",</v>
      </c>
    </row>
    <row r="329" spans="3:4">
      <c r="C329" s="275" t="str">
        <f ca="1"/>
        <v/>
      </c>
      <c r="D329" s="278" t="str">
        <f ca="1"/>
        <v>"uplink2"</v>
      </c>
    </row>
    <row r="330" spans="3:4">
      <c r="C330" s="275" t="str">
        <f ca="1"/>
        <v/>
      </c>
      <c r="D330" s="278" t="str">
        <f ca="1"/>
        <v>]</v>
      </c>
    </row>
    <row r="331" spans="3:4">
      <c r="C331" s="275" t="str">
        <f ca="1"/>
        <v/>
      </c>
      <c r="D331" s="278" t="str">
        <f ca="1"/>
        <v>}</v>
      </c>
    </row>
    <row r="332" spans="3:4">
      <c r="C332" s="275" t="str">
        <f ca="1"/>
        <v/>
      </c>
      <c r="D332" s="278" t="str">
        <f ca="1"/>
        <v>]</v>
      </c>
    </row>
    <row r="333" spans="3:4">
      <c r="C333" s="275" t="str">
        <f ca="1"/>
        <v/>
      </c>
      <c r="D333" s="278" t="str">
        <f ca="1"/>
        <v>},</v>
      </c>
    </row>
    <row r="334" spans="3:4">
      <c r="C334" s="275" t="str">
        <f ca="1"/>
        <v/>
      </c>
      <c r="D334" s="278" t="str">
        <f ca="1"/>
        <v>{</v>
      </c>
    </row>
    <row r="335" spans="3:4">
      <c r="C335" s="275" t="str">
        <f ca="1"/>
        <v/>
      </c>
      <c r="D335" s="278" t="e">
        <f ca="1"/>
        <v>#N/A</v>
      </c>
    </row>
    <row r="336" spans="3:4">
      <c r="C336" s="275" t="str">
        <f ca="1"/>
        <v/>
      </c>
      <c r="D336" s="278" t="e">
        <f ca="1"/>
        <v>#N/A</v>
      </c>
    </row>
    <row r="337" spans="3:4">
      <c r="C337" s="275" t="str">
        <f ca="1"/>
        <v/>
      </c>
      <c r="D337" s="278" t="str">
        <f ca="1"/>
        <v>"teamings": [</v>
      </c>
    </row>
    <row r="338" spans="3:4">
      <c r="C338" s="275" t="str">
        <f ca="1"/>
        <v/>
      </c>
      <c r="D338" s="278" t="str">
        <f ca="1"/>
        <v>{</v>
      </c>
    </row>
    <row r="339" spans="3:4">
      <c r="C339" s="275" t="str">
        <f ca="1"/>
        <v/>
      </c>
      <c r="D339" s="278" t="str">
        <f ca="1"/>
        <v>"name": "DEFAULT",</v>
      </c>
    </row>
    <row r="340" spans="3:4">
      <c r="C340" s="275" t="str">
        <f ca="1"/>
        <v/>
      </c>
      <c r="D340" s="278" t="str">
        <f ca="1"/>
        <v>"policy": "LOADBALANCE_SRCID",</v>
      </c>
    </row>
    <row r="341" spans="3:4">
      <c r="C341" s="275" t="str">
        <f ca="1"/>
        <v/>
      </c>
      <c r="D341" s="278" t="str">
        <f ca="1"/>
        <v>"standByUplinks": [],</v>
      </c>
    </row>
    <row r="342" spans="3:4">
      <c r="C342" s="275" t="str">
        <f ca="1"/>
        <v/>
      </c>
      <c r="D342" s="278" t="str">
        <f ca="1"/>
        <v>"activeUplinks": [</v>
      </c>
    </row>
    <row r="343" spans="3:4">
      <c r="C343" s="275" t="str">
        <f ca="1"/>
        <v/>
      </c>
      <c r="D343" s="278" t="str">
        <f ca="1"/>
        <v>"uplink1",</v>
      </c>
    </row>
    <row r="344" spans="3:4">
      <c r="C344" s="275" t="str">
        <f ca="1"/>
        <v/>
      </c>
      <c r="D344" s="278" t="str">
        <f ca="1"/>
        <v>"uplink2"</v>
      </c>
    </row>
    <row r="345" spans="3:4">
      <c r="C345" s="275" t="str">
        <f ca="1"/>
        <v/>
      </c>
      <c r="D345" s="278" t="str">
        <f ca="1"/>
        <v>]</v>
      </c>
    </row>
    <row r="346" spans="3:4">
      <c r="C346" s="275" t="str">
        <f ca="1"/>
        <v/>
      </c>
      <c r="D346" s="278" t="str">
        <f ca="1"/>
        <v>}</v>
      </c>
    </row>
    <row r="347" spans="3:4">
      <c r="C347" s="275" t="str">
        <f ca="1"/>
        <v/>
      </c>
      <c r="D347" s="278" t="str">
        <f ca="1"/>
        <v>]</v>
      </c>
    </row>
    <row r="348" spans="3:4">
      <c r="C348" s="275" t="str">
        <f ca="1"/>
        <v/>
      </c>
      <c r="D348" s="278" t="str">
        <f ca="1"/>
        <v>},</v>
      </c>
    </row>
    <row r="349" spans="3:4">
      <c r="C349" s="275" t="str">
        <f ca="1"/>
        <v/>
      </c>
      <c r="D349" s="278" t="str">
        <f ca="1"/>
        <v>{</v>
      </c>
    </row>
    <row r="350" spans="3:4">
      <c r="C350" s="275" t="str">
        <f ca="1"/>
        <v/>
      </c>
      <c r="D350" s="278" t="e">
        <f ca="1"/>
        <v>#N/A</v>
      </c>
    </row>
    <row r="351" spans="3:4">
      <c r="C351" s="275" t="str">
        <f ca="1"/>
        <v/>
      </c>
      <c r="D351" s="278" t="e">
        <f ca="1"/>
        <v>#N/A</v>
      </c>
    </row>
    <row r="352" spans="3:4">
      <c r="C352" s="275" t="str">
        <f ca="1"/>
        <v/>
      </c>
      <c r="D352" s="278" t="str">
        <f ca="1"/>
        <v>"teamings": [</v>
      </c>
    </row>
    <row r="353" spans="3:4">
      <c r="C353" s="275" t="str">
        <f ca="1"/>
        <v/>
      </c>
      <c r="D353" s="278" t="str">
        <f ca="1"/>
        <v>{</v>
      </c>
    </row>
    <row r="354" spans="3:4">
      <c r="C354" s="275" t="str">
        <f ca="1"/>
        <v/>
      </c>
      <c r="D354" s="278" t="str">
        <f ca="1"/>
        <v>"name": "DEFAULT",</v>
      </c>
    </row>
    <row r="355" spans="3:4">
      <c r="C355" s="275" t="str">
        <f ca="1"/>
        <v/>
      </c>
      <c r="D355" s="278" t="str">
        <f ca="1"/>
        <v>"policy": "LOADBALANCE_SRCID",</v>
      </c>
    </row>
    <row r="356" spans="3:4">
      <c r="C356" s="275" t="str">
        <f ca="1"/>
        <v/>
      </c>
      <c r="D356" s="278" t="str">
        <f ca="1"/>
        <v>"standByUplinks": [],</v>
      </c>
    </row>
    <row r="357" spans="3:4">
      <c r="C357" s="275" t="str">
        <f ca="1"/>
        <v/>
      </c>
      <c r="D357" s="278" t="str">
        <f ca="1"/>
        <v>"activeUplinks": [</v>
      </c>
    </row>
    <row r="358" spans="3:4">
      <c r="C358" s="275" t="str">
        <f ca="1"/>
        <v/>
      </c>
      <c r="D358" s="278" t="str">
        <f ca="1"/>
        <v>"uplink1",</v>
      </c>
    </row>
    <row r="359" spans="3:4">
      <c r="C359" s="275" t="str">
        <f ca="1"/>
        <v/>
      </c>
      <c r="D359" s="278" t="str">
        <f ca="1"/>
        <v>"uplink2"</v>
      </c>
    </row>
    <row r="360" spans="3:4">
      <c r="C360" s="275" t="str">
        <f ca="1"/>
        <v/>
      </c>
      <c r="D360" s="278" t="str">
        <f ca="1"/>
        <v>]</v>
      </c>
    </row>
    <row r="361" spans="3:4">
      <c r="C361" s="275" t="str">
        <f ca="1"/>
        <v/>
      </c>
      <c r="D361" s="278" t="str">
        <f ca="1"/>
        <v>}</v>
      </c>
    </row>
    <row r="362" spans="3:4">
      <c r="C362" s="275" t="str">
        <f ca="1"/>
        <v/>
      </c>
      <c r="D362" s="278" t="str">
        <f ca="1"/>
        <v>]</v>
      </c>
    </row>
    <row r="363" spans="3:4">
      <c r="C363" s="275" t="str">
        <f ca="1"/>
        <v/>
      </c>
      <c r="D363" s="278" t="str">
        <f ca="1"/>
        <v>},</v>
      </c>
    </row>
    <row r="364" spans="3:4">
      <c r="C364" s="275" t="str">
        <f ca="1"/>
        <v/>
      </c>
      <c r="D364" s="278" t="str">
        <f ca="1"/>
        <v>{</v>
      </c>
    </row>
    <row r="365" spans="3:4">
      <c r="C365" s="275" t="str">
        <f ca="1"/>
        <v/>
      </c>
      <c r="D365" s="278" t="e">
        <f ca="1"/>
        <v>#N/A</v>
      </c>
    </row>
    <row r="366" spans="3:4">
      <c r="C366" s="275" t="str">
        <f ca="1"/>
        <v/>
      </c>
      <c r="D366" s="278" t="e">
        <f ca="1"/>
        <v>#N/A</v>
      </c>
    </row>
    <row r="367" spans="3:4">
      <c r="C367" s="275" t="str">
        <f ca="1"/>
        <v/>
      </c>
      <c r="D367" s="278" t="str">
        <f ca="1"/>
        <v>"teamings": [</v>
      </c>
    </row>
    <row r="368" spans="3:4">
      <c r="C368" s="275" t="str">
        <f ca="1"/>
        <v/>
      </c>
      <c r="D368" s="278" t="str">
        <f ca="1"/>
        <v>{</v>
      </c>
    </row>
    <row r="369" spans="3:4">
      <c r="C369" s="275" t="str">
        <f ca="1"/>
        <v/>
      </c>
      <c r="D369" s="278" t="str">
        <f ca="1"/>
        <v>"name": "DEFAULT",</v>
      </c>
    </row>
    <row r="370" spans="3:4">
      <c r="C370" s="275" t="str">
        <f ca="1"/>
        <v/>
      </c>
      <c r="D370" s="278" t="str">
        <f ca="1"/>
        <v>"policy": "LOADBALANCE_SRCID",</v>
      </c>
    </row>
    <row r="371" spans="3:4">
      <c r="C371" s="275" t="str">
        <f ca="1"/>
        <v/>
      </c>
      <c r="D371" s="278" t="str">
        <f ca="1"/>
        <v>"standByUplinks": [],</v>
      </c>
    </row>
    <row r="372" spans="3:4">
      <c r="C372" s="275" t="str">
        <f ca="1"/>
        <v/>
      </c>
      <c r="D372" s="278" t="str">
        <f ca="1"/>
        <v>"activeUplinks": [</v>
      </c>
    </row>
    <row r="373" spans="3:4">
      <c r="C373" s="275" t="str">
        <f ca="1"/>
        <v/>
      </c>
      <c r="D373" s="278" t="str">
        <f ca="1"/>
        <v>"uplink1",</v>
      </c>
    </row>
    <row r="374" spans="3:4">
      <c r="C374" s="275" t="str">
        <f ca="1"/>
        <v/>
      </c>
      <c r="D374" s="278" t="str">
        <f ca="1"/>
        <v>"uplink2"</v>
      </c>
    </row>
    <row r="375" spans="3:4">
      <c r="C375" s="275" t="str">
        <f ca="1"/>
        <v/>
      </c>
      <c r="D375" s="278" t="str">
        <f ca="1"/>
        <v>]</v>
      </c>
    </row>
    <row r="376" spans="3:4">
      <c r="C376" s="275" t="str">
        <f ca="1"/>
        <v/>
      </c>
      <c r="D376" s="278" t="str">
        <f ca="1"/>
        <v>}</v>
      </c>
    </row>
    <row r="377" spans="3:4">
      <c r="C377" s="275" t="str">
        <f ca="1"/>
        <v/>
      </c>
      <c r="D377" s="278" t="str">
        <f ca="1"/>
        <v>]</v>
      </c>
    </row>
    <row r="378" spans="3:4">
      <c r="C378" s="275" t="str">
        <f ca="1"/>
        <v/>
      </c>
      <c r="D378" s="278" t="str">
        <f ca="1"/>
        <v>}</v>
      </c>
    </row>
    <row r="379" spans="3:4">
      <c r="C379" s="275" t="str">
        <f ca="1"/>
        <v/>
      </c>
      <c r="D379" s="278" t="str">
        <f ca="1"/>
        <v>]</v>
      </c>
    </row>
    <row r="380" spans="3:4">
      <c r="C380" s="275" t="str">
        <f ca="1"/>
        <v/>
      </c>
      <c r="D380" s="278" t="str">
        <f ca="1"/>
        <v>}</v>
      </c>
    </row>
    <row r="381" spans="3:4">
      <c r="C381" s="275" t="str">
        <f ca="1"/>
        <v/>
      </c>
      <c r="D381" s="278" t="str">
        <f ca="1"/>
        <v>}</v>
      </c>
    </row>
    <row r="382" spans="3:4">
      <c r="C382" s="275" t="str">
        <f ca="1"/>
        <v/>
      </c>
      <c r="D382" s="278" t="str">
        <f ca="1"/>
        <v>},</v>
      </c>
    </row>
    <row r="383" spans="3:4">
      <c r="C383" s="275" t="str">
        <f ca="1"/>
        <v/>
      </c>
      <c r="D383" s="278" t="str">
        <f ca="1"/>
        <v>"clusterImageId": "&lt;------------Insert Image ID -------------&gt;"</v>
      </c>
    </row>
    <row r="384" spans="3:4">
      <c r="C384" s="275" t="str">
        <f ca="1"/>
        <v/>
      </c>
      <c r="D384" s="278" t="str">
        <f ca="1"/>
        <v>}</v>
      </c>
    </row>
    <row r="385" spans="3:4">
      <c r="C385" s="275" t="str">
        <f ca="1"/>
        <v/>
      </c>
      <c r="D385" s="278" t="str">
        <f ca="1"/>
        <v>]</v>
      </c>
    </row>
    <row r="386" spans="3:4">
      <c r="C386" s="275" t="str">
        <f ca="1"/>
        <v/>
      </c>
      <c r="D386" s="278" t="str">
        <f ca="1"/>
        <v>},</v>
      </c>
    </row>
    <row r="387" spans="3:4">
      <c r="C387" s="275" t="str">
        <f ca="1"/>
        <v/>
      </c>
      <c r="D387" s="278" t="str">
        <f ca="1"/>
        <v>"nsxTSpec": {</v>
      </c>
    </row>
    <row r="388" spans="3:4">
      <c r="C388" s="275" t="str">
        <f ca="1"/>
        <v/>
      </c>
      <c r="D388" s="278" t="str">
        <f ca="1"/>
        <v>"formFactor": "MEDIUM",</v>
      </c>
    </row>
    <row r="389" spans="3:4">
      <c r="C389" s="275" t="str">
        <f ca="1"/>
        <v/>
      </c>
      <c r="D389" s="278" t="str">
        <f ca="1"/>
        <v>"nsxManagerSpecs": [</v>
      </c>
    </row>
    <row r="390" spans="3:4">
      <c r="C390" s="275" t="str">
        <f ca="1"/>
        <v/>
      </c>
      <c r="D390" s="278" t="str">
        <f ca="1"/>
        <v>{</v>
      </c>
    </row>
    <row r="391" spans="3:4">
      <c r="C391" s="275" t="str">
        <f ca="1"/>
        <v/>
      </c>
      <c r="D391" s="278" t="str">
        <f ca="1"/>
        <v>"name": "Value Missing",</v>
      </c>
    </row>
    <row r="392" spans="3:4">
      <c r="C392" s="275" t="str">
        <f ca="1"/>
        <v/>
      </c>
      <c r="D392" s="278" t="str">
        <f ca="1"/>
        <v>"networkDetailsSpec": {</v>
      </c>
    </row>
    <row r="393" spans="3:4">
      <c r="C393" s="275" t="str">
        <f ca="1"/>
        <v/>
      </c>
      <c r="D393" s="278" t="str">
        <f ca="1"/>
        <v>"ipAddress": "Value Missing",</v>
      </c>
    </row>
    <row r="394" spans="3:4">
      <c r="C394" s="275" t="str">
        <f ca="1"/>
        <v/>
      </c>
      <c r="D394" s="278" t="str">
        <f ca="1"/>
        <v>"dnsName": "Value Missing.Value Missing",</v>
      </c>
    </row>
    <row r="395" spans="3:4">
      <c r="C395" s="275" t="str">
        <f ca="1"/>
        <v/>
      </c>
      <c r="D395" s="278" t="str">
        <f ca="1"/>
        <v>"gateway": "Value Missing",</v>
      </c>
    </row>
    <row r="396" spans="3:4">
      <c r="C396" s="275" t="str">
        <f ca="1"/>
        <v/>
      </c>
      <c r="D396" s="278" t="str">
        <f ca="1"/>
        <v>"subnetMask": "Value Missing"</v>
      </c>
    </row>
    <row r="397" spans="3:4">
      <c r="C397" s="275" t="str">
        <f ca="1"/>
        <v/>
      </c>
      <c r="D397" s="278" t="str">
        <f ca="1"/>
        <v>}</v>
      </c>
    </row>
    <row r="398" spans="3:4">
      <c r="C398" s="275" t="str">
        <f ca="1"/>
        <v/>
      </c>
      <c r="D398" s="278" t="str">
        <f ca="1"/>
        <v>},</v>
      </c>
    </row>
    <row r="399" spans="3:4">
      <c r="C399" s="275" t="str">
        <f ca="1"/>
        <v/>
      </c>
      <c r="D399" s="278" t="str">
        <f ca="1"/>
        <v>{</v>
      </c>
    </row>
    <row r="400" spans="3:4">
      <c r="C400" s="275" t="str">
        <f ca="1"/>
        <v/>
      </c>
      <c r="D400" s="278" t="str">
        <f ca="1"/>
        <v>"name": "Value Missing",</v>
      </c>
    </row>
    <row r="401" spans="3:4">
      <c r="C401" s="275" t="str">
        <f ca="1"/>
        <v/>
      </c>
      <c r="D401" s="278" t="str">
        <f ca="1"/>
        <v>"networkDetailsSpec": {</v>
      </c>
    </row>
    <row r="402" spans="3:4">
      <c r="C402" s="275" t="str">
        <f ca="1"/>
        <v/>
      </c>
      <c r="D402" s="278" t="str">
        <f ca="1"/>
        <v>"ipAddress": "Value Missing",</v>
      </c>
    </row>
    <row r="403" spans="3:4">
      <c r="C403" s="275" t="str">
        <f ca="1"/>
        <v/>
      </c>
      <c r="D403" s="278" t="str">
        <f ca="1"/>
        <v>"dnsName": "Value Missing.Value Missing",</v>
      </c>
    </row>
    <row r="404" spans="3:4">
      <c r="C404" s="275" t="str">
        <f ca="1"/>
        <v/>
      </c>
      <c r="D404" s="278" t="str">
        <f ca="1"/>
        <v>"gateway": "Value Missing",</v>
      </c>
    </row>
    <row r="405" spans="3:4">
      <c r="C405" s="275" t="str">
        <f ca="1"/>
        <v/>
      </c>
      <c r="D405" s="278" t="str">
        <f ca="1"/>
        <v>"subnetMask": "Value Missing"</v>
      </c>
    </row>
    <row r="406" spans="3:4">
      <c r="C406" s="275" t="str">
        <f ca="1"/>
        <v/>
      </c>
      <c r="D406" s="278" t="str">
        <f ca="1"/>
        <v>}</v>
      </c>
    </row>
    <row r="407" spans="3:4">
      <c r="C407" s="275" t="str">
        <f ca="1"/>
        <v/>
      </c>
      <c r="D407" s="278" t="str">
        <f ca="1"/>
        <v>},</v>
      </c>
    </row>
    <row r="408" spans="3:4">
      <c r="C408" s="275" t="str">
        <f ca="1"/>
        <v/>
      </c>
      <c r="D408" s="278" t="str">
        <f ca="1"/>
        <v>{</v>
      </c>
    </row>
    <row r="409" spans="3:4">
      <c r="C409" s="275" t="str">
        <f ca="1"/>
        <v/>
      </c>
      <c r="D409" s="278" t="str">
        <f ca="1"/>
        <v>"name": "Value Missing",</v>
      </c>
    </row>
    <row r="410" spans="3:4">
      <c r="C410" s="275" t="str">
        <f ca="1"/>
        <v/>
      </c>
      <c r="D410" s="278" t="str">
        <f ca="1"/>
        <v>"networkDetailsSpec": {</v>
      </c>
    </row>
    <row r="411" spans="3:4">
      <c r="C411" s="275" t="str">
        <f ca="1"/>
        <v/>
      </c>
      <c r="D411" s="278" t="str">
        <f ca="1"/>
        <v>"ipAddress": "Value Missing",</v>
      </c>
    </row>
    <row r="412" spans="3:4">
      <c r="C412" s="275" t="str">
        <f ca="1"/>
        <v/>
      </c>
      <c r="D412" s="278" t="str">
        <f ca="1"/>
        <v>"dnsName": "Value Missing.Value Missing",</v>
      </c>
    </row>
    <row r="413" spans="3:4">
      <c r="C413" s="275" t="str">
        <f ca="1"/>
        <v/>
      </c>
      <c r="D413" s="278" t="str">
        <f ca="1"/>
        <v>"gateway": "Value Missing",</v>
      </c>
    </row>
    <row r="414" spans="3:4">
      <c r="C414" s="275" t="str">
        <f ca="1"/>
        <v/>
      </c>
      <c r="D414" s="278" t="str">
        <f ca="1"/>
        <v>"subnetMask": "Value Missing"</v>
      </c>
    </row>
    <row r="415" spans="3:4">
      <c r="C415" s="275" t="str">
        <f ca="1"/>
        <v/>
      </c>
      <c r="D415" s="278" t="str">
        <f ca="1"/>
        <v>}</v>
      </c>
    </row>
    <row r="416" spans="3:4">
      <c r="C416" s="275" t="str">
        <f ca="1"/>
        <v/>
      </c>
      <c r="D416" s="278" t="str">
        <f ca="1"/>
        <v>}</v>
      </c>
    </row>
    <row r="417" spans="3:4">
      <c r="C417" s="275" t="str">
        <f ca="1"/>
        <v/>
      </c>
      <c r="D417" s="278" t="str">
        <f ca="1"/>
        <v>],</v>
      </c>
    </row>
    <row r="418" spans="3:4">
      <c r="C418" s="275" t="str">
        <f ca="1"/>
        <v/>
      </c>
      <c r="D418" s="278" t="str">
        <f ca="1"/>
        <v>"vip": "Value Missing",</v>
      </c>
    </row>
    <row r="419" spans="3:4">
      <c r="C419" s="275" t="str">
        <f ca="1"/>
        <v/>
      </c>
      <c r="D419" s="278" t="str">
        <f ca="1"/>
        <v>"vipFqdn": "Value Missing.Value Missing",</v>
      </c>
    </row>
    <row r="420" spans="3:4">
      <c r="C420" s="275" t="str">
        <f ca="1"/>
        <v/>
      </c>
      <c r="D420" s="278" t="str">
        <f ca="1"/>
        <v>"licenseKey": "Value Missing",</v>
      </c>
    </row>
    <row r="421" spans="3:4">
      <c r="C421" s="275" t="str">
        <f ca="1"/>
        <v/>
      </c>
      <c r="D421" s="278" t="str">
        <f ca="1"/>
        <v>"nsxManagerAdminPassword": "VMw@re1!VMw@re1!"</v>
      </c>
    </row>
    <row r="422" spans="3:4">
      <c r="C422" s="275" t="str">
        <f ca="1"/>
        <v/>
      </c>
      <c r="D422" s="278" t="str">
        <f ca="1"/>
        <v>}</v>
      </c>
    </row>
    <row r="423" spans="3:4">
      <c r="C423" s="275" t="str">
        <f ca="1"/>
        <v/>
      </c>
      <c r="D423" s="278" t="str">
        <f ca="1"/>
        <v>}</v>
      </c>
    </row>
    <row r="424" spans="3:4">
      <c r="C424" s="275"/>
      <c r="D424" s="278"/>
    </row>
    <row r="425" spans="3:4">
      <c r="C425" s="275"/>
      <c r="D425" s="278"/>
    </row>
    <row r="426" spans="3:4">
      <c r="C426" s="275"/>
      <c r="D426" s="278"/>
    </row>
    <row r="427" spans="3:4">
      <c r="C427" s="275"/>
      <c r="D427" s="278"/>
    </row>
    <row r="428" spans="3:4">
      <c r="C428" s="275"/>
      <c r="D428" s="278"/>
    </row>
    <row r="429" spans="3:4">
      <c r="C429" s="275"/>
      <c r="D429" s="278"/>
    </row>
    <row r="430" spans="3:4">
      <c r="C430" s="275"/>
      <c r="D430" s="278"/>
    </row>
    <row r="431" spans="3:4">
      <c r="C431" s="275"/>
      <c r="D431" s="278"/>
    </row>
    <row r="432" spans="3:4">
      <c r="C432" s="275"/>
      <c r="D432" s="278"/>
    </row>
    <row r="433" spans="3:4">
      <c r="C433" s="275"/>
      <c r="D433" s="278"/>
    </row>
    <row r="434" spans="3:4">
      <c r="C434" s="275"/>
      <c r="D434" s="278"/>
    </row>
    <row r="435" spans="3:4">
      <c r="C435" s="275"/>
      <c r="D435" s="278"/>
    </row>
    <row r="436" spans="3:4">
      <c r="C436" s="275"/>
      <c r="D436" s="278"/>
    </row>
    <row r="437" spans="3:4">
      <c r="C437" s="275"/>
      <c r="D437" s="278"/>
    </row>
    <row r="438" spans="3:4">
      <c r="C438" s="275"/>
      <c r="D438" s="278"/>
    </row>
    <row r="439" spans="3:4">
      <c r="C439" s="275"/>
      <c r="D439" s="278"/>
    </row>
    <row r="440" spans="3:4">
      <c r="C440" s="275"/>
      <c r="D440" s="278"/>
    </row>
    <row r="441" spans="3:4">
      <c r="C441" s="275"/>
      <c r="D441" s="278"/>
    </row>
    <row r="442" spans="3:4">
      <c r="C442" s="275"/>
      <c r="D442" s="278"/>
    </row>
    <row r="443" spans="3:4">
      <c r="C443" s="275"/>
      <c r="D443" s="278"/>
    </row>
    <row r="444" spans="3:4">
      <c r="C444" s="275"/>
      <c r="D444" s="278"/>
    </row>
    <row r="445" spans="3:4">
      <c r="C445" s="275"/>
      <c r="D445" s="278"/>
    </row>
    <row r="446" spans="3:4">
      <c r="C446" s="275"/>
      <c r="D446" s="278"/>
    </row>
    <row r="447" spans="3:4">
      <c r="C447" s="275"/>
      <c r="D447" s="278"/>
    </row>
    <row r="448" spans="3:4">
      <c r="C448" s="275"/>
      <c r="D448" s="278"/>
    </row>
    <row r="449" spans="3:4">
      <c r="C449" s="275"/>
      <c r="D449" s="278"/>
    </row>
    <row r="450" spans="3:4">
      <c r="C450" s="275"/>
      <c r="D450" s="278"/>
    </row>
    <row r="451" spans="3:4">
      <c r="C451" s="275"/>
      <c r="D451" s="278"/>
    </row>
    <row r="452" spans="3:4">
      <c r="C452" s="275"/>
      <c r="D452" s="278"/>
    </row>
    <row r="453" spans="3:4">
      <c r="C453" s="275"/>
      <c r="D453" s="278"/>
    </row>
    <row r="454" spans="3:4">
      <c r="C454" s="275"/>
      <c r="D454" s="278"/>
    </row>
    <row r="455" spans="3:4">
      <c r="C455" s="275"/>
      <c r="D455" s="278"/>
    </row>
    <row r="456" spans="3:4">
      <c r="C456" s="275"/>
      <c r="D456" s="278"/>
    </row>
    <row r="457" spans="3:4">
      <c r="C457" s="275"/>
      <c r="D457" s="278"/>
    </row>
    <row r="458" spans="3:4">
      <c r="C458" s="275"/>
      <c r="D458" s="278"/>
    </row>
    <row r="459" spans="3:4">
      <c r="C459" s="275"/>
      <c r="D459" s="278"/>
    </row>
    <row r="460" spans="3:4">
      <c r="C460" s="275"/>
      <c r="D460" s="278"/>
    </row>
    <row r="461" spans="3:4">
      <c r="C461" s="275"/>
      <c r="D461" s="278"/>
    </row>
    <row r="462" spans="3:4">
      <c r="C462" s="275"/>
      <c r="D462" s="278"/>
    </row>
    <row r="463" spans="3:4">
      <c r="C463" s="275"/>
      <c r="D463" s="278"/>
    </row>
    <row r="464" spans="3:4">
      <c r="C464" s="275"/>
      <c r="D464" s="278"/>
    </row>
    <row r="465" spans="3:12">
      <c r="C465" s="275"/>
      <c r="D465" s="278"/>
    </row>
    <row r="466" spans="3:12">
      <c r="C466" s="275"/>
      <c r="D466" s="278"/>
      <c r="L466" s="274"/>
    </row>
    <row r="467" spans="3:12">
      <c r="C467" s="275"/>
      <c r="D467" s="278"/>
      <c r="L467" s="274"/>
    </row>
    <row r="468" spans="3:12">
      <c r="C468" s="275"/>
      <c r="D468" s="278"/>
    </row>
    <row r="469" spans="3:12">
      <c r="C469" s="275"/>
      <c r="D469" s="278"/>
    </row>
    <row r="470" spans="3:12">
      <c r="C470" s="275"/>
      <c r="D470" s="278"/>
    </row>
  </sheetData>
  <sheetProtection algorithmName="SHA-512" hashValue="OR2IH0PzJ5CmHBCLGLyk9MMaGIFGNtJxY2eAtmnrFGcyc73nHxEDmWRDiS/KTMiodYoQsu2fCF/9yuVvyhuUEw==" saltValue="heuX0JPulKAzuiETM0K5uA==" spinCount="100000" sheet="1" objects="1" scenarios="1"/>
  <mergeCells count="3">
    <mergeCell ref="B2:C2"/>
    <mergeCell ref="D2:F2"/>
    <mergeCell ref="B3:F3"/>
  </mergeCells>
  <pageMargins left="0.7" right="0.7" top="0.75" bottom="0.75" header="0.3" footer="0.3"/>
  <pageSetup paperSize="9"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CD46-31C1-8543-9293-6A4982E3C972}">
  <sheetPr codeName="Sheet34">
    <tabColor theme="7"/>
  </sheetPr>
  <dimension ref="B1:I209"/>
  <sheetViews>
    <sheetView zoomScaleNormal="100" workbookViewId="0"/>
  </sheetViews>
  <sheetFormatPr baseColWidth="10" defaultRowHeight="16"/>
  <cols>
    <col min="1" max="1" width="2.83203125" style="103" customWidth="1"/>
    <col min="2" max="2" width="10.83203125" style="103" customWidth="1"/>
    <col min="3" max="3" width="48.83203125" style="103" customWidth="1"/>
    <col min="4" max="4" width="76.6640625" style="103" bestFit="1" customWidth="1"/>
    <col min="5" max="5" width="21.83203125" style="103" customWidth="1"/>
    <col min="6" max="6" width="48.33203125" style="103" bestFit="1" customWidth="1"/>
    <col min="7" max="7" width="78.5" style="103" bestFit="1" customWidth="1"/>
    <col min="8" max="16384" width="10.83203125" style="103"/>
  </cols>
  <sheetData>
    <row r="1" spans="2:9">
      <c r="D1" s="273"/>
    </row>
    <row r="2" spans="2:9" s="106" customFormat="1" ht="54" customHeight="1">
      <c r="B2" s="524" t="e" vm="1">
        <v>#VALUE!</v>
      </c>
      <c r="C2" s="525"/>
      <c r="D2" s="495" t="s">
        <v>4665</v>
      </c>
      <c r="E2" s="526"/>
      <c r="F2" s="496"/>
      <c r="G2" s="103"/>
      <c r="H2" s="103"/>
      <c r="I2" s="103"/>
    </row>
    <row r="3" spans="2:9" s="106" customFormat="1">
      <c r="B3" s="530" t="s">
        <v>4560</v>
      </c>
      <c r="C3" s="531"/>
      <c r="D3" s="531"/>
      <c r="E3" s="531"/>
      <c r="F3" s="532"/>
      <c r="G3" s="103"/>
      <c r="H3" s="103"/>
      <c r="I3" s="103"/>
    </row>
    <row r="4" spans="2:9" s="106" customFormat="1">
      <c r="D4" s="130"/>
      <c r="E4" s="131"/>
      <c r="F4" s="131"/>
      <c r="G4" s="103"/>
    </row>
    <row r="5" spans="2:9">
      <c r="C5" s="279" t="str">
        <f>IF(wld_dedicated_edge_cluster_model_chosen="Availability (2 Node)","2 Edge Node Deployment JSON",IF(wld_dedicated_edge_cluster_model_chosen="Availability (4 Node)","4 Edge Node Deployment JSON"," "))</f>
        <v xml:space="preserve"> </v>
      </c>
    </row>
    <row r="6" spans="2:9">
      <c r="C6" s="276" t="str" cm="1">
        <f t="array" ref="C6">IF(wld_dedicated_edge_cluster_model_chosen="Availability (2 Node)",wld_multirack_edge_deployment_model_2_node_json,IF(wld_dedicated_edge_cluster_model_chosen="Availability (4 Node)",wld_multirack_edge_deployment_model_4_node_json," "))</f>
        <v xml:space="preserve"> </v>
      </c>
      <c r="D6" s="277"/>
      <c r="F6" s="279" t="s">
        <v>4564</v>
      </c>
    </row>
    <row r="7" spans="2:9">
      <c r="C7" s="275"/>
      <c r="D7" s="278"/>
    </row>
    <row r="8" spans="2:9">
      <c r="C8" s="275"/>
      <c r="D8" s="278"/>
    </row>
    <row r="9" spans="2:9">
      <c r="C9" s="275"/>
      <c r="D9" s="278"/>
    </row>
    <row r="10" spans="2:9">
      <c r="C10" s="275"/>
      <c r="D10" s="278"/>
    </row>
    <row r="11" spans="2:9">
      <c r="C11" s="275"/>
      <c r="D11" s="278"/>
    </row>
    <row r="12" spans="2:9">
      <c r="C12" s="275"/>
      <c r="D12" s="278"/>
    </row>
    <row r="13" spans="2:9">
      <c r="C13" s="275"/>
      <c r="D13" s="278"/>
    </row>
    <row r="14" spans="2:9">
      <c r="C14" s="275"/>
      <c r="D14" s="278"/>
    </row>
    <row r="15" spans="2:9">
      <c r="C15" s="275"/>
      <c r="D15" s="278"/>
    </row>
    <row r="16" spans="2:9">
      <c r="C16" s="275"/>
      <c r="D16" s="278"/>
    </row>
    <row r="17" spans="3:4">
      <c r="C17" s="275"/>
      <c r="D17" s="278"/>
    </row>
    <row r="18" spans="3:4">
      <c r="C18" s="275"/>
      <c r="D18" s="278"/>
    </row>
    <row r="19" spans="3:4">
      <c r="C19" s="275"/>
      <c r="D19" s="278"/>
    </row>
    <row r="20" spans="3:4">
      <c r="C20" s="275"/>
      <c r="D20" s="278"/>
    </row>
    <row r="21" spans="3:4">
      <c r="C21" s="275"/>
      <c r="D21" s="278"/>
    </row>
    <row r="22" spans="3:4">
      <c r="C22" s="275"/>
      <c r="D22" s="282"/>
    </row>
    <row r="23" spans="3:4">
      <c r="C23" s="275"/>
      <c r="D23" s="282"/>
    </row>
    <row r="24" spans="3:4">
      <c r="C24" s="275"/>
      <c r="D24" s="282"/>
    </row>
    <row r="25" spans="3:4">
      <c r="C25" s="275"/>
      <c r="D25" s="282"/>
    </row>
    <row r="26" spans="3:4">
      <c r="C26" s="275"/>
      <c r="D26" s="282"/>
    </row>
    <row r="27" spans="3:4">
      <c r="C27" s="275"/>
      <c r="D27" s="282"/>
    </row>
    <row r="28" spans="3:4">
      <c r="C28" s="275"/>
      <c r="D28" s="282"/>
    </row>
    <row r="29" spans="3:4">
      <c r="C29" s="275"/>
      <c r="D29" s="282"/>
    </row>
    <row r="30" spans="3:4">
      <c r="C30" s="275"/>
      <c r="D30" s="282"/>
    </row>
    <row r="31" spans="3:4">
      <c r="C31" s="275"/>
      <c r="D31" s="282"/>
    </row>
    <row r="32" spans="3:4">
      <c r="C32" s="275"/>
      <c r="D32" s="282"/>
    </row>
    <row r="33" spans="3:4">
      <c r="C33" s="275"/>
      <c r="D33" s="282"/>
    </row>
    <row r="34" spans="3:4">
      <c r="C34" s="275"/>
      <c r="D34" s="282"/>
    </row>
    <row r="35" spans="3:4">
      <c r="C35" s="275"/>
      <c r="D35" s="282"/>
    </row>
    <row r="36" spans="3:4">
      <c r="C36" s="275"/>
      <c r="D36" s="282"/>
    </row>
    <row r="37" spans="3:4">
      <c r="C37" s="275"/>
      <c r="D37" s="282"/>
    </row>
    <row r="38" spans="3:4">
      <c r="C38" s="275"/>
      <c r="D38" s="282"/>
    </row>
    <row r="39" spans="3:4">
      <c r="C39" s="275"/>
      <c r="D39" s="282"/>
    </row>
    <row r="40" spans="3:4">
      <c r="C40" s="275"/>
      <c r="D40" s="282"/>
    </row>
    <row r="41" spans="3:4">
      <c r="C41" s="275"/>
      <c r="D41" s="282"/>
    </row>
    <row r="42" spans="3:4">
      <c r="C42" s="275"/>
      <c r="D42" s="282"/>
    </row>
    <row r="43" spans="3:4">
      <c r="C43" s="275"/>
      <c r="D43" s="282"/>
    </row>
    <row r="44" spans="3:4">
      <c r="C44" s="275"/>
      <c r="D44" s="282"/>
    </row>
    <row r="45" spans="3:4">
      <c r="C45" s="275"/>
      <c r="D45" s="282"/>
    </row>
    <row r="46" spans="3:4">
      <c r="C46" s="275"/>
      <c r="D46" s="282"/>
    </row>
    <row r="47" spans="3:4">
      <c r="C47" s="275"/>
      <c r="D47" s="282"/>
    </row>
    <row r="48" spans="3:4">
      <c r="C48" s="275"/>
      <c r="D48" s="282"/>
    </row>
    <row r="49" spans="3:4">
      <c r="C49" s="275"/>
      <c r="D49" s="282"/>
    </row>
    <row r="50" spans="3:4">
      <c r="C50" s="275"/>
      <c r="D50" s="282"/>
    </row>
    <row r="51" spans="3:4">
      <c r="C51" s="275"/>
      <c r="D51" s="282"/>
    </row>
    <row r="52" spans="3:4">
      <c r="C52" s="275"/>
      <c r="D52" s="282"/>
    </row>
    <row r="53" spans="3:4">
      <c r="C53" s="275"/>
      <c r="D53" s="282"/>
    </row>
    <row r="54" spans="3:4">
      <c r="C54" s="275"/>
      <c r="D54" s="282"/>
    </row>
    <row r="55" spans="3:4">
      <c r="C55" s="275"/>
      <c r="D55" s="282"/>
    </row>
    <row r="56" spans="3:4">
      <c r="C56" s="275"/>
      <c r="D56" s="282"/>
    </row>
    <row r="57" spans="3:4">
      <c r="C57" s="275"/>
      <c r="D57" s="282"/>
    </row>
    <row r="58" spans="3:4">
      <c r="C58" s="275"/>
      <c r="D58" s="282"/>
    </row>
    <row r="59" spans="3:4">
      <c r="C59" s="275"/>
      <c r="D59" s="282"/>
    </row>
    <row r="60" spans="3:4">
      <c r="C60" s="275"/>
      <c r="D60" s="282"/>
    </row>
    <row r="61" spans="3:4">
      <c r="C61" s="275"/>
      <c r="D61" s="282"/>
    </row>
    <row r="62" spans="3:4">
      <c r="C62" s="275"/>
      <c r="D62" s="282"/>
    </row>
    <row r="63" spans="3:4">
      <c r="C63" s="275"/>
      <c r="D63" s="282"/>
    </row>
    <row r="64" spans="3:4">
      <c r="C64" s="275"/>
      <c r="D64" s="282"/>
    </row>
    <row r="65" spans="3:4">
      <c r="C65" s="275"/>
      <c r="D65" s="282"/>
    </row>
    <row r="66" spans="3:4">
      <c r="C66" s="275"/>
      <c r="D66" s="282"/>
    </row>
    <row r="67" spans="3:4">
      <c r="C67" s="275"/>
      <c r="D67" s="282"/>
    </row>
    <row r="68" spans="3:4">
      <c r="C68" s="275"/>
      <c r="D68" s="282"/>
    </row>
    <row r="69" spans="3:4">
      <c r="C69" s="275"/>
      <c r="D69" s="282"/>
    </row>
    <row r="70" spans="3:4">
      <c r="C70" s="275"/>
      <c r="D70" s="282"/>
    </row>
    <row r="71" spans="3:4">
      <c r="C71" s="275"/>
      <c r="D71" s="282"/>
    </row>
    <row r="72" spans="3:4">
      <c r="C72" s="275"/>
      <c r="D72" s="282"/>
    </row>
    <row r="73" spans="3:4">
      <c r="C73" s="275"/>
      <c r="D73" s="282"/>
    </row>
    <row r="74" spans="3:4">
      <c r="C74" s="275"/>
      <c r="D74" s="282"/>
    </row>
    <row r="75" spans="3:4">
      <c r="C75" s="275"/>
      <c r="D75" s="282"/>
    </row>
    <row r="76" spans="3:4">
      <c r="C76" s="275"/>
      <c r="D76" s="282"/>
    </row>
    <row r="77" spans="3:4">
      <c r="C77" s="275"/>
      <c r="D77" s="282"/>
    </row>
    <row r="78" spans="3:4">
      <c r="C78" s="275"/>
      <c r="D78" s="282"/>
    </row>
    <row r="79" spans="3:4">
      <c r="C79" s="275"/>
      <c r="D79" s="282"/>
    </row>
    <row r="80" spans="3:4">
      <c r="C80" s="275"/>
      <c r="D80" s="282"/>
    </row>
    <row r="81" spans="3:4">
      <c r="C81" s="275"/>
      <c r="D81" s="282"/>
    </row>
    <row r="82" spans="3:4">
      <c r="C82" s="275"/>
      <c r="D82" s="282"/>
    </row>
    <row r="83" spans="3:4">
      <c r="C83" s="275"/>
      <c r="D83" s="282"/>
    </row>
    <row r="84" spans="3:4">
      <c r="C84" s="275"/>
      <c r="D84" s="282"/>
    </row>
    <row r="85" spans="3:4">
      <c r="C85" s="275"/>
      <c r="D85" s="282"/>
    </row>
    <row r="86" spans="3:4">
      <c r="C86" s="275"/>
      <c r="D86" s="282"/>
    </row>
    <row r="87" spans="3:4">
      <c r="C87" s="275"/>
      <c r="D87" s="282"/>
    </row>
    <row r="88" spans="3:4">
      <c r="C88" s="275"/>
      <c r="D88" s="282"/>
    </row>
    <row r="89" spans="3:4">
      <c r="C89" s="275"/>
      <c r="D89" s="282"/>
    </row>
    <row r="90" spans="3:4">
      <c r="C90" s="275"/>
      <c r="D90" s="282"/>
    </row>
    <row r="91" spans="3:4">
      <c r="C91" s="275"/>
      <c r="D91" s="282"/>
    </row>
    <row r="92" spans="3:4">
      <c r="C92" s="275"/>
      <c r="D92" s="282"/>
    </row>
    <row r="93" spans="3:4">
      <c r="C93" s="275"/>
      <c r="D93" s="282"/>
    </row>
    <row r="94" spans="3:4">
      <c r="C94" s="275"/>
      <c r="D94" s="282"/>
    </row>
    <row r="95" spans="3:4">
      <c r="C95" s="275"/>
      <c r="D95" s="282"/>
    </row>
    <row r="96" spans="3:4">
      <c r="C96" s="275"/>
      <c r="D96" s="282"/>
    </row>
    <row r="97" spans="3:4">
      <c r="C97" s="275"/>
      <c r="D97" s="282"/>
    </row>
    <row r="98" spans="3:4">
      <c r="C98" s="275"/>
      <c r="D98" s="282"/>
    </row>
    <row r="99" spans="3:4">
      <c r="C99" s="275"/>
      <c r="D99" s="282"/>
    </row>
    <row r="100" spans="3:4">
      <c r="C100" s="275"/>
      <c r="D100" s="282"/>
    </row>
    <row r="101" spans="3:4">
      <c r="C101" s="275"/>
      <c r="D101" s="282"/>
    </row>
    <row r="102" spans="3:4">
      <c r="C102" s="275"/>
      <c r="D102" s="282"/>
    </row>
    <row r="103" spans="3:4">
      <c r="C103" s="275"/>
      <c r="D103" s="282"/>
    </row>
    <row r="104" spans="3:4">
      <c r="C104" s="275"/>
      <c r="D104" s="282"/>
    </row>
    <row r="105" spans="3:4">
      <c r="C105" s="275"/>
      <c r="D105" s="282"/>
    </row>
    <row r="106" spans="3:4">
      <c r="C106" s="275"/>
      <c r="D106" s="282"/>
    </row>
    <row r="107" spans="3:4">
      <c r="C107" s="275"/>
      <c r="D107" s="282"/>
    </row>
    <row r="108" spans="3:4">
      <c r="C108" s="275"/>
      <c r="D108" s="282"/>
    </row>
    <row r="109" spans="3:4">
      <c r="C109" s="275"/>
      <c r="D109" s="282"/>
    </row>
    <row r="110" spans="3:4">
      <c r="C110" s="275"/>
      <c r="D110" s="282"/>
    </row>
    <row r="111" spans="3:4">
      <c r="C111" s="275"/>
      <c r="D111" s="282"/>
    </row>
    <row r="112" spans="3:4">
      <c r="C112" s="275"/>
      <c r="D112" s="282"/>
    </row>
    <row r="113" spans="3:4">
      <c r="C113" s="275"/>
      <c r="D113" s="282"/>
    </row>
    <row r="114" spans="3:4">
      <c r="C114" s="275"/>
      <c r="D114" s="282"/>
    </row>
    <row r="115" spans="3:4">
      <c r="C115" s="275"/>
      <c r="D115" s="282"/>
    </row>
    <row r="116" spans="3:4">
      <c r="C116" s="275"/>
      <c r="D116" s="282"/>
    </row>
    <row r="117" spans="3:4">
      <c r="C117" s="275"/>
      <c r="D117" s="282"/>
    </row>
    <row r="118" spans="3:4">
      <c r="C118" s="275"/>
      <c r="D118" s="282"/>
    </row>
    <row r="119" spans="3:4">
      <c r="C119" s="275"/>
      <c r="D119" s="282"/>
    </row>
    <row r="120" spans="3:4">
      <c r="C120" s="275"/>
      <c r="D120" s="282"/>
    </row>
    <row r="121" spans="3:4">
      <c r="C121" s="275"/>
      <c r="D121" s="282"/>
    </row>
    <row r="122" spans="3:4">
      <c r="C122" s="275"/>
      <c r="D122" s="282"/>
    </row>
    <row r="123" spans="3:4">
      <c r="C123" s="275"/>
      <c r="D123" s="282"/>
    </row>
    <row r="124" spans="3:4">
      <c r="C124" s="275"/>
      <c r="D124" s="282"/>
    </row>
    <row r="125" spans="3:4">
      <c r="C125" s="275"/>
      <c r="D125" s="282"/>
    </row>
    <row r="126" spans="3:4">
      <c r="C126" s="275"/>
      <c r="D126" s="282"/>
    </row>
    <row r="127" spans="3:4">
      <c r="C127" s="275"/>
      <c r="D127" s="282"/>
    </row>
    <row r="128" spans="3:4">
      <c r="C128" s="275"/>
      <c r="D128" s="282"/>
    </row>
    <row r="129" spans="3:4">
      <c r="C129" s="275"/>
      <c r="D129" s="282"/>
    </row>
    <row r="130" spans="3:4">
      <c r="C130" s="275"/>
      <c r="D130" s="282"/>
    </row>
    <row r="131" spans="3:4">
      <c r="C131" s="275"/>
      <c r="D131" s="282"/>
    </row>
    <row r="132" spans="3:4">
      <c r="C132" s="275"/>
      <c r="D132" s="282"/>
    </row>
    <row r="133" spans="3:4">
      <c r="C133" s="275"/>
      <c r="D133" s="282"/>
    </row>
    <row r="134" spans="3:4">
      <c r="C134" s="275"/>
      <c r="D134" s="282"/>
    </row>
    <row r="135" spans="3:4">
      <c r="C135" s="275"/>
      <c r="D135" s="282"/>
    </row>
    <row r="136" spans="3:4">
      <c r="C136" s="275"/>
      <c r="D136" s="282"/>
    </row>
    <row r="137" spans="3:4">
      <c r="C137" s="275"/>
      <c r="D137" s="282"/>
    </row>
    <row r="138" spans="3:4">
      <c r="C138" s="275"/>
      <c r="D138" s="282"/>
    </row>
    <row r="139" spans="3:4">
      <c r="C139" s="275"/>
      <c r="D139" s="282"/>
    </row>
    <row r="140" spans="3:4">
      <c r="C140" s="275"/>
      <c r="D140" s="282"/>
    </row>
    <row r="141" spans="3:4">
      <c r="C141" s="275"/>
      <c r="D141" s="282"/>
    </row>
    <row r="142" spans="3:4">
      <c r="C142" s="275"/>
      <c r="D142" s="282"/>
    </row>
    <row r="143" spans="3:4">
      <c r="C143" s="275"/>
      <c r="D143" s="282"/>
    </row>
    <row r="144" spans="3:4">
      <c r="C144" s="275"/>
      <c r="D144" s="282"/>
    </row>
    <row r="145" spans="3:4">
      <c r="C145" s="275"/>
      <c r="D145" s="282"/>
    </row>
    <row r="146" spans="3:4">
      <c r="C146" s="275"/>
      <c r="D146" s="282"/>
    </row>
    <row r="147" spans="3:4">
      <c r="C147" s="275"/>
      <c r="D147" s="282"/>
    </row>
    <row r="148" spans="3:4">
      <c r="C148" s="275"/>
      <c r="D148" s="282"/>
    </row>
    <row r="149" spans="3:4">
      <c r="C149" s="275"/>
      <c r="D149" s="282"/>
    </row>
    <row r="150" spans="3:4">
      <c r="C150" s="275"/>
      <c r="D150" s="282"/>
    </row>
    <row r="151" spans="3:4">
      <c r="C151" s="275"/>
      <c r="D151" s="282"/>
    </row>
    <row r="152" spans="3:4">
      <c r="C152" s="275"/>
      <c r="D152" s="282"/>
    </row>
    <row r="153" spans="3:4">
      <c r="C153" s="275"/>
      <c r="D153" s="282"/>
    </row>
    <row r="154" spans="3:4">
      <c r="C154" s="275"/>
      <c r="D154" s="282"/>
    </row>
    <row r="155" spans="3:4">
      <c r="C155" s="275"/>
      <c r="D155" s="282"/>
    </row>
    <row r="156" spans="3:4">
      <c r="C156" s="275"/>
      <c r="D156" s="282"/>
    </row>
    <row r="157" spans="3:4">
      <c r="C157" s="275"/>
      <c r="D157" s="282"/>
    </row>
    <row r="158" spans="3:4">
      <c r="C158" s="275"/>
      <c r="D158" s="282"/>
    </row>
    <row r="159" spans="3:4">
      <c r="C159" s="275"/>
      <c r="D159" s="282"/>
    </row>
    <row r="160" spans="3:4">
      <c r="C160" s="275"/>
      <c r="D160" s="282"/>
    </row>
    <row r="161" spans="3:4">
      <c r="C161" s="275"/>
      <c r="D161" s="282"/>
    </row>
    <row r="162" spans="3:4">
      <c r="C162" s="275"/>
      <c r="D162" s="282"/>
    </row>
    <row r="163" spans="3:4">
      <c r="C163" s="275"/>
      <c r="D163" s="282"/>
    </row>
    <row r="164" spans="3:4">
      <c r="C164" s="275"/>
      <c r="D164" s="282"/>
    </row>
    <row r="165" spans="3:4">
      <c r="C165" s="275"/>
      <c r="D165" s="282"/>
    </row>
    <row r="166" spans="3:4">
      <c r="C166" s="275"/>
      <c r="D166" s="282"/>
    </row>
    <row r="167" spans="3:4">
      <c r="C167" s="275"/>
      <c r="D167" s="282"/>
    </row>
    <row r="168" spans="3:4">
      <c r="C168" s="275"/>
      <c r="D168" s="282"/>
    </row>
    <row r="169" spans="3:4">
      <c r="C169" s="275"/>
      <c r="D169" s="282"/>
    </row>
    <row r="170" spans="3:4">
      <c r="C170" s="275"/>
      <c r="D170" s="282"/>
    </row>
    <row r="171" spans="3:4">
      <c r="C171" s="275"/>
      <c r="D171" s="282"/>
    </row>
    <row r="172" spans="3:4">
      <c r="C172" s="275"/>
      <c r="D172" s="282"/>
    </row>
    <row r="173" spans="3:4">
      <c r="C173" s="275"/>
      <c r="D173" s="282"/>
    </row>
    <row r="174" spans="3:4">
      <c r="C174" s="275"/>
      <c r="D174" s="282"/>
    </row>
    <row r="175" spans="3:4">
      <c r="C175" s="275"/>
      <c r="D175" s="282"/>
    </row>
    <row r="176" spans="3:4">
      <c r="C176" s="275"/>
      <c r="D176" s="282"/>
    </row>
    <row r="177" spans="3:4">
      <c r="C177" s="275"/>
      <c r="D177" s="282"/>
    </row>
    <row r="178" spans="3:4">
      <c r="C178" s="275"/>
      <c r="D178" s="282"/>
    </row>
    <row r="179" spans="3:4">
      <c r="C179" s="275"/>
      <c r="D179" s="282"/>
    </row>
    <row r="180" spans="3:4">
      <c r="C180" s="275"/>
      <c r="D180" s="282"/>
    </row>
    <row r="181" spans="3:4">
      <c r="C181" s="275"/>
      <c r="D181" s="282"/>
    </row>
    <row r="182" spans="3:4">
      <c r="C182" s="275"/>
      <c r="D182" s="282"/>
    </row>
    <row r="183" spans="3:4">
      <c r="C183" s="275"/>
      <c r="D183" s="282"/>
    </row>
    <row r="184" spans="3:4">
      <c r="C184" s="275"/>
      <c r="D184" s="282"/>
    </row>
    <row r="185" spans="3:4">
      <c r="C185" s="275"/>
      <c r="D185" s="282"/>
    </row>
    <row r="186" spans="3:4">
      <c r="C186" s="275"/>
      <c r="D186" s="282"/>
    </row>
    <row r="187" spans="3:4">
      <c r="C187" s="275"/>
      <c r="D187" s="282"/>
    </row>
    <row r="188" spans="3:4">
      <c r="C188" s="275"/>
      <c r="D188" s="282"/>
    </row>
    <row r="189" spans="3:4">
      <c r="C189" s="275"/>
      <c r="D189" s="282"/>
    </row>
    <row r="190" spans="3:4">
      <c r="C190" s="275"/>
      <c r="D190" s="282"/>
    </row>
    <row r="191" spans="3:4">
      <c r="C191" s="275"/>
      <c r="D191" s="282"/>
    </row>
    <row r="192" spans="3:4">
      <c r="C192" s="275"/>
      <c r="D192" s="282"/>
    </row>
    <row r="193" spans="3:4">
      <c r="C193" s="275"/>
      <c r="D193" s="282"/>
    </row>
    <row r="194" spans="3:4">
      <c r="C194" s="275"/>
      <c r="D194" s="282"/>
    </row>
    <row r="195" spans="3:4">
      <c r="C195" s="275"/>
      <c r="D195" s="282"/>
    </row>
    <row r="196" spans="3:4">
      <c r="C196" s="275"/>
      <c r="D196" s="282"/>
    </row>
    <row r="197" spans="3:4">
      <c r="C197" s="275"/>
      <c r="D197" s="282"/>
    </row>
    <row r="198" spans="3:4">
      <c r="C198" s="275"/>
      <c r="D198" s="282"/>
    </row>
    <row r="199" spans="3:4">
      <c r="C199" s="275"/>
      <c r="D199" s="282"/>
    </row>
    <row r="200" spans="3:4">
      <c r="C200" s="275"/>
      <c r="D200" s="282"/>
    </row>
    <row r="201" spans="3:4">
      <c r="C201" s="275"/>
      <c r="D201" s="282"/>
    </row>
    <row r="202" spans="3:4">
      <c r="C202" s="275"/>
      <c r="D202" s="282"/>
    </row>
    <row r="203" spans="3:4">
      <c r="C203" s="275"/>
      <c r="D203" s="282"/>
    </row>
    <row r="204" spans="3:4">
      <c r="C204" s="275"/>
      <c r="D204" s="282"/>
    </row>
    <row r="205" spans="3:4">
      <c r="C205" s="275"/>
      <c r="D205" s="282"/>
    </row>
    <row r="206" spans="3:4">
      <c r="C206" s="275"/>
      <c r="D206" s="282"/>
    </row>
    <row r="207" spans="3:4">
      <c r="C207" s="275"/>
      <c r="D207" s="282"/>
    </row>
    <row r="208" spans="3:4">
      <c r="C208" s="275"/>
      <c r="D208" s="282"/>
    </row>
    <row r="209" spans="3:4">
      <c r="C209" s="275"/>
      <c r="D209" s="282"/>
    </row>
  </sheetData>
  <sheetProtection algorithmName="SHA-512" hashValue="uGenjJDBObl9kX4gSXg/CtIR/YhjpSugUQXZcO+chBQTDBXG0jGFCHy/EWwP0cpShWyonqH9577CSXKkBdESQA==" saltValue="+kn7jKIeIwA5KHCaqfw4lA==" spinCount="100000" sheet="1" objects="1" scenarios="1"/>
  <mergeCells count="3">
    <mergeCell ref="B2:C2"/>
    <mergeCell ref="D2:F2"/>
    <mergeCell ref="B3:F3"/>
  </mergeCells>
  <pageMargins left="0.7" right="0.7" top="0.75" bottom="0.75" header="0.3" footer="0.3"/>
  <pageSetup paperSize="9"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B5CD8-2E1D-774F-8F9D-9CF5AB80CEEF}">
  <sheetPr codeName="Sheet16">
    <tabColor theme="4" tint="0.39997558519241921"/>
  </sheetPr>
  <dimension ref="B1:J124"/>
  <sheetViews>
    <sheetView showGridLines="0" zoomScaleNormal="100" workbookViewId="0">
      <pane ySplit="6" topLeftCell="A7" activePane="bottomLeft" state="frozen"/>
      <selection pane="bottomLeft"/>
    </sheetView>
  </sheetViews>
  <sheetFormatPr baseColWidth="10" defaultColWidth="11" defaultRowHeight="16"/>
  <cols>
    <col min="1" max="1" width="2.83203125" customWidth="1"/>
    <col min="2" max="2" width="63.83203125" customWidth="1"/>
    <col min="3" max="4" width="80.83203125" customWidth="1"/>
    <col min="5" max="5" width="60.83203125" customWidth="1"/>
    <col min="6" max="6" width="2.83203125" customWidth="1"/>
    <col min="7" max="7" width="10.83203125" customWidth="1"/>
  </cols>
  <sheetData>
    <row r="1" spans="2:10" s="3" customFormat="1" ht="16" customHeight="1">
      <c r="F1"/>
      <c r="G1"/>
      <c r="H1"/>
      <c r="I1"/>
      <c r="J1"/>
    </row>
    <row r="2" spans="2:10" s="3" customFormat="1" ht="54" customHeight="1">
      <c r="B2" s="533"/>
      <c r="C2" s="534"/>
      <c r="D2" s="92" t="s">
        <v>2271</v>
      </c>
      <c r="E2" s="88"/>
      <c r="F2"/>
      <c r="G2"/>
      <c r="H2"/>
      <c r="I2"/>
      <c r="J2"/>
    </row>
    <row r="3" spans="2:10" s="3" customFormat="1" ht="20" customHeight="1">
      <c r="B3" s="341" t="s">
        <v>2272</v>
      </c>
      <c r="C3" s="342"/>
      <c r="D3" s="342"/>
      <c r="E3" s="343"/>
      <c r="F3"/>
      <c r="G3"/>
      <c r="H3"/>
      <c r="I3"/>
      <c r="J3"/>
    </row>
    <row r="5" spans="2:10" ht="34" customHeight="1">
      <c r="B5" s="179" t="s">
        <v>2273</v>
      </c>
      <c r="C5" s="169" t="s">
        <v>2274</v>
      </c>
    </row>
    <row r="6" spans="2:10" s="3" customFormat="1">
      <c r="D6" s="7"/>
      <c r="E6" s="5"/>
      <c r="F6" s="5"/>
    </row>
    <row r="8" spans="2:10" ht="34" customHeight="1">
      <c r="B8" s="535" t="s">
        <v>2274</v>
      </c>
      <c r="C8" s="536"/>
      <c r="D8" s="536"/>
      <c r="E8" s="537"/>
    </row>
    <row r="9" spans="2:10" ht="16" customHeight="1"/>
    <row r="10" spans="2:10" ht="34" customHeight="1">
      <c r="B10" s="344" t="s">
        <v>2276</v>
      </c>
      <c r="C10" s="344"/>
      <c r="D10" s="344"/>
      <c r="E10" s="344"/>
    </row>
    <row r="11" spans="2:10" ht="20" customHeight="1">
      <c r="B11" s="8" t="s">
        <v>735</v>
      </c>
      <c r="C11" s="8" t="s">
        <v>554</v>
      </c>
      <c r="D11" s="20" t="s">
        <v>555</v>
      </c>
      <c r="E11" s="8" t="s">
        <v>222</v>
      </c>
    </row>
    <row r="12" spans="2:10" ht="20" customHeight="1">
      <c r="B12" s="21" t="s">
        <v>2278</v>
      </c>
      <c r="C12" s="22" t="str">
        <f>CONCATENATE(sample_mgmt_vc_hostname,".",sample_child_dns_zone)</f>
        <v>sfo-m01-vc01.sfo.rainpole.io</v>
      </c>
      <c r="D12" s="18" t="str">
        <f>mgmt_vc_fqdn</f>
        <v>Value Missing.Value Missing</v>
      </c>
      <c r="E12" s="53"/>
    </row>
    <row r="13" spans="2:10" ht="20" customHeight="1">
      <c r="B13" s="21" t="s">
        <v>2279</v>
      </c>
      <c r="C13" s="22" t="str">
        <f>sample_region_ad_child_fqdn</f>
        <v>sfo.rainpole.io</v>
      </c>
      <c r="D13" s="18" t="str">
        <f>region_ad_child_fqdn</f>
        <v>Value Missing</v>
      </c>
      <c r="E13" s="53"/>
    </row>
    <row r="14" spans="2:10" ht="20" customHeight="1">
      <c r="B14" s="26" t="s">
        <v>2280</v>
      </c>
      <c r="C14" s="22" t="str">
        <f>sample_child_ad_users_ou</f>
        <v>ou=Security Users,dc=sfo,dc=rainpole,dc=io</v>
      </c>
      <c r="D14" s="18" t="str">
        <f>child_ad_users_ou</f>
        <v>Value Missing</v>
      </c>
      <c r="E14" s="53"/>
    </row>
    <row r="15" spans="2:10" ht="20" customHeight="1">
      <c r="B15" s="26" t="s">
        <v>2281</v>
      </c>
      <c r="C15" s="22" t="str">
        <f>sample_child_ad_groups_ou</f>
        <v>ou=Security Groups,dc=sfo,dc=rainpole,dc=io</v>
      </c>
      <c r="D15" s="18" t="str">
        <f>child_ad_groups_ou</f>
        <v>Value Missing</v>
      </c>
      <c r="E15" s="53"/>
    </row>
    <row r="16" spans="2:10" ht="20" customHeight="1">
      <c r="B16" s="26" t="s">
        <v>905</v>
      </c>
      <c r="C16" s="22" t="str">
        <f>sample_region_ad_child_fqdn</f>
        <v>sfo.rainpole.io</v>
      </c>
      <c r="D16" s="18" t="str">
        <f>region_ad_child_fqdn</f>
        <v>Value Missing</v>
      </c>
      <c r="E16" s="53"/>
    </row>
    <row r="17" spans="2:5" ht="20" customHeight="1">
      <c r="B17" s="26" t="s">
        <v>2282</v>
      </c>
      <c r="C17" s="22" t="str">
        <f>sample_region_ad_child_netbios</f>
        <v>SFO</v>
      </c>
      <c r="D17" s="18" t="str">
        <f>region_ad_child_netbios</f>
        <v>Value Missing</v>
      </c>
      <c r="E17" s="66"/>
    </row>
    <row r="18" spans="2:5" ht="20" customHeight="1">
      <c r="B18" s="26" t="s">
        <v>1806</v>
      </c>
      <c r="C18" s="22" t="str">
        <f>CONCATENATE(sample_child_svc_vsphere_ad_user,"@",sample_region_ad_child_fqdn)</f>
        <v>svc-vsphere-ad@sfo.rainpole.io</v>
      </c>
      <c r="D18" s="18" t="str">
        <f>iam_vsphere_ad_bind_username</f>
        <v>Value Missing@Value Missing</v>
      </c>
      <c r="E18" s="66"/>
    </row>
    <row r="19" spans="2:5" ht="20" customHeight="1">
      <c r="B19" s="26" t="s">
        <v>1796</v>
      </c>
      <c r="C19" s="22" t="str">
        <f>sample_child_svc_vsphere_ad_password</f>
        <v>VMw@re1!</v>
      </c>
      <c r="D19" s="18" t="str">
        <f>iam_vsphere_ad_bind_password</f>
        <v>Value Missing</v>
      </c>
      <c r="E19" s="53"/>
    </row>
    <row r="20" spans="2:5" ht="20" customHeight="1">
      <c r="B20" s="26" t="s">
        <v>2283</v>
      </c>
      <c r="C20" s="22" t="str">
        <f>CONCATENATE("ldaps://",sample_domain_controller_hostname,".",sample_region_ad_child_fqdn,":636")</f>
        <v>ldaps://sfo-ad01.sfo.rainpole.io:636</v>
      </c>
      <c r="D20" s="18" t="str">
        <f>iam_ad_connection_type</f>
        <v>ldaps://Value Missing.Value Missing:636</v>
      </c>
      <c r="E20" s="66"/>
    </row>
    <row r="21" spans="2:5" ht="16" customHeight="1"/>
    <row r="22" spans="2:5" ht="34" customHeight="1">
      <c r="B22" s="344" t="s">
        <v>2285</v>
      </c>
      <c r="C22" s="344"/>
      <c r="D22" s="344"/>
      <c r="E22" s="344"/>
    </row>
    <row r="23" spans="2:5" ht="20" customHeight="1">
      <c r="B23" s="8" t="s">
        <v>735</v>
      </c>
      <c r="C23" s="8" t="s">
        <v>554</v>
      </c>
      <c r="D23" s="20" t="s">
        <v>555</v>
      </c>
      <c r="E23" s="8" t="s">
        <v>222</v>
      </c>
    </row>
    <row r="24" spans="2:5" ht="20" customHeight="1">
      <c r="B24" s="26" t="s">
        <v>2286</v>
      </c>
      <c r="C24" s="22" t="str">
        <f>CONCATENATE(sample_mgmt_vc_hostname,".",sample_child_dns_zone)</f>
        <v>sfo-m01-vc01.sfo.rainpole.io</v>
      </c>
      <c r="D24" s="18" t="str">
        <f>mgmt_vc_fqdn</f>
        <v>Value Missing.Value Missing</v>
      </c>
      <c r="E24" s="53"/>
    </row>
    <row r="25" spans="2:5" ht="20" customHeight="1">
      <c r="B25" s="26" t="s">
        <v>489</v>
      </c>
      <c r="C25" s="22" t="str">
        <f>sample_region_ad_child_fqdn</f>
        <v>sfo.rainpole.io</v>
      </c>
      <c r="D25" s="18" t="str">
        <f>region_ad_child_fqdn</f>
        <v>Value Missing</v>
      </c>
      <c r="E25" s="53"/>
    </row>
    <row r="26" spans="2:5" ht="20" customHeight="1">
      <c r="B26" s="26" t="s">
        <v>2287</v>
      </c>
      <c r="C26" s="22" t="str">
        <f>sample_gg_vc_admins_group</f>
        <v>gg-vc-admins</v>
      </c>
      <c r="D26" s="18" t="str">
        <f>group_gg_vc_admins</f>
        <v>Value Missing</v>
      </c>
      <c r="E26" s="53"/>
    </row>
    <row r="27" spans="2:5" ht="20" customHeight="1">
      <c r="B27" s="21" t="s">
        <v>2288</v>
      </c>
      <c r="C27" s="22" t="str">
        <f>sample_gg_vc_read_only_group</f>
        <v>gg-vc-read-only</v>
      </c>
      <c r="D27" s="18" t="str">
        <f>group_gg_vc_read_only</f>
        <v>Value Missing</v>
      </c>
      <c r="E27" s="53"/>
    </row>
    <row r="28" spans="2:5" ht="16" customHeight="1"/>
    <row r="29" spans="2:5" ht="34" customHeight="1">
      <c r="B29" s="427" t="s">
        <v>2289</v>
      </c>
      <c r="C29" s="428"/>
      <c r="D29" s="428"/>
      <c r="E29" s="426"/>
    </row>
    <row r="30" spans="2:5" ht="20" customHeight="1">
      <c r="B30" s="8" t="s">
        <v>735</v>
      </c>
      <c r="C30" s="8" t="s">
        <v>554</v>
      </c>
      <c r="D30" s="20" t="s">
        <v>555</v>
      </c>
      <c r="E30" s="8" t="s">
        <v>222</v>
      </c>
    </row>
    <row r="31" spans="2:5" ht="20" customHeight="1">
      <c r="B31" s="26" t="s">
        <v>2286</v>
      </c>
      <c r="C31" s="22" t="str">
        <f>CONCATENATE(sample_mgmt_vc_hostname,".",sample_child_dns_zone)</f>
        <v>sfo-m01-vc01.sfo.rainpole.io</v>
      </c>
      <c r="D31" s="18" t="str">
        <f>mgmt_vc_fqdn</f>
        <v>Value Missing.Value Missing</v>
      </c>
      <c r="E31" s="53"/>
    </row>
    <row r="32" spans="2:5" ht="20" customHeight="1">
      <c r="B32" s="26" t="s">
        <v>489</v>
      </c>
      <c r="C32" s="22" t="str">
        <f>sample_region_ad_child_fqdn</f>
        <v>sfo.rainpole.io</v>
      </c>
      <c r="D32" s="18" t="str">
        <f>region_ad_child_fqdn</f>
        <v>Value Missing</v>
      </c>
      <c r="E32" s="53"/>
    </row>
    <row r="33" spans="2:5" ht="20" customHeight="1">
      <c r="B33" s="26" t="s">
        <v>2290</v>
      </c>
      <c r="C33" s="22" t="str">
        <f>sample_gg_sso_admins_group</f>
        <v>gg-sso-admins</v>
      </c>
      <c r="D33" s="18" t="str">
        <f>group_gg_sso_admins</f>
        <v>Value Missing</v>
      </c>
      <c r="E33" s="53"/>
    </row>
    <row r="34" spans="2:5" ht="16" customHeight="1"/>
    <row r="35" spans="2:5" ht="34" customHeight="1">
      <c r="B35" s="427" t="s">
        <v>2291</v>
      </c>
      <c r="C35" s="428"/>
      <c r="D35" s="428"/>
      <c r="E35" s="426"/>
    </row>
    <row r="36" spans="2:5" ht="20" customHeight="1">
      <c r="B36" s="8" t="s">
        <v>735</v>
      </c>
      <c r="C36" s="8" t="s">
        <v>554</v>
      </c>
      <c r="D36" s="20" t="s">
        <v>555</v>
      </c>
      <c r="E36" s="8" t="s">
        <v>222</v>
      </c>
    </row>
    <row r="37" spans="2:5" ht="20" customHeight="1">
      <c r="B37" s="26" t="s">
        <v>2292</v>
      </c>
      <c r="C37" s="22" t="str">
        <f>CONCATENATE(sample_sddc_mgr_hostname,".",sample_region_ad_child_fqdn)</f>
        <v>sfo-vcf01.sfo.rainpole.io</v>
      </c>
      <c r="D37" s="18" t="str">
        <f>sddc_mgr_fqdn</f>
        <v>Value Missing.Value Missing</v>
      </c>
      <c r="E37" s="53"/>
    </row>
    <row r="38" spans="2:5" ht="20" customHeight="1">
      <c r="B38" s="26" t="s">
        <v>489</v>
      </c>
      <c r="C38" s="22" t="str">
        <f>sample_region_ad_child_fqdn</f>
        <v>sfo.rainpole.io</v>
      </c>
      <c r="D38" s="18" t="str">
        <f>region_ad_child_fqdn</f>
        <v>Value Missing</v>
      </c>
      <c r="E38" s="53"/>
    </row>
    <row r="39" spans="2:5" ht="20" customHeight="1">
      <c r="B39" s="26" t="s">
        <v>2293</v>
      </c>
      <c r="C39" s="22" t="str">
        <f>sample_gg_vcf_admins_group</f>
        <v>gg-vcf-admins</v>
      </c>
      <c r="D39" s="18" t="str">
        <f>group_gg_vcf_admins</f>
        <v>Value Missing</v>
      </c>
      <c r="E39" s="53"/>
    </row>
    <row r="40" spans="2:5" ht="20" customHeight="1">
      <c r="B40" s="26" t="s">
        <v>2294</v>
      </c>
      <c r="C40" s="22" t="str">
        <f>sample_gg_vcf_operators_group</f>
        <v>gg-vcf-operators</v>
      </c>
      <c r="D40" s="18" t="str">
        <f>group_gg_vcf_operators</f>
        <v>Value Missing</v>
      </c>
      <c r="E40" s="53"/>
    </row>
    <row r="41" spans="2:5" ht="20" customHeight="1">
      <c r="B41" s="26" t="s">
        <v>2295</v>
      </c>
      <c r="C41" s="22" t="str">
        <f>sample_gg_vcf_viewers_group</f>
        <v>gg-vcf-viewers</v>
      </c>
      <c r="D41" s="18" t="str">
        <f t="array" ref="D41">group_gg_vcf_viewers</f>
        <v>Value Missing</v>
      </c>
      <c r="E41" s="53"/>
    </row>
    <row r="42" spans="2:5" ht="16" customHeight="1"/>
    <row r="43" spans="2:5" ht="34" customHeight="1">
      <c r="B43" s="68" t="s">
        <v>3607</v>
      </c>
      <c r="C43" s="73"/>
      <c r="D43" s="73"/>
      <c r="E43" s="69"/>
    </row>
    <row r="44" spans="2:5" ht="20" customHeight="1">
      <c r="B44" s="8" t="s">
        <v>735</v>
      </c>
      <c r="C44" s="8" t="s">
        <v>554</v>
      </c>
      <c r="D44" s="20" t="s">
        <v>555</v>
      </c>
      <c r="E44" s="8" t="s">
        <v>222</v>
      </c>
    </row>
    <row r="45" spans="2:5" ht="20" customHeight="1">
      <c r="B45" s="472" t="s">
        <v>2305</v>
      </c>
      <c r="C45" s="472"/>
      <c r="D45" s="472"/>
      <c r="E45" s="472"/>
    </row>
    <row r="46" spans="2:5" ht="20" customHeight="1">
      <c r="B46" s="26" t="s">
        <v>2306</v>
      </c>
      <c r="C46" s="22" t="str">
        <f>CONCATENATE(sample_mgmt_nsxt_hostname,".",sample_child_dns_zone)</f>
        <v>sfo-m01-nsx01.sfo.rainpole.io</v>
      </c>
      <c r="D46" s="18" t="str">
        <f>mgmt_nsxt_vip_fqdn</f>
        <v>Value Missing.Value Missing</v>
      </c>
      <c r="E46" s="53"/>
    </row>
    <row r="47" spans="2:5" ht="20" customHeight="1">
      <c r="B47" s="26" t="s">
        <v>735</v>
      </c>
      <c r="C47" s="22" t="str">
        <f>sample_region_ad_child_fqdn</f>
        <v>sfo.rainpole.io</v>
      </c>
      <c r="D47" s="18" t="str">
        <f>child_dns_zone</f>
        <v>Value Missing</v>
      </c>
      <c r="E47" s="53"/>
    </row>
    <row r="48" spans="2:5" ht="20" customHeight="1">
      <c r="B48" s="26" t="s">
        <v>3608</v>
      </c>
      <c r="C48" s="22" t="str">
        <f>sample_region_ad_child_fqdn</f>
        <v>sfo.rainpole.io</v>
      </c>
      <c r="D48" s="18" t="str">
        <f>child_dns_zone</f>
        <v>Value Missing</v>
      </c>
      <c r="E48" s="53"/>
    </row>
    <row r="49" spans="2:5" ht="20" customHeight="1">
      <c r="B49" s="26" t="s">
        <v>2304</v>
      </c>
      <c r="C49" s="22" t="str">
        <f>RIGHT(sample_child_ad_users_ou,LEN(sample_child_ad_users_ou)-SEARCH(",",sample_child_ad_users_ou))</f>
        <v>dc=sfo,dc=rainpole,dc=io</v>
      </c>
      <c r="D49" s="18" t="str">
        <f>iam_ad_based_dn</f>
        <v>Value Missing</v>
      </c>
      <c r="E49" s="53"/>
    </row>
    <row r="50" spans="2:5" ht="20" customHeight="1">
      <c r="B50" s="26" t="s">
        <v>3609</v>
      </c>
      <c r="C50" s="22" t="str">
        <f>CONCATENATE(sample_domain_controller_hostname,".",sample_child_dns_zone)</f>
        <v>sfo-ad01.sfo.rainpole.io</v>
      </c>
      <c r="D50" s="18" t="str">
        <f>iam_ad_nsx_domain_controller</f>
        <v>Value Missing.Value Missing</v>
      </c>
      <c r="E50" s="53"/>
    </row>
    <row r="51" spans="2:5" ht="20" customHeight="1">
      <c r="B51" s="26" t="s">
        <v>3610</v>
      </c>
      <c r="C51" s="22" t="str">
        <f>CONCATENATE(sample_child_svc_nsx_ad_user,"@",sample_region_ad_child_fqdn)</f>
        <v>svc-nsx-ad@sfo.rainpole.io</v>
      </c>
      <c r="D51" s="18" t="str">
        <f>iam_nsx_ad_bind_username</f>
        <v>Value Missing@Value Missing</v>
      </c>
      <c r="E51" s="53"/>
    </row>
    <row r="52" spans="2:5" ht="20" customHeight="1">
      <c r="B52" s="26" t="s">
        <v>1796</v>
      </c>
      <c r="C52" s="22" t="str">
        <f>sample_child_svc_nsx_ad_password</f>
        <v>VMw@re1!</v>
      </c>
      <c r="D52" s="18" t="str">
        <f>iam_nsx_ad_bind_password</f>
        <v>Value Missing</v>
      </c>
      <c r="E52" s="53"/>
    </row>
    <row r="53" spans="2:5" ht="20" customHeight="1">
      <c r="B53" s="472" t="s">
        <v>2307</v>
      </c>
      <c r="C53" s="472"/>
      <c r="D53" s="472"/>
      <c r="E53" s="472"/>
    </row>
    <row r="54" spans="2:5" ht="20" customHeight="1">
      <c r="B54" s="26" t="s">
        <v>2306</v>
      </c>
      <c r="C54" s="22" t="str">
        <f>CONCATENATE(sample_wld_nsxt_hostname,".",sample_child_dns_zone)</f>
        <v>sfo-w01-nsx01.sfo.rainpole.io</v>
      </c>
      <c r="D54" s="18" t="str">
        <f>wld_nsxt_vip_fqdn</f>
        <v>Value Missing.Value Missing</v>
      </c>
      <c r="E54" s="53"/>
    </row>
    <row r="55" spans="2:5" ht="20" customHeight="1">
      <c r="B55" s="26" t="s">
        <v>735</v>
      </c>
      <c r="C55" s="22" t="str">
        <f>sample_region_ad_child_fqdn</f>
        <v>sfo.rainpole.io</v>
      </c>
      <c r="D55" s="18" t="str">
        <f>region_ad_child_fqdn</f>
        <v>Value Missing</v>
      </c>
      <c r="E55" s="53"/>
    </row>
    <row r="56" spans="2:5" ht="20" customHeight="1">
      <c r="B56" s="26" t="s">
        <v>3608</v>
      </c>
      <c r="C56" s="22" t="str">
        <f>sample_region_ad_child_fqdn</f>
        <v>sfo.rainpole.io</v>
      </c>
      <c r="D56" s="18" t="str">
        <f>region_ad_child_fqdn</f>
        <v>Value Missing</v>
      </c>
      <c r="E56" s="53"/>
    </row>
    <row r="57" spans="2:5" ht="20" customHeight="1">
      <c r="B57" s="26" t="s">
        <v>2304</v>
      </c>
      <c r="C57" s="22" t="str">
        <f>RIGHT(sample_child_ad_users_ou,LEN(sample_child_ad_users_ou)-SEARCH(",",sample_child_ad_users_ou))</f>
        <v>dc=sfo,dc=rainpole,dc=io</v>
      </c>
      <c r="D57" s="18" t="str">
        <f>iam_ad_based_dn</f>
        <v>Value Missing</v>
      </c>
      <c r="E57" s="53"/>
    </row>
    <row r="58" spans="2:5" ht="20" customHeight="1">
      <c r="B58" s="26" t="s">
        <v>3609</v>
      </c>
      <c r="C58" s="22" t="str">
        <f>CONCATENATE(sample_domain_controller_hostname,".",sample_child_dns_zone)</f>
        <v>sfo-ad01.sfo.rainpole.io</v>
      </c>
      <c r="D58" s="18" t="str">
        <f>iam_ad_nsx_domain_controller</f>
        <v>Value Missing.Value Missing</v>
      </c>
      <c r="E58" s="53"/>
    </row>
    <row r="59" spans="2:5" ht="20" customHeight="1">
      <c r="B59" s="26" t="s">
        <v>3610</v>
      </c>
      <c r="C59" s="22" t="str">
        <f>CONCATENATE(sample_child_svc_nsx_ad_user,"@",sample_region_ad_child_fqdn)</f>
        <v>svc-nsx-ad@sfo.rainpole.io</v>
      </c>
      <c r="D59" s="18" t="str">
        <f>iam_nsx_ad_bind_username</f>
        <v>Value Missing@Value Missing</v>
      </c>
      <c r="E59" s="53"/>
    </row>
    <row r="60" spans="2:5" ht="20" customHeight="1">
      <c r="B60" s="26" t="s">
        <v>1796</v>
      </c>
      <c r="C60" s="22" t="str">
        <f>sample_child_svc_nsx_ad_password</f>
        <v>VMw@re1!</v>
      </c>
      <c r="D60" s="18" t="str">
        <f>iam_nsx_ad_bind_password</f>
        <v>Value Missing</v>
      </c>
      <c r="E60" s="53"/>
    </row>
    <row r="61" spans="2:5" ht="20" customHeight="1">
      <c r="B61" s="472" t="s">
        <v>2308</v>
      </c>
      <c r="C61" s="472"/>
      <c r="D61" s="472"/>
      <c r="E61" s="472"/>
    </row>
    <row r="62" spans="2:5" ht="20" customHeight="1">
      <c r="B62" s="26" t="s">
        <v>2306</v>
      </c>
      <c r="C62" s="22" t="str">
        <f>CONCATENATE(sample_mgmt_nsxt_gm_hostname,".",sample_child_dns_zone)</f>
        <v>sfo-m01-nsx-gm01.sfo.rainpole.io</v>
      </c>
      <c r="D62" s="18" t="str">
        <f>mgmt_nsxt_gm_vip_fqdn</f>
        <v>Value Missing.Value Missing</v>
      </c>
      <c r="E62" s="53"/>
    </row>
    <row r="63" spans="2:5" ht="20" customHeight="1">
      <c r="B63" s="26" t="s">
        <v>735</v>
      </c>
      <c r="C63" s="22" t="str">
        <f>sample_region_ad_child_fqdn</f>
        <v>sfo.rainpole.io</v>
      </c>
      <c r="D63" s="18" t="str">
        <f>child_dns_zone</f>
        <v>Value Missing</v>
      </c>
      <c r="E63" s="53"/>
    </row>
    <row r="64" spans="2:5" ht="20" customHeight="1">
      <c r="B64" s="26" t="s">
        <v>3608</v>
      </c>
      <c r="C64" s="22" t="str">
        <f>sample_region_ad_child_fqdn</f>
        <v>sfo.rainpole.io</v>
      </c>
      <c r="D64" s="18" t="str">
        <f>child_dns_zone</f>
        <v>Value Missing</v>
      </c>
      <c r="E64" s="53"/>
    </row>
    <row r="65" spans="2:5" ht="20" customHeight="1">
      <c r="B65" s="26" t="s">
        <v>2304</v>
      </c>
      <c r="C65" s="22" t="str">
        <f>RIGHT(sample_child_ad_users_ou,LEN(sample_child_ad_users_ou)-SEARCH(",",sample_child_ad_users_ou))</f>
        <v>dc=sfo,dc=rainpole,dc=io</v>
      </c>
      <c r="D65" s="18" t="str">
        <f>iam_ad_based_dn</f>
        <v>Value Missing</v>
      </c>
      <c r="E65" s="53"/>
    </row>
    <row r="66" spans="2:5" ht="20" customHeight="1">
      <c r="B66" s="26" t="s">
        <v>3609</v>
      </c>
      <c r="C66" s="22" t="str">
        <f>CONCATENATE(sample_domain_controller_hostname,".",sample_child_dns_zone)</f>
        <v>sfo-ad01.sfo.rainpole.io</v>
      </c>
      <c r="D66" s="18" t="str">
        <f>iam_ad_nsx_domain_controller</f>
        <v>Value Missing.Value Missing</v>
      </c>
      <c r="E66" s="53"/>
    </row>
    <row r="67" spans="2:5" ht="20" customHeight="1">
      <c r="B67" s="26" t="s">
        <v>3610</v>
      </c>
      <c r="C67" s="22" t="str">
        <f>CONCATENATE(sample_child_svc_nsx_ad_user,"@",sample_region_ad_child_fqdn)</f>
        <v>svc-nsx-ad@sfo.rainpole.io</v>
      </c>
      <c r="D67" s="18" t="str">
        <f>iam_nsx_ad_bind_username</f>
        <v>Value Missing@Value Missing</v>
      </c>
      <c r="E67" s="53"/>
    </row>
    <row r="68" spans="2:5" ht="20" customHeight="1">
      <c r="B68" s="26" t="s">
        <v>1796</v>
      </c>
      <c r="C68" s="22" t="str">
        <f>sample_child_svc_nsx_ad_password</f>
        <v>VMw@re1!</v>
      </c>
      <c r="D68" s="18" t="str">
        <f>iam_nsx_ad_bind_password</f>
        <v>Value Missing</v>
      </c>
      <c r="E68" s="53"/>
    </row>
    <row r="69" spans="2:5" ht="20" customHeight="1">
      <c r="B69" s="472" t="s">
        <v>2309</v>
      </c>
      <c r="C69" s="472"/>
      <c r="D69" s="472"/>
      <c r="E69" s="472"/>
    </row>
    <row r="70" spans="2:5" ht="20" customHeight="1">
      <c r="B70" s="26" t="s">
        <v>2306</v>
      </c>
      <c r="C70" s="22" t="str">
        <f>CONCATENATE(sample_wld_nsxt_gm_hostname,".",sample_child_dns_zone)</f>
        <v>sfo-w01-nsx-gm01.sfo.rainpole.io</v>
      </c>
      <c r="D70" s="18" t="str">
        <f>wld_nsxt_gm_vip_fqdn</f>
        <v>Value Missing.Value Missing</v>
      </c>
      <c r="E70" s="53"/>
    </row>
    <row r="71" spans="2:5" ht="20" customHeight="1">
      <c r="B71" s="26" t="s">
        <v>735</v>
      </c>
      <c r="C71" s="22" t="str">
        <f>sample_region_ad_child_fqdn</f>
        <v>sfo.rainpole.io</v>
      </c>
      <c r="D71" s="18" t="str">
        <f>region_ad_child_fqdn</f>
        <v>Value Missing</v>
      </c>
      <c r="E71" s="53"/>
    </row>
    <row r="72" spans="2:5" ht="20" customHeight="1">
      <c r="B72" s="26" t="s">
        <v>3608</v>
      </c>
      <c r="C72" s="22" t="str">
        <f>sample_region_ad_child_fqdn</f>
        <v>sfo.rainpole.io</v>
      </c>
      <c r="D72" s="18" t="str">
        <f>region_ad_child_fqdn</f>
        <v>Value Missing</v>
      </c>
      <c r="E72" s="53"/>
    </row>
    <row r="73" spans="2:5" ht="20" customHeight="1">
      <c r="B73" s="26" t="s">
        <v>2304</v>
      </c>
      <c r="C73" s="22" t="str">
        <f>RIGHT(sample_child_ad_users_ou,LEN(sample_child_ad_users_ou)-SEARCH(",",sample_child_ad_users_ou))</f>
        <v>dc=sfo,dc=rainpole,dc=io</v>
      </c>
      <c r="D73" s="18" t="str">
        <f>iam_ad_based_dn</f>
        <v>Value Missing</v>
      </c>
      <c r="E73" s="53"/>
    </row>
    <row r="74" spans="2:5" ht="20" customHeight="1">
      <c r="B74" s="26" t="s">
        <v>3609</v>
      </c>
      <c r="C74" s="22" t="str">
        <f>CONCATENATE(sample_domain_controller_hostname,".",sample_child_dns_zone)</f>
        <v>sfo-ad01.sfo.rainpole.io</v>
      </c>
      <c r="D74" s="18" t="str">
        <f>iam_ad_nsx_domain_controller</f>
        <v>Value Missing.Value Missing</v>
      </c>
      <c r="E74" s="53"/>
    </row>
    <row r="75" spans="2:5" ht="20" customHeight="1">
      <c r="B75" s="26" t="s">
        <v>3610</v>
      </c>
      <c r="C75" s="22" t="str">
        <f>CONCATENATE(sample_child_svc_nsx_ad_user,"@",sample_region_ad_child_fqdn)</f>
        <v>svc-nsx-ad@sfo.rainpole.io</v>
      </c>
      <c r="D75" s="18" t="str">
        <f>iam_nsx_ad_bind_username</f>
        <v>Value Missing@Value Missing</v>
      </c>
      <c r="E75" s="53"/>
    </row>
    <row r="76" spans="2:5" ht="20" customHeight="1">
      <c r="B76" s="26" t="s">
        <v>1796</v>
      </c>
      <c r="C76" s="22" t="str">
        <f>sample_child_svc_nsx_ad_password</f>
        <v>VMw@re1!</v>
      </c>
      <c r="D76" s="18" t="str">
        <f>iam_nsx_ad_bind_password</f>
        <v>Value Missing</v>
      </c>
      <c r="E76" s="53"/>
    </row>
    <row r="77" spans="2:5" ht="16" customHeight="1"/>
    <row r="78" spans="2:5" ht="34" customHeight="1">
      <c r="B78" s="68" t="s">
        <v>2310</v>
      </c>
      <c r="C78" s="73"/>
      <c r="D78" s="73"/>
      <c r="E78" s="69"/>
    </row>
    <row r="79" spans="2:5" ht="20" customHeight="1">
      <c r="B79" s="8" t="s">
        <v>735</v>
      </c>
      <c r="C79" s="8" t="s">
        <v>554</v>
      </c>
      <c r="D79" s="20" t="s">
        <v>555</v>
      </c>
      <c r="E79" s="8" t="s">
        <v>222</v>
      </c>
    </row>
    <row r="80" spans="2:5" ht="20" customHeight="1">
      <c r="B80" s="472" t="s">
        <v>2305</v>
      </c>
      <c r="C80" s="472"/>
      <c r="D80" s="472"/>
      <c r="E80" s="472"/>
    </row>
    <row r="81" spans="2:5" ht="20" customHeight="1">
      <c r="B81" s="26" t="s">
        <v>2306</v>
      </c>
      <c r="C81" s="22" t="str">
        <f>CONCATENATE(sample_mgmt_nsxt_hostname,".",sample_child_dns_zone)</f>
        <v>sfo-m01-nsx01.sfo.rainpole.io</v>
      </c>
      <c r="D81" s="18" t="str">
        <f>mgmt_nsxt_vip_fqdn</f>
        <v>Value Missing.Value Missing</v>
      </c>
      <c r="E81" s="53"/>
    </row>
    <row r="82" spans="2:5" ht="20" customHeight="1">
      <c r="B82" s="26" t="s">
        <v>489</v>
      </c>
      <c r="C82" s="22" t="str">
        <f>sample_region_ad_child_fqdn</f>
        <v>sfo.rainpole.io</v>
      </c>
      <c r="D82" s="18" t="str">
        <f>region_ad_child_fqdn</f>
        <v>Value Missing</v>
      </c>
      <c r="E82" s="53"/>
    </row>
    <row r="83" spans="2:5" ht="20" customHeight="1">
      <c r="B83" s="26" t="s">
        <v>4902</v>
      </c>
      <c r="C83" s="22" t="str">
        <f>sample_gg_nsx_enterprise_admins_group</f>
        <v>gg-nsx-enterprise-admins</v>
      </c>
      <c r="D83" s="18" t="str">
        <f>group_gg_nsx_enterprise_admins</f>
        <v>Value Missing</v>
      </c>
      <c r="E83" s="53"/>
    </row>
    <row r="84" spans="2:5" ht="20" customHeight="1">
      <c r="B84" s="26" t="s">
        <v>4903</v>
      </c>
      <c r="C84" s="22" t="str">
        <f>sample_gg_nsx_network_admins_group</f>
        <v>gg-nsx-network-admins</v>
      </c>
      <c r="D84" s="18" t="str">
        <f>group_gg_nsx_network_admins</f>
        <v>Value Missing</v>
      </c>
      <c r="E84" s="53"/>
    </row>
    <row r="85" spans="2:5" ht="20" customHeight="1">
      <c r="B85" s="26" t="s">
        <v>4904</v>
      </c>
      <c r="C85" s="22" t="str">
        <f>sample_gg_nsx_auditors_group</f>
        <v>gg-nsx-auditors</v>
      </c>
      <c r="D85" s="18" t="str">
        <f>group_gg_nsx_auditors</f>
        <v>Value Missing</v>
      </c>
      <c r="E85" s="53"/>
    </row>
    <row r="86" spans="2:5" ht="20" customHeight="1">
      <c r="B86" s="472" t="s">
        <v>4606</v>
      </c>
      <c r="C86" s="472"/>
      <c r="D86" s="472"/>
      <c r="E86" s="472"/>
    </row>
    <row r="87" spans="2:5" ht="20" customHeight="1">
      <c r="B87" s="26" t="s">
        <v>2306</v>
      </c>
      <c r="C87" s="22" t="str">
        <f>CONCATENATE(sample_wld_nsxt_hostname,".",sample_child_dns_zone)</f>
        <v>sfo-w01-nsx01.sfo.rainpole.io</v>
      </c>
      <c r="D87" s="18" t="str">
        <f>wld_nsxt_vip_fqdn</f>
        <v>Value Missing.Value Missing</v>
      </c>
      <c r="E87" s="53"/>
    </row>
    <row r="88" spans="2:5" ht="20" customHeight="1">
      <c r="B88" s="26" t="s">
        <v>489</v>
      </c>
      <c r="C88" s="22" t="str">
        <f>sample_region_ad_child_fqdn</f>
        <v>sfo.rainpole.io</v>
      </c>
      <c r="D88" s="18" t="str">
        <f>region_ad_child_fqdn</f>
        <v>Value Missing</v>
      </c>
      <c r="E88" s="53"/>
    </row>
    <row r="89" spans="2:5" ht="20" customHeight="1">
      <c r="B89" s="26" t="s">
        <v>4905</v>
      </c>
      <c r="C89" s="22" t="str">
        <f>sample_gg_nsx_enterprise_admins_group</f>
        <v>gg-nsx-enterprise-admins</v>
      </c>
      <c r="D89" s="18" t="str">
        <f>group_gg_nsx_enterprise_admins</f>
        <v>Value Missing</v>
      </c>
      <c r="E89" s="53"/>
    </row>
    <row r="90" spans="2:5" ht="20" customHeight="1">
      <c r="B90" s="26" t="s">
        <v>4903</v>
      </c>
      <c r="C90" s="22" t="str">
        <f>sample_gg_nsx_network_admins_group</f>
        <v>gg-nsx-network-admins</v>
      </c>
      <c r="D90" s="18" t="str">
        <f>group_gg_nsx_network_admins</f>
        <v>Value Missing</v>
      </c>
      <c r="E90" s="53"/>
    </row>
    <row r="91" spans="2:5" ht="20" customHeight="1">
      <c r="B91" s="26" t="s">
        <v>4906</v>
      </c>
      <c r="C91" s="22" t="str">
        <f>sample_gg_nsx_auditors_group</f>
        <v>gg-nsx-auditors</v>
      </c>
      <c r="D91" s="18" t="str">
        <f>group_gg_nsx_auditors</f>
        <v>Value Missing</v>
      </c>
      <c r="E91" s="53"/>
    </row>
    <row r="92" spans="2:5" ht="20" customHeight="1">
      <c r="B92" s="467" t="s">
        <v>2308</v>
      </c>
      <c r="C92" s="468"/>
      <c r="D92" s="468"/>
      <c r="E92" s="469"/>
    </row>
    <row r="93" spans="2:5" ht="20" customHeight="1">
      <c r="B93" s="26" t="s">
        <v>2311</v>
      </c>
      <c r="C93" s="22" t="str">
        <f>CONCATENATE(sample_mgmt_nsxt_gm_hostname,".",sample_child_dns_zone)</f>
        <v>sfo-m01-nsx-gm01.sfo.rainpole.io</v>
      </c>
      <c r="D93" s="18" t="str">
        <f>mgmt_nsxt_gm_vip_fqdn</f>
        <v>Value Missing.Value Missing</v>
      </c>
      <c r="E93" s="53"/>
    </row>
    <row r="94" spans="2:5" ht="20" customHeight="1">
      <c r="B94" s="26" t="s">
        <v>489</v>
      </c>
      <c r="C94" s="22" t="str">
        <f>sample_region_ad_child_fqdn</f>
        <v>sfo.rainpole.io</v>
      </c>
      <c r="D94" s="18" t="str">
        <f>region_ad_child_fqdn</f>
        <v>Value Missing</v>
      </c>
      <c r="E94" s="53"/>
    </row>
    <row r="95" spans="2:5" ht="20" customHeight="1">
      <c r="B95" s="26" t="s">
        <v>4905</v>
      </c>
      <c r="C95" s="22" t="str">
        <f>sample_gg_nsx_enterprise_admins_group</f>
        <v>gg-nsx-enterprise-admins</v>
      </c>
      <c r="D95" s="18" t="str">
        <f>group_gg_nsx_enterprise_admins</f>
        <v>Value Missing</v>
      </c>
      <c r="E95" s="53"/>
    </row>
    <row r="96" spans="2:5" ht="20" customHeight="1">
      <c r="B96" s="26" t="s">
        <v>4903</v>
      </c>
      <c r="C96" s="22" t="str">
        <f>sample_gg_nsx_network_admins_group</f>
        <v>gg-nsx-network-admins</v>
      </c>
      <c r="D96" s="18" t="str">
        <f>group_gg_nsx_network_admins</f>
        <v>Value Missing</v>
      </c>
      <c r="E96" s="53"/>
    </row>
    <row r="97" spans="2:5" ht="20" customHeight="1">
      <c r="B97" s="26" t="s">
        <v>4906</v>
      </c>
      <c r="C97" s="22" t="str">
        <f>sample_gg_nsx_auditors_group</f>
        <v>gg-nsx-auditors</v>
      </c>
      <c r="D97" s="18" t="str">
        <f>group_gg_nsx_auditors</f>
        <v>Value Missing</v>
      </c>
      <c r="E97" s="53"/>
    </row>
    <row r="98" spans="2:5" ht="20" customHeight="1">
      <c r="B98" s="472" t="s">
        <v>4607</v>
      </c>
      <c r="C98" s="472"/>
      <c r="D98" s="472"/>
      <c r="E98" s="472"/>
    </row>
    <row r="99" spans="2:5" ht="20" customHeight="1">
      <c r="B99" s="26" t="s">
        <v>2311</v>
      </c>
      <c r="C99" s="22" t="str">
        <f>CONCATENATE(sample_wld_nsxt_gm_hostname,".",sample_child_dns_zone)</f>
        <v>sfo-w01-nsx-gm01.sfo.rainpole.io</v>
      </c>
      <c r="D99" s="18" t="str">
        <f>wld_nsxt_gm_vip_fqdn</f>
        <v>Value Missing.Value Missing</v>
      </c>
      <c r="E99" s="53"/>
    </row>
    <row r="100" spans="2:5" ht="20" customHeight="1">
      <c r="B100" s="26" t="s">
        <v>489</v>
      </c>
      <c r="C100" s="22" t="str">
        <f>sample_region_ad_child_fqdn</f>
        <v>sfo.rainpole.io</v>
      </c>
      <c r="D100" s="18" t="str">
        <f>region_ad_child_fqdn</f>
        <v>Value Missing</v>
      </c>
      <c r="E100" s="53"/>
    </row>
    <row r="101" spans="2:5" ht="20" customHeight="1">
      <c r="B101" s="26" t="s">
        <v>4905</v>
      </c>
      <c r="C101" s="22" t="str">
        <f>sample_gg_nsx_enterprise_admins_group</f>
        <v>gg-nsx-enterprise-admins</v>
      </c>
      <c r="D101" s="18" t="str">
        <f>group_gg_nsx_enterprise_admins</f>
        <v>Value Missing</v>
      </c>
      <c r="E101" s="53"/>
    </row>
    <row r="102" spans="2:5" ht="20" customHeight="1">
      <c r="B102" s="26" t="s">
        <v>4907</v>
      </c>
      <c r="C102" s="22" t="str">
        <f>sample_gg_nsx_network_admins_group</f>
        <v>gg-nsx-network-admins</v>
      </c>
      <c r="D102" s="18" t="str">
        <f>group_gg_nsx_network_admins</f>
        <v>Value Missing</v>
      </c>
      <c r="E102" s="53"/>
    </row>
    <row r="103" spans="2:5" ht="20" customHeight="1">
      <c r="B103" s="26" t="s">
        <v>4906</v>
      </c>
      <c r="C103" s="22" t="str">
        <f>sample_gg_nsx_auditors_group</f>
        <v>gg-nsx-auditors</v>
      </c>
      <c r="D103" s="18" t="str">
        <f>group_gg_nsx_auditors</f>
        <v>Value Missing</v>
      </c>
      <c r="E103" s="53"/>
    </row>
    <row r="104" spans="2:5" ht="16" customHeight="1"/>
    <row r="105" spans="2:5" ht="34" customHeight="1">
      <c r="B105" s="487" t="s">
        <v>2312</v>
      </c>
      <c r="C105" s="488"/>
      <c r="D105" s="488"/>
      <c r="E105" s="489"/>
    </row>
    <row r="106" spans="2:5" ht="20" customHeight="1">
      <c r="B106" s="8" t="s">
        <v>735</v>
      </c>
      <c r="C106" s="8" t="s">
        <v>554</v>
      </c>
      <c r="D106" s="20" t="s">
        <v>555</v>
      </c>
      <c r="E106" s="8" t="s">
        <v>222</v>
      </c>
    </row>
    <row r="107" spans="2:5" ht="20" customHeight="1">
      <c r="B107" s="26" t="s">
        <v>2286</v>
      </c>
      <c r="C107" s="22" t="str">
        <f>CONCATENATE(sample_mgmt_vc_hostname,".",sample_child_dns_zone)</f>
        <v>sfo-m01-vc01.sfo.rainpole.io</v>
      </c>
      <c r="D107" s="18" t="str">
        <f>mgmt_vc_fqdn</f>
        <v>Value Missing.Value Missing</v>
      </c>
      <c r="E107" s="53"/>
    </row>
    <row r="108" spans="2:5" ht="20" customHeight="1">
      <c r="B108" s="26" t="s">
        <v>4601</v>
      </c>
      <c r="C108" s="22" t="str">
        <f>sample_nsxt_vsphere_role_name</f>
        <v>NSX to vSphere Integration</v>
      </c>
      <c r="D108" s="18" t="str">
        <f>nsxt_vsphere_role_name</f>
        <v>Value Missing</v>
      </c>
      <c r="E108" s="53"/>
    </row>
    <row r="109" spans="2:5" ht="16" customHeight="1"/>
    <row r="110" spans="2:5" ht="34" customHeight="1">
      <c r="B110" s="487" t="s">
        <v>2313</v>
      </c>
      <c r="C110" s="488"/>
      <c r="D110" s="488"/>
      <c r="E110" s="489"/>
    </row>
    <row r="111" spans="2:5" ht="20" customHeight="1">
      <c r="B111" s="8" t="s">
        <v>735</v>
      </c>
      <c r="C111" s="8" t="s">
        <v>554</v>
      </c>
      <c r="D111" s="20" t="s">
        <v>555</v>
      </c>
      <c r="E111" s="8" t="s">
        <v>222</v>
      </c>
    </row>
    <row r="112" spans="2:5" ht="20" customHeight="1">
      <c r="B112" s="26" t="s">
        <v>2286</v>
      </c>
      <c r="C112" s="22" t="str">
        <f>CONCATENATE(sample_mgmt_vc_hostname,".",sample_child_dns_zone)</f>
        <v>sfo-m01-vc01.sfo.rainpole.io</v>
      </c>
      <c r="D112" s="18" t="str">
        <f>mgmt_vc_fqdn</f>
        <v>Value Missing.Value Missing</v>
      </c>
      <c r="E112" s="53"/>
    </row>
    <row r="113" spans="2:5" ht="20" customHeight="1">
      <c r="B113" s="26" t="s">
        <v>2314</v>
      </c>
      <c r="C113" s="22" t="str">
        <f>CONCATENATE("svc-",sample_mgmt_nsxt_hostname,"-",sample_mgmt_vc_hostname)</f>
        <v>svc-sfo-m01-nsx01-sfo-m01-vc01</v>
      </c>
      <c r="D113" s="18" t="str">
        <f>CONCATENATE("svc-",mgmt_nsxt_hostname,"-",mgmt_vc_hostname)</f>
        <v>svc-Value Missing-Value Missing</v>
      </c>
      <c r="E113" s="53"/>
    </row>
    <row r="114" spans="2:5" ht="20" customHeight="1">
      <c r="B114" s="26" t="s">
        <v>2315</v>
      </c>
      <c r="C114" s="22" t="str">
        <f>CONCATENATE("svc-",sample_wld_nsxt_hostname,"-",sample_wld_vc_hostname)</f>
        <v>svc-sfo-w01-nsx01-sfo-w01-vc01</v>
      </c>
      <c r="D114" s="18" t="str">
        <f>CONCATENATE("svc-",wld_nsxt_hostname,"-",wld_vc_hostname)</f>
        <v>svc-Value Missing-Value Missing</v>
      </c>
      <c r="E114" s="53"/>
    </row>
    <row r="115" spans="2:5" ht="16" customHeight="1"/>
    <row r="116" spans="2:5" ht="34" customHeight="1">
      <c r="B116" s="487" t="s">
        <v>2316</v>
      </c>
      <c r="C116" s="488"/>
      <c r="D116" s="488"/>
      <c r="E116" s="489"/>
    </row>
    <row r="117" spans="2:5" ht="20" customHeight="1">
      <c r="B117" s="8" t="s">
        <v>735</v>
      </c>
      <c r="C117" s="8" t="s">
        <v>554</v>
      </c>
      <c r="D117" s="20" t="s">
        <v>555</v>
      </c>
      <c r="E117" s="8" t="s">
        <v>222</v>
      </c>
    </row>
    <row r="118" spans="2:5" ht="20" customHeight="1">
      <c r="B118" s="26" t="s">
        <v>2286</v>
      </c>
      <c r="C118" s="22" t="str">
        <f>CONCATENATE(sample_mgmt_vc_hostname,".",sample_child_dns_zone)</f>
        <v>sfo-m01-vc01.sfo.rainpole.io</v>
      </c>
      <c r="D118" s="18" t="str">
        <f>mgmt_vc_fqdn</f>
        <v>Value Missing.Value Missing</v>
      </c>
      <c r="E118" s="53"/>
    </row>
    <row r="119" spans="2:5" ht="20" customHeight="1">
      <c r="B119" s="26" t="s">
        <v>987</v>
      </c>
      <c r="C119" s="22" t="str">
        <f>sample_nsxt_vsphere_role_name</f>
        <v>NSX to vSphere Integration</v>
      </c>
      <c r="D119" s="18" t="str">
        <f>nsxt_vsphere_role_name</f>
        <v>Value Missing</v>
      </c>
      <c r="E119" s="53"/>
    </row>
    <row r="120" spans="2:5" ht="20" customHeight="1">
      <c r="B120" s="26" t="s">
        <v>2317</v>
      </c>
      <c r="C120" s="22" t="str">
        <f>CONCATENATE("svc-",sample_mgmt_nsxt_hostname,"-",sample_mgmt_vc_hostname)</f>
        <v>svc-sfo-m01-nsx01-sfo-m01-vc01</v>
      </c>
      <c r="D120" s="18" t="str">
        <f>CONCATENATE("svc-",mgmt_nsxt_hostname,"-",mgmt_vc_hostname)</f>
        <v>svc-Value Missing-Value Missing</v>
      </c>
      <c r="E120" s="53"/>
    </row>
    <row r="121" spans="2:5" ht="20" customHeight="1">
      <c r="B121" s="26" t="s">
        <v>2318</v>
      </c>
      <c r="C121" s="22" t="str">
        <f>CONCATENATE("svc-",sample_wld_nsxt_hostname,"-",sample_wld_vc_hostname)</f>
        <v>svc-sfo-w01-nsx01-sfo-w01-vc01</v>
      </c>
      <c r="D121" s="18" t="str">
        <f>CONCATENATE("svc-",wld_nsxt_hostname,"-",wld_vc_hostname)</f>
        <v>svc-Value Missing-Value Missing</v>
      </c>
      <c r="E121" s="53"/>
    </row>
    <row r="122" spans="2:5" ht="20" customHeight="1">
      <c r="B122" s="26" t="s">
        <v>2319</v>
      </c>
      <c r="C122" s="22" t="str">
        <f>CONCATENATE("svc-",sample_wld_nsxt_hostname,"-",sample_wld_vc_hostname)</f>
        <v>svc-sfo-w01-nsx01-sfo-w01-vc01</v>
      </c>
      <c r="D122" s="18" t="str">
        <f>CONCATENATE("svc-",wld_nsxt_hostname,"-",wld_vc_hostname)</f>
        <v>svc-Value Missing-Value Missing</v>
      </c>
      <c r="E122" s="53"/>
    </row>
    <row r="123" spans="2:5" ht="20" customHeight="1">
      <c r="B123" s="26" t="s">
        <v>2320</v>
      </c>
      <c r="C123" s="22" t="str">
        <f>CONCATENATE("svc-",sample_mgmt_nsxt_hostname,"-",sample_mgmt_vc_hostname)</f>
        <v>svc-sfo-m01-nsx01-sfo-m01-vc01</v>
      </c>
      <c r="D123" s="18" t="str">
        <f>CONCATENATE("svc-",mgmt_nsxt_hostname,"-",mgmt_vc_hostname)</f>
        <v>svc-Value Missing-Value Missing</v>
      </c>
      <c r="E123" s="53"/>
    </row>
    <row r="124" spans="2:5" ht="20" customHeight="1">
      <c r="B124" s="26" t="s">
        <v>2320</v>
      </c>
      <c r="C124" s="22" t="str">
        <f>CONCATENATE("svc-",sample_mgmt_nsxt_hostname,"-",sample_mgmt_vc_hostname)</f>
        <v>svc-sfo-m01-nsx01-sfo-m01-vc01</v>
      </c>
      <c r="D124" s="18" t="str">
        <f>CONCATENATE("svc-",mgmt_nsxt_hostname,"-",mgmt_vc_hostname)</f>
        <v>svc-Value Missing-Value Missing</v>
      </c>
      <c r="E124" s="53"/>
    </row>
  </sheetData>
  <sheetProtection algorithmName="SHA-512" hashValue="jgRUuBGRx8YK10Gv/o3olryqU6yy4t8qDg2vk0Kjk3PjDoXxVn+/M7G7pntJBdkl+kw7bu4bKZ53twNkCEV/pw==" saltValue="jPb/BtbrPKMZvsCQlsHutg==" spinCount="100000" sheet="1" objects="1" scenarios="1"/>
  <mergeCells count="18">
    <mergeCell ref="B61:E61"/>
    <mergeCell ref="B69:E69"/>
    <mergeCell ref="B105:E105"/>
    <mergeCell ref="B110:E110"/>
    <mergeCell ref="B116:E116"/>
    <mergeCell ref="B22:E22"/>
    <mergeCell ref="B2:C2"/>
    <mergeCell ref="B3:E3"/>
    <mergeCell ref="B10:E10"/>
    <mergeCell ref="B8:E8"/>
    <mergeCell ref="B29:E29"/>
    <mergeCell ref="B80:E80"/>
    <mergeCell ref="B86:E86"/>
    <mergeCell ref="B98:E98"/>
    <mergeCell ref="B92:E92"/>
    <mergeCell ref="B35:E35"/>
    <mergeCell ref="B53:E53"/>
    <mergeCell ref="B45:E45"/>
  </mergeCells>
  <conditionalFormatting sqref="B92">
    <cfRule type="expression" dxfId="1242" priority="15">
      <formula>iam_result="Excluded"</formula>
    </cfRule>
  </conditionalFormatting>
  <conditionalFormatting sqref="B8:E8 B10:E20 B22:E27 B29:E33 B35:E41 B43:E91 B93:E103 B105:E108 B110:E114 B116:E124">
    <cfRule type="expression" dxfId="1241" priority="1">
      <formula>iam_result="Excluded"</formula>
    </cfRule>
  </conditionalFormatting>
  <conditionalFormatting sqref="B61:E76">
    <cfRule type="expression" dxfId="1240" priority="2" stopIfTrue="1">
      <formula>wld_nsxt_federation_result="Excluded"</formula>
    </cfRule>
  </conditionalFormatting>
  <conditionalFormatting sqref="B92:E97">
    <cfRule type="expression" dxfId="1239" priority="16" stopIfTrue="1">
      <formula>mgmt_nsxt_federation_result="Excluded"</formula>
    </cfRule>
  </conditionalFormatting>
  <conditionalFormatting sqref="B98:E103">
    <cfRule type="expression" dxfId="1238" priority="278">
      <formula>wld_nsxt_federation_result="Excluded"</formula>
    </cfRule>
  </conditionalFormatting>
  <conditionalFormatting sqref="C5">
    <cfRule type="expression" dxfId="1237" priority="174">
      <formula>iam_result="Excluded"</formula>
    </cfRule>
  </conditionalFormatting>
  <hyperlinks>
    <hyperlink ref="C5" location="'Identity &amp; Access Management'!navigation_iam_implementation" display="Implementation" xr:uid="{00000000-0004-0000-1000-000000000000}"/>
    <hyperlink ref="B5" location="'Deployment Options'!H50" display="Section Navigation (Click to Navigate)" xr:uid="{81F1518F-51D9-644C-A581-B017B09AE4A4}"/>
  </hyperlink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ontainsText" priority="1357" operator="containsText" id="{0ACC689E-8D15-C149-9DA5-567A98ADE5D2}">
            <xm:f>NOT(ISERROR(SEARCH("Value Missing",D12)))</xm:f>
            <xm:f>"Value Missing"</xm:f>
            <x14:dxf>
              <font>
                <color rgb="FF9C0006"/>
              </font>
              <fill>
                <patternFill>
                  <bgColor rgb="FFFFC7CE"/>
                </patternFill>
              </fill>
            </x14:dxf>
          </x14:cfRule>
          <xm:sqref>D12:D20 D46:D60 D62:D76</xm:sqref>
        </x14:conditionalFormatting>
        <x14:conditionalFormatting xmlns:xm="http://schemas.microsoft.com/office/excel/2006/main">
          <x14:cfRule type="notContainsText" priority="1356" operator="notContains" id="{C6207591-6529-5A47-8F9B-964139E93428}">
            <xm:f>ISERROR(SEARCH("Value Missing",D12))</xm:f>
            <xm:f>"Value Missing"</xm:f>
            <x14:dxf>
              <font>
                <color rgb="FF006100"/>
              </font>
              <fill>
                <patternFill>
                  <bgColor rgb="FFC6EFCE"/>
                </patternFill>
              </fill>
            </x14:dxf>
          </x14:cfRule>
          <xm:sqref>D12:D20</xm:sqref>
        </x14:conditionalFormatting>
        <x14:conditionalFormatting xmlns:xm="http://schemas.microsoft.com/office/excel/2006/main">
          <x14:cfRule type="notContainsText" priority="193" operator="notContains" id="{B65EB06E-F0E6-2342-9ED4-586C1A706AD2}">
            <xm:f>ISERROR(SEARCH("Value Missing",D24))</xm:f>
            <xm:f>"Value Missing"</xm:f>
            <x14:dxf>
              <font>
                <color rgb="FF006100"/>
              </font>
              <fill>
                <patternFill>
                  <bgColor rgb="FFC6EFCE"/>
                </patternFill>
              </fill>
            </x14:dxf>
          </x14:cfRule>
          <x14:cfRule type="containsText" priority="1253" operator="containsText" id="{C8DA4914-D5D8-324C-A066-E4433102A4BC}">
            <xm:f>NOT(ISERROR(SEARCH("Value Missing",D24)))</xm:f>
            <xm:f>"Value Missing"</xm:f>
            <x14:dxf>
              <font>
                <color rgb="FF9C0006"/>
              </font>
              <fill>
                <patternFill>
                  <bgColor rgb="FFFFC7CE"/>
                </patternFill>
              </fill>
            </x14:dxf>
          </x14:cfRule>
          <xm:sqref>D24:D27 D118:D124</xm:sqref>
        </x14:conditionalFormatting>
        <x14:conditionalFormatting xmlns:xm="http://schemas.microsoft.com/office/excel/2006/main">
          <x14:cfRule type="containsText" priority="1295" operator="containsText" id="{B84DD058-96E8-7A4C-AD7C-DF4AB965AEC7}">
            <xm:f>NOT(ISERROR(SEARCH("Value Missing",D29)))</xm:f>
            <xm:f>"Value Missing"</xm:f>
            <x14:dxf>
              <font>
                <color rgb="FF9C0006"/>
              </font>
              <fill>
                <patternFill>
                  <bgColor rgb="FFFFC7CE"/>
                </patternFill>
              </fill>
            </x14:dxf>
          </x14:cfRule>
          <xm:sqref>D29 D31:D33</xm:sqref>
        </x14:conditionalFormatting>
        <x14:conditionalFormatting xmlns:xm="http://schemas.microsoft.com/office/excel/2006/main">
          <x14:cfRule type="notContainsText" priority="299" operator="notContains" id="{65C74125-CC21-274D-BC18-FE2D0B454F73}">
            <xm:f>ISERROR(SEARCH("Value Missing",D29))</xm:f>
            <xm:f>"Value Missing"</xm:f>
            <x14:dxf>
              <font>
                <color rgb="FF006100"/>
              </font>
              <fill>
                <patternFill>
                  <bgColor rgb="FFC6EFCE"/>
                </patternFill>
              </fill>
            </x14:dxf>
          </x14:cfRule>
          <xm:sqref>D31:D33 D29 D35 D37:D41 D80:D91 D105 D107:D108 D110:D114 D116</xm:sqref>
        </x14:conditionalFormatting>
        <x14:conditionalFormatting xmlns:xm="http://schemas.microsoft.com/office/excel/2006/main">
          <x14:cfRule type="containsText" priority="255" operator="containsText" id="{CDD6309D-7DBA-0243-8904-5EAD3C28FE8B}">
            <xm:f>NOT(ISERROR(SEARCH("Value Missing",D31)))</xm:f>
            <xm:f>"Value Missing"</xm:f>
            <x14:dxf>
              <font>
                <color rgb="FF9C0006"/>
              </font>
              <fill>
                <patternFill>
                  <bgColor rgb="FFFFC7CE"/>
                </patternFill>
              </fill>
            </x14:dxf>
          </x14:cfRule>
          <xm:sqref>D31:D33</xm:sqref>
        </x14:conditionalFormatting>
        <x14:conditionalFormatting xmlns:xm="http://schemas.microsoft.com/office/excel/2006/main">
          <x14:cfRule type="containsText" priority="589" operator="containsText" id="{089E6352-7CE1-0845-A60E-6ACB0831F16F}">
            <xm:f>NOT(ISERROR(SEARCH("Value Missing",D37)))</xm:f>
            <xm:f>"Value Missing"</xm:f>
            <x14:dxf>
              <font>
                <color rgb="FF9C0006"/>
              </font>
              <fill>
                <patternFill>
                  <bgColor rgb="FFFFC7CE"/>
                </patternFill>
              </fill>
            </x14:dxf>
          </x14:cfRule>
          <xm:sqref>D37:D41</xm:sqref>
        </x14:conditionalFormatting>
        <x14:conditionalFormatting xmlns:xm="http://schemas.microsoft.com/office/excel/2006/main">
          <x14:cfRule type="containsText" priority="171" operator="containsText" id="{FB7CA26B-7E67-4049-923F-B300DC200E3D}">
            <xm:f>NOT(ISERROR(SEARCH("Value Missing",D45)))</xm:f>
            <xm:f>"Value Missing"</xm:f>
            <x14:dxf>
              <font>
                <color rgb="FF9C0006"/>
              </font>
              <fill>
                <patternFill>
                  <bgColor rgb="FFFFC7CE"/>
                </patternFill>
              </fill>
            </x14:dxf>
          </x14:cfRule>
          <x14:cfRule type="notContainsText" priority="14" operator="notContains" id="{9AEDE676-C069-5C42-A456-B26245CB80E4}">
            <xm:f>ISERROR(SEARCH("Value Missing",D45))</xm:f>
            <xm:f>"Value Missing"</xm:f>
            <x14:dxf>
              <font>
                <color rgb="FF006100"/>
              </font>
              <fill>
                <patternFill>
                  <bgColor rgb="FFC6EFCE"/>
                </patternFill>
              </fill>
            </x14:dxf>
          </x14:cfRule>
          <xm:sqref>D45:D52</xm:sqref>
        </x14:conditionalFormatting>
        <x14:conditionalFormatting xmlns:xm="http://schemas.microsoft.com/office/excel/2006/main">
          <x14:cfRule type="containsText" priority="5" operator="containsText" id="{3E5688EB-F0A2-B24F-8605-121E4BBE815E}">
            <xm:f>NOT(ISERROR(SEARCH("Value Missing",D58)))</xm:f>
            <xm:f>"Value Missing"</xm:f>
            <x14:dxf>
              <font>
                <color rgb="FF9C0006"/>
              </font>
              <fill>
                <patternFill>
                  <bgColor rgb="FFFFC7CE"/>
                </patternFill>
              </fill>
            </x14:dxf>
          </x14:cfRule>
          <x14:cfRule type="notContainsText" priority="3" operator="notContains" id="{1FC2561D-8837-4E44-BEA5-26D034A874FC}">
            <xm:f>ISERROR(SEARCH("Value Missing",D58))</xm:f>
            <xm:f>"Value Missing"</xm:f>
            <x14:dxf>
              <font>
                <color rgb="FF006100"/>
              </font>
              <fill>
                <patternFill>
                  <bgColor rgb="FFC6EFCE"/>
                </patternFill>
              </fill>
            </x14:dxf>
          </x14:cfRule>
          <xm:sqref>D58:D68</xm:sqref>
        </x14:conditionalFormatting>
        <x14:conditionalFormatting xmlns:xm="http://schemas.microsoft.com/office/excel/2006/main">
          <x14:cfRule type="containsText" priority="8" operator="containsText" id="{C224EB0E-BC89-5D4F-87DD-2938864E173D}">
            <xm:f>NOT(ISERROR(SEARCH("Value Missing",D74)))</xm:f>
            <xm:f>"Value Missing"</xm:f>
            <x14:dxf>
              <font>
                <color rgb="FF9C0006"/>
              </font>
              <fill>
                <patternFill>
                  <bgColor rgb="FFFFC7CE"/>
                </patternFill>
              </fill>
            </x14:dxf>
          </x14:cfRule>
          <x14:cfRule type="notContainsText" priority="6" operator="notContains" id="{B017B913-0C05-C54F-9FEC-342DFD527777}">
            <xm:f>ISERROR(SEARCH("Value Missing",D74))</xm:f>
            <xm:f>"Value Missing"</xm:f>
            <x14:dxf>
              <font>
                <color rgb="FF006100"/>
              </font>
              <fill>
                <patternFill>
                  <bgColor rgb="FFC6EFCE"/>
                </patternFill>
              </fill>
            </x14:dxf>
          </x14:cfRule>
          <xm:sqref>D74:D76</xm:sqref>
        </x14:conditionalFormatting>
        <x14:conditionalFormatting xmlns:xm="http://schemas.microsoft.com/office/excel/2006/main">
          <x14:cfRule type="notContainsText" priority="804" operator="notContains" id="{0BD2A284-13EB-5C42-B134-F571891163ED}">
            <xm:f>ISERROR(SEARCH("Value Missing",D80))</xm:f>
            <xm:f>"Value Missing"</xm:f>
            <x14:dxf>
              <font>
                <color rgb="FF006100"/>
              </font>
              <fill>
                <patternFill>
                  <bgColor rgb="FFC6EFCE"/>
                </patternFill>
              </fill>
            </x14:dxf>
          </x14:cfRule>
          <x14:cfRule type="containsText" priority="805" operator="containsText" id="{E1E47593-2C7E-8B49-B7D3-1AE049CD6823}">
            <xm:f>NOT(ISERROR(SEARCH("Value Missing",D80)))</xm:f>
            <xm:f>"Value Missing"</xm:f>
            <x14:dxf>
              <font>
                <color rgb="FF9C0006"/>
              </font>
              <fill>
                <patternFill>
                  <bgColor rgb="FFFFC7CE"/>
                </patternFill>
              </fill>
            </x14:dxf>
          </x14:cfRule>
          <xm:sqref>D80:D85</xm:sqref>
        </x14:conditionalFormatting>
        <x14:conditionalFormatting xmlns:xm="http://schemas.microsoft.com/office/excel/2006/main">
          <x14:cfRule type="containsText" priority="581" operator="containsText" id="{8DF4F850-B008-154F-95DD-71688950AFB0}">
            <xm:f>NOT(ISERROR(SEARCH("Value Missing",D81)))</xm:f>
            <xm:f>"Value Missing"</xm:f>
            <x14:dxf>
              <font>
                <color rgb="FF9C0006"/>
              </font>
              <fill>
                <patternFill>
                  <bgColor rgb="FFFFC7CE"/>
                </patternFill>
              </fill>
            </x14:dxf>
          </x14:cfRule>
          <xm:sqref>D81:D91 D105 D107:D108</xm:sqref>
        </x14:conditionalFormatting>
        <x14:conditionalFormatting xmlns:xm="http://schemas.microsoft.com/office/excel/2006/main">
          <x14:cfRule type="notContainsText" priority="794" operator="notContains" id="{8B8E52C5-E1CA-A346-AF15-7BA836DE315F}">
            <xm:f>ISERROR(SEARCH("Value Missing",D89))</xm:f>
            <xm:f>"Value Missing"</xm:f>
            <x14:dxf>
              <font>
                <color rgb="FF006100"/>
              </font>
              <fill>
                <patternFill>
                  <bgColor rgb="FFC6EFCE"/>
                </patternFill>
              </fill>
            </x14:dxf>
          </x14:cfRule>
          <x14:cfRule type="containsText" priority="795" operator="containsText" id="{3D828529-0F1B-1A42-8396-662A1816F838}">
            <xm:f>NOT(ISERROR(SEARCH("Value Missing",D89)))</xm:f>
            <xm:f>"Value Missing"</xm:f>
            <x14:dxf>
              <font>
                <color rgb="FF9C0006"/>
              </font>
              <fill>
                <patternFill>
                  <bgColor rgb="FFFFC7CE"/>
                </patternFill>
              </fill>
            </x14:dxf>
          </x14:cfRule>
          <xm:sqref>D89:D91</xm:sqref>
        </x14:conditionalFormatting>
        <x14:conditionalFormatting xmlns:xm="http://schemas.microsoft.com/office/excel/2006/main">
          <x14:cfRule type="notContainsText" priority="1294" operator="notContains" id="{81159B5C-D160-2540-BEE3-2F4A15CE92A2}">
            <xm:f>ISERROR(SEARCH("Value Missing",D45))</xm:f>
            <xm:f>"Value Missing"</xm:f>
            <x14:dxf>
              <font>
                <color rgb="FF006100"/>
              </font>
              <fill>
                <patternFill>
                  <bgColor rgb="FFC6EFCE"/>
                </patternFill>
              </fill>
            </x14:dxf>
          </x14:cfRule>
          <xm:sqref>D93:D103 D45:D76</xm:sqref>
        </x14:conditionalFormatting>
        <x14:conditionalFormatting xmlns:xm="http://schemas.microsoft.com/office/excel/2006/main">
          <x14:cfRule type="containsText" priority="1317" operator="containsText" id="{18ECB792-39A1-E14D-8440-9EE532B27579}">
            <xm:f>NOT(ISERROR(SEARCH("Value Missing",D93)))</xm:f>
            <xm:f>"Value Missing"</xm:f>
            <x14:dxf>
              <font>
                <color rgb="FF9C0006"/>
              </font>
              <fill>
                <patternFill>
                  <bgColor rgb="FFFFC7CE"/>
                </patternFill>
              </fill>
            </x14:dxf>
          </x14:cfRule>
          <xm:sqref>D93:D103</xm:sqref>
        </x14:conditionalFormatting>
        <x14:conditionalFormatting xmlns:xm="http://schemas.microsoft.com/office/excel/2006/main">
          <x14:cfRule type="notContainsText" priority="786" operator="notContains" id="{BB9A8A69-E022-A84D-B0E3-47E879223A8F}">
            <xm:f>ISERROR(SEARCH("Value Missing",D95))</xm:f>
            <xm:f>"Value Missing"</xm:f>
            <x14:dxf>
              <font>
                <color rgb="FF006100"/>
              </font>
              <fill>
                <patternFill>
                  <bgColor rgb="FFC6EFCE"/>
                </patternFill>
              </fill>
            </x14:dxf>
          </x14:cfRule>
          <x14:cfRule type="containsText" priority="787" operator="containsText" id="{D13F6C2D-A6DD-C149-903F-27335720EF6C}">
            <xm:f>NOT(ISERROR(SEARCH("Value Missing",D95)))</xm:f>
            <xm:f>"Value Missing"</xm:f>
            <x14:dxf>
              <font>
                <color rgb="FF9C0006"/>
              </font>
              <fill>
                <patternFill>
                  <bgColor rgb="FFFFC7CE"/>
                </patternFill>
              </fill>
            </x14:dxf>
          </x14:cfRule>
          <xm:sqref>D95:D97</xm:sqref>
        </x14:conditionalFormatting>
        <x14:conditionalFormatting xmlns:xm="http://schemas.microsoft.com/office/excel/2006/main">
          <x14:cfRule type="containsText" priority="781" operator="containsText" id="{D79FB085-C546-2A45-999E-1171E6059D7B}">
            <xm:f>NOT(ISERROR(SEARCH("Value Missing",D101)))</xm:f>
            <xm:f>"Value Missing"</xm:f>
            <x14:dxf>
              <font>
                <color rgb="FF9C0006"/>
              </font>
              <fill>
                <patternFill>
                  <bgColor rgb="FFFFC7CE"/>
                </patternFill>
              </fill>
            </x14:dxf>
          </x14:cfRule>
          <x14:cfRule type="notContainsText" priority="780" operator="notContains" id="{5EC336BD-B518-4949-A414-E5FD0AEB5D0C}">
            <xm:f>ISERROR(SEARCH("Value Missing",D101))</xm:f>
            <xm:f>"Value Missing"</xm:f>
            <x14:dxf>
              <font>
                <color rgb="FF006100"/>
              </font>
              <fill>
                <patternFill>
                  <bgColor rgb="FFC6EFCE"/>
                </patternFill>
              </fill>
            </x14:dxf>
          </x14:cfRule>
          <xm:sqref>D101:D103</xm:sqref>
        </x14:conditionalFormatting>
        <x14:conditionalFormatting xmlns:xm="http://schemas.microsoft.com/office/excel/2006/main">
          <x14:cfRule type="containsText" priority="719" operator="containsText" id="{96BBA067-F632-B547-BEE3-1FB0D8D28F6B}">
            <xm:f>NOT(ISERROR(SEARCH("Value Missing",D108)))</xm:f>
            <xm:f>"Value Missing"</xm:f>
            <x14:dxf>
              <font>
                <color rgb="FF9C0006"/>
              </font>
              <fill>
                <patternFill>
                  <bgColor rgb="FFFFC7CE"/>
                </patternFill>
              </fill>
            </x14:dxf>
          </x14:cfRule>
          <x14:cfRule type="notContainsText" priority="718" operator="notContains" id="{AFF598CD-1E87-4746-82A5-0F9AF74AD75E}">
            <xm:f>ISERROR(SEARCH("Value Missing",D108))</xm:f>
            <xm:f>"Value Missing"</xm:f>
            <x14:dxf>
              <font>
                <color rgb="FF006100"/>
              </font>
              <fill>
                <patternFill>
                  <bgColor rgb="FFC6EFCE"/>
                </patternFill>
              </fill>
            </x14:dxf>
          </x14:cfRule>
          <xm:sqref>D108</xm:sqref>
        </x14:conditionalFormatting>
        <x14:conditionalFormatting xmlns:xm="http://schemas.microsoft.com/office/excel/2006/main">
          <x14:cfRule type="containsText" priority="573" operator="containsText" id="{6D93CCC8-D41E-144C-99A0-A72F48278A2B}">
            <xm:f>NOT(ISERROR(SEARCH("Value Missing",D112)))</xm:f>
            <xm:f>"Value Missing"</xm:f>
            <x14:dxf>
              <font>
                <color rgb="FF9C0006"/>
              </font>
              <fill>
                <patternFill>
                  <bgColor rgb="FFFFC7CE"/>
                </patternFill>
              </fill>
            </x14:dxf>
          </x14:cfRule>
          <x14:cfRule type="notContainsText" priority="572" stopIfTrue="1" operator="notContains" id="{5A0FA1BB-C263-6347-8D1A-99C1C960D024}">
            <xm:f>ISERROR(SEARCH("Value Missing",D112))</xm:f>
            <xm:f>"Value Missing"</xm:f>
            <x14:dxf>
              <font>
                <color rgb="FF006100"/>
              </font>
              <fill>
                <patternFill>
                  <bgColor rgb="FFC6EFCE"/>
                </patternFill>
              </fill>
            </x14:dxf>
          </x14:cfRule>
          <xm:sqref>D112:D114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B91F4-D79B-934C-B4E6-162CCB28ECAB}">
  <sheetPr codeName="Sheet18">
    <tabColor theme="4" tint="0.39997558519241921"/>
  </sheetPr>
  <dimension ref="A1:F172"/>
  <sheetViews>
    <sheetView showGridLines="0" zoomScaleNormal="100" workbookViewId="0">
      <pane ySplit="6" topLeftCell="A7" activePane="bottomLeft" state="frozen"/>
      <selection pane="bottomLeft"/>
    </sheetView>
  </sheetViews>
  <sheetFormatPr baseColWidth="10" defaultColWidth="11" defaultRowHeight="16"/>
  <cols>
    <col min="1" max="1" width="2.83203125" customWidth="1"/>
    <col min="2" max="2" width="63.83203125" customWidth="1"/>
    <col min="3" max="4" width="80.83203125" customWidth="1"/>
    <col min="5" max="5" width="60.83203125" customWidth="1"/>
    <col min="6" max="6" width="2.83203125" customWidth="1"/>
  </cols>
  <sheetData>
    <row r="1" spans="1:6" s="3" customFormat="1" ht="16" customHeight="1">
      <c r="A1" s="6"/>
    </row>
    <row r="2" spans="1:6" s="3" customFormat="1" ht="54" customHeight="1">
      <c r="B2" s="533"/>
      <c r="C2" s="534"/>
      <c r="D2" s="495" t="s">
        <v>2326</v>
      </c>
      <c r="E2" s="496"/>
    </row>
    <row r="3" spans="1:6" s="3" customFormat="1" ht="20" customHeight="1">
      <c r="B3" s="341" t="s">
        <v>2327</v>
      </c>
      <c r="C3" s="342"/>
      <c r="D3" s="342"/>
      <c r="E3" s="343"/>
    </row>
    <row r="5" spans="1:6" ht="34" customHeight="1">
      <c r="B5" s="179" t="s">
        <v>2273</v>
      </c>
      <c r="C5" s="169" t="s">
        <v>2274</v>
      </c>
    </row>
    <row r="6" spans="1:6" s="3" customFormat="1">
      <c r="D6" s="7"/>
      <c r="E6" s="5"/>
      <c r="F6" s="5"/>
    </row>
    <row r="8" spans="1:6" ht="34" customHeight="1">
      <c r="B8" s="535" t="s">
        <v>2274</v>
      </c>
      <c r="C8" s="536"/>
      <c r="D8" s="536"/>
      <c r="E8" s="537"/>
    </row>
    <row r="9" spans="1:6" ht="16" customHeight="1"/>
    <row r="10" spans="1:6" ht="34" customHeight="1">
      <c r="B10" s="344" t="s">
        <v>2328</v>
      </c>
      <c r="C10" s="344"/>
      <c r="D10" s="344"/>
      <c r="E10" s="344"/>
    </row>
    <row r="11" spans="1:6" ht="20" customHeight="1">
      <c r="B11" s="8" t="s">
        <v>735</v>
      </c>
      <c r="C11" s="8" t="s">
        <v>554</v>
      </c>
      <c r="D11" s="20" t="s">
        <v>555</v>
      </c>
      <c r="E11" s="8" t="s">
        <v>222</v>
      </c>
    </row>
    <row r="12" spans="1:6" ht="20" customHeight="1">
      <c r="B12" s="21" t="s">
        <v>2329</v>
      </c>
      <c r="C12" s="22" t="str">
        <f>IF(mgmt_consolidated_result="Included",CONCATENATE(sample_mgmt_nsxt_hostname,".",sample_child_dns_zone),CONCATENATE(sample_wld_nsxt_hostname,".",sample_child_dns_zone))</f>
        <v>sfo-w01-nsx01.sfo.rainpole.io</v>
      </c>
      <c r="D12" s="18" t="str">
        <f>dri_nsxt_vip_fqdn</f>
        <v>Value Missing.Value Missing</v>
      </c>
      <c r="E12" s="53"/>
    </row>
    <row r="13" spans="1:6" ht="20" customHeight="1">
      <c r="B13" s="21" t="s">
        <v>2330</v>
      </c>
      <c r="C13" s="22" t="str">
        <f>sample_k8s_mgmt_seg</f>
        <v>sfo-w01-seg01-tanzu</v>
      </c>
      <c r="D13" s="18" t="str">
        <f>k8s_mgmt_seg</f>
        <v>Value Missing</v>
      </c>
      <c r="E13" s="53"/>
    </row>
    <row r="14" spans="1:6" ht="20" customHeight="1">
      <c r="B14" s="26" t="s">
        <v>2331</v>
      </c>
      <c r="C14" s="22" t="str">
        <f>IF(mgmt_consolidated_result="Included",sample_mgmt_tier1_name,sample_wld_tier1_name)</f>
        <v>sfo-w01-ec01-t1-gw01</v>
      </c>
      <c r="D14" s="18" t="str">
        <f>dri_tier1_name</f>
        <v>Value Missing</v>
      </c>
      <c r="E14" s="53"/>
    </row>
    <row r="15" spans="1:6" ht="20" customHeight="1">
      <c r="B15" s="26" t="s">
        <v>2332</v>
      </c>
      <c r="C15" s="22" t="str">
        <f>IF(mgmt_consolidated_result="Included",CONCATENATE("overlay-tz-",sample_mgmt_nsxt_hostname),CONCATENATE("overlay-tz-",sample_wld_nsxt_hostname))</f>
        <v>overlay-tz-sfo-w01-nsx01</v>
      </c>
      <c r="D15" s="18" t="str">
        <f>dri_overlay_transport_zone</f>
        <v>overlay-tz-Value Missing</v>
      </c>
      <c r="E15" s="53"/>
    </row>
    <row r="16" spans="1:6" ht="20" customHeight="1">
      <c r="B16" s="26" t="s">
        <v>4897</v>
      </c>
      <c r="C16" s="22" t="str">
        <f>CONCATENATE(sample_k8s_segment_gateway_ip,"/",INT(RIGHT(sample_k8s_segment_cidr,LEN(sample_k8s_segment_cidr)-FIND("/",sample_k8s_segment_cidr))))</f>
        <v>192.168.20.1/24</v>
      </c>
      <c r="D16" s="18" t="str">
        <f>k8s_segment_gateway_ip_cidr</f>
        <v>Value Missing</v>
      </c>
      <c r="E16" s="53"/>
    </row>
    <row r="17" spans="2:5" ht="16" customHeight="1"/>
    <row r="18" spans="2:5" ht="34" customHeight="1">
      <c r="B18" s="344" t="s">
        <v>2333</v>
      </c>
      <c r="C18" s="344"/>
      <c r="D18" s="344"/>
      <c r="E18" s="344"/>
    </row>
    <row r="19" spans="2:5" ht="20" customHeight="1">
      <c r="B19" s="8" t="s">
        <v>735</v>
      </c>
      <c r="C19" s="8" t="s">
        <v>554</v>
      </c>
      <c r="D19" s="20" t="s">
        <v>555</v>
      </c>
      <c r="E19" s="8" t="s">
        <v>222</v>
      </c>
    </row>
    <row r="20" spans="2:5" ht="20" customHeight="1">
      <c r="B20" s="21" t="s">
        <v>2329</v>
      </c>
      <c r="C20" s="22" t="str">
        <f>IF(mgmt_consolidated_result="Included",CONCATENATE(sample_mgmt_nsxt_hostname,".",sample_child_dns_zone),CONCATENATE(sample_wld_nsxt_hostname,".",sample_child_dns_zone))</f>
        <v>sfo-w01-nsx01.sfo.rainpole.io</v>
      </c>
      <c r="D20" s="18" t="str">
        <f>dri_nsxt_vip_fqdn</f>
        <v>Value Missing.Value Missing</v>
      </c>
      <c r="E20" s="53"/>
    </row>
    <row r="21" spans="2:5" ht="20" customHeight="1">
      <c r="B21" s="26" t="s">
        <v>2334</v>
      </c>
      <c r="C21" s="22" t="str">
        <f>IF(mgmt_consolidated_result="Included",sample_mgmt_tier0_name,sample_wld_tier0_name)</f>
        <v>sfo-w01-ec01-t0-gw01</v>
      </c>
      <c r="D21" s="18" t="str">
        <f>dri_tier0_name</f>
        <v>Value Missing</v>
      </c>
      <c r="E21" s="53"/>
    </row>
    <row r="22" spans="2:5" ht="20" customHeight="1">
      <c r="B22" s="26" t="s">
        <v>2335</v>
      </c>
      <c r="C22" s="22" t="str">
        <f>sample_k8s_ip_prefixlist</f>
        <v>sfo-w01-ec01-t0-gw01-prefixlist</v>
      </c>
      <c r="D22" s="18" t="str">
        <f>k8s_ip_prefixlist</f>
        <v>Value Missing</v>
      </c>
      <c r="E22" s="53"/>
    </row>
    <row r="23" spans="2:5" ht="20" customHeight="1">
      <c r="B23" s="26" t="s">
        <v>3641</v>
      </c>
      <c r="C23" s="22" t="str">
        <f>sample_k8s_segment_cidr</f>
        <v>192.168.20.0/24</v>
      </c>
      <c r="D23" s="18" t="str">
        <f>k8s_segment_cidr</f>
        <v>Value Missing</v>
      </c>
      <c r="E23" s="53"/>
    </row>
    <row r="24" spans="2:5" ht="20" customHeight="1">
      <c r="B24" s="26" t="s">
        <v>3642</v>
      </c>
      <c r="C24" s="22" t="str">
        <f>sample_k8s_ingress_pool_cidr</f>
        <v>192.168.21.0/24</v>
      </c>
      <c r="D24" s="18" t="str">
        <f>k8s_ingress_pool_cidr</f>
        <v>Value Missing</v>
      </c>
      <c r="E24" s="53"/>
    </row>
    <row r="25" spans="2:5" ht="20" customHeight="1">
      <c r="B25" s="26" t="s">
        <v>3643</v>
      </c>
      <c r="C25" s="22">
        <v>28</v>
      </c>
      <c r="D25" s="18">
        <f>dri_load_balancer_ge</f>
        <v>28</v>
      </c>
      <c r="E25" s="53"/>
    </row>
    <row r="26" spans="2:5" ht="20" customHeight="1">
      <c r="B26" s="26" t="s">
        <v>3644</v>
      </c>
      <c r="C26" s="22">
        <v>32</v>
      </c>
      <c r="D26" s="18">
        <f>dri_load_balancer_le</f>
        <v>32</v>
      </c>
      <c r="E26" s="53"/>
    </row>
    <row r="27" spans="2:5" ht="20" customHeight="1">
      <c r="B27" s="26" t="s">
        <v>3645</v>
      </c>
      <c r="C27" s="22" t="str">
        <f>sample_k8s_egress_pool_cidr</f>
        <v>192.168.22.0/24</v>
      </c>
      <c r="D27" s="18" t="str">
        <f>k8s_egress_pool_cidr</f>
        <v>Value Missing</v>
      </c>
      <c r="E27" s="53"/>
    </row>
    <row r="28" spans="2:5" ht="20" customHeight="1">
      <c r="B28" s="26" t="s">
        <v>3646</v>
      </c>
      <c r="C28" s="22">
        <v>28</v>
      </c>
      <c r="D28" s="18">
        <f>dri_load_balancer_ge</f>
        <v>28</v>
      </c>
      <c r="E28" s="53"/>
    </row>
    <row r="29" spans="2:5" ht="20" customHeight="1">
      <c r="B29" s="26" t="s">
        <v>3647</v>
      </c>
      <c r="C29" s="22">
        <v>32</v>
      </c>
      <c r="D29" s="18">
        <f>dri_load_balancer_le</f>
        <v>32</v>
      </c>
      <c r="E29" s="53"/>
    </row>
    <row r="30" spans="2:5" ht="16" customHeight="1"/>
    <row r="31" spans="2:5" ht="34" customHeight="1">
      <c r="B31" s="427" t="s">
        <v>2336</v>
      </c>
      <c r="C31" s="428"/>
      <c r="D31" s="428"/>
      <c r="E31" s="426"/>
    </row>
    <row r="32" spans="2:5" ht="20" customHeight="1">
      <c r="B32" s="8" t="s">
        <v>735</v>
      </c>
      <c r="C32" s="8" t="s">
        <v>554</v>
      </c>
      <c r="D32" s="20" t="s">
        <v>555</v>
      </c>
      <c r="E32" s="8" t="s">
        <v>222</v>
      </c>
    </row>
    <row r="33" spans="2:5" ht="20" customHeight="1">
      <c r="B33" s="21" t="s">
        <v>2329</v>
      </c>
      <c r="C33" s="22" t="str">
        <f>IF(mgmt_consolidated_result="Included",CONCATENATE(sample_mgmt_nsxt_hostname,".",sample_child_dns_zone),CONCATENATE(sample_wld_nsxt_hostname,".",sample_child_dns_zone))</f>
        <v>sfo-w01-nsx01.sfo.rainpole.io</v>
      </c>
      <c r="D33" s="18" t="str">
        <f>dri_nsxt_vip_fqdn</f>
        <v>Value Missing.Value Missing</v>
      </c>
      <c r="E33" s="53"/>
    </row>
    <row r="34" spans="2:5" ht="20" customHeight="1">
      <c r="B34" s="26" t="s">
        <v>2334</v>
      </c>
      <c r="C34" s="22" t="str">
        <f>IF(mgmt_consolidated_result="Included",sample_mgmt_tier0_name,sample_wld_tier0_name)</f>
        <v>sfo-w01-ec01-t0-gw01</v>
      </c>
      <c r="D34" s="18" t="str">
        <f>dri_tier0_name</f>
        <v>Value Missing</v>
      </c>
      <c r="E34" s="53"/>
    </row>
    <row r="35" spans="2:5" ht="20" customHeight="1">
      <c r="B35" s="26" t="s">
        <v>2337</v>
      </c>
      <c r="C35" s="22" t="str">
        <f>sample_k8s_ip_routemap</f>
        <v>sfo-w01-ec01-t0-gw01-routemap</v>
      </c>
      <c r="D35" s="18" t="str">
        <f>k8s_ip_routemap</f>
        <v>Value Missing</v>
      </c>
      <c r="E35" s="53"/>
    </row>
    <row r="36" spans="2:5" ht="20" customHeight="1">
      <c r="B36" s="26" t="s">
        <v>2338</v>
      </c>
      <c r="C36" s="22" t="str">
        <f>sample_k8s_ip_prefixlist</f>
        <v>sfo-w01-ec01-t0-gw01-prefixlist</v>
      </c>
      <c r="D36" s="18" t="str">
        <f>k8s_ip_prefixlist</f>
        <v>Value Missing</v>
      </c>
      <c r="E36" s="53"/>
    </row>
    <row r="37" spans="2:5" ht="16" customHeight="1"/>
    <row r="38" spans="2:5" ht="34" customHeight="1">
      <c r="B38" s="427" t="s">
        <v>2339</v>
      </c>
      <c r="C38" s="428"/>
      <c r="D38" s="428"/>
      <c r="E38" s="426"/>
    </row>
    <row r="39" spans="2:5" ht="20" customHeight="1">
      <c r="B39" s="8" t="s">
        <v>735</v>
      </c>
      <c r="C39" s="8" t="s">
        <v>554</v>
      </c>
      <c r="D39" s="20" t="s">
        <v>555</v>
      </c>
      <c r="E39" s="8" t="s">
        <v>222</v>
      </c>
    </row>
    <row r="40" spans="2:5" ht="20" customHeight="1">
      <c r="B40" s="21" t="s">
        <v>1938</v>
      </c>
      <c r="C40" s="22" t="str">
        <f>IF(mgmt_consolidated_result="Included",CONCATENATE(sample_mgmt_vc_hostname,".",sample_child_dns_zone),CONCATENATE(sample_wld_vc_hostname,".",sample_child_dns_zone))</f>
        <v>sfo-w01-vc01.sfo.rainpole.io</v>
      </c>
      <c r="D40" s="18" t="str">
        <f>dri_vcenter_fqdn</f>
        <v>Value Missing.Value Missing</v>
      </c>
      <c r="E40" s="53"/>
    </row>
    <row r="41" spans="2:5" ht="20" customHeight="1">
      <c r="B41" s="21" t="s">
        <v>2340</v>
      </c>
      <c r="C41" s="22" t="str">
        <f>sample_k8s_vcenter_category</f>
        <v>vsphere-with-tanzu-category</v>
      </c>
      <c r="D41" s="18" t="str">
        <f>k8s_vcenter_category</f>
        <v>Value Missing</v>
      </c>
      <c r="E41" s="53"/>
    </row>
    <row r="42" spans="2:5" ht="20" customHeight="1">
      <c r="B42" s="26" t="s">
        <v>2341</v>
      </c>
      <c r="C42" s="22" t="str">
        <f>sample_k8s_vcenter_tag</f>
        <v>vsphere-with-tanzu-tag</v>
      </c>
      <c r="D42" s="18" t="str">
        <f>k8s_vcenter_tag</f>
        <v>Value Missing</v>
      </c>
      <c r="E42" s="53"/>
    </row>
    <row r="43" spans="2:5" ht="20" customHeight="1">
      <c r="B43" s="21" t="s">
        <v>2342</v>
      </c>
      <c r="C43" s="22" t="str">
        <f>sample_k8s_vcenter_category</f>
        <v>vsphere-with-tanzu-category</v>
      </c>
      <c r="D43" s="18" t="str">
        <f>k8s_vcenter_category</f>
        <v>Value Missing</v>
      </c>
      <c r="E43" s="53"/>
    </row>
    <row r="44" spans="2:5" ht="20" customHeight="1">
      <c r="B44" s="26" t="s">
        <v>2343</v>
      </c>
      <c r="C44" s="22" t="str">
        <f>IF(mgmt_consolidated_result="Included",sample_mgmt_cl01_vsan_datastore,sample_wld_cl01_vsan_datastore)</f>
        <v>sfo-w01-sfo-w01-cl01-vsan01</v>
      </c>
      <c r="D44" s="18" t="str">
        <f>dri_vcenter_vsan_datastore</f>
        <v>Value Missing</v>
      </c>
      <c r="E44" s="53"/>
    </row>
    <row r="45" spans="2:5" ht="20" customHeight="1">
      <c r="B45" s="26" t="s">
        <v>2344</v>
      </c>
      <c r="C45" s="22" t="str">
        <f>sample_k8s_vcenter_tag</f>
        <v>vsphere-with-tanzu-tag</v>
      </c>
      <c r="D45" s="18" t="str">
        <f>k8s_vcenter_tag</f>
        <v>Value Missing</v>
      </c>
      <c r="E45" s="53"/>
    </row>
    <row r="46" spans="2:5" ht="16" customHeight="1"/>
    <row r="47" spans="2:5" ht="34" customHeight="1">
      <c r="B47" s="427" t="s">
        <v>2345</v>
      </c>
      <c r="C47" s="428"/>
      <c r="D47" s="428"/>
      <c r="E47" s="426"/>
    </row>
    <row r="48" spans="2:5" ht="20" customHeight="1">
      <c r="B48" s="8" t="s">
        <v>735</v>
      </c>
      <c r="C48" s="8" t="s">
        <v>554</v>
      </c>
      <c r="D48" s="20" t="s">
        <v>555</v>
      </c>
      <c r="E48" s="8" t="s">
        <v>222</v>
      </c>
    </row>
    <row r="49" spans="2:5" ht="20" customHeight="1">
      <c r="B49" s="21" t="s">
        <v>1938</v>
      </c>
      <c r="C49" s="22" t="str">
        <f>IF(mgmt_consolidated_result="Included",CONCATENATE(sample_mgmt_vc_hostname,".",sample_child_dns_zone),CONCATENATE(sample_wld_vc_hostname,".",sample_child_dns_zone))</f>
        <v>sfo-w01-vc01.sfo.rainpole.io</v>
      </c>
      <c r="D49" s="18" t="str">
        <f>dri_vcenter_fqdn</f>
        <v>Value Missing.Value Missing</v>
      </c>
      <c r="E49" s="53"/>
    </row>
    <row r="50" spans="2:5" ht="20" customHeight="1">
      <c r="B50" s="21" t="s">
        <v>637</v>
      </c>
      <c r="C50" s="22" t="str">
        <f>IF(mgmt_consolidated_result="Included",CONCATENATE(sample_mgmt_vc_hostname,".",sample_child_dns_zone),CONCATENATE(sample_wld_vc_hostname,".",sample_child_dns_zone))</f>
        <v>sfo-w01-vc01.sfo.rainpole.io</v>
      </c>
      <c r="D50" s="18" t="str">
        <f>dri_vcenter_fqdn</f>
        <v>Value Missing.Value Missing</v>
      </c>
      <c r="E50" s="53"/>
    </row>
    <row r="51" spans="2:5" ht="20" customHeight="1">
      <c r="B51" s="26" t="s">
        <v>735</v>
      </c>
      <c r="C51" s="22" t="str">
        <f>sample_k8s_vcenter_storage_policy</f>
        <v>vsphere-with-tanzu-storage-policy</v>
      </c>
      <c r="D51" s="18" t="str">
        <f>k8s_vcenter_storage_policy</f>
        <v>Value Missing</v>
      </c>
      <c r="E51" s="53"/>
    </row>
    <row r="52" spans="2:5" ht="20" customHeight="1">
      <c r="B52" s="21" t="s">
        <v>2346</v>
      </c>
      <c r="C52" s="22" t="str">
        <f>sample_k8s_vcenter_category</f>
        <v>vsphere-with-tanzu-category</v>
      </c>
      <c r="D52" s="18" t="str">
        <f>k8s_vcenter_category</f>
        <v>Value Missing</v>
      </c>
      <c r="E52" s="53"/>
    </row>
    <row r="53" spans="2:5" ht="20" customHeight="1">
      <c r="B53" s="26" t="s">
        <v>2347</v>
      </c>
      <c r="C53" s="22" t="str">
        <f>sample_k8s_vcenter_tag</f>
        <v>vsphere-with-tanzu-tag</v>
      </c>
      <c r="D53" s="18" t="str">
        <f>k8s_vcenter_tag</f>
        <v>Value Missing</v>
      </c>
      <c r="E53" s="53"/>
    </row>
    <row r="54" spans="2:5" ht="16" customHeight="1"/>
    <row r="55" spans="2:5" ht="34" customHeight="1">
      <c r="B55" s="427" t="s">
        <v>2348</v>
      </c>
      <c r="C55" s="428"/>
      <c r="D55" s="428"/>
      <c r="E55" s="426"/>
    </row>
    <row r="56" spans="2:5" ht="20" customHeight="1">
      <c r="B56" s="8" t="s">
        <v>735</v>
      </c>
      <c r="C56" s="8" t="s">
        <v>554</v>
      </c>
      <c r="D56" s="20" t="s">
        <v>555</v>
      </c>
      <c r="E56" s="8" t="s">
        <v>222</v>
      </c>
    </row>
    <row r="57" spans="2:5" ht="20" customHeight="1">
      <c r="B57" s="21" t="s">
        <v>1938</v>
      </c>
      <c r="C57" s="22" t="str">
        <f>IF(mgmt_consolidated_result="Included",CONCATENATE(sample_mgmt_vc_hostname,".",sample_child_dns_zone),CONCATENATE(sample_wld_vc_hostname,".",sample_child_dns_zone))</f>
        <v>sfo-w01-vc01.sfo.rainpole.io</v>
      </c>
      <c r="D57" s="18" t="str">
        <f>dri_vcenter_fqdn</f>
        <v>Value Missing.Value Missing</v>
      </c>
      <c r="E57" s="53"/>
    </row>
    <row r="58" spans="2:5" ht="20" customHeight="1">
      <c r="B58" s="21" t="s">
        <v>735</v>
      </c>
      <c r="C58" s="22" t="str">
        <f>sample_k8s_vcenter_content_library</f>
        <v>Kubernetes</v>
      </c>
      <c r="D58" s="18" t="str">
        <f>k8s_vcenter_content_library</f>
        <v>Value Missing</v>
      </c>
      <c r="E58" s="53"/>
    </row>
    <row r="59" spans="2:5" ht="20" customHeight="1">
      <c r="B59" s="21" t="s">
        <v>637</v>
      </c>
      <c r="C59" s="22" t="str">
        <f>IF(mgmt_consolidated_result="Included",CONCATENATE(sample_mgmt_vc_hostname,".",sample_child_dns_zone),CONCATENATE(sample_wld_vc_hostname,".",sample_child_dns_zone))</f>
        <v>sfo-w01-vc01.sfo.rainpole.io</v>
      </c>
      <c r="D59" s="18" t="str">
        <f>dri_vcenter_fqdn</f>
        <v>Value Missing.Value Missing</v>
      </c>
      <c r="E59" s="53"/>
    </row>
    <row r="60" spans="2:5" ht="20" customHeight="1">
      <c r="B60" s="26" t="s">
        <v>2343</v>
      </c>
      <c r="C60" s="22" t="str">
        <f>IF(mgmt_consolidated_result="Included",sample_mgmt_cl01_vsan_datastore,sample_wld_cl01_vsan_datastore)</f>
        <v>sfo-w01-sfo-w01-cl01-vsan01</v>
      </c>
      <c r="D60" s="18" t="str">
        <f>dri_vcenter_vsan_datastore</f>
        <v>Value Missing</v>
      </c>
      <c r="E60" s="53"/>
    </row>
    <row r="61" spans="2:5" ht="16" customHeight="1"/>
    <row r="62" spans="2:5" ht="34" customHeight="1">
      <c r="B62" s="427" t="s">
        <v>2349</v>
      </c>
      <c r="C62" s="428"/>
      <c r="D62" s="428"/>
      <c r="E62" s="426"/>
    </row>
    <row r="63" spans="2:5" ht="20" customHeight="1">
      <c r="B63" s="8" t="s">
        <v>735</v>
      </c>
      <c r="C63" s="8" t="s">
        <v>554</v>
      </c>
      <c r="D63" s="20" t="s">
        <v>555</v>
      </c>
      <c r="E63" s="8" t="s">
        <v>222</v>
      </c>
    </row>
    <row r="64" spans="2:5" ht="20" customHeight="1">
      <c r="B64" s="26" t="s">
        <v>2292</v>
      </c>
      <c r="C64" s="22" t="str">
        <f>CONCATENATE(sample_sddc_mgr_hostname,".",sample_region_ad_child_fqdn)</f>
        <v>sfo-vcf01.sfo.rainpole.io</v>
      </c>
      <c r="D64" s="18" t="str">
        <f>sddc_mgr_fqdn</f>
        <v>Value Missing.Value Missing</v>
      </c>
      <c r="E64" s="53"/>
    </row>
    <row r="65" spans="2:5" ht="20" customHeight="1">
      <c r="B65" s="21" t="s">
        <v>843</v>
      </c>
      <c r="C65" s="22" t="str">
        <f>IF(mgmt_consolidated_result="Included",sample_mgmt_cl01_cluster,sample_wld_cl01_cluster)</f>
        <v>sfo-w01-cl01</v>
      </c>
      <c r="D65" s="18" t="str">
        <f>dri_vcenter_cluster</f>
        <v>Value Missing</v>
      </c>
      <c r="E65" s="53"/>
    </row>
    <row r="66" spans="2:5" ht="20" customHeight="1">
      <c r="B66" s="538" t="s">
        <v>4890</v>
      </c>
      <c r="C66" s="539"/>
      <c r="D66" s="539"/>
      <c r="E66" s="540"/>
    </row>
    <row r="67" spans="2:5" ht="20" customHeight="1">
      <c r="B67" s="21" t="s">
        <v>637</v>
      </c>
      <c r="C67" s="22" t="str">
        <f>IF(mgmt_consolidated_result="Included",CONCATENATE(sample_mgmt_vc_hostname,".",sample_child_dns_zone),CONCATENATE(sample_wld_vc_hostname,".",sample_child_dns_zone))</f>
        <v>sfo-w01-vc01.sfo.rainpole.io</v>
      </c>
      <c r="D67" s="18" t="str">
        <f>dri_vcenter_fqdn</f>
        <v>Value Missing.Value Missing</v>
      </c>
      <c r="E67" s="53"/>
    </row>
    <row r="68" spans="2:5" ht="20" customHeight="1">
      <c r="B68" s="538" t="s">
        <v>4891</v>
      </c>
      <c r="C68" s="539"/>
      <c r="D68" s="539"/>
      <c r="E68" s="540"/>
    </row>
    <row r="69" spans="2:5" ht="20" customHeight="1">
      <c r="B69" s="21" t="s">
        <v>4892</v>
      </c>
      <c r="C69" s="22" t="str">
        <f>IF(mgmt_consolidated_result="Included",sample_mgmt_cl01_cluster,sample_wld_cl01_cluster)</f>
        <v>sfo-w01-cl01</v>
      </c>
      <c r="D69" s="18" t="str">
        <f>dri_vcenter_cluster</f>
        <v>Value Missing</v>
      </c>
      <c r="E69" s="53"/>
    </row>
    <row r="70" spans="2:5" ht="20" customHeight="1">
      <c r="B70" s="21" t="s">
        <v>843</v>
      </c>
      <c r="C70" s="22" t="str">
        <f>IF(mgmt_consolidated_result="Included",sample_mgmt_cl01_cluster,sample_wld_cl01_cluster)</f>
        <v>sfo-w01-cl01</v>
      </c>
      <c r="D70" s="18" t="str">
        <f>dri_vcenter_cluster</f>
        <v>Value Missing</v>
      </c>
      <c r="E70" s="53"/>
    </row>
    <row r="71" spans="2:5" ht="20" customHeight="1">
      <c r="B71" s="538" t="s">
        <v>931</v>
      </c>
      <c r="C71" s="539"/>
      <c r="D71" s="539"/>
      <c r="E71" s="540"/>
    </row>
    <row r="72" spans="2:5" ht="20" customHeight="1">
      <c r="B72" s="26" t="s">
        <v>4893</v>
      </c>
      <c r="C72" s="22" t="str">
        <f>sample_k8s_vcenter_storage_policy</f>
        <v>vsphere-with-tanzu-storage-policy</v>
      </c>
      <c r="D72" s="18" t="str">
        <f>k8s_vcenter_storage_policy</f>
        <v>Value Missing</v>
      </c>
      <c r="E72" s="53"/>
    </row>
    <row r="73" spans="2:5" ht="20" customHeight="1">
      <c r="B73" s="26" t="s">
        <v>4895</v>
      </c>
      <c r="C73" s="22" t="str">
        <f>sample_k8s_vcenter_storage_policy</f>
        <v>vsphere-with-tanzu-storage-policy</v>
      </c>
      <c r="D73" s="18" t="str">
        <f>k8s_vcenter_storage_policy</f>
        <v>Value Missing</v>
      </c>
      <c r="E73" s="53"/>
    </row>
    <row r="74" spans="2:5" ht="20" customHeight="1">
      <c r="B74" s="26" t="s">
        <v>4894</v>
      </c>
      <c r="C74" s="22" t="str">
        <f>sample_k8s_vcenter_storage_policy</f>
        <v>vsphere-with-tanzu-storage-policy</v>
      </c>
      <c r="D74" s="18" t="str">
        <f>k8s_vcenter_storage_policy</f>
        <v>Value Missing</v>
      </c>
      <c r="E74" s="53"/>
    </row>
    <row r="75" spans="2:5" ht="20" customHeight="1">
      <c r="B75" s="538" t="s">
        <v>539</v>
      </c>
      <c r="C75" s="539"/>
      <c r="D75" s="539"/>
      <c r="E75" s="540"/>
    </row>
    <row r="76" spans="2:5" ht="20" customHeight="1">
      <c r="B76" s="21" t="s">
        <v>1798</v>
      </c>
      <c r="C76" s="22" t="str">
        <f>sample_k8s_mgmt_seg</f>
        <v>sfo-w01-seg01-tanzu</v>
      </c>
      <c r="D76" s="18" t="str">
        <f>k8s_mgmt_seg</f>
        <v>Value Missing</v>
      </c>
      <c r="E76" s="53"/>
    </row>
    <row r="77" spans="2:5" ht="20" customHeight="1">
      <c r="B77" s="26" t="s">
        <v>2350</v>
      </c>
      <c r="C77" s="22" t="str">
        <f>CONCATENATE(prefix_wld_k8s_cidr,0+(wld_domain_number_chosen -1)*3,".10")</f>
        <v>192.168.20.10</v>
      </c>
      <c r="D77" s="18" t="str">
        <f>k8s_mgmt_pool_start_ip</f>
        <v>Value Missing</v>
      </c>
      <c r="E77" s="53"/>
    </row>
    <row r="78" spans="2:5" ht="20" customHeight="1">
      <c r="B78" s="26" t="s">
        <v>1702</v>
      </c>
      <c r="C78" s="22" t="str">
        <f>VLOOKUP(INT(RIGHT(sample_k8s_segment_cidr,LEN(sample_k8s_segment_cidr)-FIND("/",sample_k8s_segment_cidr))),table_cidr_to_mask,2,FALSE)</f>
        <v>255.255.255.0</v>
      </c>
      <c r="D78" s="18" t="str">
        <f>k8s_segment_mask</f>
        <v>Value Missing</v>
      </c>
      <c r="E78" s="53"/>
    </row>
    <row r="79" spans="2:5" ht="20" customHeight="1">
      <c r="B79" s="26" t="s">
        <v>1774</v>
      </c>
      <c r="C79" s="22" t="str">
        <f>sample_k8s_segment_gateway_ip</f>
        <v>192.168.20.1</v>
      </c>
      <c r="D79" s="18" t="str">
        <f t="array" ref="D79">k8s_segment_gateway_ip</f>
        <v>Value Missing</v>
      </c>
      <c r="E79" s="53"/>
    </row>
    <row r="80" spans="2:5" ht="20" customHeight="1">
      <c r="B80" s="26" t="s">
        <v>2351</v>
      </c>
      <c r="C80" s="22" t="str">
        <f>CONCATENATE(sample_region_dns1_ip,",",sample_region_dns2_ip)</f>
        <v>10.11.10.4,10.11.10.5</v>
      </c>
      <c r="D80" s="18" t="str">
        <f>dri_dns_servers</f>
        <v>Value Missing,Value Missing</v>
      </c>
      <c r="E80" s="53"/>
    </row>
    <row r="81" spans="2:5" ht="20" customHeight="1">
      <c r="B81" s="26" t="s">
        <v>2352</v>
      </c>
      <c r="C81" s="22" t="str">
        <f>sample_child_dns_zone</f>
        <v>sfo.rainpole.io</v>
      </c>
      <c r="D81" s="18" t="str">
        <f>child_dns_zone</f>
        <v>Value Missing</v>
      </c>
      <c r="E81" s="53"/>
    </row>
    <row r="82" spans="2:5" ht="20" customHeight="1">
      <c r="B82" s="26" t="s">
        <v>2142</v>
      </c>
      <c r="C82" s="22" t="str">
        <f>IF(AND((NOT(ISBLANK(sample_region_ntp2_server))),(sample_region_ntp2_server &lt;&gt; "n/a")),CONCATENATE(sample_region_ntp1_server,",",sample_region_ntp2_server),sample_region_ntp1_server)</f>
        <v>ntp.sfo.rainpole.io</v>
      </c>
      <c r="D82" s="18" t="str">
        <f>dri_ntp_servers</f>
        <v>Value Missing,Value Missing</v>
      </c>
      <c r="E82" s="53"/>
    </row>
    <row r="83" spans="2:5" ht="20" customHeight="1">
      <c r="B83" s="538" t="s">
        <v>4896</v>
      </c>
      <c r="C83" s="539"/>
      <c r="D83" s="539"/>
      <c r="E83" s="540"/>
    </row>
    <row r="84" spans="2:5" ht="20" customHeight="1">
      <c r="B84" s="26" t="s">
        <v>2353</v>
      </c>
      <c r="C84" s="22" t="str">
        <f>IF(mgmt_consolidated_result="Included",sample_mgmt_cl01_vds01_name,sample_wld_cl01_vds01_name)</f>
        <v>sfo-w01-cl01-vds01</v>
      </c>
      <c r="D84" s="18" t="str">
        <f>dri_vcenter_vds_name</f>
        <v>Value Missing</v>
      </c>
      <c r="E84" s="53"/>
    </row>
    <row r="85" spans="2:5" ht="20" customHeight="1">
      <c r="B85" s="26" t="s">
        <v>1884</v>
      </c>
      <c r="C85" s="22" t="str">
        <f>IF(mgmt_consolidated_result="Included",sample_mgmt_ec_name,sample_wld_ec_name)</f>
        <v>sfo-w01-ec01</v>
      </c>
      <c r="D85" s="18" t="str">
        <f>dri_ec_name</f>
        <v>Value Missing</v>
      </c>
      <c r="E85" s="53"/>
    </row>
    <row r="86" spans="2:5" ht="20" customHeight="1">
      <c r="B86" s="26" t="s">
        <v>1690</v>
      </c>
      <c r="C86" s="22" t="str">
        <f>CONCATENATE(sample_region_dns1_ip,",",sample_region_dns2_ip)</f>
        <v>10.11.10.4,10.11.10.5</v>
      </c>
      <c r="D86" s="18" t="str">
        <f>dri_dns_servers</f>
        <v>Value Missing,Value Missing</v>
      </c>
      <c r="E86" s="53"/>
    </row>
    <row r="87" spans="2:5" ht="20" customHeight="1">
      <c r="B87" s="26" t="s">
        <v>2334</v>
      </c>
      <c r="C87" s="22" t="str">
        <f>sample_wld_tier0_name</f>
        <v>sfo-w01-ec01-t0-gw01</v>
      </c>
      <c r="D87" s="18" t="str">
        <f>wld_tier0_name</f>
        <v>Value Missing</v>
      </c>
      <c r="E87" s="53"/>
    </row>
    <row r="88" spans="2:5" ht="20" customHeight="1">
      <c r="B88" s="26" t="s">
        <v>2354</v>
      </c>
      <c r="C88" s="22" t="str">
        <f>sample_k8s_supervisor_cluster_pod_pool_cidr</f>
        <v>100.100.0.0/20</v>
      </c>
      <c r="D88" s="18" t="str">
        <f>k8s_supervisor_cluster_pod_pool_cidr</f>
        <v>Value Missing</v>
      </c>
      <c r="E88" s="53"/>
    </row>
    <row r="89" spans="2:5" ht="20" customHeight="1">
      <c r="B89" s="26" t="s">
        <v>2355</v>
      </c>
      <c r="C89" s="22" t="str">
        <f>sample_k8s_supervisor_cluster_service_pool_cidr</f>
        <v>100.200.0.0/22</v>
      </c>
      <c r="D89" s="18" t="str">
        <f>k8s_supervisor_cluster_service_pool_cidr</f>
        <v>Value Missing</v>
      </c>
      <c r="E89" s="53"/>
    </row>
    <row r="90" spans="2:5" ht="20" customHeight="1">
      <c r="B90" s="26" t="s">
        <v>2356</v>
      </c>
      <c r="C90" s="22" t="str">
        <f>sample_k8s_ingress_pool_cidr</f>
        <v>192.168.21.0/24</v>
      </c>
      <c r="D90" s="18" t="str">
        <f>k8s_ingress_pool_cidr</f>
        <v>Value Missing</v>
      </c>
      <c r="E90" s="53"/>
    </row>
    <row r="91" spans="2:5" ht="20" customHeight="1">
      <c r="B91" s="26" t="s">
        <v>2357</v>
      </c>
      <c r="C91" s="22" t="str">
        <f>sample_k8s_egress_pool_cidr</f>
        <v>192.168.22.0/24</v>
      </c>
      <c r="D91" s="18" t="str">
        <f>k8s_egress_pool_cidr</f>
        <v>Value Missing</v>
      </c>
      <c r="E91" s="53"/>
    </row>
    <row r="92" spans="2:5" ht="16" customHeight="1"/>
    <row r="93" spans="2:5" ht="34" customHeight="1">
      <c r="B93" s="427" t="s">
        <v>2360</v>
      </c>
      <c r="C93" s="428"/>
      <c r="D93" s="428"/>
      <c r="E93" s="426"/>
    </row>
    <row r="94" spans="2:5" ht="20" customHeight="1">
      <c r="B94" s="8" t="s">
        <v>735</v>
      </c>
      <c r="C94" s="8" t="s">
        <v>554</v>
      </c>
      <c r="D94" s="20" t="s">
        <v>555</v>
      </c>
      <c r="E94" s="8" t="s">
        <v>222</v>
      </c>
    </row>
    <row r="95" spans="2:5" ht="20" customHeight="1">
      <c r="B95" s="21" t="s">
        <v>1938</v>
      </c>
      <c r="C95" s="22" t="str">
        <f>IF(mgmt_consolidated_result="Included",_xlfn.CONCAT(sample_mgmt_vc_hostname,".",sample_child_dns_zone),_xlfn.CONCAT(sample_wld_vc_hostname,".",sample_child_dns_zone))</f>
        <v>sfo-w01-vc01.sfo.rainpole.io</v>
      </c>
      <c r="D95" s="18" t="str">
        <f>dri_vcenter_fqdn</f>
        <v>Value Missing.Value Missing</v>
      </c>
      <c r="E95" s="53"/>
    </row>
    <row r="96" spans="2:5" ht="20" customHeight="1">
      <c r="B96" s="21" t="s">
        <v>841</v>
      </c>
      <c r="C96" s="22" t="str">
        <f>IF(mgmt_consolidated_result="Included",sample_mgmt_datacenter,sample_wld_datacenter)</f>
        <v>sfo-w01-DC</v>
      </c>
      <c r="D96" s="18" t="str">
        <f>IF(mgmt_consolidated_result="Included",mgmt_datacenter,wld_datacenter)</f>
        <v>Value Missing</v>
      </c>
      <c r="E96" s="53"/>
    </row>
    <row r="97" spans="2:5" ht="20" customHeight="1">
      <c r="B97" s="26" t="s">
        <v>843</v>
      </c>
      <c r="C97" s="22" t="str">
        <f>IF(mgmt_consolidated_result="Included",sample_mgmt_cl01_cluster,sample_wld_cl01_cluster)</f>
        <v>sfo-w01-cl01</v>
      </c>
      <c r="D97" s="18" t="str">
        <f>dri_vcenter_datacenter</f>
        <v>Value Missing</v>
      </c>
      <c r="E97" s="53"/>
    </row>
    <row r="98" spans="2:5" ht="20" customHeight="1">
      <c r="B98" s="26" t="s">
        <v>1823</v>
      </c>
      <c r="C98" s="22" t="str">
        <f>IF(mgmt_consolidated_result="Included",_xlfn.CONCAT(sample_mgmt_cl01_cluster,".",sample_child_dns_zone),_xlfn.CONCAT(sample_wld_cl01_cluster,".",sample_child_dns_zone))</f>
        <v>sfo-w01-cl01.sfo.rainpole.io</v>
      </c>
      <c r="D98" s="18" t="str">
        <f>k8s_cluster_endpoint_fqdn</f>
        <v>Value Missing.Value Missing</v>
      </c>
      <c r="E98" s="53"/>
    </row>
    <row r="99" spans="2:5" ht="20" customHeight="1">
      <c r="B99" s="26" t="s">
        <v>877</v>
      </c>
      <c r="C99" s="22" t="str">
        <f>sample_ca_organization</f>
        <v>Rainpole</v>
      </c>
      <c r="D99" s="18" t="str">
        <f>ca_organization</f>
        <v>Value Missing</v>
      </c>
      <c r="E99" s="53"/>
    </row>
    <row r="100" spans="2:5" ht="20" customHeight="1">
      <c r="B100" s="26" t="s">
        <v>1820</v>
      </c>
      <c r="C100" s="22" t="str">
        <f>sample_ca_organization_unit</f>
        <v>IT</v>
      </c>
      <c r="D100" s="18" t="str">
        <f>ca_organization_unit</f>
        <v>Value Missing</v>
      </c>
      <c r="E100" s="53"/>
    </row>
    <row r="101" spans="2:5" ht="20" customHeight="1">
      <c r="B101" s="26" t="s">
        <v>868</v>
      </c>
      <c r="C101" s="22" t="str">
        <f>sample_ca_country</f>
        <v>US</v>
      </c>
      <c r="D101" s="18" t="str">
        <f>ca_country</f>
        <v>Value Missing</v>
      </c>
      <c r="E101" s="53"/>
    </row>
    <row r="102" spans="2:5" ht="20" customHeight="1">
      <c r="B102" s="26" t="s">
        <v>2361</v>
      </c>
      <c r="C102" s="22" t="str">
        <f>sample_ca_state</f>
        <v>CA</v>
      </c>
      <c r="D102" s="18" t="str">
        <f>ca_state</f>
        <v>Value Missing</v>
      </c>
      <c r="E102" s="53"/>
    </row>
    <row r="103" spans="2:5" ht="20" customHeight="1">
      <c r="B103" s="26" t="s">
        <v>875</v>
      </c>
      <c r="C103" s="22" t="str">
        <f>sample_ca_locality</f>
        <v>San Francisco</v>
      </c>
      <c r="D103" s="18" t="str">
        <f>ca_locality</f>
        <v>Value Missing</v>
      </c>
      <c r="E103" s="53"/>
    </row>
    <row r="104" spans="2:5" ht="20" customHeight="1">
      <c r="B104" s="26" t="s">
        <v>2362</v>
      </c>
      <c r="C104" s="22" t="str">
        <f>sample_ca_email_address</f>
        <v>administrator@rainpole.io</v>
      </c>
      <c r="D104" s="18" t="str">
        <f>ca_email_address</f>
        <v>Value Missing</v>
      </c>
      <c r="E104" s="53"/>
    </row>
    <row r="105" spans="2:5" ht="16" customHeight="1"/>
    <row r="106" spans="2:5" ht="34" customHeight="1">
      <c r="B106" s="427" t="s">
        <v>2363</v>
      </c>
      <c r="C106" s="428"/>
      <c r="D106" s="428"/>
      <c r="E106" s="426"/>
    </row>
    <row r="107" spans="2:5" ht="20" customHeight="1">
      <c r="B107" s="8" t="s">
        <v>735</v>
      </c>
      <c r="C107" s="8" t="s">
        <v>554</v>
      </c>
      <c r="D107" s="20" t="s">
        <v>555</v>
      </c>
      <c r="E107" s="8" t="s">
        <v>222</v>
      </c>
    </row>
    <row r="108" spans="2:5" ht="20" customHeight="1">
      <c r="B108" s="26" t="s">
        <v>2292</v>
      </c>
      <c r="C108" s="22" t="str">
        <f>CONCATENATE(sample_sddc_mgr_hostname,".",sample_region_ad_child_fqdn)</f>
        <v>sfo-vcf01.sfo.rainpole.io</v>
      </c>
      <c r="D108" s="18" t="str">
        <f>sddc_mgr_fqdn</f>
        <v>Value Missing.Value Missing</v>
      </c>
      <c r="E108" s="53"/>
    </row>
    <row r="109" spans="2:5" ht="20" customHeight="1">
      <c r="B109" s="21" t="s">
        <v>2364</v>
      </c>
      <c r="C109" s="22" t="str">
        <f>sample_esx_k8s_license</f>
        <v>N/A</v>
      </c>
      <c r="D109" s="18" t="str">
        <f>esx_k8s_license</f>
        <v>Value Missing</v>
      </c>
      <c r="E109" s="53"/>
    </row>
    <row r="110" spans="2:5" ht="20" customHeight="1">
      <c r="B110" s="26" t="s">
        <v>2365</v>
      </c>
      <c r="C110" s="22" t="str">
        <f>IF(mgmt_consolidated_result="Included",sample_mgmt_cl01_cluster,sample_wld_cl01_cluster)</f>
        <v>sfo-w01-cl01</v>
      </c>
      <c r="D110" s="18" t="str">
        <f>dri_vcenter_cluster</f>
        <v>Value Missing</v>
      </c>
      <c r="E110" s="53"/>
    </row>
    <row r="111" spans="2:5" ht="16" customHeight="1"/>
    <row r="112" spans="2:5" ht="34" customHeight="1">
      <c r="B112" s="427" t="s">
        <v>2366</v>
      </c>
      <c r="C112" s="428"/>
      <c r="D112" s="428"/>
      <c r="E112" s="426"/>
    </row>
    <row r="113" spans="2:5" ht="20" customHeight="1">
      <c r="B113" s="8" t="s">
        <v>735</v>
      </c>
      <c r="C113" s="8" t="s">
        <v>554</v>
      </c>
      <c r="D113" s="20" t="s">
        <v>555</v>
      </c>
      <c r="E113" s="8" t="s">
        <v>222</v>
      </c>
    </row>
    <row r="114" spans="2:5" ht="20" customHeight="1">
      <c r="B114" s="21" t="s">
        <v>1938</v>
      </c>
      <c r="C114" s="22" t="str">
        <f>IF(mgmt_consolidated_result="Included",CONCATENATE(sample_mgmt_vc_hostname,".",sample_child_dns_zone),CONCATENATE(sample_wld_vc_hostname,".",sample_child_dns_zone))</f>
        <v>sfo-w01-vc01.sfo.rainpole.io</v>
      </c>
      <c r="D114" s="18" t="str">
        <f>dri_vcenter_fqdn</f>
        <v>Value Missing.Value Missing</v>
      </c>
      <c r="E114" s="53"/>
    </row>
    <row r="115" spans="2:5" ht="20" customHeight="1">
      <c r="B115" s="26" t="s">
        <v>843</v>
      </c>
      <c r="C115" s="22" t="str">
        <f>IF(mgmt_consolidated_result="Included",sample_mgmt_cl01_cluster,sample_wld_cl01_cluster)</f>
        <v>sfo-w01-cl01</v>
      </c>
      <c r="D115" s="18" t="str">
        <f>dri_vcenter_cluster</f>
        <v>Value Missing</v>
      </c>
      <c r="E115" s="53"/>
    </row>
    <row r="116" spans="2:5" ht="20" customHeight="1">
      <c r="B116" s="26" t="s">
        <v>735</v>
      </c>
      <c r="C116" s="22" t="str">
        <f>sample_k8s_namepsace</f>
        <v>sfo-w01-ns01</v>
      </c>
      <c r="D116" s="18" t="str">
        <f>k8s_namepsace</f>
        <v>Value Missing</v>
      </c>
      <c r="E116" s="53"/>
    </row>
    <row r="117" spans="2:5" ht="20" customHeight="1">
      <c r="B117" s="26" t="s">
        <v>2367</v>
      </c>
      <c r="C117" s="22" t="str">
        <f>sample_k8s_vcenter_storage_policy</f>
        <v>vsphere-with-tanzu-storage-policy</v>
      </c>
      <c r="D117" s="18" t="str">
        <f>k8s_vcenter_storage_policy</f>
        <v>Value Missing</v>
      </c>
      <c r="E117" s="53"/>
    </row>
    <row r="118" spans="2:5" ht="16" customHeight="1"/>
    <row r="119" spans="2:5" ht="34" customHeight="1">
      <c r="B119" s="427" t="s">
        <v>2368</v>
      </c>
      <c r="C119" s="428"/>
      <c r="D119" s="428"/>
      <c r="E119" s="426"/>
    </row>
    <row r="120" spans="2:5" ht="20" customHeight="1">
      <c r="B120" s="8" t="s">
        <v>735</v>
      </c>
      <c r="C120" s="8" t="s">
        <v>554</v>
      </c>
      <c r="D120" s="20" t="s">
        <v>555</v>
      </c>
      <c r="E120" s="8" t="s">
        <v>222</v>
      </c>
    </row>
    <row r="121" spans="2:5" ht="20" customHeight="1">
      <c r="B121" s="21" t="s">
        <v>1938</v>
      </c>
      <c r="C121" s="22" t="str">
        <f>IF(mgmt_consolidated_result="Included",CONCATENATE(sample_mgmt_vc_hostname,".",sample_child_dns_zone),CONCATENATE(sample_wld_vc_hostname,".",sample_child_dns_zone))</f>
        <v>sfo-w01-vc01.sfo.rainpole.io</v>
      </c>
      <c r="D121" s="18" t="str">
        <f>dri_vcenter_fqdn</f>
        <v>Value Missing.Value Missing</v>
      </c>
      <c r="E121" s="53"/>
    </row>
    <row r="122" spans="2:5" ht="20" customHeight="1">
      <c r="B122" s="26" t="s">
        <v>2369</v>
      </c>
      <c r="C122" s="22" t="str">
        <f>sample_k8s_namepsace</f>
        <v>sfo-w01-ns01</v>
      </c>
      <c r="D122" s="18" t="str">
        <f>k8s_namepsace</f>
        <v>Value Missing</v>
      </c>
      <c r="E122" s="53"/>
    </row>
    <row r="123" spans="2:5" ht="20" customHeight="1">
      <c r="B123" s="26" t="s">
        <v>2370</v>
      </c>
      <c r="C123" s="22" t="str">
        <f>sample_gg_kub_admins_group</f>
        <v>gg-kub-admins</v>
      </c>
      <c r="D123" s="18" t="str">
        <f>group_gg_kub_admins</f>
        <v>Value Missing</v>
      </c>
      <c r="E123" s="53"/>
    </row>
    <row r="124" spans="2:5" ht="20" customHeight="1">
      <c r="B124" s="26" t="s">
        <v>2371</v>
      </c>
      <c r="C124" s="22" t="str">
        <f>sample_gg_kub_readonly_group</f>
        <v>gg-kub-readonly</v>
      </c>
      <c r="D124" s="18" t="str">
        <f>group_gg_kub_readonly</f>
        <v>Value Missing</v>
      </c>
      <c r="E124" s="53"/>
    </row>
    <row r="125" spans="2:5" s="103" customFormat="1" ht="16" customHeight="1"/>
    <row r="126" spans="2:5" s="103" customFormat="1" ht="34" customHeight="1">
      <c r="B126" s="541" t="s">
        <v>4884</v>
      </c>
      <c r="C126" s="542"/>
      <c r="D126" s="542"/>
      <c r="E126" s="543"/>
    </row>
    <row r="127" spans="2:5" s="103" customFormat="1" ht="20" customHeight="1">
      <c r="B127" s="285" t="s">
        <v>735</v>
      </c>
      <c r="C127" s="285" t="s">
        <v>554</v>
      </c>
      <c r="D127" s="234" t="s">
        <v>555</v>
      </c>
      <c r="E127" s="285" t="s">
        <v>222</v>
      </c>
    </row>
    <row r="128" spans="2:5" s="106" customFormat="1" ht="20" customHeight="1">
      <c r="B128" s="257" t="s">
        <v>1938</v>
      </c>
      <c r="C128" s="286" t="str">
        <f>IF(mgmt_consolidated_result="Included",_xlfn.CONCAT(sample_mgmt_vc_hostname,".",sample_child_dns_zone),_xlfn.CONCAT(sample_wld_vc_hostname,".",sample_child_dns_zone))</f>
        <v>sfo-w01-vc01.sfo.rainpole.io</v>
      </c>
      <c r="D128" s="219" t="str">
        <f>sddc_mgr_fqdn</f>
        <v>Value Missing.Value Missing</v>
      </c>
      <c r="E128" s="258"/>
    </row>
    <row r="129" spans="2:5" s="103" customFormat="1" ht="20" customHeight="1">
      <c r="B129" s="257" t="s">
        <v>4477</v>
      </c>
      <c r="C129" s="202" t="s">
        <v>4476</v>
      </c>
      <c r="D129" s="219" t="str">
        <f>C129</f>
        <v>contour.yaml</v>
      </c>
      <c r="E129" s="258"/>
    </row>
    <row r="130" spans="2:5" s="103" customFormat="1" ht="20" customHeight="1">
      <c r="B130" s="257" t="s">
        <v>4475</v>
      </c>
      <c r="C130" s="202" t="s">
        <v>4474</v>
      </c>
      <c r="D130" s="219" t="str">
        <f>C130</f>
        <v>contour-data-values.yaml</v>
      </c>
      <c r="E130" s="258"/>
    </row>
    <row r="131" spans="2:5" s="103" customFormat="1" ht="16" customHeight="1">
      <c r="B131"/>
      <c r="C131"/>
      <c r="D131"/>
      <c r="E131"/>
    </row>
    <row r="132" spans="2:5" s="103" customFormat="1" ht="34" customHeight="1">
      <c r="B132" s="541" t="s">
        <v>4885</v>
      </c>
      <c r="C132" s="542"/>
      <c r="D132" s="542"/>
      <c r="E132" s="543"/>
    </row>
    <row r="133" spans="2:5" s="103" customFormat="1" ht="20" customHeight="1">
      <c r="B133" s="285" t="s">
        <v>735</v>
      </c>
      <c r="C133" s="285" t="s">
        <v>554</v>
      </c>
      <c r="D133" s="234" t="s">
        <v>555</v>
      </c>
      <c r="E133" s="285" t="s">
        <v>222</v>
      </c>
    </row>
    <row r="134" spans="2:5" s="103" customFormat="1" ht="20" customHeight="1">
      <c r="B134" s="257" t="s">
        <v>1938</v>
      </c>
      <c r="C134" s="202" t="str">
        <f>IF(mgmt_consolidated_result="Included",_xlfn.CONCAT(sample_mgmt_vc_hostname,".",sample_child_dns_zone),_xlfn.CONCAT(sample_wld_vc_hostname,".",sample_child_dns_zone))</f>
        <v>sfo-w01-vc01.sfo.rainpole.io</v>
      </c>
      <c r="D134" s="219" t="str">
        <f>sddc_mgr_fqdn</f>
        <v>Value Missing.Value Missing</v>
      </c>
      <c r="E134" s="258"/>
    </row>
    <row r="135" spans="2:5" s="103" customFormat="1" ht="20" customHeight="1">
      <c r="B135" s="257" t="s">
        <v>4473</v>
      </c>
      <c r="C135" s="202" t="s">
        <v>4888</v>
      </c>
      <c r="D135" s="219" t="str">
        <f>C135</f>
        <v>harbor.yaml</v>
      </c>
      <c r="E135" s="258"/>
    </row>
    <row r="136" spans="2:5" s="103" customFormat="1" ht="20" customHeight="1">
      <c r="B136" s="257" t="s">
        <v>4472</v>
      </c>
      <c r="C136" s="202" t="s">
        <v>4887</v>
      </c>
      <c r="D136" s="219" t="str">
        <f>C136</f>
        <v>harbor-data-values.yaml</v>
      </c>
      <c r="E136" s="258"/>
    </row>
    <row r="137" spans="2:5" s="103" customFormat="1" ht="16" customHeight="1">
      <c r="B137"/>
      <c r="C137"/>
      <c r="D137"/>
      <c r="E137"/>
    </row>
    <row r="138" spans="2:5" s="103" customFormat="1" ht="34" customHeight="1">
      <c r="B138" s="541" t="s">
        <v>4886</v>
      </c>
      <c r="C138" s="542"/>
      <c r="D138" s="542"/>
      <c r="E138" s="543"/>
    </row>
    <row r="139" spans="2:5" s="103" customFormat="1" ht="20" customHeight="1">
      <c r="B139" s="285" t="s">
        <v>735</v>
      </c>
      <c r="C139" s="285" t="s">
        <v>554</v>
      </c>
      <c r="D139" s="234" t="s">
        <v>555</v>
      </c>
      <c r="E139" s="285" t="s">
        <v>222</v>
      </c>
    </row>
    <row r="140" spans="2:5" s="106" customFormat="1" ht="20" customHeight="1">
      <c r="B140" s="544" t="s">
        <v>2277</v>
      </c>
      <c r="C140" s="545"/>
      <c r="D140" s="545"/>
      <c r="E140" s="546"/>
    </row>
    <row r="141" spans="2:5" s="103" customFormat="1" ht="20" customHeight="1">
      <c r="B141" s="257" t="s">
        <v>4471</v>
      </c>
      <c r="C141" s="202" t="str">
        <f>CONCATENATE(sample_k8s_harbor_hostname,".",sample_child_dns_zone)</f>
        <v>sfo-w01-registry01.sfo.rainpole.io</v>
      </c>
      <c r="D141" s="219" t="str">
        <f>k8s_harbor_fqdn</f>
        <v>Value Missing.Value Missing</v>
      </c>
      <c r="E141" s="258"/>
    </row>
    <row r="142" spans="2:5" ht="16" customHeight="1"/>
    <row r="143" spans="2:5" ht="34" customHeight="1">
      <c r="B143" s="427" t="s">
        <v>2372</v>
      </c>
      <c r="C143" s="428"/>
      <c r="D143" s="428"/>
      <c r="E143" s="426"/>
    </row>
    <row r="144" spans="2:5" ht="20" customHeight="1">
      <c r="B144" s="8" t="s">
        <v>735</v>
      </c>
      <c r="C144" s="8" t="s">
        <v>554</v>
      </c>
      <c r="D144" s="20" t="s">
        <v>555</v>
      </c>
      <c r="E144" s="8" t="s">
        <v>222</v>
      </c>
    </row>
    <row r="145" spans="2:5" ht="20" customHeight="1">
      <c r="B145" s="21" t="s">
        <v>1938</v>
      </c>
      <c r="C145" s="22" t="str">
        <f>IF(mgmt_consolidated_result="Included",CONCATENATE(sample_mgmt_vc_hostname,".",sample_child_dns_zone),CONCATENATE(sample_wld_vc_hostname,".",sample_child_dns_zone))</f>
        <v>sfo-w01-vc01.sfo.rainpole.io</v>
      </c>
      <c r="D145" s="18" t="str">
        <f>dri_vcenter_fqdn</f>
        <v>Value Missing.Value Missing</v>
      </c>
      <c r="E145" s="53"/>
    </row>
    <row r="146" spans="2:5" ht="20" customHeight="1">
      <c r="B146" s="26" t="s">
        <v>843</v>
      </c>
      <c r="C146" s="22" t="str">
        <f>IF(mgmt_consolidated_result="Included",sample_mgmt_cl01_cluster,sample_wld_cl01_cluster)</f>
        <v>sfo-w01-cl01</v>
      </c>
      <c r="D146" s="18" t="str">
        <f>dri_vcenter_cluster</f>
        <v>Value Missing</v>
      </c>
      <c r="E146" s="53"/>
    </row>
    <row r="147" spans="2:5" ht="20" customHeight="1">
      <c r="B147" s="26" t="s">
        <v>735</v>
      </c>
      <c r="C147" s="22" t="str">
        <f>sample_k8s_cluster_name</f>
        <v>sfo-w01-tkc01</v>
      </c>
      <c r="D147" s="18" t="str">
        <f>k8s_cluster_name</f>
        <v>Value Missing</v>
      </c>
      <c r="E147" s="53"/>
    </row>
    <row r="148" spans="2:5" ht="20" customHeight="1">
      <c r="B148" s="26" t="s">
        <v>2367</v>
      </c>
      <c r="C148" s="22" t="str">
        <f>sample_k8s_vcenter_storage_policy</f>
        <v>vsphere-with-tanzu-storage-policy</v>
      </c>
      <c r="D148" s="18" t="str">
        <f>k8s_vcenter_storage_policy</f>
        <v>Value Missing</v>
      </c>
      <c r="E148" s="53"/>
    </row>
    <row r="149" spans="2:5" ht="16" customHeight="1"/>
    <row r="150" spans="2:5" ht="34" customHeight="1">
      <c r="B150" s="427" t="s">
        <v>2373</v>
      </c>
      <c r="C150" s="428"/>
      <c r="D150" s="428"/>
      <c r="E150" s="426"/>
    </row>
    <row r="151" spans="2:5" ht="20" customHeight="1">
      <c r="B151" s="8" t="s">
        <v>735</v>
      </c>
      <c r="C151" s="8" t="s">
        <v>554</v>
      </c>
      <c r="D151" s="20" t="s">
        <v>555</v>
      </c>
      <c r="E151" s="8" t="s">
        <v>222</v>
      </c>
    </row>
    <row r="152" spans="2:5" ht="20" customHeight="1">
      <c r="B152" s="21" t="s">
        <v>1938</v>
      </c>
      <c r="C152" s="22" t="str">
        <f>IF(mgmt_consolidated_result="Included",CONCATENATE(sample_mgmt_vc_hostname,".",sample_child_dns_zone),CONCATENATE(sample_wld_vc_hostname,".",sample_child_dns_zone))</f>
        <v>sfo-w01-vc01.sfo.rainpole.io</v>
      </c>
      <c r="D152" s="18" t="str">
        <f>dri_vcenter_fqdn</f>
        <v>Value Missing.Value Missing</v>
      </c>
      <c r="E152" s="53"/>
    </row>
    <row r="153" spans="2:5" ht="20" customHeight="1">
      <c r="B153" s="26" t="s">
        <v>2369</v>
      </c>
      <c r="C153" s="22" t="str">
        <f>sample_k8s_cluster_name</f>
        <v>sfo-w01-tkc01</v>
      </c>
      <c r="D153" s="18" t="str">
        <f>k8s_cluster_name</f>
        <v>Value Missing</v>
      </c>
      <c r="E153" s="53"/>
    </row>
    <row r="154" spans="2:5" ht="20" customHeight="1">
      <c r="B154" s="26" t="s">
        <v>2370</v>
      </c>
      <c r="C154" s="22" t="str">
        <f>sample_gg_kub_admins_group</f>
        <v>gg-kub-admins</v>
      </c>
      <c r="D154" s="18" t="str">
        <f>group_gg_kub_admins</f>
        <v>Value Missing</v>
      </c>
      <c r="E154" s="53"/>
    </row>
    <row r="155" spans="2:5" ht="20" customHeight="1">
      <c r="B155" s="26" t="s">
        <v>2371</v>
      </c>
      <c r="C155" s="22" t="str">
        <f>sample_gg_kub_readonly_group</f>
        <v>gg-kub-readonly</v>
      </c>
      <c r="D155" s="18" t="str">
        <f>group_gg_kub_readonly</f>
        <v>Value Missing</v>
      </c>
      <c r="E155" s="53"/>
    </row>
    <row r="156" spans="2:5" ht="16" customHeight="1"/>
    <row r="157" spans="2:5" ht="34" customHeight="1">
      <c r="B157" s="427" t="s">
        <v>2374</v>
      </c>
      <c r="C157" s="428"/>
      <c r="D157" s="428"/>
      <c r="E157" s="426"/>
    </row>
    <row r="158" spans="2:5" ht="20" customHeight="1">
      <c r="B158" s="8" t="s">
        <v>735</v>
      </c>
      <c r="C158" s="8" t="s">
        <v>554</v>
      </c>
      <c r="D158" s="20" t="s">
        <v>555</v>
      </c>
      <c r="E158" s="8" t="s">
        <v>222</v>
      </c>
    </row>
    <row r="159" spans="2:5" ht="20" customHeight="1">
      <c r="B159" s="21" t="s">
        <v>1938</v>
      </c>
      <c r="C159" s="22" t="str">
        <f>IF(mgmt_consolidated_result="Included",CONCATENATE(sample_mgmt_vc_hostname,".",sample_child_dns_zone),CONCATENATE(sample_wld_vc_hostname,".",sample_child_dns_zone))</f>
        <v>sfo-w01-vc01.sfo.rainpole.io</v>
      </c>
      <c r="D159" s="18" t="str">
        <f>dri_vcenter_fqdn</f>
        <v>Value Missing.Value Missing</v>
      </c>
      <c r="E159" s="53"/>
    </row>
    <row r="160" spans="2:5" ht="20" customHeight="1">
      <c r="B160" s="26" t="s">
        <v>2369</v>
      </c>
      <c r="C160" s="22" t="str">
        <f>sample_k8s_cluster_name</f>
        <v>sfo-w01-tkc01</v>
      </c>
      <c r="D160" s="18" t="str">
        <f>k8s_cluster_name</f>
        <v>Value Missing</v>
      </c>
      <c r="E160" s="53"/>
    </row>
    <row r="161" spans="2:5" ht="20" customHeight="1">
      <c r="B161" s="26" t="s">
        <v>2375</v>
      </c>
      <c r="C161" s="22" t="str">
        <f>sample_k8s_vm_class</f>
        <v>guaranteed-small</v>
      </c>
      <c r="D161" s="18" t="str">
        <f>k8s_vm_class</f>
        <v>guaranteed-small</v>
      </c>
      <c r="E161" s="53"/>
    </row>
    <row r="162" spans="2:5" ht="16" customHeight="1"/>
    <row r="163" spans="2:5" ht="34" customHeight="1">
      <c r="B163" s="427" t="s">
        <v>2376</v>
      </c>
      <c r="C163" s="428"/>
      <c r="D163" s="428"/>
      <c r="E163" s="426"/>
    </row>
    <row r="164" spans="2:5" ht="20" customHeight="1">
      <c r="B164" s="8" t="s">
        <v>735</v>
      </c>
      <c r="C164" s="8" t="s">
        <v>554</v>
      </c>
      <c r="D164" s="20" t="s">
        <v>555</v>
      </c>
      <c r="E164" s="8" t="s">
        <v>222</v>
      </c>
    </row>
    <row r="165" spans="2:5" ht="20" customHeight="1">
      <c r="B165" s="21" t="s">
        <v>2377</v>
      </c>
      <c r="C165" s="22" t="str">
        <f>CONCATENATE(prefix_wld_k8s_cidr,1+(wld_domain_number_chosen -1)*3,".1")</f>
        <v>192.168.21.1</v>
      </c>
      <c r="D165" s="18" t="str">
        <f>dri_k8s_server_address</f>
        <v>Value Missing</v>
      </c>
      <c r="E165" s="67"/>
    </row>
    <row r="166" spans="2:5" ht="20" customHeight="1">
      <c r="B166" s="21" t="s">
        <v>2369</v>
      </c>
      <c r="C166" s="22" t="str">
        <f>sample_k8s_cluster_name</f>
        <v>sfo-w01-tkc01</v>
      </c>
      <c r="D166" s="18" t="str">
        <f>k8s_cluster_name</f>
        <v>Value Missing</v>
      </c>
      <c r="E166" s="53"/>
    </row>
    <row r="167" spans="2:5" ht="20" customHeight="1">
      <c r="B167" s="26" t="s">
        <v>2378</v>
      </c>
      <c r="C167" s="22" t="str">
        <f>sample_k8s_cluster_name</f>
        <v>sfo-w01-tkc01</v>
      </c>
      <c r="D167" s="18" t="str">
        <f>k8s_cluster_name</f>
        <v>Value Missing</v>
      </c>
      <c r="E167" s="53"/>
    </row>
    <row r="168" spans="2:5" ht="20" customHeight="1">
      <c r="B168" s="26" t="s">
        <v>2379</v>
      </c>
      <c r="C168" s="22" t="str">
        <f>sample_k8s_cluster_name</f>
        <v>sfo-w01-tkc01</v>
      </c>
      <c r="D168" s="18" t="str">
        <f>k8s_cluster_name</f>
        <v>Value Missing</v>
      </c>
      <c r="E168" s="53"/>
    </row>
    <row r="169" spans="2:5" ht="20" customHeight="1">
      <c r="B169" s="26" t="s">
        <v>2380</v>
      </c>
      <c r="C169" s="22" t="str">
        <f>sample_k8s_vcenter_storage_policy</f>
        <v>vsphere-with-tanzu-storage-policy</v>
      </c>
      <c r="D169" s="18" t="str">
        <f>k8s_vcenter_storage_policy</f>
        <v>Value Missing</v>
      </c>
      <c r="E169" s="53"/>
    </row>
    <row r="170" spans="2:5" ht="20" customHeight="1">
      <c r="B170" s="26" t="s">
        <v>2381</v>
      </c>
      <c r="C170" s="22" t="str">
        <f>sample_k8s_vm_class</f>
        <v>guaranteed-small</v>
      </c>
      <c r="D170" s="18" t="str">
        <f>k8s_vm_class</f>
        <v>guaranteed-small</v>
      </c>
      <c r="E170" s="53"/>
    </row>
    <row r="171" spans="2:5" ht="20" customHeight="1">
      <c r="B171" s="26" t="s">
        <v>2382</v>
      </c>
      <c r="C171" s="22" t="str">
        <f>sample_k8s_tanzu_k8s_cluster_service_pool_cidr</f>
        <v>198.51.100.0/12</v>
      </c>
      <c r="D171" s="18" t="str">
        <f>k8s_tanzu_k8s_cluster_service_pool_cidr</f>
        <v>Value Missing</v>
      </c>
      <c r="E171" s="67"/>
    </row>
    <row r="172" spans="2:5" ht="20" customHeight="1">
      <c r="B172" s="26" t="s">
        <v>2383</v>
      </c>
      <c r="C172" s="22" t="str">
        <f>sample_k8s_tanzu_k8s_cluster_pod_pool_cidr</f>
        <v>192.0.2.0/16</v>
      </c>
      <c r="D172" s="18" t="str">
        <f>k8s_tanzu_k8s_cluster_pod_pool_cidr</f>
        <v>Value Missing</v>
      </c>
      <c r="E172" s="67"/>
    </row>
  </sheetData>
  <sheetProtection algorithmName="SHA-512" hashValue="8ZS4EK+pi0ADCPf1KrtBj8a6YBx54QT3A/zyp8eP3VoCZ+QkRu1rZhf0hkxBhmeM9ODdq5KluaFjEvfrFanFTg==" saltValue="Vj9qZhc2cSuxkipLxa0ooA==" spinCount="100000" sheet="1" objects="1" scenarios="1"/>
  <mergeCells count="28">
    <mergeCell ref="D2:E2"/>
    <mergeCell ref="B18:E18"/>
    <mergeCell ref="B31:E31"/>
    <mergeCell ref="B2:C2"/>
    <mergeCell ref="B3:E3"/>
    <mergeCell ref="B10:E10"/>
    <mergeCell ref="B8:E8"/>
    <mergeCell ref="B38:E38"/>
    <mergeCell ref="B143:E143"/>
    <mergeCell ref="B163:E163"/>
    <mergeCell ref="B62:E62"/>
    <mergeCell ref="B93:E93"/>
    <mergeCell ref="B106:E106"/>
    <mergeCell ref="B112:E112"/>
    <mergeCell ref="B119:E119"/>
    <mergeCell ref="B150:E150"/>
    <mergeCell ref="B157:E157"/>
    <mergeCell ref="B126:E126"/>
    <mergeCell ref="B138:E138"/>
    <mergeCell ref="B140:E140"/>
    <mergeCell ref="B132:E132"/>
    <mergeCell ref="B75:E75"/>
    <mergeCell ref="B83:E83"/>
    <mergeCell ref="B47:E47"/>
    <mergeCell ref="B55:E55"/>
    <mergeCell ref="B66:E66"/>
    <mergeCell ref="B68:E68"/>
    <mergeCell ref="B71:E71"/>
  </mergeCells>
  <conditionalFormatting sqref="B8:E8 B10:E16 B18:E29 B31:E36 B38:E45 B47:E53 B55:E60 B62:E65 B66 B67:E67 B68 B69:E70 B71 B72:E74 B75 B76:E82 B83 B84:E91 B93:E104 B106:E110 B112:E117 B119:E124 B132:E136 B143:E148 B150:E155 B157:E161 B163:E172">
    <cfRule type="expression" dxfId="1207" priority="4">
      <formula>developer_ready_result="Excluded"</formula>
    </cfRule>
  </conditionalFormatting>
  <conditionalFormatting sqref="B126:E130 B138:E141">
    <cfRule type="expression" dxfId="1206" priority="1">
      <formula>developer_ready_result="Excluded"</formula>
    </cfRule>
  </conditionalFormatting>
  <conditionalFormatting sqref="C5">
    <cfRule type="expression" dxfId="1205" priority="108">
      <formula>intelligent_logging_result="Excluded"</formula>
    </cfRule>
    <cfRule type="expression" dxfId="1204" priority="106">
      <formula>developer_ready_result="Excluded"</formula>
    </cfRule>
  </conditionalFormatting>
  <hyperlinks>
    <hyperlink ref="C5" location="'Developer Ready Infrastructure'!navigation_dri_implementation" display="Implementation" xr:uid="{00000000-0004-0000-1100-000000000000}"/>
    <hyperlink ref="B5" location="'Deployment Options'!H50" display="Section Navigation (Click to Navigate)" xr:uid="{7B3A1A94-1665-3243-B275-718605C95B71}"/>
  </hyperlinks>
  <pageMargins left="0.7" right="0.7" top="0.75" bottom="0.75" header="0.3" footer="0.3"/>
  <pageSetup paperSize="9" orientation="portrait" horizontalDpi="0" verticalDpi="0"/>
  <ignoredErrors>
    <ignoredError sqref="D27" formula="1"/>
  </ignoredErrors>
  <drawing r:id="rId1"/>
  <extLst>
    <ext xmlns:x14="http://schemas.microsoft.com/office/spreadsheetml/2009/9/main" uri="{78C0D931-6437-407d-A8EE-F0AAD7539E65}">
      <x14:conditionalFormattings>
        <x14:conditionalFormatting xmlns:xm="http://schemas.microsoft.com/office/excel/2006/main">
          <x14:cfRule type="containsText" priority="203" operator="containsText" id="{E4C4DE6C-40EB-E446-8787-FA3B63323EF2}">
            <xm:f>NOT(ISERROR(SEARCH("Value Missing",D12)))</xm:f>
            <xm:f>"Value Missing"</xm:f>
            <x14:dxf>
              <font>
                <color rgb="FF9C0006"/>
              </font>
              <fill>
                <patternFill>
                  <bgColor rgb="FFFFC7CE"/>
                </patternFill>
              </fill>
            </x14:dxf>
          </x14:cfRule>
          <x14:cfRule type="notContainsText" priority="202" operator="notContains" id="{3D862940-38FF-7642-B57F-1A4F19BE895B}">
            <xm:f>ISERROR(SEARCH("Value Missing",D12))</xm:f>
            <xm:f>"Value Missing"</xm:f>
            <x14:dxf>
              <font>
                <color rgb="FF006100"/>
              </font>
              <fill>
                <patternFill>
                  <bgColor rgb="FFC6EFCE"/>
                </patternFill>
              </fill>
            </x14:dxf>
          </x14:cfRule>
          <xm:sqref>D12:D16</xm:sqref>
        </x14:conditionalFormatting>
        <x14:conditionalFormatting xmlns:xm="http://schemas.microsoft.com/office/excel/2006/main">
          <x14:cfRule type="containsText" priority="131" operator="containsText" id="{A488DFB6-6B68-754A-953E-5D012AA665E1}">
            <xm:f>NOT(ISERROR(SEARCH("Value Missing",D20)))</xm:f>
            <xm:f>"Value Missing"</xm:f>
            <x14:dxf>
              <font>
                <color rgb="FF9C0006"/>
              </font>
              <fill>
                <patternFill>
                  <bgColor rgb="FFFFC7CE"/>
                </patternFill>
              </fill>
            </x14:dxf>
          </x14:cfRule>
          <x14:cfRule type="notContainsText" priority="130" operator="notContains" id="{D8E4879D-8356-F34D-80A2-03E7B464360B}">
            <xm:f>ISERROR(SEARCH("Value Missing",D20))</xm:f>
            <xm:f>"Value Missing"</xm:f>
            <x14:dxf>
              <font>
                <color rgb="FF006100"/>
              </font>
              <fill>
                <patternFill>
                  <bgColor rgb="FFC6EFCE"/>
                </patternFill>
              </fill>
            </x14:dxf>
          </x14:cfRule>
          <xm:sqref>D20:D29</xm:sqref>
        </x14:conditionalFormatting>
        <x14:conditionalFormatting xmlns:xm="http://schemas.microsoft.com/office/excel/2006/main">
          <x14:cfRule type="containsText" priority="765" operator="containsText" id="{6870EC9D-40F5-874F-9C1C-B73B0C860BE9}">
            <xm:f>NOT(ISERROR(SEARCH("Value Missing",D33)))</xm:f>
            <xm:f>"Value Missing"</xm:f>
            <x14:dxf>
              <font>
                <color rgb="FF9C0006"/>
              </font>
              <fill>
                <patternFill>
                  <bgColor rgb="FFFFC7CE"/>
                </patternFill>
              </fill>
            </x14:dxf>
          </x14:cfRule>
          <x14:cfRule type="notContainsText" priority="764" operator="notContains" id="{53A34D9B-0907-C541-AB8B-D83D09388269}">
            <xm:f>ISERROR(SEARCH("Value Missing",D33))</xm:f>
            <xm:f>"Value Missing"</xm:f>
            <x14:dxf>
              <font>
                <color rgb="FF006100"/>
              </font>
              <fill>
                <patternFill>
                  <bgColor rgb="FFC6EFCE"/>
                </patternFill>
              </fill>
            </x14:dxf>
          </x14:cfRule>
          <xm:sqref>D33:D36</xm:sqref>
        </x14:conditionalFormatting>
        <x14:conditionalFormatting xmlns:xm="http://schemas.microsoft.com/office/excel/2006/main">
          <x14:cfRule type="containsText" priority="699" operator="containsText" id="{0C2B195F-AC87-CE4E-B157-B9A0B762A03D}">
            <xm:f>NOT(ISERROR(SEARCH("Value Missing",D40)))</xm:f>
            <xm:f>"Value Missing"</xm:f>
            <x14:dxf>
              <font>
                <color rgb="FF9C0006"/>
              </font>
              <fill>
                <patternFill>
                  <bgColor rgb="FFFFC7CE"/>
                </patternFill>
              </fill>
            </x14:dxf>
          </x14:cfRule>
          <x14:cfRule type="notContainsText" priority="698" operator="notContains" id="{A74BACEF-25C3-994C-BA5B-E078AB477268}">
            <xm:f>ISERROR(SEARCH("Value Missing",D40))</xm:f>
            <xm:f>"Value Missing"</xm:f>
            <x14:dxf>
              <font>
                <color rgb="FF006100"/>
              </font>
              <fill>
                <patternFill>
                  <bgColor rgb="FFC6EFCE"/>
                </patternFill>
              </fill>
            </x14:dxf>
          </x14:cfRule>
          <xm:sqref>D40:D45</xm:sqref>
        </x14:conditionalFormatting>
        <x14:conditionalFormatting xmlns:xm="http://schemas.microsoft.com/office/excel/2006/main">
          <x14:cfRule type="containsText" priority="613" operator="containsText" id="{EB6BE47E-1EC4-074B-838A-1FDFD03F7691}">
            <xm:f>NOT(ISERROR(SEARCH("Value Missing",D49)))</xm:f>
            <xm:f>"Value Missing"</xm:f>
            <x14:dxf>
              <font>
                <color rgb="FF9C0006"/>
              </font>
              <fill>
                <patternFill>
                  <bgColor rgb="FFFFC7CE"/>
                </patternFill>
              </fill>
            </x14:dxf>
          </x14:cfRule>
          <x14:cfRule type="notContainsText" priority="612" operator="notContains" id="{3D444935-D477-1246-9903-680A4A474B79}">
            <xm:f>ISERROR(SEARCH("Value Missing",D49))</xm:f>
            <xm:f>"Value Missing"</xm:f>
            <x14:dxf>
              <font>
                <color rgb="FF006100"/>
              </font>
              <fill>
                <patternFill>
                  <bgColor rgb="FFC6EFCE"/>
                </patternFill>
              </fill>
            </x14:dxf>
          </x14:cfRule>
          <xm:sqref>D49:D53</xm:sqref>
        </x14:conditionalFormatting>
        <x14:conditionalFormatting xmlns:xm="http://schemas.microsoft.com/office/excel/2006/main">
          <x14:cfRule type="containsText" priority="611" operator="containsText" id="{EA496148-6472-DE43-933E-C458A769F64D}">
            <xm:f>NOT(ISERROR(SEARCH("Value Missing",D57)))</xm:f>
            <xm:f>"Value Missing"</xm:f>
            <x14:dxf>
              <font>
                <color rgb="FF9C0006"/>
              </font>
              <fill>
                <patternFill>
                  <bgColor rgb="FFFFC7CE"/>
                </patternFill>
              </fill>
            </x14:dxf>
          </x14:cfRule>
          <x14:cfRule type="notContainsText" priority="610" operator="notContains" id="{3C23F19B-265F-844D-8983-BFE302E19A61}">
            <xm:f>ISERROR(SEARCH("Value Missing",D57))</xm:f>
            <xm:f>"Value Missing"</xm:f>
            <x14:dxf>
              <font>
                <color rgb="FF006100"/>
              </font>
              <fill>
                <patternFill>
                  <bgColor rgb="FFC6EFCE"/>
                </patternFill>
              </fill>
            </x14:dxf>
          </x14:cfRule>
          <xm:sqref>D57:D60</xm:sqref>
        </x14:conditionalFormatting>
        <x14:conditionalFormatting xmlns:xm="http://schemas.microsoft.com/office/excel/2006/main">
          <x14:cfRule type="containsText" priority="573" operator="containsText" id="{45AD4445-2DFB-644F-A0BD-F97982BFCEEA}">
            <xm:f>NOT(ISERROR(SEARCH("Value Missing",D64)))</xm:f>
            <xm:f>"Value Missing"</xm:f>
            <x14:dxf>
              <font>
                <color rgb="FF9C0006"/>
              </font>
              <fill>
                <patternFill>
                  <bgColor rgb="FFFFC7CE"/>
                </patternFill>
              </fill>
            </x14:dxf>
          </x14:cfRule>
          <x14:cfRule type="notContainsText" priority="572" operator="notContains" id="{F104E5AB-D0DC-3743-9E09-4CE5E1E38B8A}">
            <xm:f>ISERROR(SEARCH("Value Missing",D64))</xm:f>
            <xm:f>"Value Missing"</xm:f>
            <x14:dxf>
              <font>
                <color rgb="FF006100"/>
              </font>
              <fill>
                <patternFill>
                  <bgColor rgb="FFC6EFCE"/>
                </patternFill>
              </fill>
            </x14:dxf>
          </x14:cfRule>
          <xm:sqref>D64</xm:sqref>
        </x14:conditionalFormatting>
        <x14:conditionalFormatting xmlns:xm="http://schemas.microsoft.com/office/excel/2006/main">
          <x14:cfRule type="containsText" priority="575" operator="containsText" id="{187DCBA8-4012-9B46-8624-3FEE19D9925F}">
            <xm:f>NOT(ISERROR(SEARCH("Value Missing",D64)))</xm:f>
            <xm:f>"Value Missing"</xm:f>
            <x14:dxf>
              <font>
                <color rgb="FF9C0006"/>
              </font>
              <fill>
                <patternFill>
                  <bgColor rgb="FFFFC7CE"/>
                </patternFill>
              </fill>
            </x14:dxf>
          </x14:cfRule>
          <x14:cfRule type="notContainsText" priority="574" operator="notContains" id="{73E382EC-F1EE-F748-A655-45F8AE2DE71B}">
            <xm:f>ISERROR(SEARCH("Value Missing",D64))</xm:f>
            <xm:f>"Value Missing"</xm:f>
            <x14:dxf>
              <font>
                <color rgb="FF006100"/>
              </font>
              <fill>
                <patternFill>
                  <bgColor rgb="FFC6EFCE"/>
                </patternFill>
              </fill>
            </x14:dxf>
          </x14:cfRule>
          <xm:sqref>D64:D65</xm:sqref>
        </x14:conditionalFormatting>
        <x14:conditionalFormatting xmlns:xm="http://schemas.microsoft.com/office/excel/2006/main">
          <x14:cfRule type="containsText" priority="533" operator="containsText" id="{5992FBBE-A087-0745-99F2-F319D9989509}">
            <xm:f>NOT(ISERROR(SEARCH("Value Missing",D67)))</xm:f>
            <xm:f>"Value Missing"</xm:f>
            <x14:dxf>
              <font>
                <color rgb="FF9C0006"/>
              </font>
              <fill>
                <patternFill>
                  <bgColor rgb="FFFFC7CE"/>
                </patternFill>
              </fill>
            </x14:dxf>
          </x14:cfRule>
          <x14:cfRule type="notContainsText" priority="532" operator="notContains" id="{39C1428A-9353-7447-8786-190FEB406A6C}">
            <xm:f>ISERROR(SEARCH("Value Missing",D67))</xm:f>
            <xm:f>"Value Missing"</xm:f>
            <x14:dxf>
              <font>
                <color rgb="FF006100"/>
              </font>
              <fill>
                <patternFill>
                  <bgColor rgb="FFC6EFCE"/>
                </patternFill>
              </fill>
            </x14:dxf>
          </x14:cfRule>
          <xm:sqref>D67 D69:D70 D72:D74 D76:D82 D84:D91</xm:sqref>
        </x14:conditionalFormatting>
        <x14:conditionalFormatting xmlns:xm="http://schemas.microsoft.com/office/excel/2006/main">
          <x14:cfRule type="containsText" priority="547" operator="containsText" id="{8C963222-CF73-D44D-9BF3-34057E65D07B}">
            <xm:f>NOT(ISERROR(SEARCH("Value Missing",D88)))</xm:f>
            <xm:f>"Value Missing"</xm:f>
            <x14:dxf>
              <font>
                <color rgb="FF9C0006"/>
              </font>
              <fill>
                <patternFill>
                  <bgColor rgb="FFFFC7CE"/>
                </patternFill>
              </fill>
            </x14:dxf>
          </x14:cfRule>
          <x14:cfRule type="notContainsText" priority="546" operator="notContains" id="{97DB2FED-26EC-E149-A814-673B4D2BE2CB}">
            <xm:f>ISERROR(SEARCH("Value Missing",D88))</xm:f>
            <xm:f>"Value Missing"</xm:f>
            <x14:dxf>
              <font>
                <color rgb="FF006100"/>
              </font>
              <fill>
                <patternFill>
                  <bgColor rgb="FFC6EFCE"/>
                </patternFill>
              </fill>
            </x14:dxf>
          </x14:cfRule>
          <xm:sqref>D88</xm:sqref>
        </x14:conditionalFormatting>
        <x14:conditionalFormatting xmlns:xm="http://schemas.microsoft.com/office/excel/2006/main">
          <x14:cfRule type="containsText" priority="427" operator="containsText" id="{AE82D810-BF6A-9D48-83A8-C3993EA8D52A}">
            <xm:f>NOT(ISERROR(SEARCH("Value Missing",D95)))</xm:f>
            <xm:f>"Value Missing"</xm:f>
            <x14:dxf>
              <font>
                <color rgb="FF9C0006"/>
              </font>
              <fill>
                <patternFill>
                  <bgColor rgb="FFFFC7CE"/>
                </patternFill>
              </fill>
            </x14:dxf>
          </x14:cfRule>
          <x14:cfRule type="notContainsText" priority="426" operator="notContains" id="{2257071D-3A60-C244-8741-199F9852D783}">
            <xm:f>ISERROR(SEARCH("Value Missing",D95))</xm:f>
            <xm:f>"Value Missing"</xm:f>
            <x14:dxf>
              <font>
                <color rgb="FF006100"/>
              </font>
              <fill>
                <patternFill>
                  <bgColor rgb="FFC6EFCE"/>
                </patternFill>
              </fill>
            </x14:dxf>
          </x14:cfRule>
          <xm:sqref>D95:D104</xm:sqref>
        </x14:conditionalFormatting>
        <x14:conditionalFormatting xmlns:xm="http://schemas.microsoft.com/office/excel/2006/main">
          <x14:cfRule type="notContainsText" priority="400" operator="notContains" id="{78FA4E7C-6085-AE43-8BB7-B3243CAF1FC3}">
            <xm:f>ISERROR(SEARCH("Value Missing",D108))</xm:f>
            <xm:f>"Value Missing"</xm:f>
            <x14:dxf>
              <font>
                <color rgb="FF006100"/>
              </font>
              <fill>
                <patternFill>
                  <bgColor rgb="FFC6EFCE"/>
                </patternFill>
              </fill>
            </x14:dxf>
          </x14:cfRule>
          <x14:cfRule type="containsText" priority="401" operator="containsText" id="{94EE3FC7-080F-C841-B74A-A178BA683CF4}">
            <xm:f>NOT(ISERROR(SEARCH("Value Missing",D108)))</xm:f>
            <xm:f>"Value Missing"</xm:f>
            <x14:dxf>
              <font>
                <color rgb="FF9C0006"/>
              </font>
              <fill>
                <patternFill>
                  <bgColor rgb="FFFFC7CE"/>
                </patternFill>
              </fill>
            </x14:dxf>
          </x14:cfRule>
          <xm:sqref>D108</xm:sqref>
        </x14:conditionalFormatting>
        <x14:conditionalFormatting xmlns:xm="http://schemas.microsoft.com/office/excel/2006/main">
          <x14:cfRule type="notContainsText" priority="402" operator="notContains" id="{056BB31B-05C5-754A-B4DB-110F2CA59CC3}">
            <xm:f>ISERROR(SEARCH("Value Missing",D108))</xm:f>
            <xm:f>"Value Missing"</xm:f>
            <x14:dxf>
              <font>
                <color rgb="FF006100"/>
              </font>
              <fill>
                <patternFill>
                  <bgColor rgb="FFC6EFCE"/>
                </patternFill>
              </fill>
            </x14:dxf>
          </x14:cfRule>
          <x14:cfRule type="containsText" priority="403" operator="containsText" id="{843DC21E-94DC-7B41-90A3-7D601FF2C716}">
            <xm:f>NOT(ISERROR(SEARCH("Value Missing",D108)))</xm:f>
            <xm:f>"Value Missing"</xm:f>
            <x14:dxf>
              <font>
                <color rgb="FF9C0006"/>
              </font>
              <fill>
                <patternFill>
                  <bgColor rgb="FFFFC7CE"/>
                </patternFill>
              </fill>
            </x14:dxf>
          </x14:cfRule>
          <xm:sqref>D108:D109</xm:sqref>
        </x14:conditionalFormatting>
        <x14:conditionalFormatting xmlns:xm="http://schemas.microsoft.com/office/excel/2006/main">
          <x14:cfRule type="notContainsText" priority="398" operator="notContains" id="{D1EB4D4F-1C7E-DA46-AC0D-E712F23ABDAF}">
            <xm:f>ISERROR(SEARCH("Value Missing",D110))</xm:f>
            <xm:f>"Value Missing"</xm:f>
            <x14:dxf>
              <font>
                <color rgb="FF006100"/>
              </font>
              <fill>
                <patternFill>
                  <bgColor rgb="FFC6EFCE"/>
                </patternFill>
              </fill>
            </x14:dxf>
          </x14:cfRule>
          <x14:cfRule type="containsText" priority="399" operator="containsText" id="{E2B20B04-5A7F-AE44-AFB7-FC6E2C6AD688}">
            <xm:f>NOT(ISERROR(SEARCH("Value Missing",D110)))</xm:f>
            <xm:f>"Value Missing"</xm:f>
            <x14:dxf>
              <font>
                <color rgb="FF9C0006"/>
              </font>
              <fill>
                <patternFill>
                  <bgColor rgb="FFFFC7CE"/>
                </patternFill>
              </fill>
            </x14:dxf>
          </x14:cfRule>
          <xm:sqref>D110</xm:sqref>
        </x14:conditionalFormatting>
        <x14:conditionalFormatting xmlns:xm="http://schemas.microsoft.com/office/excel/2006/main">
          <x14:cfRule type="containsText" priority="371" operator="containsText" id="{05BBC6C0-EC1F-C44C-8E0A-627E44F23806}">
            <xm:f>NOT(ISERROR(SEARCH("Value Missing",D114)))</xm:f>
            <xm:f>"Value Missing"</xm:f>
            <x14:dxf>
              <font>
                <color rgb="FF9C0006"/>
              </font>
              <fill>
                <patternFill>
                  <bgColor rgb="FFFFC7CE"/>
                </patternFill>
              </fill>
            </x14:dxf>
          </x14:cfRule>
          <x14:cfRule type="notContainsText" priority="370" operator="notContains" id="{ACDD55E5-AE00-274B-8604-11CDE8DFAAFA}">
            <xm:f>ISERROR(SEARCH("Value Missing",D114))</xm:f>
            <xm:f>"Value Missing"</xm:f>
            <x14:dxf>
              <font>
                <color rgb="FF006100"/>
              </font>
              <fill>
                <patternFill>
                  <bgColor rgb="FFC6EFCE"/>
                </patternFill>
              </fill>
            </x14:dxf>
          </x14:cfRule>
          <xm:sqref>D114:D117</xm:sqref>
        </x14:conditionalFormatting>
        <x14:conditionalFormatting xmlns:xm="http://schemas.microsoft.com/office/excel/2006/main">
          <x14:cfRule type="containsText" priority="173" operator="containsText" id="{B13C8A29-B8F4-B143-83E0-EAC1DF6EEE8B}">
            <xm:f>NOT(ISERROR(SEARCH("Value Missing",D121)))</xm:f>
            <xm:f>"Value Missing"</xm:f>
            <x14:dxf>
              <font>
                <color rgb="FF9C0006"/>
              </font>
              <fill>
                <patternFill>
                  <bgColor rgb="FFFFC7CE"/>
                </patternFill>
              </fill>
            </x14:dxf>
          </x14:cfRule>
          <x14:cfRule type="notContainsText" priority="172" operator="notContains" id="{501C1CA7-BDCF-7744-994C-DE080ABE9E68}">
            <xm:f>ISERROR(SEARCH("Value Missing",D121))</xm:f>
            <xm:f>"Value Missing"</xm:f>
            <x14:dxf>
              <font>
                <color rgb="FF006100"/>
              </font>
              <fill>
                <patternFill>
                  <bgColor rgb="FFC6EFCE"/>
                </patternFill>
              </fill>
            </x14:dxf>
          </x14:cfRule>
          <xm:sqref>D121:D124</xm:sqref>
        </x14:conditionalFormatting>
        <x14:conditionalFormatting xmlns:xm="http://schemas.microsoft.com/office/excel/2006/main">
          <x14:cfRule type="containsText" priority="8" operator="containsText" id="{E19F9779-B6BC-D44A-9377-B682FB54055A}">
            <xm:f>NOT(ISERROR(SEARCH("Value Missing",D128)))</xm:f>
            <xm:f>"Value Missing"</xm:f>
            <x14:dxf>
              <font>
                <color rgb="FF9C0006"/>
              </font>
              <fill>
                <patternFill>
                  <bgColor rgb="FFFFC7CE"/>
                </patternFill>
              </fill>
            </x14:dxf>
          </x14:cfRule>
          <xm:sqref>D128:D130 D132:D136</xm:sqref>
        </x14:conditionalFormatting>
        <x14:conditionalFormatting xmlns:xm="http://schemas.microsoft.com/office/excel/2006/main">
          <x14:cfRule type="notContainsText" priority="9" operator="notContains" id="{ED4D428F-6B8F-424E-B9C3-BE97E320A401}">
            <xm:f>ISERROR(SEARCH("Value Missing",D134))</xm:f>
            <xm:f>"Value Missing"</xm:f>
            <x14:dxf>
              <font>
                <color rgb="FF006100"/>
              </font>
              <fill>
                <patternFill>
                  <bgColor rgb="FFC6EFCE"/>
                </patternFill>
              </fill>
            </x14:dxf>
          </x14:cfRule>
          <x14:cfRule type="containsText" priority="107" operator="containsText" id="{7A66C02C-AFD7-5B4A-913D-A8B46B452F22}">
            <xm:f>NOT(ISERROR(SEARCH("Value Missing",D134)))</xm:f>
            <xm:f>"Value Missing"</xm:f>
            <x14:dxf>
              <font>
                <color rgb="FF9C0006"/>
              </font>
              <fill>
                <patternFill>
                  <bgColor rgb="FFFFC7CE"/>
                </patternFill>
              </fill>
            </x14:dxf>
          </x14:cfRule>
          <xm:sqref>D134:D136</xm:sqref>
        </x14:conditionalFormatting>
        <x14:conditionalFormatting xmlns:xm="http://schemas.microsoft.com/office/excel/2006/main">
          <x14:cfRule type="notContainsText" priority="7" operator="notContains" id="{1BDBFA4A-086C-7445-A35F-5E5C24A4FA91}">
            <xm:f>ISERROR(SEARCH("Value Missing",D128))</xm:f>
            <xm:f>"Value Missing"</xm:f>
            <x14:dxf>
              <font>
                <color rgb="FF006100"/>
              </font>
              <fill>
                <patternFill>
                  <bgColor rgb="FFC6EFCE"/>
                </patternFill>
              </fill>
            </x14:dxf>
          </x14:cfRule>
          <xm:sqref>D138:D141 D132:D136 D128:D130</xm:sqref>
        </x14:conditionalFormatting>
        <x14:conditionalFormatting xmlns:xm="http://schemas.microsoft.com/office/excel/2006/main">
          <x14:cfRule type="containsText" priority="6" operator="containsText" id="{499E95FC-BF53-A04D-AEA8-F36603A7FD26}">
            <xm:f>NOT(ISERROR(SEARCH("Value Missing",D138)))</xm:f>
            <xm:f>"Value Missing"</xm:f>
            <x14:dxf>
              <font>
                <color rgb="FF9C0006"/>
              </font>
              <fill>
                <patternFill>
                  <bgColor rgb="FFFFC7CE"/>
                </patternFill>
              </fill>
            </x14:dxf>
          </x14:cfRule>
          <xm:sqref>D138:D141</xm:sqref>
        </x14:conditionalFormatting>
        <x14:conditionalFormatting xmlns:xm="http://schemas.microsoft.com/office/excel/2006/main">
          <x14:cfRule type="containsText" priority="271" operator="containsText" id="{D5AFDF33-8904-5442-8D2F-E2A254D81604}">
            <xm:f>NOT(ISERROR(SEARCH("Value Missing",D145)))</xm:f>
            <xm:f>"Value Missing"</xm:f>
            <x14:dxf>
              <font>
                <color rgb="FF9C0006"/>
              </font>
              <fill>
                <patternFill>
                  <bgColor rgb="FFFFC7CE"/>
                </patternFill>
              </fill>
            </x14:dxf>
          </x14:cfRule>
          <x14:cfRule type="notContainsText" priority="270" operator="notContains" id="{5D12AFFF-0DD3-BE42-B964-656BC56B2E44}">
            <xm:f>ISERROR(SEARCH("Value Missing",D145))</xm:f>
            <xm:f>"Value Missing"</xm:f>
            <x14:dxf>
              <font>
                <color rgb="FF006100"/>
              </font>
              <fill>
                <patternFill>
                  <bgColor rgb="FFC6EFCE"/>
                </patternFill>
              </fill>
            </x14:dxf>
          </x14:cfRule>
          <xm:sqref>D145:D148</xm:sqref>
        </x14:conditionalFormatting>
        <x14:conditionalFormatting xmlns:xm="http://schemas.microsoft.com/office/excel/2006/main">
          <x14:cfRule type="containsText" priority="143" operator="containsText" id="{695905A5-7B42-024F-94EE-F69B6BE3D612}">
            <xm:f>NOT(ISERROR(SEARCH("Value Missing",D152)))</xm:f>
            <xm:f>"Value Missing"</xm:f>
            <x14:dxf>
              <font>
                <color rgb="FF9C0006"/>
              </font>
              <fill>
                <patternFill>
                  <bgColor rgb="FFFFC7CE"/>
                </patternFill>
              </fill>
            </x14:dxf>
          </x14:cfRule>
          <x14:cfRule type="notContainsText" priority="142" operator="notContains" id="{76199874-C479-6A45-957B-0673F0F6CDE4}">
            <xm:f>ISERROR(SEARCH("Value Missing",D152))</xm:f>
            <xm:f>"Value Missing"</xm:f>
            <x14:dxf>
              <font>
                <color rgb="FF006100"/>
              </font>
              <fill>
                <patternFill>
                  <bgColor rgb="FFC6EFCE"/>
                </patternFill>
              </fill>
            </x14:dxf>
          </x14:cfRule>
          <xm:sqref>D152:D155</xm:sqref>
        </x14:conditionalFormatting>
        <x14:conditionalFormatting xmlns:xm="http://schemas.microsoft.com/office/excel/2006/main">
          <x14:cfRule type="containsText" priority="129" operator="containsText" id="{B6D847E2-620E-F44A-A36E-EE890101C70D}">
            <xm:f>NOT(ISERROR(SEARCH("Value Missing",D159)))</xm:f>
            <xm:f>"Value Missing"</xm:f>
            <x14:dxf>
              <font>
                <color rgb="FF9C0006"/>
              </font>
              <fill>
                <patternFill>
                  <bgColor rgb="FFFFC7CE"/>
                </patternFill>
              </fill>
            </x14:dxf>
          </x14:cfRule>
          <x14:cfRule type="notContainsText" priority="128" operator="notContains" id="{A3D718F5-F685-A745-96F5-A06774891CBC}">
            <xm:f>ISERROR(SEARCH("Value Missing",D159))</xm:f>
            <xm:f>"Value Missing"</xm:f>
            <x14:dxf>
              <font>
                <color rgb="FF006100"/>
              </font>
              <fill>
                <patternFill>
                  <bgColor rgb="FFC6EFCE"/>
                </patternFill>
              </fill>
            </x14:dxf>
          </x14:cfRule>
          <xm:sqref>D159:D161</xm:sqref>
        </x14:conditionalFormatting>
        <x14:conditionalFormatting xmlns:xm="http://schemas.microsoft.com/office/excel/2006/main">
          <x14:cfRule type="containsText" priority="127" operator="containsText" id="{38636A5F-8A0A-5D4F-B359-9A97796C0E8B}">
            <xm:f>NOT(ISERROR(SEARCH("Value Missing",D165)))</xm:f>
            <xm:f>"Value Missing"</xm:f>
            <x14:dxf>
              <font>
                <color rgb="FF9C0006"/>
              </font>
              <fill>
                <patternFill>
                  <bgColor rgb="FFFFC7CE"/>
                </patternFill>
              </fill>
            </x14:dxf>
          </x14:cfRule>
          <x14:cfRule type="notContainsText" priority="126" operator="notContains" id="{1C6E8719-B443-4849-B204-AB2E597F123F}">
            <xm:f>ISERROR(SEARCH("Value Missing",D165))</xm:f>
            <xm:f>"Value Missing"</xm:f>
            <x14:dxf>
              <font>
                <color rgb="FF006100"/>
              </font>
              <fill>
                <patternFill>
                  <bgColor rgb="FFC6EFCE"/>
                </patternFill>
              </fill>
            </x14:dxf>
          </x14:cfRule>
          <xm:sqref>D165:D172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0A0CE-74CA-9C42-9BF3-FA4473EE1FE2}">
  <sheetPr codeName="Sheet1">
    <tabColor theme="3"/>
  </sheetPr>
  <dimension ref="A1:O69"/>
  <sheetViews>
    <sheetView showGridLines="0" tabSelected="1" zoomScaleNormal="100" workbookViewId="0">
      <pane ySplit="4" topLeftCell="A5" activePane="bottomLeft" state="frozen"/>
      <selection pane="bottomLeft"/>
    </sheetView>
  </sheetViews>
  <sheetFormatPr baseColWidth="10" defaultColWidth="10.83203125" defaultRowHeight="16"/>
  <cols>
    <col min="1" max="1" width="2.83203125" style="3" customWidth="1"/>
    <col min="2" max="2" width="14" style="3" customWidth="1"/>
    <col min="3" max="3" width="13" style="7" bestFit="1" customWidth="1"/>
    <col min="4" max="4" width="65.83203125" style="5" customWidth="1"/>
    <col min="5" max="5" width="99.5" style="5" customWidth="1"/>
    <col min="6" max="6" width="10.83203125" style="3" customWidth="1"/>
    <col min="7" max="16384" width="10.83203125" style="3"/>
  </cols>
  <sheetData>
    <row r="1" spans="1:14" ht="16" customHeight="1">
      <c r="A1" s="6"/>
      <c r="C1" s="3"/>
      <c r="D1" s="3"/>
      <c r="E1" s="3"/>
    </row>
    <row r="2" spans="1:14" ht="54" customHeight="1">
      <c r="B2" s="392" t="s">
        <v>80</v>
      </c>
      <c r="C2" s="392"/>
      <c r="D2" s="392"/>
      <c r="E2" s="392"/>
      <c r="F2" s="392"/>
      <c r="G2" s="392"/>
      <c r="H2" s="392"/>
      <c r="I2" s="392"/>
      <c r="J2" s="392"/>
      <c r="K2" s="392"/>
      <c r="L2" s="392"/>
      <c r="M2" s="9"/>
      <c r="N2" s="9"/>
    </row>
    <row r="3" spans="1:14" ht="20" customHeight="1">
      <c r="B3" s="393" t="s">
        <v>81</v>
      </c>
      <c r="C3" s="393"/>
      <c r="D3" s="393"/>
      <c r="E3" s="393"/>
      <c r="F3" s="393"/>
      <c r="G3" s="393"/>
      <c r="H3" s="393"/>
      <c r="I3" s="393"/>
      <c r="J3" s="393"/>
      <c r="K3" s="393"/>
      <c r="L3" s="393"/>
      <c r="M3" s="10"/>
      <c r="N3" s="10"/>
    </row>
    <row r="6" spans="1:14" s="4" customFormat="1" ht="34" customHeight="1">
      <c r="B6" s="344" t="s">
        <v>82</v>
      </c>
      <c r="C6" s="344"/>
      <c r="D6" s="344"/>
      <c r="E6" s="344"/>
      <c r="F6" s="344"/>
      <c r="G6" s="344"/>
      <c r="H6" s="344"/>
      <c r="I6" s="344"/>
      <c r="J6" s="344"/>
      <c r="K6" s="344"/>
      <c r="L6" s="344"/>
    </row>
    <row r="7" spans="1:14" ht="17">
      <c r="B7" s="8" t="s">
        <v>83</v>
      </c>
      <c r="C7" s="1" t="s">
        <v>84</v>
      </c>
      <c r="D7" s="345" t="s">
        <v>85</v>
      </c>
      <c r="E7" s="345"/>
      <c r="F7" s="345"/>
      <c r="G7" s="345"/>
      <c r="H7" s="345"/>
      <c r="I7" s="345"/>
      <c r="J7" s="345"/>
      <c r="K7" s="345"/>
      <c r="L7" s="345"/>
    </row>
    <row r="8" spans="1:14" ht="162" customHeight="1">
      <c r="B8" s="295" t="s">
        <v>5166</v>
      </c>
      <c r="C8" s="296" t="s">
        <v>5167</v>
      </c>
      <c r="D8" s="394" t="s">
        <v>5169</v>
      </c>
      <c r="E8" s="395"/>
      <c r="F8" s="395"/>
      <c r="G8" s="395"/>
      <c r="H8" s="395"/>
      <c r="I8" s="395"/>
      <c r="J8" s="395"/>
      <c r="K8" s="395"/>
      <c r="L8" s="396"/>
    </row>
    <row r="9" spans="1:14" ht="68" customHeight="1">
      <c r="B9" s="295" t="s">
        <v>4940</v>
      </c>
      <c r="C9" s="296" t="s">
        <v>4943</v>
      </c>
      <c r="D9" s="394" t="s">
        <v>4944</v>
      </c>
      <c r="E9" s="395"/>
      <c r="F9" s="395"/>
      <c r="G9" s="395"/>
      <c r="H9" s="395"/>
      <c r="I9" s="395"/>
      <c r="J9" s="395"/>
      <c r="K9" s="395"/>
      <c r="L9" s="396"/>
    </row>
    <row r="10" spans="1:14" ht="17">
      <c r="B10" s="295" t="s">
        <v>4937</v>
      </c>
      <c r="C10" s="296" t="s">
        <v>4938</v>
      </c>
      <c r="D10" s="394" t="s">
        <v>4939</v>
      </c>
      <c r="E10" s="395"/>
      <c r="F10" s="395"/>
      <c r="G10" s="395"/>
      <c r="H10" s="395"/>
      <c r="I10" s="395"/>
      <c r="J10" s="395"/>
      <c r="K10" s="395"/>
      <c r="L10" s="396"/>
    </row>
    <row r="11" spans="1:14" ht="372" customHeight="1">
      <c r="B11" s="159" t="s">
        <v>4521</v>
      </c>
      <c r="C11" s="161" t="s">
        <v>4522</v>
      </c>
      <c r="D11" s="394" t="s">
        <v>4673</v>
      </c>
      <c r="E11" s="395"/>
      <c r="F11" s="395"/>
      <c r="G11" s="395"/>
      <c r="H11" s="395"/>
      <c r="I11" s="395"/>
      <c r="J11" s="395"/>
      <c r="K11" s="395"/>
      <c r="L11" s="396"/>
    </row>
    <row r="12" spans="1:14" ht="98" customHeight="1">
      <c r="B12" s="159" t="s">
        <v>3758</v>
      </c>
      <c r="C12" s="161" t="s">
        <v>3759</v>
      </c>
      <c r="D12" s="394" t="s">
        <v>3761</v>
      </c>
      <c r="E12" s="395"/>
      <c r="F12" s="395"/>
      <c r="G12" s="395"/>
      <c r="H12" s="395"/>
      <c r="I12" s="395"/>
      <c r="J12" s="395"/>
      <c r="K12" s="395"/>
      <c r="L12" s="396"/>
    </row>
    <row r="13" spans="1:14" ht="116" customHeight="1">
      <c r="B13" s="159" t="s">
        <v>3751</v>
      </c>
      <c r="C13" s="161" t="s">
        <v>3752</v>
      </c>
      <c r="D13" s="394" t="s">
        <v>3757</v>
      </c>
      <c r="E13" s="395"/>
      <c r="F13" s="395"/>
      <c r="G13" s="395"/>
      <c r="H13" s="395"/>
      <c r="I13" s="395"/>
      <c r="J13" s="395"/>
      <c r="K13" s="395"/>
      <c r="L13" s="396"/>
    </row>
    <row r="14" spans="1:14" ht="55" customHeight="1">
      <c r="B14" s="159" t="s">
        <v>3748</v>
      </c>
      <c r="C14" s="161" t="s">
        <v>3749</v>
      </c>
      <c r="D14" s="394" t="s">
        <v>3750</v>
      </c>
      <c r="E14" s="395"/>
      <c r="F14" s="395"/>
      <c r="G14" s="395"/>
      <c r="H14" s="395"/>
      <c r="I14" s="395"/>
      <c r="J14" s="395"/>
      <c r="K14" s="395"/>
      <c r="L14" s="396"/>
    </row>
    <row r="15" spans="1:14" ht="42" customHeight="1">
      <c r="B15" s="159" t="s">
        <v>3745</v>
      </c>
      <c r="C15" s="161" t="s">
        <v>3746</v>
      </c>
      <c r="D15" s="394" t="s">
        <v>3747</v>
      </c>
      <c r="E15" s="395"/>
      <c r="F15" s="395"/>
      <c r="G15" s="395"/>
      <c r="H15" s="395"/>
      <c r="I15" s="395"/>
      <c r="J15" s="395"/>
      <c r="K15" s="395"/>
      <c r="L15" s="396"/>
    </row>
    <row r="16" spans="1:14" ht="365" customHeight="1">
      <c r="B16" s="159" t="s">
        <v>3555</v>
      </c>
      <c r="C16" s="161">
        <v>45321</v>
      </c>
      <c r="D16" s="397" t="s">
        <v>3730</v>
      </c>
      <c r="E16" s="398"/>
      <c r="F16" s="398"/>
      <c r="G16" s="398"/>
      <c r="H16" s="398"/>
      <c r="I16" s="398"/>
      <c r="J16" s="398"/>
      <c r="K16" s="398"/>
      <c r="L16" s="399"/>
    </row>
    <row r="17" spans="2:15" ht="100" customHeight="1">
      <c r="B17" s="159" t="s">
        <v>3376</v>
      </c>
      <c r="C17" s="161">
        <v>45237</v>
      </c>
      <c r="D17" s="394" t="s">
        <v>3551</v>
      </c>
      <c r="E17" s="395"/>
      <c r="F17" s="395"/>
      <c r="G17" s="395"/>
      <c r="H17" s="395"/>
      <c r="I17" s="395"/>
      <c r="J17" s="395"/>
      <c r="K17" s="395"/>
      <c r="L17" s="396"/>
    </row>
    <row r="18" spans="2:15" s="4" customFormat="1" ht="54" customHeight="1">
      <c r="B18" s="159" t="s">
        <v>3124</v>
      </c>
      <c r="C18" s="48" t="s">
        <v>3125</v>
      </c>
      <c r="D18" s="394" t="s">
        <v>3129</v>
      </c>
      <c r="E18" s="395"/>
      <c r="F18" s="395"/>
      <c r="G18" s="395"/>
      <c r="H18" s="395"/>
      <c r="I18" s="395"/>
      <c r="J18" s="395"/>
      <c r="K18" s="395"/>
      <c r="L18" s="396"/>
    </row>
    <row r="19" spans="2:15" ht="182" customHeight="1">
      <c r="B19" s="159" t="s">
        <v>86</v>
      </c>
      <c r="C19" s="161">
        <v>45167</v>
      </c>
      <c r="D19" s="394" t="s">
        <v>3126</v>
      </c>
      <c r="E19" s="395"/>
      <c r="F19" s="395"/>
      <c r="G19" s="395"/>
      <c r="H19" s="395"/>
      <c r="I19" s="395"/>
      <c r="J19" s="395"/>
      <c r="K19" s="395"/>
      <c r="L19" s="396"/>
      <c r="O19" s="3" t="s">
        <v>335</v>
      </c>
    </row>
    <row r="20" spans="2:15" ht="87" customHeight="1">
      <c r="B20" s="159" t="s">
        <v>87</v>
      </c>
      <c r="C20" s="161">
        <v>45132</v>
      </c>
      <c r="D20" s="394" t="s">
        <v>88</v>
      </c>
      <c r="E20" s="395"/>
      <c r="F20" s="395"/>
      <c r="G20" s="395"/>
      <c r="H20" s="395"/>
      <c r="I20" s="395"/>
      <c r="J20" s="395"/>
      <c r="K20" s="395"/>
      <c r="L20" s="396"/>
    </row>
    <row r="21" spans="2:15" ht="66" customHeight="1">
      <c r="B21" s="159" t="s">
        <v>89</v>
      </c>
      <c r="C21" s="161">
        <v>45104</v>
      </c>
      <c r="D21" s="394" t="s">
        <v>90</v>
      </c>
      <c r="E21" s="395"/>
      <c r="F21" s="395"/>
      <c r="G21" s="395"/>
      <c r="H21" s="395"/>
      <c r="I21" s="395"/>
      <c r="J21" s="395"/>
      <c r="K21" s="395"/>
      <c r="L21" s="396"/>
    </row>
    <row r="22" spans="2:15" ht="99" customHeight="1">
      <c r="B22" s="159" t="s">
        <v>91</v>
      </c>
      <c r="C22" s="48" t="s">
        <v>92</v>
      </c>
      <c r="D22" s="394" t="s">
        <v>93</v>
      </c>
      <c r="E22" s="395"/>
      <c r="F22" s="395"/>
      <c r="G22" s="395"/>
      <c r="H22" s="395"/>
      <c r="I22" s="395"/>
      <c r="J22" s="395"/>
      <c r="K22" s="395"/>
      <c r="L22" s="396"/>
    </row>
    <row r="23" spans="2:15" ht="135" customHeight="1">
      <c r="B23" s="47" t="s">
        <v>94</v>
      </c>
      <c r="C23" s="48" t="s">
        <v>95</v>
      </c>
      <c r="D23" s="394" t="s">
        <v>96</v>
      </c>
      <c r="E23" s="395"/>
      <c r="F23" s="395"/>
      <c r="G23" s="395"/>
      <c r="H23" s="395"/>
      <c r="I23" s="395"/>
      <c r="J23" s="395"/>
      <c r="K23" s="395"/>
      <c r="L23" s="396"/>
    </row>
    <row r="24" spans="2:15" ht="115" customHeight="1">
      <c r="B24" s="47" t="s">
        <v>97</v>
      </c>
      <c r="C24" s="48" t="s">
        <v>98</v>
      </c>
      <c r="D24" s="394" t="s">
        <v>99</v>
      </c>
      <c r="E24" s="389"/>
      <c r="F24" s="389"/>
      <c r="G24" s="389"/>
      <c r="H24" s="389"/>
      <c r="I24" s="389"/>
      <c r="J24" s="389"/>
      <c r="K24" s="389"/>
      <c r="L24" s="390"/>
    </row>
    <row r="25" spans="2:15" ht="212" customHeight="1">
      <c r="B25" s="47" t="s">
        <v>100</v>
      </c>
      <c r="C25" s="48" t="s">
        <v>101</v>
      </c>
      <c r="D25" s="394" t="s">
        <v>102</v>
      </c>
      <c r="E25" s="389"/>
      <c r="F25" s="389"/>
      <c r="G25" s="389"/>
      <c r="H25" s="389"/>
      <c r="I25" s="389"/>
      <c r="J25" s="389"/>
      <c r="K25" s="389"/>
      <c r="L25" s="390"/>
    </row>
    <row r="26" spans="2:15" ht="22" customHeight="1">
      <c r="B26" s="47" t="s">
        <v>103</v>
      </c>
      <c r="C26" s="48" t="s">
        <v>104</v>
      </c>
      <c r="D26" s="394" t="s">
        <v>105</v>
      </c>
      <c r="E26" s="389"/>
      <c r="F26" s="389"/>
      <c r="G26" s="389"/>
      <c r="H26" s="389"/>
      <c r="I26" s="389"/>
      <c r="J26" s="389"/>
      <c r="K26" s="389"/>
      <c r="L26" s="390"/>
    </row>
    <row r="27" spans="2:15" ht="131" customHeight="1">
      <c r="B27" s="47" t="s">
        <v>106</v>
      </c>
      <c r="C27" s="48" t="s">
        <v>107</v>
      </c>
      <c r="D27" s="394" t="s">
        <v>108</v>
      </c>
      <c r="E27" s="389"/>
      <c r="F27" s="389"/>
      <c r="G27" s="389"/>
      <c r="H27" s="389"/>
      <c r="I27" s="389"/>
      <c r="J27" s="389"/>
      <c r="K27" s="389"/>
      <c r="L27" s="390"/>
    </row>
    <row r="28" spans="2:15" ht="65" customHeight="1">
      <c r="B28" s="47" t="s">
        <v>109</v>
      </c>
      <c r="C28" s="48" t="s">
        <v>110</v>
      </c>
      <c r="D28" s="394" t="s">
        <v>111</v>
      </c>
      <c r="E28" s="389"/>
      <c r="F28" s="389"/>
      <c r="G28" s="389"/>
      <c r="H28" s="389"/>
      <c r="I28" s="389"/>
      <c r="J28" s="389"/>
      <c r="K28" s="389"/>
      <c r="L28" s="390"/>
    </row>
    <row r="29" spans="2:15" ht="39" customHeight="1">
      <c r="B29" s="47" t="s">
        <v>112</v>
      </c>
      <c r="C29" s="48" t="s">
        <v>113</v>
      </c>
      <c r="D29" s="394" t="s">
        <v>114</v>
      </c>
      <c r="E29" s="389"/>
      <c r="F29" s="389"/>
      <c r="G29" s="389"/>
      <c r="H29" s="389"/>
      <c r="I29" s="389"/>
      <c r="J29" s="389"/>
      <c r="K29" s="389"/>
      <c r="L29" s="390"/>
    </row>
    <row r="30" spans="2:15" ht="21" customHeight="1">
      <c r="B30" s="47" t="s">
        <v>115</v>
      </c>
      <c r="C30" s="48" t="s">
        <v>116</v>
      </c>
      <c r="D30" s="394" t="s">
        <v>117</v>
      </c>
      <c r="E30" s="389"/>
      <c r="F30" s="389"/>
      <c r="G30" s="389"/>
      <c r="H30" s="389"/>
      <c r="I30" s="389"/>
      <c r="J30" s="389"/>
      <c r="K30" s="389"/>
      <c r="L30" s="390"/>
    </row>
    <row r="31" spans="2:15" ht="85" customHeight="1">
      <c r="B31" s="47" t="s">
        <v>118</v>
      </c>
      <c r="C31" s="111" t="s">
        <v>119</v>
      </c>
      <c r="D31" s="388" t="s">
        <v>120</v>
      </c>
      <c r="E31" s="389"/>
      <c r="F31" s="389"/>
      <c r="G31" s="389"/>
      <c r="H31" s="389"/>
      <c r="I31" s="389"/>
      <c r="J31" s="389"/>
      <c r="K31" s="389"/>
      <c r="L31" s="390"/>
    </row>
    <row r="32" spans="2:15" ht="218" customHeight="1">
      <c r="B32" s="47" t="s">
        <v>121</v>
      </c>
      <c r="C32" s="111" t="s">
        <v>122</v>
      </c>
      <c r="D32" s="388" t="s">
        <v>123</v>
      </c>
      <c r="E32" s="389"/>
      <c r="F32" s="389"/>
      <c r="G32" s="389"/>
      <c r="H32" s="389"/>
      <c r="I32" s="389"/>
      <c r="J32" s="389"/>
      <c r="K32" s="389"/>
      <c r="L32" s="390"/>
    </row>
    <row r="33" spans="2:12" ht="20" customHeight="1">
      <c r="B33" s="47" t="s">
        <v>124</v>
      </c>
      <c r="C33" s="111">
        <v>44905</v>
      </c>
      <c r="D33" s="388" t="s">
        <v>125</v>
      </c>
      <c r="E33" s="389"/>
      <c r="F33" s="389"/>
      <c r="G33" s="389"/>
      <c r="H33" s="389"/>
      <c r="I33" s="389"/>
      <c r="J33" s="389"/>
      <c r="K33" s="389"/>
      <c r="L33" s="390"/>
    </row>
    <row r="34" spans="2:12" ht="96" customHeight="1">
      <c r="B34" s="47" t="s">
        <v>126</v>
      </c>
      <c r="C34" s="48" t="s">
        <v>127</v>
      </c>
      <c r="D34" s="388" t="s">
        <v>128</v>
      </c>
      <c r="E34" s="389"/>
      <c r="F34" s="389"/>
      <c r="G34" s="389"/>
      <c r="H34" s="389"/>
      <c r="I34" s="389"/>
      <c r="J34" s="389"/>
      <c r="K34" s="389"/>
      <c r="L34" s="390"/>
    </row>
    <row r="35" spans="2:12" ht="54" customHeight="1">
      <c r="B35" s="47" t="s">
        <v>129</v>
      </c>
      <c r="C35" s="48" t="s">
        <v>130</v>
      </c>
      <c r="D35" s="388" t="s">
        <v>131</v>
      </c>
      <c r="E35" s="389"/>
      <c r="F35" s="389"/>
      <c r="G35" s="389"/>
      <c r="H35" s="389"/>
      <c r="I35" s="389"/>
      <c r="J35" s="389"/>
      <c r="K35" s="389"/>
      <c r="L35" s="390"/>
    </row>
    <row r="36" spans="2:12" ht="103" customHeight="1">
      <c r="B36" s="47" t="s">
        <v>132</v>
      </c>
      <c r="C36" s="48" t="s">
        <v>133</v>
      </c>
      <c r="D36" s="391" t="s">
        <v>134</v>
      </c>
      <c r="E36" s="391"/>
      <c r="F36" s="391"/>
      <c r="G36" s="391"/>
      <c r="H36" s="391"/>
      <c r="I36" s="391"/>
      <c r="J36" s="391"/>
      <c r="K36" s="391"/>
      <c r="L36" s="391"/>
    </row>
    <row r="37" spans="2:12" ht="39" customHeight="1">
      <c r="B37" s="47" t="s">
        <v>135</v>
      </c>
      <c r="C37" s="48" t="s">
        <v>136</v>
      </c>
      <c r="D37" s="391" t="s">
        <v>137</v>
      </c>
      <c r="E37" s="391"/>
      <c r="F37" s="391"/>
      <c r="G37" s="391"/>
      <c r="H37" s="391"/>
      <c r="I37" s="391"/>
      <c r="J37" s="391"/>
      <c r="K37" s="391"/>
      <c r="L37" s="391"/>
    </row>
    <row r="38" spans="2:12" ht="66" customHeight="1">
      <c r="B38" s="47" t="s">
        <v>138</v>
      </c>
      <c r="C38" s="48" t="s">
        <v>139</v>
      </c>
      <c r="D38" s="391" t="s">
        <v>140</v>
      </c>
      <c r="E38" s="391"/>
      <c r="F38" s="391"/>
      <c r="G38" s="391"/>
      <c r="H38" s="391"/>
      <c r="I38" s="391"/>
      <c r="J38" s="391"/>
      <c r="K38" s="391"/>
      <c r="L38" s="391"/>
    </row>
    <row r="39" spans="2:12">
      <c r="B39" s="47" t="s">
        <v>141</v>
      </c>
      <c r="C39" s="48" t="s">
        <v>142</v>
      </c>
      <c r="D39" s="391" t="s">
        <v>143</v>
      </c>
      <c r="E39" s="391"/>
      <c r="F39" s="391"/>
      <c r="G39" s="391"/>
      <c r="H39" s="391"/>
      <c r="I39" s="391"/>
      <c r="J39" s="391"/>
      <c r="K39" s="391"/>
      <c r="L39" s="391"/>
    </row>
    <row r="40" spans="2:12" ht="80" customHeight="1">
      <c r="B40" s="47" t="s">
        <v>144</v>
      </c>
      <c r="C40" s="48" t="s">
        <v>145</v>
      </c>
      <c r="D40" s="391" t="s">
        <v>146</v>
      </c>
      <c r="E40" s="391"/>
      <c r="F40" s="391"/>
      <c r="G40" s="391"/>
      <c r="H40" s="391"/>
      <c r="I40" s="391"/>
      <c r="J40" s="391"/>
      <c r="K40" s="391"/>
      <c r="L40" s="391"/>
    </row>
    <row r="41" spans="2:12">
      <c r="B41" s="47" t="s">
        <v>147</v>
      </c>
      <c r="C41" s="48" t="s">
        <v>148</v>
      </c>
      <c r="D41" s="391" t="s">
        <v>149</v>
      </c>
      <c r="E41" s="391"/>
      <c r="F41" s="391"/>
      <c r="G41" s="391"/>
      <c r="H41" s="391"/>
      <c r="I41" s="391"/>
      <c r="J41" s="391"/>
      <c r="K41" s="391"/>
      <c r="L41" s="391"/>
    </row>
    <row r="42" spans="2:12" ht="179" customHeight="1">
      <c r="B42" s="47" t="s">
        <v>150</v>
      </c>
      <c r="C42" s="48" t="s">
        <v>151</v>
      </c>
      <c r="D42" s="391" t="s">
        <v>152</v>
      </c>
      <c r="E42" s="391"/>
      <c r="F42" s="391"/>
      <c r="G42" s="391"/>
      <c r="H42" s="391"/>
      <c r="I42" s="391"/>
      <c r="J42" s="391"/>
      <c r="K42" s="391"/>
      <c r="L42" s="391"/>
    </row>
    <row r="43" spans="2:12">
      <c r="B43" s="47" t="s">
        <v>153</v>
      </c>
      <c r="C43" s="48" t="s">
        <v>154</v>
      </c>
      <c r="D43" s="391" t="s">
        <v>155</v>
      </c>
      <c r="E43" s="391"/>
      <c r="F43" s="391"/>
      <c r="G43" s="391"/>
      <c r="H43" s="391"/>
      <c r="I43" s="391"/>
      <c r="J43" s="391"/>
      <c r="K43" s="391"/>
      <c r="L43" s="391"/>
    </row>
    <row r="44" spans="2:12">
      <c r="B44" s="47" t="s">
        <v>156</v>
      </c>
      <c r="C44" s="48" t="s">
        <v>157</v>
      </c>
      <c r="D44" s="391" t="s">
        <v>158</v>
      </c>
      <c r="E44" s="391"/>
      <c r="F44" s="391"/>
      <c r="G44" s="391"/>
      <c r="H44" s="391"/>
      <c r="I44" s="391"/>
      <c r="J44" s="391"/>
      <c r="K44" s="391"/>
      <c r="L44" s="391"/>
    </row>
    <row r="45" spans="2:12" ht="204" customHeight="1">
      <c r="B45" s="47" t="s">
        <v>159</v>
      </c>
      <c r="C45" s="48" t="s">
        <v>160</v>
      </c>
      <c r="D45" s="391" t="s">
        <v>161</v>
      </c>
      <c r="E45" s="391"/>
      <c r="F45" s="391"/>
      <c r="G45" s="391"/>
      <c r="H45" s="391"/>
      <c r="I45" s="391"/>
      <c r="J45" s="391"/>
      <c r="K45" s="391"/>
      <c r="L45" s="391"/>
    </row>
    <row r="46" spans="2:12" ht="50" customHeight="1">
      <c r="B46" s="47" t="s">
        <v>162</v>
      </c>
      <c r="C46" s="48" t="s">
        <v>163</v>
      </c>
      <c r="D46" s="391" t="s">
        <v>164</v>
      </c>
      <c r="E46" s="391"/>
      <c r="F46" s="391"/>
      <c r="G46" s="391"/>
      <c r="H46" s="391"/>
      <c r="I46" s="391"/>
      <c r="J46" s="391"/>
      <c r="K46" s="391"/>
      <c r="L46" s="391"/>
    </row>
    <row r="47" spans="2:12" ht="196" customHeight="1">
      <c r="B47" s="47" t="s">
        <v>165</v>
      </c>
      <c r="C47" s="48" t="s">
        <v>166</v>
      </c>
      <c r="D47" s="391" t="s">
        <v>167</v>
      </c>
      <c r="E47" s="391"/>
      <c r="F47" s="391"/>
      <c r="G47" s="391"/>
      <c r="H47" s="391"/>
      <c r="I47" s="391"/>
      <c r="J47" s="391"/>
      <c r="K47" s="391"/>
      <c r="L47" s="391"/>
    </row>
    <row r="48" spans="2:12" ht="37" customHeight="1">
      <c r="B48" s="47" t="s">
        <v>168</v>
      </c>
      <c r="C48" s="48" t="s">
        <v>169</v>
      </c>
      <c r="D48" s="391" t="s">
        <v>170</v>
      </c>
      <c r="E48" s="391"/>
      <c r="F48" s="391"/>
      <c r="G48" s="391"/>
      <c r="H48" s="391"/>
      <c r="I48" s="391"/>
      <c r="J48" s="391"/>
      <c r="K48" s="391"/>
      <c r="L48" s="391"/>
    </row>
    <row r="49" spans="2:12" ht="85" customHeight="1">
      <c r="B49" s="47" t="s">
        <v>171</v>
      </c>
      <c r="C49" s="48" t="s">
        <v>172</v>
      </c>
      <c r="D49" s="391" t="s">
        <v>173</v>
      </c>
      <c r="E49" s="391"/>
      <c r="F49" s="391"/>
      <c r="G49" s="391"/>
      <c r="H49" s="391"/>
      <c r="I49" s="391"/>
      <c r="J49" s="391"/>
      <c r="K49" s="391"/>
      <c r="L49" s="391"/>
    </row>
    <row r="50" spans="2:12" ht="70" customHeight="1">
      <c r="B50" s="47" t="s">
        <v>174</v>
      </c>
      <c r="C50" s="48" t="s">
        <v>175</v>
      </c>
      <c r="D50" s="391" t="s">
        <v>176</v>
      </c>
      <c r="E50" s="391"/>
      <c r="F50" s="391"/>
      <c r="G50" s="391"/>
      <c r="H50" s="391"/>
      <c r="I50" s="391"/>
      <c r="J50" s="391"/>
      <c r="K50" s="391"/>
      <c r="L50" s="391"/>
    </row>
    <row r="51" spans="2:12" ht="35" customHeight="1">
      <c r="B51" s="47" t="s">
        <v>177</v>
      </c>
      <c r="C51" s="48" t="s">
        <v>178</v>
      </c>
      <c r="D51" s="391" t="s">
        <v>179</v>
      </c>
      <c r="E51" s="391"/>
      <c r="F51" s="391"/>
      <c r="G51" s="391"/>
      <c r="H51" s="391"/>
      <c r="I51" s="391"/>
      <c r="J51" s="391"/>
      <c r="K51" s="391"/>
      <c r="L51" s="391"/>
    </row>
    <row r="52" spans="2:12" ht="35" customHeight="1">
      <c r="B52" s="47" t="s">
        <v>180</v>
      </c>
      <c r="C52" s="48" t="s">
        <v>181</v>
      </c>
      <c r="D52" s="391" t="s">
        <v>182</v>
      </c>
      <c r="E52" s="391"/>
      <c r="F52" s="391"/>
      <c r="G52" s="391"/>
      <c r="H52" s="391"/>
      <c r="I52" s="391"/>
      <c r="J52" s="391"/>
      <c r="K52" s="391"/>
      <c r="L52" s="391"/>
    </row>
    <row r="53" spans="2:12">
      <c r="B53" s="47" t="s">
        <v>183</v>
      </c>
      <c r="C53" s="48" t="s">
        <v>184</v>
      </c>
      <c r="D53" s="391" t="s">
        <v>185</v>
      </c>
      <c r="E53" s="391"/>
      <c r="F53" s="391"/>
      <c r="G53" s="391"/>
      <c r="H53" s="391"/>
      <c r="I53" s="391"/>
      <c r="J53" s="391"/>
      <c r="K53" s="391"/>
      <c r="L53" s="391"/>
    </row>
    <row r="54" spans="2:12" ht="53" customHeight="1">
      <c r="B54" s="47" t="s">
        <v>186</v>
      </c>
      <c r="C54" s="48" t="s">
        <v>187</v>
      </c>
      <c r="D54" s="391" t="s">
        <v>188</v>
      </c>
      <c r="E54" s="391"/>
      <c r="F54" s="391"/>
      <c r="G54" s="391"/>
      <c r="H54" s="391"/>
      <c r="I54" s="391"/>
      <c r="J54" s="391"/>
      <c r="K54" s="391"/>
      <c r="L54" s="391"/>
    </row>
    <row r="55" spans="2:12" ht="53" customHeight="1">
      <c r="B55" s="47" t="s">
        <v>189</v>
      </c>
      <c r="C55" s="48" t="s">
        <v>190</v>
      </c>
      <c r="D55" s="391" t="s">
        <v>191</v>
      </c>
      <c r="E55" s="391"/>
      <c r="F55" s="391"/>
      <c r="G55" s="391"/>
      <c r="H55" s="391"/>
      <c r="I55" s="391"/>
      <c r="J55" s="391"/>
      <c r="K55" s="391"/>
      <c r="L55" s="391"/>
    </row>
    <row r="56" spans="2:12" ht="70" customHeight="1">
      <c r="B56" s="47" t="s">
        <v>192</v>
      </c>
      <c r="C56" s="48" t="s">
        <v>193</v>
      </c>
      <c r="D56" s="391" t="s">
        <v>194</v>
      </c>
      <c r="E56" s="391"/>
      <c r="F56" s="391"/>
      <c r="G56" s="391"/>
      <c r="H56" s="391"/>
      <c r="I56" s="391"/>
      <c r="J56" s="391"/>
      <c r="K56" s="391"/>
      <c r="L56" s="391"/>
    </row>
    <row r="57" spans="2:12" ht="84" customHeight="1">
      <c r="B57" s="47" t="s">
        <v>195</v>
      </c>
      <c r="C57" s="48" t="s">
        <v>196</v>
      </c>
      <c r="D57" s="391" t="s">
        <v>197</v>
      </c>
      <c r="E57" s="391"/>
      <c r="F57" s="391"/>
      <c r="G57" s="391"/>
      <c r="H57" s="391"/>
      <c r="I57" s="391"/>
      <c r="J57" s="391"/>
      <c r="K57" s="391"/>
      <c r="L57" s="391"/>
    </row>
    <row r="58" spans="2:12" ht="20" customHeight="1">
      <c r="B58" s="47" t="s">
        <v>198</v>
      </c>
      <c r="C58" s="48" t="s">
        <v>199</v>
      </c>
      <c r="D58" s="391" t="s">
        <v>200</v>
      </c>
      <c r="E58" s="391"/>
      <c r="F58" s="391"/>
      <c r="G58" s="391"/>
      <c r="H58" s="391"/>
      <c r="I58" s="391"/>
      <c r="J58" s="391"/>
      <c r="K58" s="391"/>
      <c r="L58" s="391"/>
    </row>
    <row r="59" spans="2:12" ht="34" customHeight="1">
      <c r="B59" s="47" t="s">
        <v>201</v>
      </c>
      <c r="C59" s="48" t="s">
        <v>202</v>
      </c>
      <c r="D59" s="391" t="s">
        <v>203</v>
      </c>
      <c r="E59" s="391"/>
      <c r="F59" s="391"/>
      <c r="G59" s="391"/>
      <c r="H59" s="391"/>
      <c r="I59" s="391"/>
      <c r="J59" s="391"/>
      <c r="K59" s="391"/>
      <c r="L59" s="391"/>
    </row>
    <row r="60" spans="2:12" ht="54" customHeight="1">
      <c r="B60" s="47" t="s">
        <v>204</v>
      </c>
      <c r="C60" s="48" t="s">
        <v>205</v>
      </c>
      <c r="D60" s="391" t="s">
        <v>206</v>
      </c>
      <c r="E60" s="391"/>
      <c r="F60" s="391"/>
      <c r="G60" s="391"/>
      <c r="H60" s="391"/>
      <c r="I60" s="391"/>
      <c r="J60" s="391"/>
      <c r="K60" s="391"/>
      <c r="L60" s="391"/>
    </row>
    <row r="61" spans="2:12" ht="20" customHeight="1">
      <c r="B61" s="47" t="s">
        <v>207</v>
      </c>
      <c r="C61" s="48" t="s">
        <v>208</v>
      </c>
      <c r="D61" s="391" t="s">
        <v>209</v>
      </c>
      <c r="E61" s="391"/>
      <c r="F61" s="391"/>
      <c r="G61" s="391"/>
      <c r="H61" s="391"/>
      <c r="I61" s="391"/>
      <c r="J61" s="391"/>
      <c r="K61" s="391"/>
      <c r="L61" s="391"/>
    </row>
    <row r="62" spans="2:12" ht="84" customHeight="1">
      <c r="B62" s="47" t="s">
        <v>210</v>
      </c>
      <c r="C62" s="48" t="s">
        <v>211</v>
      </c>
      <c r="D62" s="391" t="s">
        <v>212</v>
      </c>
      <c r="E62" s="391"/>
      <c r="F62" s="391"/>
      <c r="G62" s="391"/>
      <c r="H62" s="391"/>
      <c r="I62" s="391"/>
      <c r="J62" s="391"/>
      <c r="K62" s="391"/>
      <c r="L62" s="391"/>
    </row>
    <row r="63" spans="2:12" ht="20" customHeight="1">
      <c r="B63" s="47" t="s">
        <v>213</v>
      </c>
      <c r="C63" s="48" t="s">
        <v>214</v>
      </c>
      <c r="D63" s="391" t="s">
        <v>215</v>
      </c>
      <c r="E63" s="391"/>
      <c r="F63" s="391"/>
      <c r="G63" s="391"/>
      <c r="H63" s="391"/>
      <c r="I63" s="391"/>
      <c r="J63" s="391"/>
      <c r="K63" s="391"/>
      <c r="L63" s="391"/>
    </row>
    <row r="64" spans="2:12" ht="34" customHeight="1">
      <c r="B64" s="47" t="s">
        <v>216</v>
      </c>
      <c r="C64" s="48" t="s">
        <v>217</v>
      </c>
      <c r="D64" s="391" t="s">
        <v>218</v>
      </c>
      <c r="E64" s="391"/>
      <c r="F64" s="391"/>
      <c r="G64" s="391"/>
      <c r="H64" s="391"/>
      <c r="I64" s="391"/>
      <c r="J64" s="391"/>
      <c r="K64" s="391"/>
      <c r="L64" s="391"/>
    </row>
    <row r="65" spans="2:12" ht="20" customHeight="1">
      <c r="B65" s="47" t="s">
        <v>219</v>
      </c>
      <c r="C65" s="48" t="s">
        <v>220</v>
      </c>
      <c r="D65" s="391" t="s">
        <v>221</v>
      </c>
      <c r="E65" s="391"/>
      <c r="F65" s="391"/>
      <c r="G65" s="391"/>
      <c r="H65" s="391"/>
      <c r="I65" s="391"/>
      <c r="J65" s="391"/>
      <c r="K65" s="391"/>
      <c r="L65" s="391"/>
    </row>
    <row r="67" spans="2:12" ht="34" customHeight="1">
      <c r="B67" s="344" t="s">
        <v>222</v>
      </c>
      <c r="C67" s="344"/>
      <c r="D67" s="344"/>
      <c r="E67" s="344"/>
      <c r="F67" s="344"/>
      <c r="G67" s="344"/>
      <c r="H67" s="344"/>
      <c r="I67" s="344"/>
      <c r="J67" s="344"/>
      <c r="K67" s="344"/>
      <c r="L67" s="344"/>
    </row>
    <row r="68" spans="2:12" ht="20" customHeight="1">
      <c r="B68" s="345" t="s">
        <v>223</v>
      </c>
      <c r="C68" s="345"/>
      <c r="D68" s="345"/>
      <c r="E68" s="345"/>
      <c r="F68" s="345"/>
      <c r="G68" s="345"/>
      <c r="H68" s="345"/>
      <c r="I68" s="345"/>
      <c r="J68" s="345"/>
      <c r="K68" s="345"/>
      <c r="L68" s="345"/>
    </row>
    <row r="69" spans="2:12" ht="34" customHeight="1">
      <c r="B69" s="391" t="s">
        <v>224</v>
      </c>
      <c r="C69" s="391"/>
      <c r="D69" s="391"/>
      <c r="E69" s="391"/>
      <c r="F69" s="391"/>
      <c r="G69" s="391"/>
      <c r="H69" s="391"/>
      <c r="I69" s="391"/>
      <c r="J69" s="391"/>
      <c r="K69" s="391"/>
      <c r="L69" s="391"/>
    </row>
  </sheetData>
  <sheetProtection algorithmName="SHA-512" hashValue="xId+UOFki3qh9dgwwVh7SVf93rtyZyrv59ACfYkQncwUKG0hTnWqptc3UxqC5UY6m0hcF9uGM7kgWO14GNvjVA==" saltValue="a0Xil09lZC6B7ogW4xVX+w==" spinCount="100000" sheet="1" selectLockedCells="1"/>
  <mergeCells count="65">
    <mergeCell ref="D8:L8"/>
    <mergeCell ref="D54:L54"/>
    <mergeCell ref="B6:L6"/>
    <mergeCell ref="D33:L33"/>
    <mergeCell ref="D32:L32"/>
    <mergeCell ref="D31:L31"/>
    <mergeCell ref="D30:L30"/>
    <mergeCell ref="D29:L29"/>
    <mergeCell ref="D28:L28"/>
    <mergeCell ref="D27:L27"/>
    <mergeCell ref="D26:L26"/>
    <mergeCell ref="D25:L25"/>
    <mergeCell ref="D24:L24"/>
    <mergeCell ref="D23:L23"/>
    <mergeCell ref="D21:L21"/>
    <mergeCell ref="D20:L20"/>
    <mergeCell ref="D44:L44"/>
    <mergeCell ref="D38:L38"/>
    <mergeCell ref="D49:L49"/>
    <mergeCell ref="D48:L48"/>
    <mergeCell ref="D47:L47"/>
    <mergeCell ref="D46:L46"/>
    <mergeCell ref="D45:L45"/>
    <mergeCell ref="B2:L2"/>
    <mergeCell ref="B3:L3"/>
    <mergeCell ref="D34:L34"/>
    <mergeCell ref="D7:L7"/>
    <mergeCell ref="D19:L19"/>
    <mergeCell ref="D18:L18"/>
    <mergeCell ref="D17:L17"/>
    <mergeCell ref="D16:L16"/>
    <mergeCell ref="D15:L15"/>
    <mergeCell ref="D14:L14"/>
    <mergeCell ref="D13:L13"/>
    <mergeCell ref="D12:L12"/>
    <mergeCell ref="D11:L11"/>
    <mergeCell ref="D9:L9"/>
    <mergeCell ref="D10:L10"/>
    <mergeCell ref="D22:L22"/>
    <mergeCell ref="B69:L69"/>
    <mergeCell ref="B67:L67"/>
    <mergeCell ref="B68:L68"/>
    <mergeCell ref="D65:L65"/>
    <mergeCell ref="D64:L64"/>
    <mergeCell ref="D63:L63"/>
    <mergeCell ref="D62:L62"/>
    <mergeCell ref="D60:L60"/>
    <mergeCell ref="D61:L61"/>
    <mergeCell ref="D59:L59"/>
    <mergeCell ref="D35:L35"/>
    <mergeCell ref="D39:L39"/>
    <mergeCell ref="D43:L43"/>
    <mergeCell ref="D58:L58"/>
    <mergeCell ref="D40:L40"/>
    <mergeCell ref="D42:L42"/>
    <mergeCell ref="D57:L57"/>
    <mergeCell ref="D55:L55"/>
    <mergeCell ref="D56:L56"/>
    <mergeCell ref="D53:L53"/>
    <mergeCell ref="D41:L41"/>
    <mergeCell ref="D52:L52"/>
    <mergeCell ref="D51:L51"/>
    <mergeCell ref="D50:L50"/>
    <mergeCell ref="D36:L36"/>
    <mergeCell ref="D37:L37"/>
  </mergeCells>
  <pageMargins left="0.7" right="0.7" top="0.75" bottom="0.75" header="0.3" footer="0.3"/>
  <pageSetup paperSize="9"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D937-C493-3C41-B7F5-E010B4442F4B}">
  <sheetPr codeName="Sheet36">
    <tabColor theme="4" tint="0.39997558519241921"/>
  </sheetPr>
  <dimension ref="A1:F90"/>
  <sheetViews>
    <sheetView zoomScaleNormal="100" workbookViewId="0">
      <pane ySplit="6" topLeftCell="A7" activePane="bottomLeft" state="frozen"/>
      <selection pane="bottomLeft"/>
    </sheetView>
  </sheetViews>
  <sheetFormatPr baseColWidth="10" defaultColWidth="11" defaultRowHeight="16"/>
  <cols>
    <col min="1" max="1" width="2.83203125" style="103" customWidth="1"/>
    <col min="2" max="2" width="63.83203125" style="103" customWidth="1"/>
    <col min="3" max="4" width="80.83203125" style="103" customWidth="1"/>
    <col min="5" max="5" width="60.83203125" style="103" customWidth="1"/>
    <col min="6" max="6" width="2.83203125" style="103" customWidth="1"/>
    <col min="7" max="16384" width="11" style="103"/>
  </cols>
  <sheetData>
    <row r="1" spans="1:6" s="106" customFormat="1" ht="16" customHeight="1">
      <c r="A1" s="128"/>
    </row>
    <row r="2" spans="1:6" s="106" customFormat="1" ht="54" customHeight="1">
      <c r="B2" s="547"/>
      <c r="C2" s="548"/>
      <c r="D2" s="495" t="s">
        <v>4481</v>
      </c>
      <c r="E2" s="496"/>
    </row>
    <row r="3" spans="1:6" s="106" customFormat="1" ht="20" customHeight="1">
      <c r="B3" s="549" t="s">
        <v>4480</v>
      </c>
      <c r="C3" s="550"/>
      <c r="D3" s="550"/>
      <c r="E3" s="551"/>
    </row>
    <row r="5" spans="1:6" ht="34" customHeight="1">
      <c r="B5" s="261" t="s">
        <v>2273</v>
      </c>
      <c r="C5" s="169" t="s">
        <v>2274</v>
      </c>
    </row>
    <row r="6" spans="1:6" s="106" customFormat="1">
      <c r="D6" s="130"/>
      <c r="E6" s="131"/>
      <c r="F6" s="131"/>
    </row>
    <row r="8" spans="1:6" ht="34" customHeight="1">
      <c r="B8" s="535" t="s">
        <v>2274</v>
      </c>
      <c r="C8" s="536"/>
      <c r="D8" s="536"/>
      <c r="E8" s="537"/>
    </row>
    <row r="9" spans="1:6" ht="16" customHeight="1"/>
    <row r="10" spans="1:6" ht="34" customHeight="1">
      <c r="B10" s="541" t="s">
        <v>4479</v>
      </c>
      <c r="C10" s="542"/>
      <c r="D10" s="542"/>
      <c r="E10" s="543"/>
    </row>
    <row r="11" spans="1:6" ht="20" customHeight="1">
      <c r="B11" s="285" t="s">
        <v>735</v>
      </c>
      <c r="C11" s="285" t="s">
        <v>554</v>
      </c>
      <c r="D11" s="234" t="s">
        <v>555</v>
      </c>
      <c r="E11" s="285" t="s">
        <v>222</v>
      </c>
    </row>
    <row r="12" spans="1:6" ht="20" customHeight="1">
      <c r="B12" s="257" t="s">
        <v>1938</v>
      </c>
      <c r="C12" s="202" t="str">
        <f>IF(mgmt_consolidated_result="Included",CONCATENATE(sample_mgmt_vc_hostname,".",sample_child_dns_zone),CONCATENATE(sample_wld_vc_hostname,".",sample_child_dns_zone))</f>
        <v>sfo-w01-vc01.sfo.rainpole.io</v>
      </c>
      <c r="D12" s="219" t="str">
        <f>dri_vcenter_fqdn</f>
        <v>Value Missing.Value Missing</v>
      </c>
      <c r="E12" s="258"/>
    </row>
    <row r="13" spans="1:6" ht="16" customHeight="1"/>
    <row r="14" spans="1:6" ht="34" customHeight="1">
      <c r="B14" s="541" t="s">
        <v>4478</v>
      </c>
      <c r="C14" s="542"/>
      <c r="D14" s="542"/>
      <c r="E14" s="543"/>
    </row>
    <row r="15" spans="1:6" ht="20" customHeight="1">
      <c r="B15" s="285" t="s">
        <v>735</v>
      </c>
      <c r="C15" s="285" t="s">
        <v>554</v>
      </c>
      <c r="D15" s="234" t="s">
        <v>555</v>
      </c>
      <c r="E15" s="285" t="s">
        <v>222</v>
      </c>
    </row>
    <row r="16" spans="1:6" ht="20" customHeight="1">
      <c r="B16" s="257" t="s">
        <v>1938</v>
      </c>
      <c r="C16" s="202" t="str">
        <f>IF(mgmt_consolidated_result="Included",CONCATENATE(sample_mgmt_vc_hostname,".",sample_child_dns_zone),CONCATENATE(sample_wld_vc_hostname,".",sample_child_dns_zone))</f>
        <v>sfo-w01-vc01.sfo.rainpole.io</v>
      </c>
      <c r="D16" s="219" t="str">
        <f>dri_vcenter_fqdn</f>
        <v>Value Missing.Value Missing</v>
      </c>
      <c r="E16" s="258"/>
    </row>
    <row r="17" spans="2:5" ht="20" customHeight="1">
      <c r="B17" s="257" t="s">
        <v>2292</v>
      </c>
      <c r="C17" s="202" t="str">
        <f>CONCATENATE(sample_sddc_mgr_hostname,".",sample_region_ad_child_fqdn)</f>
        <v>sfo-vcf01.sfo.rainpole.io</v>
      </c>
      <c r="D17" s="219" t="str">
        <f>sddc_mgr_fqdn</f>
        <v>Value Missing.Value Missing</v>
      </c>
      <c r="E17" s="258"/>
    </row>
    <row r="18" spans="2:5" ht="16" customHeight="1"/>
    <row r="19" spans="2:5" ht="34" customHeight="1">
      <c r="B19" s="541" t="s">
        <v>4470</v>
      </c>
      <c r="C19" s="542"/>
      <c r="D19" s="542"/>
      <c r="E19" s="543"/>
    </row>
    <row r="20" spans="2:5" ht="20" customHeight="1">
      <c r="B20" s="285" t="s">
        <v>735</v>
      </c>
      <c r="C20" s="285" t="s">
        <v>554</v>
      </c>
      <c r="D20" s="234" t="s">
        <v>555</v>
      </c>
      <c r="E20" s="285" t="s">
        <v>222</v>
      </c>
    </row>
    <row r="21" spans="2:5" ht="20" customHeight="1">
      <c r="B21" s="257" t="s">
        <v>1938</v>
      </c>
      <c r="C21" s="202" t="str">
        <f>IF(mgmt_consolidated_result="Included",CONCATENATE(sample_mgmt_vc_hostname,".",sample_child_dns_zone),CONCATENATE(sample_wld_vc_hostname,".",sample_child_dns_zone))</f>
        <v>sfo-w01-vc01.sfo.rainpole.io</v>
      </c>
      <c r="D21" s="219" t="str">
        <f>dri_vcenter_fqdn</f>
        <v>Value Missing.Value Missing</v>
      </c>
      <c r="E21" s="258"/>
    </row>
    <row r="22" spans="2:5" ht="20" customHeight="1">
      <c r="B22" s="259" t="s">
        <v>843</v>
      </c>
      <c r="C22" s="202" t="str">
        <f>IF(mgmt_consolidated_result="Included",sample_mgmt_cluster,sample_wld_cluster)</f>
        <v>sfo-w01-cl01</v>
      </c>
      <c r="D22" s="219" t="str">
        <f>dri_vcenter_cluster</f>
        <v>Value Missing</v>
      </c>
      <c r="E22" s="258"/>
    </row>
    <row r="23" spans="2:5" ht="20" customHeight="1">
      <c r="B23" s="259" t="s">
        <v>735</v>
      </c>
      <c r="C23" s="202" t="str">
        <f>sample_k8s_cluster_name</f>
        <v>sfo-w01-tkc01</v>
      </c>
      <c r="D23" s="219" t="str">
        <f>k8s_cluster_name</f>
        <v>Value Missing</v>
      </c>
      <c r="E23" s="258"/>
    </row>
    <row r="24" spans="2:5" ht="20" customHeight="1">
      <c r="B24" s="259" t="s">
        <v>2367</v>
      </c>
      <c r="C24" s="202" t="str">
        <f>sample_k8s_vcenter_storage_policy</f>
        <v>vsphere-with-tanzu-storage-policy</v>
      </c>
      <c r="D24" s="219" t="str">
        <f>k8s_vcenter_storage_policy</f>
        <v>Value Missing</v>
      </c>
      <c r="E24" s="258"/>
    </row>
    <row r="25" spans="2:5" ht="16" customHeight="1"/>
    <row r="26" spans="2:5" ht="34" customHeight="1">
      <c r="B26" s="541" t="s">
        <v>2373</v>
      </c>
      <c r="C26" s="542"/>
      <c r="D26" s="542"/>
      <c r="E26" s="543"/>
    </row>
    <row r="27" spans="2:5" ht="20" customHeight="1">
      <c r="B27" s="285" t="s">
        <v>735</v>
      </c>
      <c r="C27" s="285" t="s">
        <v>554</v>
      </c>
      <c r="D27" s="234" t="s">
        <v>555</v>
      </c>
      <c r="E27" s="285" t="s">
        <v>222</v>
      </c>
    </row>
    <row r="28" spans="2:5" ht="20" customHeight="1">
      <c r="B28" s="257" t="s">
        <v>1938</v>
      </c>
      <c r="C28" s="202" t="str">
        <f>IF(mgmt_consolidated_result="Included",CONCATENATE(sample_mgmt_vc_hostname,".",sample_child_dns_zone),CONCATENATE(sample_wld_vc_hostname,".",sample_child_dns_zone))</f>
        <v>sfo-w01-vc01.sfo.rainpole.io</v>
      </c>
      <c r="D28" s="219" t="str">
        <f>dri_vcenter_fqdn</f>
        <v>Value Missing.Value Missing</v>
      </c>
      <c r="E28" s="258"/>
    </row>
    <row r="29" spans="2:5" ht="20" customHeight="1">
      <c r="B29" s="259" t="s">
        <v>2369</v>
      </c>
      <c r="C29" s="202" t="str">
        <f>sample_k8s_cluster_name</f>
        <v>sfo-w01-tkc01</v>
      </c>
      <c r="D29" s="219" t="str">
        <f>k8s_cluster_name</f>
        <v>Value Missing</v>
      </c>
      <c r="E29" s="258"/>
    </row>
    <row r="30" spans="2:5" ht="20" customHeight="1">
      <c r="B30" s="259" t="s">
        <v>2370</v>
      </c>
      <c r="C30" s="202" t="str">
        <f>sample_gg_kub_admins_group</f>
        <v>gg-kub-admins</v>
      </c>
      <c r="D30" s="219" t="str">
        <f>group_gg_kub_admins</f>
        <v>Value Missing</v>
      </c>
      <c r="E30" s="258"/>
    </row>
    <row r="31" spans="2:5" ht="20" customHeight="1">
      <c r="B31" s="259" t="s">
        <v>2371</v>
      </c>
      <c r="C31" s="202" t="str">
        <f>sample_gg_kub_readonly_group</f>
        <v>gg-kub-readonly</v>
      </c>
      <c r="D31" s="219" t="str">
        <f>group_gg_kub_readonly</f>
        <v>Value Missing</v>
      </c>
      <c r="E31" s="258"/>
    </row>
    <row r="32" spans="2:5" ht="16" customHeight="1"/>
    <row r="33" spans="2:5" ht="34" customHeight="1">
      <c r="B33" s="541" t="s">
        <v>4469</v>
      </c>
      <c r="C33" s="542"/>
      <c r="D33" s="542"/>
      <c r="E33" s="543"/>
    </row>
    <row r="34" spans="2:5" ht="20" customHeight="1">
      <c r="B34" s="285" t="s">
        <v>735</v>
      </c>
      <c r="C34" s="285" t="s">
        <v>554</v>
      </c>
      <c r="D34" s="234" t="s">
        <v>555</v>
      </c>
      <c r="E34" s="285" t="s">
        <v>222</v>
      </c>
    </row>
    <row r="35" spans="2:5" ht="20" customHeight="1">
      <c r="B35" s="257" t="s">
        <v>1938</v>
      </c>
      <c r="C35" s="202" t="str">
        <f>IF(mgmt_consolidated_result="Included",CONCATENATE(sample_mgmt_vc_hostname,".",sample_child_dns_zone),CONCATENATE(sample_wld_vc_hostname,".",sample_child_dns_zone))</f>
        <v>sfo-w01-vc01.sfo.rainpole.io</v>
      </c>
      <c r="D35" s="219" t="str">
        <f>dri_vcenter_fqdn</f>
        <v>Value Missing.Value Missing</v>
      </c>
      <c r="E35" s="258"/>
    </row>
    <row r="36" spans="2:5" ht="20" customHeight="1">
      <c r="B36" s="259" t="s">
        <v>4468</v>
      </c>
      <c r="C36" s="202" t="str">
        <f>sample_air_GPU_VM_class</f>
        <v>vgpu-a100-16vcpu-128gb</v>
      </c>
      <c r="D36" s="219" t="str">
        <f>air_GPU_VM_class</f>
        <v>Value Missing</v>
      </c>
      <c r="E36" s="258"/>
    </row>
    <row r="37" spans="2:5" ht="20" customHeight="1">
      <c r="B37" s="259" t="s">
        <v>4467</v>
      </c>
      <c r="C37" s="202">
        <v>16</v>
      </c>
      <c r="D37" s="219">
        <f>C37</f>
        <v>16</v>
      </c>
      <c r="E37" s="258"/>
    </row>
    <row r="38" spans="2:5" ht="20" customHeight="1">
      <c r="B38" s="259" t="s">
        <v>4466</v>
      </c>
      <c r="C38" s="202">
        <v>64</v>
      </c>
      <c r="D38" s="219">
        <f>C38</f>
        <v>64</v>
      </c>
      <c r="E38" s="258"/>
    </row>
    <row r="39" spans="2:5" ht="16" customHeight="1"/>
    <row r="40" spans="2:5" ht="34" customHeight="1">
      <c r="B40" s="541" t="s">
        <v>4465</v>
      </c>
      <c r="C40" s="542"/>
      <c r="D40" s="542"/>
      <c r="E40" s="543"/>
    </row>
    <row r="41" spans="2:5" ht="20" customHeight="1">
      <c r="B41" s="285" t="s">
        <v>735</v>
      </c>
      <c r="C41" s="285" t="s">
        <v>554</v>
      </c>
      <c r="D41" s="234" t="s">
        <v>555</v>
      </c>
      <c r="E41" s="285" t="s">
        <v>222</v>
      </c>
    </row>
    <row r="42" spans="2:5" ht="20" customHeight="1">
      <c r="B42" s="257" t="s">
        <v>2377</v>
      </c>
      <c r="C42" s="202" t="str">
        <f>CONCATENATE(prefix_wld_k8s_cidr,1+(wld_domain_number_chosen -1)*3,".1")</f>
        <v>192.168.21.1</v>
      </c>
      <c r="D42" s="219" t="str">
        <f>dri_k8s_server_address</f>
        <v>Value Missing</v>
      </c>
      <c r="E42" s="260"/>
    </row>
    <row r="43" spans="2:5" ht="20" customHeight="1">
      <c r="B43" s="257" t="s">
        <v>2369</v>
      </c>
      <c r="C43" s="202" t="str">
        <f>sample_k8s_cluster_name</f>
        <v>sfo-w01-tkc01</v>
      </c>
      <c r="D43" s="219" t="str">
        <f>k8s_cluster_name</f>
        <v>Value Missing</v>
      </c>
      <c r="E43" s="258"/>
    </row>
    <row r="44" spans="2:5" ht="20" customHeight="1">
      <c r="B44" s="259" t="s">
        <v>2378</v>
      </c>
      <c r="C44" s="202" t="str">
        <f>sample_k8s_cluster_name</f>
        <v>sfo-w01-tkc01</v>
      </c>
      <c r="D44" s="219" t="str">
        <f>k8s_cluster_name</f>
        <v>Value Missing</v>
      </c>
      <c r="E44" s="258"/>
    </row>
    <row r="45" spans="2:5" ht="20" customHeight="1">
      <c r="B45" s="259" t="s">
        <v>2379</v>
      </c>
      <c r="C45" s="202" t="str">
        <f>sample_k8s_cluster_name</f>
        <v>sfo-w01-tkc01</v>
      </c>
      <c r="D45" s="219" t="str">
        <f>k8s_cluster_name</f>
        <v>Value Missing</v>
      </c>
      <c r="E45" s="258"/>
    </row>
    <row r="46" spans="2:5" ht="20" customHeight="1">
      <c r="B46" s="259" t="s">
        <v>2380</v>
      </c>
      <c r="C46" s="202" t="str">
        <f>sample_k8s_vcenter_storage_policy</f>
        <v>vsphere-with-tanzu-storage-policy</v>
      </c>
      <c r="D46" s="219" t="str">
        <f>k8s_vcenter_storage_policy</f>
        <v>Value Missing</v>
      </c>
      <c r="E46" s="258"/>
    </row>
    <row r="47" spans="2:5" ht="20" customHeight="1">
      <c r="B47" s="259" t="s">
        <v>2381</v>
      </c>
      <c r="C47" s="202" t="str">
        <f>sample_k8s_vm_class</f>
        <v>guaranteed-small</v>
      </c>
      <c r="D47" s="219" t="str">
        <f>k8s_vm_class</f>
        <v>guaranteed-small</v>
      </c>
      <c r="E47" s="258"/>
    </row>
    <row r="48" spans="2:5" ht="20" customHeight="1">
      <c r="B48" s="259" t="s">
        <v>2382</v>
      </c>
      <c r="C48" s="202" t="str">
        <f>sample_k8s_tanzu_k8s_cluster_service_pool_cidr</f>
        <v>198.51.100.0/12</v>
      </c>
      <c r="D48" s="219" t="str">
        <f>k8s_tanzu_k8s_cluster_service_pool_cidr</f>
        <v>Value Missing</v>
      </c>
      <c r="E48" s="260"/>
    </row>
    <row r="49" spans="2:5" ht="20" customHeight="1">
      <c r="B49" s="259" t="s">
        <v>2383</v>
      </c>
      <c r="C49" s="202" t="str">
        <f>sample_k8s_tanzu_k8s_cluster_pod_pool_cidr</f>
        <v>192.0.2.0/16</v>
      </c>
      <c r="D49" s="219" t="str">
        <f>k8s_tanzu_k8s_cluster_pod_pool_cidr</f>
        <v>Value Missing</v>
      </c>
      <c r="E49" s="260"/>
    </row>
    <row r="50" spans="2:5" ht="16" customHeight="1"/>
    <row r="51" spans="2:5" ht="34" customHeight="1">
      <c r="B51" s="541" t="s">
        <v>4464</v>
      </c>
      <c r="C51" s="542"/>
      <c r="D51" s="542"/>
      <c r="E51" s="543"/>
    </row>
    <row r="52" spans="2:5" ht="20" customHeight="1">
      <c r="B52" s="285" t="s">
        <v>735</v>
      </c>
      <c r="C52" s="285" t="s">
        <v>554</v>
      </c>
      <c r="D52" s="234" t="s">
        <v>555</v>
      </c>
      <c r="E52" s="285" t="s">
        <v>222</v>
      </c>
    </row>
    <row r="53" spans="2:5" ht="20" customHeight="1">
      <c r="B53" s="257" t="s">
        <v>1938</v>
      </c>
      <c r="C53" s="202" t="str">
        <f>IF(mgmt_consolidated_result="Included",CONCATENATE(sample_mgmt_vc_hostname,".",sample_child_dns_zone),CONCATENATE(sample_wld_vc_hostname,".",sample_child_dns_zone))</f>
        <v>sfo-w01-vc01.sfo.rainpole.io</v>
      </c>
      <c r="D53" s="219" t="str">
        <f>dri_vcenter_fqdn</f>
        <v>Value Missing.Value Missing</v>
      </c>
      <c r="E53" s="258"/>
    </row>
    <row r="54" spans="2:5" ht="20" customHeight="1">
      <c r="B54" s="259" t="s">
        <v>4463</v>
      </c>
      <c r="C54" s="202" t="str">
        <f>sample_air_GPU_operator_namespace</f>
        <v>gpu-operator</v>
      </c>
      <c r="D54" s="219" t="str">
        <f>air_GPU_operator_namespace</f>
        <v>Value Missing</v>
      </c>
      <c r="E54" s="258"/>
    </row>
    <row r="55" spans="2:5" ht="16" customHeight="1"/>
    <row r="56" spans="2:5" ht="34" customHeight="1">
      <c r="B56" s="541" t="s">
        <v>4462</v>
      </c>
      <c r="C56" s="542"/>
      <c r="D56" s="542"/>
      <c r="E56" s="543"/>
    </row>
    <row r="57" spans="2:5" ht="20" customHeight="1">
      <c r="B57" s="285" t="s">
        <v>735</v>
      </c>
      <c r="C57" s="285" t="s">
        <v>554</v>
      </c>
      <c r="D57" s="234" t="s">
        <v>555</v>
      </c>
      <c r="E57" s="285" t="s">
        <v>222</v>
      </c>
    </row>
    <row r="58" spans="2:5" ht="20" customHeight="1">
      <c r="B58" s="257" t="s">
        <v>1938</v>
      </c>
      <c r="C58" s="202" t="str">
        <f>IF(mgmt_consolidated_result="Included",CONCATENATE(sample_mgmt_vc_hostname,".",sample_child_dns_zone),CONCATENATE(sample_wld_vc_hostname,".",sample_child_dns_zone))</f>
        <v>sfo-w01-vc01.sfo.rainpole.io</v>
      </c>
      <c r="D58" s="219" t="str">
        <f>dri_vcenter_fqdn</f>
        <v>Value Missing.Value Missing</v>
      </c>
      <c r="E58" s="258"/>
    </row>
    <row r="59" spans="2:5" ht="20" customHeight="1">
      <c r="B59" s="259" t="s">
        <v>4461</v>
      </c>
      <c r="C59" s="202" t="str">
        <f>sample_air_GPU_network_operator_namespace</f>
        <v>nvidia-network-operator</v>
      </c>
      <c r="D59" s="219" t="str">
        <f>air_GPU_network_operator_namespace</f>
        <v>Value Missing</v>
      </c>
      <c r="E59" s="258"/>
    </row>
    <row r="60" spans="2:5" ht="16" customHeight="1"/>
    <row r="61" spans="2:5" ht="34" customHeight="1">
      <c r="B61" s="541" t="s">
        <v>4460</v>
      </c>
      <c r="C61" s="542"/>
      <c r="D61" s="542"/>
      <c r="E61" s="543"/>
    </row>
    <row r="62" spans="2:5" ht="20" customHeight="1">
      <c r="B62" s="285" t="s">
        <v>735</v>
      </c>
      <c r="C62" s="285" t="s">
        <v>554</v>
      </c>
      <c r="D62" s="234" t="s">
        <v>555</v>
      </c>
      <c r="E62" s="285" t="s">
        <v>222</v>
      </c>
    </row>
    <row r="63" spans="2:5" ht="20" customHeight="1">
      <c r="B63" s="257" t="s">
        <v>3368</v>
      </c>
      <c r="C63" s="202" t="str">
        <f>CONCATENATE(sample_xreg_vrslcm_hostname,".",sample_parent_dns_zone)</f>
        <v>xint-lcm01.rainpole.io</v>
      </c>
      <c r="D63" s="219" t="str">
        <f>xreg_vrslcm_fqdn</f>
        <v>Value Missing.Value Missing</v>
      </c>
      <c r="E63" s="258"/>
    </row>
    <row r="64" spans="2:5" ht="16" customHeight="1"/>
    <row r="65" spans="2:5" ht="34" customHeight="1">
      <c r="B65" s="541" t="s">
        <v>4459</v>
      </c>
      <c r="C65" s="542"/>
      <c r="D65" s="542"/>
      <c r="E65" s="543"/>
    </row>
    <row r="66" spans="2:5" ht="20" customHeight="1">
      <c r="B66" s="285" t="s">
        <v>735</v>
      </c>
      <c r="C66" s="285" t="s">
        <v>554</v>
      </c>
      <c r="D66" s="234" t="s">
        <v>555</v>
      </c>
      <c r="E66" s="285" t="s">
        <v>222</v>
      </c>
    </row>
    <row r="67" spans="2:5" ht="20" customHeight="1">
      <c r="B67" s="257" t="s">
        <v>1938</v>
      </c>
      <c r="C67" s="202" t="str">
        <f>IF(mgmt_consolidated_result="Included",CONCATENATE(sample_mgmt_vc_hostname,".",sample_child_dns_zone),CONCATENATE(sample_wld_vc_hostname,".",sample_child_dns_zone))</f>
        <v>sfo-w01-vc01.sfo.rainpole.io</v>
      </c>
      <c r="D67" s="219" t="str">
        <f>dri_vcenter_fqdn</f>
        <v>Value Missing.Value Missing</v>
      </c>
      <c r="E67" s="258"/>
    </row>
    <row r="68" spans="2:5" ht="16" customHeight="1"/>
    <row r="69" spans="2:5" ht="34" customHeight="1">
      <c r="B69" s="541" t="s">
        <v>4458</v>
      </c>
      <c r="C69" s="542"/>
      <c r="D69" s="542"/>
      <c r="E69" s="543"/>
    </row>
    <row r="70" spans="2:5" ht="20" customHeight="1">
      <c r="B70" s="285" t="s">
        <v>735</v>
      </c>
      <c r="C70" s="285" t="s">
        <v>554</v>
      </c>
      <c r="D70" s="234" t="s">
        <v>555</v>
      </c>
      <c r="E70" s="285" t="s">
        <v>222</v>
      </c>
    </row>
    <row r="71" spans="2:5" ht="20" customHeight="1">
      <c r="B71" s="257" t="s">
        <v>1938</v>
      </c>
      <c r="C71" s="202" t="str">
        <f>IF(mgmt_consolidated_result="Included",CONCATENATE(sample_mgmt_vc_hostname,".",sample_child_dns_zone),CONCATENATE(sample_wld_vc_hostname,".",sample_child_dns_zone))</f>
        <v>sfo-w01-vc01.sfo.rainpole.io</v>
      </c>
      <c r="D71" s="219" t="str">
        <f>dri_vcenter_fqdn</f>
        <v>Value Missing.Value Missing</v>
      </c>
      <c r="E71" s="258"/>
    </row>
    <row r="72" spans="2:5" ht="20" customHeight="1">
      <c r="B72" s="259" t="s">
        <v>4457</v>
      </c>
      <c r="C72" s="202" t="str">
        <f>sample_k8s_vcenter_content_library</f>
        <v>Kubernetes</v>
      </c>
      <c r="D72" s="219" t="str">
        <f>k8s_vcenter_content_library</f>
        <v>Value Missing</v>
      </c>
      <c r="E72" s="258"/>
    </row>
    <row r="73" spans="2:5" ht="20" customHeight="1">
      <c r="B73" s="259" t="s">
        <v>2343</v>
      </c>
      <c r="C73" s="202" t="str">
        <f>IF(mgmt_consolidated_result="Included",sample_mgmt_vsan_datastore,sample_wld_vsan_datastore)</f>
        <v>sfo-w01-sfo-w01-cl01-vsan01</v>
      </c>
      <c r="D73" s="219" t="str">
        <f>dri_vcenter_vsan_datastore</f>
        <v>Value Missing</v>
      </c>
      <c r="E73" s="258"/>
    </row>
    <row r="74" spans="2:5" ht="16" customHeight="1"/>
    <row r="75" spans="2:5" ht="34" customHeight="1">
      <c r="B75" s="541" t="s">
        <v>4456</v>
      </c>
      <c r="C75" s="542"/>
      <c r="D75" s="542"/>
      <c r="E75" s="543"/>
    </row>
    <row r="76" spans="2:5" ht="20" customHeight="1">
      <c r="B76" s="285" t="s">
        <v>735</v>
      </c>
      <c r="C76" s="285" t="s">
        <v>554</v>
      </c>
      <c r="D76" s="234" t="s">
        <v>555</v>
      </c>
      <c r="E76" s="285" t="s">
        <v>222</v>
      </c>
    </row>
    <row r="77" spans="2:5" ht="20" customHeight="1">
      <c r="B77" s="257" t="s">
        <v>3368</v>
      </c>
      <c r="C77" s="202" t="str">
        <f>CONCATENATE(sample_xreg_vrslcm_hostname,".",sample_parent_dns_zone)</f>
        <v>xint-lcm01.rainpole.io</v>
      </c>
      <c r="D77" s="219" t="str">
        <f>xreg_vrslcm_fqdn</f>
        <v>Value Missing.Value Missing</v>
      </c>
      <c r="E77" s="258"/>
    </row>
    <row r="78" spans="2:5" ht="16" customHeight="1"/>
    <row r="79" spans="2:5" ht="34" customHeight="1">
      <c r="B79" s="541" t="s">
        <v>4455</v>
      </c>
      <c r="C79" s="542"/>
      <c r="D79" s="542"/>
      <c r="E79" s="543"/>
    </row>
    <row r="80" spans="2:5" ht="20" customHeight="1">
      <c r="B80" s="285" t="s">
        <v>735</v>
      </c>
      <c r="C80" s="285" t="s">
        <v>554</v>
      </c>
      <c r="D80" s="234" t="s">
        <v>555</v>
      </c>
      <c r="E80" s="285" t="s">
        <v>222</v>
      </c>
    </row>
    <row r="81" spans="2:5" ht="20" customHeight="1">
      <c r="B81" s="257" t="s">
        <v>3368</v>
      </c>
      <c r="C81" s="202" t="str">
        <f>CONCATENATE(sample_xreg_vrslcm_hostname,".",sample_parent_dns_zone)</f>
        <v>xint-lcm01.rainpole.io</v>
      </c>
      <c r="D81" s="219" t="str">
        <f>xreg_vrslcm_fqdn</f>
        <v>Value Missing.Value Missing</v>
      </c>
      <c r="E81" s="258"/>
    </row>
    <row r="82" spans="2:5" ht="16" customHeight="1"/>
    <row r="83" spans="2:5" ht="34" customHeight="1">
      <c r="B83" s="541" t="s">
        <v>4454</v>
      </c>
      <c r="C83" s="542"/>
      <c r="D83" s="542"/>
      <c r="E83" s="543"/>
    </row>
    <row r="84" spans="2:5" ht="20" customHeight="1">
      <c r="B84" s="285" t="s">
        <v>735</v>
      </c>
      <c r="C84" s="285" t="s">
        <v>554</v>
      </c>
      <c r="D84" s="234" t="s">
        <v>555</v>
      </c>
      <c r="E84" s="285" t="s">
        <v>222</v>
      </c>
    </row>
    <row r="85" spans="2:5" ht="20" customHeight="1">
      <c r="B85" s="257" t="s">
        <v>3368</v>
      </c>
      <c r="C85" s="202" t="str">
        <f>CONCATENATE(sample_xreg_vrslcm_hostname,".",sample_parent_dns_zone)</f>
        <v>xint-lcm01.rainpole.io</v>
      </c>
      <c r="D85" s="219" t="str">
        <f>xreg_vrslcm_fqdn</f>
        <v>Value Missing.Value Missing</v>
      </c>
      <c r="E85" s="258"/>
    </row>
    <row r="86" spans="2:5" ht="16" customHeight="1"/>
    <row r="87" spans="2:5" ht="34" customHeight="1">
      <c r="B87" s="541" t="s">
        <v>4453</v>
      </c>
      <c r="C87" s="542"/>
      <c r="D87" s="542"/>
      <c r="E87" s="543"/>
    </row>
    <row r="88" spans="2:5" ht="20" customHeight="1">
      <c r="B88" s="285" t="s">
        <v>735</v>
      </c>
      <c r="C88" s="285" t="s">
        <v>554</v>
      </c>
      <c r="D88" s="234" t="s">
        <v>555</v>
      </c>
      <c r="E88" s="285" t="s">
        <v>222</v>
      </c>
    </row>
    <row r="89" spans="2:5" ht="20" customHeight="1">
      <c r="B89" s="257" t="s">
        <v>3368</v>
      </c>
      <c r="C89" s="284" t="str">
        <f>CONCATENATE(sample_xreg_vrslcm_hostname,".",sample_parent_dns_zone)</f>
        <v>xint-lcm01.rainpole.io</v>
      </c>
      <c r="D89" s="219" t="str">
        <f>xreg_vrslcm_fqdn</f>
        <v>Value Missing.Value Missing</v>
      </c>
      <c r="E89" s="258"/>
    </row>
    <row r="90" spans="2:5" ht="16" customHeight="1"/>
  </sheetData>
  <sheetProtection algorithmName="SHA-512" hashValue="AXmOOLhr2ob/wvEwZq8nDq9NFt6RsZVtp5F8hKNZmdr4PTv1vlUP6+DyH3ZWrCkwpJ2OAzqMugFCNv+KUc5JNQ==" saltValue="OqWxDS650xuQ4dtwojM0kQ==" spinCount="100000" sheet="1" objects="1" scenarios="1"/>
  <mergeCells count="19">
    <mergeCell ref="B10:E10"/>
    <mergeCell ref="B79:E79"/>
    <mergeCell ref="B40:E40"/>
    <mergeCell ref="B51:E51"/>
    <mergeCell ref="B2:C2"/>
    <mergeCell ref="D2:E2"/>
    <mergeCell ref="B3:E3"/>
    <mergeCell ref="B8:E8"/>
    <mergeCell ref="B33:E33"/>
    <mergeCell ref="B14:E14"/>
    <mergeCell ref="B19:E19"/>
    <mergeCell ref="B26:E26"/>
    <mergeCell ref="B83:E83"/>
    <mergeCell ref="B87:E87"/>
    <mergeCell ref="B75:E75"/>
    <mergeCell ref="B56:E56"/>
    <mergeCell ref="B61:E61"/>
    <mergeCell ref="B65:E65"/>
    <mergeCell ref="B69:E69"/>
  </mergeCells>
  <conditionalFormatting sqref="B8:E8 B10:E12 B14:E17">
    <cfRule type="expression" dxfId="1158" priority="34">
      <formula>air_result="Excluded"</formula>
    </cfRule>
  </conditionalFormatting>
  <conditionalFormatting sqref="B19:E24">
    <cfRule type="expression" dxfId="1157" priority="69">
      <formula>air_result="Excluded"</formula>
    </cfRule>
  </conditionalFormatting>
  <conditionalFormatting sqref="B26:E31">
    <cfRule type="expression" dxfId="1156" priority="95">
      <formula>air_result="Excluded"</formula>
    </cfRule>
  </conditionalFormatting>
  <conditionalFormatting sqref="B33:E38">
    <cfRule type="expression" dxfId="1155" priority="28">
      <formula>air_result="Excluded"</formula>
    </cfRule>
  </conditionalFormatting>
  <conditionalFormatting sqref="B40:E49">
    <cfRule type="expression" dxfId="1154" priority="94">
      <formula>air_result="Excluded"</formula>
    </cfRule>
  </conditionalFormatting>
  <conditionalFormatting sqref="B51:E54">
    <cfRule type="expression" dxfId="1153" priority="25">
      <formula>air_result="Excluded"</formula>
    </cfRule>
  </conditionalFormatting>
  <conditionalFormatting sqref="B56:E59">
    <cfRule type="expression" dxfId="1152" priority="22">
      <formula>air_result="Excluded"</formula>
    </cfRule>
  </conditionalFormatting>
  <conditionalFormatting sqref="B61:E63">
    <cfRule type="expression" dxfId="1151" priority="19">
      <formula>air_result="Excluded"</formula>
    </cfRule>
  </conditionalFormatting>
  <conditionalFormatting sqref="B65:E67">
    <cfRule type="expression" dxfId="1150" priority="16">
      <formula>air_result="Excluded"</formula>
    </cfRule>
  </conditionalFormatting>
  <conditionalFormatting sqref="B69:E73">
    <cfRule type="expression" dxfId="1149" priority="13">
      <formula>air_result="Excluded"</formula>
    </cfRule>
  </conditionalFormatting>
  <conditionalFormatting sqref="B75:E77">
    <cfRule type="expression" dxfId="1148" priority="10">
      <formula>air_result="Excluded"</formula>
    </cfRule>
  </conditionalFormatting>
  <conditionalFormatting sqref="B79:E81">
    <cfRule type="expression" dxfId="1147" priority="7">
      <formula>air_result="Excluded"</formula>
    </cfRule>
  </conditionalFormatting>
  <conditionalFormatting sqref="B83:E85">
    <cfRule type="expression" dxfId="1146" priority="4">
      <formula>air_result="Excluded"</formula>
    </cfRule>
  </conditionalFormatting>
  <conditionalFormatting sqref="B87:E89">
    <cfRule type="expression" dxfId="1145" priority="1">
      <formula>air_result="Excluded"</formula>
    </cfRule>
  </conditionalFormatting>
  <conditionalFormatting sqref="C5">
    <cfRule type="expression" dxfId="1144" priority="92">
      <formula>air_result="Excluded"</formula>
    </cfRule>
  </conditionalFormatting>
  <hyperlinks>
    <hyperlink ref="C5" location="'Developer Ready Infrastructure'!navigation_dri_implementation" display="Implementation" xr:uid="{9EFD61A2-9154-D04D-B9C2-B156370E1D56}"/>
    <hyperlink ref="B5" location="'Deployment Options'!H50" display="Section Navigation (Click to Navigate)" xr:uid="{C2146007-10DF-2A47-B0C5-8D3FD5699004}"/>
  </hyperlink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ontainsText" priority="44" operator="containsText" id="{9E4E15BB-17E9-824B-9614-B766548EF417}">
            <xm:f>NOT(ISERROR(SEARCH("Value Missing",D12)))</xm:f>
            <xm:f>"Value Missing"</xm:f>
            <x14:dxf>
              <font>
                <color rgb="FF9C0006"/>
              </font>
              <fill>
                <patternFill>
                  <bgColor rgb="FFFFC7CE"/>
                </patternFill>
              </fill>
            </x14:dxf>
          </x14:cfRule>
          <x14:cfRule type="notContainsText" priority="43" operator="notContains" id="{4CB58011-5672-154A-8476-1E9A7AB4FE1D}">
            <xm:f>ISERROR(SEARCH("Value Missing",D12))</xm:f>
            <xm:f>"Value Missing"</xm:f>
            <x14:dxf>
              <font>
                <color rgb="FF006100"/>
              </font>
              <fill>
                <patternFill>
                  <bgColor rgb="FFC6EFCE"/>
                </patternFill>
              </fill>
            </x14:dxf>
          </x14:cfRule>
          <xm:sqref>D12</xm:sqref>
        </x14:conditionalFormatting>
        <x14:conditionalFormatting xmlns:xm="http://schemas.microsoft.com/office/excel/2006/main">
          <x14:cfRule type="containsText" priority="41" operator="containsText" id="{6393044B-5E76-1940-9E55-E3297C210ED8}">
            <xm:f>NOT(ISERROR(SEARCH("Value Missing",D16)))</xm:f>
            <xm:f>"Value Missing"</xm:f>
            <x14:dxf>
              <font>
                <color rgb="FF9C0006"/>
              </font>
              <fill>
                <patternFill>
                  <bgColor rgb="FFFFC7CE"/>
                </patternFill>
              </fill>
            </x14:dxf>
          </x14:cfRule>
          <x14:cfRule type="notContainsText" priority="40" operator="notContains" id="{BDC2BD39-16B9-5C45-A9D8-379D03491746}">
            <xm:f>ISERROR(SEARCH("Value Missing",D16))</xm:f>
            <xm:f>"Value Missing"</xm:f>
            <x14:dxf>
              <font>
                <color rgb="FF006100"/>
              </font>
              <fill>
                <patternFill>
                  <bgColor rgb="FFC6EFCE"/>
                </patternFill>
              </fill>
            </x14:dxf>
          </x14:cfRule>
          <xm:sqref>D16:D17</xm:sqref>
        </x14:conditionalFormatting>
        <x14:conditionalFormatting xmlns:xm="http://schemas.microsoft.com/office/excel/2006/main">
          <x14:cfRule type="containsText" priority="142" operator="containsText" id="{E0B7524E-A47C-0249-A83B-5801DCACBA1C}">
            <xm:f>NOT(ISERROR(SEARCH("Value Missing",D21)))</xm:f>
            <xm:f>"Value Missing"</xm:f>
            <x14:dxf>
              <font>
                <color rgb="FF9C0006"/>
              </font>
              <fill>
                <patternFill>
                  <bgColor rgb="FFFFC7CE"/>
                </patternFill>
              </fill>
            </x14:dxf>
          </x14:cfRule>
          <x14:cfRule type="notContainsText" priority="141" operator="notContains" id="{0DFC01B7-A021-914A-9186-15C4F6D47E32}">
            <xm:f>ISERROR(SEARCH("Value Missing",D21))</xm:f>
            <xm:f>"Value Missing"</xm:f>
            <x14:dxf>
              <font>
                <color rgb="FF006100"/>
              </font>
              <fill>
                <patternFill>
                  <bgColor rgb="FFC6EFCE"/>
                </patternFill>
              </fill>
            </x14:dxf>
          </x14:cfRule>
          <xm:sqref>D21:D24</xm:sqref>
        </x14:conditionalFormatting>
        <x14:conditionalFormatting xmlns:xm="http://schemas.microsoft.com/office/excel/2006/main">
          <x14:cfRule type="containsText" priority="112" operator="containsText" id="{4184562F-25A6-D34E-8836-68E9BFDFDE53}">
            <xm:f>NOT(ISERROR(SEARCH("Value Missing",D28)))</xm:f>
            <xm:f>"Value Missing"</xm:f>
            <x14:dxf>
              <font>
                <color rgb="FF9C0006"/>
              </font>
              <fill>
                <patternFill>
                  <bgColor rgb="FFFFC7CE"/>
                </patternFill>
              </fill>
            </x14:dxf>
          </x14:cfRule>
          <x14:cfRule type="notContainsText" priority="111" operator="notContains" id="{A467CCDE-85E2-544D-A181-35F03400A4A1}">
            <xm:f>ISERROR(SEARCH("Value Missing",D28))</xm:f>
            <xm:f>"Value Missing"</xm:f>
            <x14:dxf>
              <font>
                <color rgb="FF006100"/>
              </font>
              <fill>
                <patternFill>
                  <bgColor rgb="FFC6EFCE"/>
                </patternFill>
              </fill>
            </x14:dxf>
          </x14:cfRule>
          <xm:sqref>D28:D31</xm:sqref>
        </x14:conditionalFormatting>
        <x14:conditionalFormatting xmlns:xm="http://schemas.microsoft.com/office/excel/2006/main">
          <x14:cfRule type="notContainsText" priority="29" operator="notContains" id="{7CEAD80C-FEA6-1E49-B76A-B2C38791C706}">
            <xm:f>ISERROR(SEARCH("Value Missing",D35))</xm:f>
            <xm:f>"Value Missing"</xm:f>
            <x14:dxf>
              <font>
                <color rgb="FF006100"/>
              </font>
              <fill>
                <patternFill>
                  <bgColor rgb="FFC6EFCE"/>
                </patternFill>
              </fill>
            </x14:dxf>
          </x14:cfRule>
          <x14:cfRule type="containsText" priority="30" operator="containsText" id="{6B6AD70B-6F8F-3141-9991-8340B0A49F1E}">
            <xm:f>NOT(ISERROR(SEARCH("Value Missing",D35)))</xm:f>
            <xm:f>"Value Missing"</xm:f>
            <x14:dxf>
              <font>
                <color rgb="FF9C0006"/>
              </font>
              <fill>
                <patternFill>
                  <bgColor rgb="FFFFC7CE"/>
                </patternFill>
              </fill>
            </x14:dxf>
          </x14:cfRule>
          <xm:sqref>D35:D38</xm:sqref>
        </x14:conditionalFormatting>
        <x14:conditionalFormatting xmlns:xm="http://schemas.microsoft.com/office/excel/2006/main">
          <x14:cfRule type="containsText" priority="106" operator="containsText" id="{1ECC820D-41B8-E748-A71D-78A34346D83D}">
            <xm:f>NOT(ISERROR(SEARCH("Value Missing",D42)))</xm:f>
            <xm:f>"Value Missing"</xm:f>
            <x14:dxf>
              <font>
                <color rgb="FF9C0006"/>
              </font>
              <fill>
                <patternFill>
                  <bgColor rgb="FFFFC7CE"/>
                </patternFill>
              </fill>
            </x14:dxf>
          </x14:cfRule>
          <x14:cfRule type="notContainsText" priority="105" operator="notContains" id="{F91D075D-8AF9-1C47-92E8-1B5858F7FFA6}">
            <xm:f>ISERROR(SEARCH("Value Missing",D42))</xm:f>
            <xm:f>"Value Missing"</xm:f>
            <x14:dxf>
              <font>
                <color rgb="FF006100"/>
              </font>
              <fill>
                <patternFill>
                  <bgColor rgb="FFC6EFCE"/>
                </patternFill>
              </fill>
            </x14:dxf>
          </x14:cfRule>
          <xm:sqref>D42:D49</xm:sqref>
        </x14:conditionalFormatting>
        <x14:conditionalFormatting xmlns:xm="http://schemas.microsoft.com/office/excel/2006/main">
          <x14:cfRule type="notContainsText" priority="26" operator="notContains" id="{35C9637B-6C31-1A40-8667-6D6414BFB40C}">
            <xm:f>ISERROR(SEARCH("Value Missing",D53))</xm:f>
            <xm:f>"Value Missing"</xm:f>
            <x14:dxf>
              <font>
                <color rgb="FF006100"/>
              </font>
              <fill>
                <patternFill>
                  <bgColor rgb="FFC6EFCE"/>
                </patternFill>
              </fill>
            </x14:dxf>
          </x14:cfRule>
          <x14:cfRule type="containsText" priority="27" operator="containsText" id="{67512852-F8FC-074D-948C-CB815D4A7EEF}">
            <xm:f>NOT(ISERROR(SEARCH("Value Missing",D53)))</xm:f>
            <xm:f>"Value Missing"</xm:f>
            <x14:dxf>
              <font>
                <color rgb="FF9C0006"/>
              </font>
              <fill>
                <patternFill>
                  <bgColor rgb="FFFFC7CE"/>
                </patternFill>
              </fill>
            </x14:dxf>
          </x14:cfRule>
          <xm:sqref>D53:D54</xm:sqref>
        </x14:conditionalFormatting>
        <x14:conditionalFormatting xmlns:xm="http://schemas.microsoft.com/office/excel/2006/main">
          <x14:cfRule type="notContainsText" priority="23" operator="notContains" id="{0C14BDF8-352A-2F48-85F4-38D87E3638C1}">
            <xm:f>ISERROR(SEARCH("Value Missing",D58))</xm:f>
            <xm:f>"Value Missing"</xm:f>
            <x14:dxf>
              <font>
                <color rgb="FF006100"/>
              </font>
              <fill>
                <patternFill>
                  <bgColor rgb="FFC6EFCE"/>
                </patternFill>
              </fill>
            </x14:dxf>
          </x14:cfRule>
          <x14:cfRule type="containsText" priority="24" operator="containsText" id="{9E533CAA-C513-4E42-811F-8D2D45E2EA4A}">
            <xm:f>NOT(ISERROR(SEARCH("Value Missing",D58)))</xm:f>
            <xm:f>"Value Missing"</xm:f>
            <x14:dxf>
              <font>
                <color rgb="FF9C0006"/>
              </font>
              <fill>
                <patternFill>
                  <bgColor rgb="FFFFC7CE"/>
                </patternFill>
              </fill>
            </x14:dxf>
          </x14:cfRule>
          <xm:sqref>D58:D59</xm:sqref>
        </x14:conditionalFormatting>
        <x14:conditionalFormatting xmlns:xm="http://schemas.microsoft.com/office/excel/2006/main">
          <x14:cfRule type="containsText" priority="21" operator="containsText" id="{5122DA16-34C8-B148-BA6A-A5DCB19F6B4A}">
            <xm:f>NOT(ISERROR(SEARCH("Value Missing",D63)))</xm:f>
            <xm:f>"Value Missing"</xm:f>
            <x14:dxf>
              <font>
                <color rgb="FF9C0006"/>
              </font>
              <fill>
                <patternFill>
                  <bgColor rgb="FFFFC7CE"/>
                </patternFill>
              </fill>
            </x14:dxf>
          </x14:cfRule>
          <x14:cfRule type="notContainsText" priority="20" operator="notContains" id="{02E77D87-F062-DD43-B9EE-E8AE354EF67A}">
            <xm:f>ISERROR(SEARCH("Value Missing",D63))</xm:f>
            <xm:f>"Value Missing"</xm:f>
            <x14:dxf>
              <font>
                <color rgb="FF006100"/>
              </font>
              <fill>
                <patternFill>
                  <bgColor rgb="FFC6EFCE"/>
                </patternFill>
              </fill>
            </x14:dxf>
          </x14:cfRule>
          <xm:sqref>D63</xm:sqref>
        </x14:conditionalFormatting>
        <x14:conditionalFormatting xmlns:xm="http://schemas.microsoft.com/office/excel/2006/main">
          <x14:cfRule type="notContainsText" priority="17" operator="notContains" id="{382D228E-4E24-2243-9283-C39603D15E04}">
            <xm:f>ISERROR(SEARCH("Value Missing",D67))</xm:f>
            <xm:f>"Value Missing"</xm:f>
            <x14:dxf>
              <font>
                <color rgb="FF006100"/>
              </font>
              <fill>
                <patternFill>
                  <bgColor rgb="FFC6EFCE"/>
                </patternFill>
              </fill>
            </x14:dxf>
          </x14:cfRule>
          <x14:cfRule type="containsText" priority="18" operator="containsText" id="{D789D06F-405A-704D-B907-94979E20E95F}">
            <xm:f>NOT(ISERROR(SEARCH("Value Missing",D67)))</xm:f>
            <xm:f>"Value Missing"</xm:f>
            <x14:dxf>
              <font>
                <color rgb="FF9C0006"/>
              </font>
              <fill>
                <patternFill>
                  <bgColor rgb="FFFFC7CE"/>
                </patternFill>
              </fill>
            </x14:dxf>
          </x14:cfRule>
          <xm:sqref>D67</xm:sqref>
        </x14:conditionalFormatting>
        <x14:conditionalFormatting xmlns:xm="http://schemas.microsoft.com/office/excel/2006/main">
          <x14:cfRule type="notContainsText" priority="14" operator="notContains" id="{88F00D96-4D34-1F45-9E6E-91BE4AE8A4A9}">
            <xm:f>ISERROR(SEARCH("Value Missing",D71))</xm:f>
            <xm:f>"Value Missing"</xm:f>
            <x14:dxf>
              <font>
                <color rgb="FF006100"/>
              </font>
              <fill>
                <patternFill>
                  <bgColor rgb="FFC6EFCE"/>
                </patternFill>
              </fill>
            </x14:dxf>
          </x14:cfRule>
          <x14:cfRule type="containsText" priority="15" operator="containsText" id="{3EBDC889-0A91-0345-BF92-D0613370A375}">
            <xm:f>NOT(ISERROR(SEARCH("Value Missing",D71)))</xm:f>
            <xm:f>"Value Missing"</xm:f>
            <x14:dxf>
              <font>
                <color rgb="FF9C0006"/>
              </font>
              <fill>
                <patternFill>
                  <bgColor rgb="FFFFC7CE"/>
                </patternFill>
              </fill>
            </x14:dxf>
          </x14:cfRule>
          <xm:sqref>D71:D73</xm:sqref>
        </x14:conditionalFormatting>
        <x14:conditionalFormatting xmlns:xm="http://schemas.microsoft.com/office/excel/2006/main">
          <x14:cfRule type="containsText" priority="12" operator="containsText" id="{C84195E0-10C7-3344-A997-C2E1FC1178C4}">
            <xm:f>NOT(ISERROR(SEARCH("Value Missing",D77)))</xm:f>
            <xm:f>"Value Missing"</xm:f>
            <x14:dxf>
              <font>
                <color rgb="FF9C0006"/>
              </font>
              <fill>
                <patternFill>
                  <bgColor rgb="FFFFC7CE"/>
                </patternFill>
              </fill>
            </x14:dxf>
          </x14:cfRule>
          <x14:cfRule type="notContainsText" priority="11" operator="notContains" id="{8AFAA563-978C-064E-86D1-603E36A77C24}">
            <xm:f>ISERROR(SEARCH("Value Missing",D77))</xm:f>
            <xm:f>"Value Missing"</xm:f>
            <x14:dxf>
              <font>
                <color rgb="FF006100"/>
              </font>
              <fill>
                <patternFill>
                  <bgColor rgb="FFC6EFCE"/>
                </patternFill>
              </fill>
            </x14:dxf>
          </x14:cfRule>
          <xm:sqref>D77</xm:sqref>
        </x14:conditionalFormatting>
        <x14:conditionalFormatting xmlns:xm="http://schemas.microsoft.com/office/excel/2006/main">
          <x14:cfRule type="containsText" priority="9" operator="containsText" id="{E0646ACA-5045-9B4E-A183-0BD3F02A385D}">
            <xm:f>NOT(ISERROR(SEARCH("Value Missing",D81)))</xm:f>
            <xm:f>"Value Missing"</xm:f>
            <x14:dxf>
              <font>
                <color rgb="FF9C0006"/>
              </font>
              <fill>
                <patternFill>
                  <bgColor rgb="FFFFC7CE"/>
                </patternFill>
              </fill>
            </x14:dxf>
          </x14:cfRule>
          <x14:cfRule type="notContainsText" priority="8" operator="notContains" id="{D66E05E8-EB30-6948-BFA0-B5571F46D5BB}">
            <xm:f>ISERROR(SEARCH("Value Missing",D81))</xm:f>
            <xm:f>"Value Missing"</xm:f>
            <x14:dxf>
              <font>
                <color rgb="FF006100"/>
              </font>
              <fill>
                <patternFill>
                  <bgColor rgb="FFC6EFCE"/>
                </patternFill>
              </fill>
            </x14:dxf>
          </x14:cfRule>
          <xm:sqref>D81</xm:sqref>
        </x14:conditionalFormatting>
        <x14:conditionalFormatting xmlns:xm="http://schemas.microsoft.com/office/excel/2006/main">
          <x14:cfRule type="containsText" priority="6" operator="containsText" id="{BC32C94C-7FC4-B747-9E3B-3F9A0BDD0E08}">
            <xm:f>NOT(ISERROR(SEARCH("Value Missing",D85)))</xm:f>
            <xm:f>"Value Missing"</xm:f>
            <x14:dxf>
              <font>
                <color rgb="FF9C0006"/>
              </font>
              <fill>
                <patternFill>
                  <bgColor rgb="FFFFC7CE"/>
                </patternFill>
              </fill>
            </x14:dxf>
          </x14:cfRule>
          <x14:cfRule type="notContainsText" priority="5" operator="notContains" id="{47DA8D56-B047-7448-9136-7A23DA07936C}">
            <xm:f>ISERROR(SEARCH("Value Missing",D85))</xm:f>
            <xm:f>"Value Missing"</xm:f>
            <x14:dxf>
              <font>
                <color rgb="FF006100"/>
              </font>
              <fill>
                <patternFill>
                  <bgColor rgb="FFC6EFCE"/>
                </patternFill>
              </fill>
            </x14:dxf>
          </x14:cfRule>
          <xm:sqref>D85</xm:sqref>
        </x14:conditionalFormatting>
        <x14:conditionalFormatting xmlns:xm="http://schemas.microsoft.com/office/excel/2006/main">
          <x14:cfRule type="containsText" priority="3" operator="containsText" id="{040FCD67-FF21-AB48-9F0B-D5A5D2B189BF}">
            <xm:f>NOT(ISERROR(SEARCH("Value Missing",D89)))</xm:f>
            <xm:f>"Value Missing"</xm:f>
            <x14:dxf>
              <font>
                <color rgb="FF9C0006"/>
              </font>
              <fill>
                <patternFill>
                  <bgColor rgb="FFFFC7CE"/>
                </patternFill>
              </fill>
            </x14:dxf>
          </x14:cfRule>
          <x14:cfRule type="notContainsText" priority="2" operator="notContains" id="{C36CB3A6-7158-2243-9065-64A999C3054D}">
            <xm:f>ISERROR(SEARCH("Value Missing",D89))</xm:f>
            <xm:f>"Value Missing"</xm:f>
            <x14:dxf>
              <font>
                <color rgb="FF006100"/>
              </font>
              <fill>
                <patternFill>
                  <bgColor rgb="FFC6EFCE"/>
                </patternFill>
              </fill>
            </x14:dxf>
          </x14:cfRule>
          <xm:sqref>D89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A3813-015D-7C4A-BC1E-81A70EDB6682}">
  <sheetPr codeName="Sheet20">
    <tabColor theme="4" tint="0.39997558519241921"/>
  </sheetPr>
  <dimension ref="A1:F227"/>
  <sheetViews>
    <sheetView showGridLines="0" zoomScaleNormal="100" workbookViewId="0">
      <pane ySplit="6" topLeftCell="A7" activePane="bottomLeft" state="frozen"/>
      <selection pane="bottomLeft"/>
    </sheetView>
  </sheetViews>
  <sheetFormatPr baseColWidth="10" defaultColWidth="11" defaultRowHeight="16"/>
  <cols>
    <col min="1" max="1" width="2.83203125" customWidth="1"/>
    <col min="2" max="2" width="63.6640625" customWidth="1"/>
    <col min="3" max="4" width="80.83203125" customWidth="1"/>
    <col min="5" max="5" width="60.83203125" customWidth="1"/>
    <col min="6" max="6" width="2.83203125" customWidth="1"/>
  </cols>
  <sheetData>
    <row r="1" spans="1:6" s="3" customFormat="1" ht="16" customHeight="1">
      <c r="A1" s="6"/>
    </row>
    <row r="2" spans="1:6" s="3" customFormat="1" ht="54" customHeight="1">
      <c r="B2" s="533"/>
      <c r="C2" s="533"/>
      <c r="D2" s="495" t="s">
        <v>2450</v>
      </c>
      <c r="E2" s="495"/>
    </row>
    <row r="3" spans="1:6" s="3" customFormat="1" ht="20" customHeight="1">
      <c r="B3" s="341" t="s">
        <v>2451</v>
      </c>
      <c r="C3" s="341"/>
      <c r="D3" s="341"/>
      <c r="E3" s="341"/>
    </row>
    <row r="5" spans="1:6" ht="34" customHeight="1">
      <c r="B5" s="179" t="s">
        <v>2273</v>
      </c>
      <c r="C5" s="169" t="s">
        <v>2274</v>
      </c>
      <c r="D5" s="162" t="s">
        <v>2452</v>
      </c>
      <c r="E5" s="169" t="s">
        <v>2275</v>
      </c>
    </row>
    <row r="6" spans="1:6" s="3" customFormat="1">
      <c r="D6" s="7"/>
      <c r="E6" s="5"/>
      <c r="F6" s="5"/>
    </row>
    <row r="8" spans="1:6" ht="34" customHeight="1">
      <c r="B8" s="535" t="s">
        <v>2274</v>
      </c>
      <c r="C8" s="535"/>
      <c r="D8" s="535"/>
      <c r="E8" s="535"/>
    </row>
    <row r="9" spans="1:6" ht="16" customHeight="1"/>
    <row r="10" spans="1:6" ht="34" customHeight="1">
      <c r="B10" s="344" t="s">
        <v>3628</v>
      </c>
      <c r="C10" s="344"/>
      <c r="D10" s="344"/>
      <c r="E10" s="344"/>
    </row>
    <row r="11" spans="1:6" ht="20" customHeight="1">
      <c r="B11" s="8" t="s">
        <v>735</v>
      </c>
      <c r="C11" s="8" t="s">
        <v>554</v>
      </c>
      <c r="D11" s="20" t="s">
        <v>555</v>
      </c>
      <c r="E11" s="8" t="s">
        <v>222</v>
      </c>
    </row>
    <row r="12" spans="1:6" ht="20" customHeight="1">
      <c r="B12" s="21" t="s">
        <v>3525</v>
      </c>
      <c r="C12" s="22" t="str">
        <f>CONCATENATE(sample_mgmt_vc_hostname,".",sample_region_ad_child_fqdn)</f>
        <v>sfo-m01-vc01.sfo.rainpole.io</v>
      </c>
      <c r="D12" s="18" t="str">
        <f>mgmt_vc_fqdn</f>
        <v>Value Missing.Value Missing</v>
      </c>
      <c r="E12" s="53"/>
    </row>
    <row r="13" spans="1:6" ht="20" customHeight="1">
      <c r="B13" s="21" t="s">
        <v>735</v>
      </c>
      <c r="C13" s="22" t="s">
        <v>3526</v>
      </c>
      <c r="D13" s="18" t="str">
        <f>vrslcm_xreg_content_library</f>
        <v>Operations</v>
      </c>
      <c r="E13" s="53"/>
    </row>
    <row r="14" spans="1:6" ht="20" customHeight="1">
      <c r="B14" s="21" t="s">
        <v>637</v>
      </c>
      <c r="C14" s="22" t="str">
        <f>CONCATENATE(sample_mgmt_vc_hostname,".",sample_region_ad_child_fqdn)</f>
        <v>sfo-m01-vc01.sfo.rainpole.io</v>
      </c>
      <c r="D14" s="18" t="str">
        <f>mgmt_vc_fqdn</f>
        <v>Value Missing.Value Missing</v>
      </c>
      <c r="E14" s="53"/>
    </row>
    <row r="15" spans="1:6" ht="20" customHeight="1">
      <c r="B15" s="21" t="s">
        <v>931</v>
      </c>
      <c r="C15" s="22" t="str">
        <f>sample_mgmt_cl01_vsan_datastore</f>
        <v>sfo-m01-cl01-ds-vsan01</v>
      </c>
      <c r="D15" s="18" t="str">
        <f>mgmt_cl01_vsan_datastore</f>
        <v>Value Missing</v>
      </c>
      <c r="E15" s="53"/>
    </row>
    <row r="16" spans="1:6" ht="16" customHeight="1"/>
    <row r="17" spans="2:5" ht="34" customHeight="1">
      <c r="B17" s="344" t="s">
        <v>3629</v>
      </c>
      <c r="C17" s="344"/>
      <c r="D17" s="344"/>
      <c r="E17" s="344"/>
    </row>
    <row r="18" spans="2:5" ht="20" customHeight="1">
      <c r="B18" s="8" t="s">
        <v>735</v>
      </c>
      <c r="C18" s="8" t="s">
        <v>554</v>
      </c>
      <c r="D18" s="20" t="s">
        <v>555</v>
      </c>
      <c r="E18" s="8" t="s">
        <v>222</v>
      </c>
    </row>
    <row r="19" spans="2:5" ht="20" customHeight="1">
      <c r="B19" s="21" t="s">
        <v>3525</v>
      </c>
      <c r="C19" s="22" t="str">
        <f>CONCATENATE(sample_mgmt_vc_hostname,".",sample_region_ad_child_fqdn)</f>
        <v>sfo-m01-vc01.sfo.rainpole.io</v>
      </c>
      <c r="D19" s="18" t="str">
        <f>mgmt_vc_fqdn</f>
        <v>Value Missing.Value Missing</v>
      </c>
      <c r="E19" s="53"/>
    </row>
    <row r="20" spans="2:5" ht="20" customHeight="1">
      <c r="B20" s="21" t="s">
        <v>2358</v>
      </c>
      <c r="C20" s="22" t="s">
        <v>3526</v>
      </c>
      <c r="D20" s="18" t="str">
        <f>vrslcm_xreg_content_library</f>
        <v>Operations</v>
      </c>
      <c r="E20" s="53"/>
    </row>
    <row r="21" spans="2:5" ht="16" customHeight="1"/>
    <row r="22" spans="2:5" ht="34" customHeight="1">
      <c r="B22" s="344" t="s">
        <v>3630</v>
      </c>
      <c r="C22" s="344"/>
      <c r="D22" s="344"/>
      <c r="E22" s="344"/>
    </row>
    <row r="23" spans="2:5" ht="20" customHeight="1">
      <c r="B23" s="8" t="s">
        <v>735</v>
      </c>
      <c r="C23" s="8" t="s">
        <v>554</v>
      </c>
      <c r="D23" s="20" t="s">
        <v>555</v>
      </c>
      <c r="E23" s="8" t="s">
        <v>222</v>
      </c>
    </row>
    <row r="24" spans="2:5" ht="20" customHeight="1">
      <c r="B24" s="21" t="s">
        <v>3525</v>
      </c>
      <c r="C24" s="22" t="str">
        <f>CONCATENATE(sample_mgmt_vc_hostname,".",sample_region_ad_child_fqdn)</f>
        <v>sfo-m01-vc01.sfo.rainpole.io</v>
      </c>
      <c r="D24" s="18" t="str">
        <f>mgmt_vc_fqdn</f>
        <v>Value Missing.Value Missing</v>
      </c>
      <c r="E24" s="53"/>
    </row>
    <row r="25" spans="2:5" ht="20" customHeight="1">
      <c r="B25" s="21" t="s">
        <v>2358</v>
      </c>
      <c r="C25" s="22" t="s">
        <v>3526</v>
      </c>
      <c r="D25" s="18" t="str">
        <f>vrslcm_xreg_content_library</f>
        <v>Operations</v>
      </c>
      <c r="E25" s="53"/>
    </row>
    <row r="26" spans="2:5" ht="20" customHeight="1">
      <c r="B26" s="21" t="s">
        <v>2615</v>
      </c>
      <c r="C26" s="22" t="str">
        <f>sample_xreg_vrslcm_hostname</f>
        <v>xint-lcm01</v>
      </c>
      <c r="D26" s="18" t="str">
        <f>xreg_vrslcm_hostname</f>
        <v>Value Missing</v>
      </c>
      <c r="E26" s="53"/>
    </row>
    <row r="27" spans="2:5" ht="20" customHeight="1">
      <c r="B27" s="21" t="s">
        <v>3368</v>
      </c>
      <c r="C27" s="22" t="str">
        <f>CONCATENATE(sample_xreg_vrslcm_hostname,".",sample_parent_dns_zone)</f>
        <v>xint-lcm01.rainpole.io</v>
      </c>
      <c r="D27" s="18" t="str">
        <f>xreg_vrslcm_fqdn</f>
        <v>Value Missing.Value Missing</v>
      </c>
      <c r="E27" s="53"/>
    </row>
    <row r="28" spans="2:5" ht="20" customHeight="1">
      <c r="B28" s="21" t="s">
        <v>3523</v>
      </c>
      <c r="C28" s="22" t="str">
        <f>CONCATENATE(sample_mgmt_vc_hostname,".",sample_region_ad_child_fqdn)</f>
        <v>sfo-m01-vc01.sfo.rainpole.io</v>
      </c>
      <c r="D28" s="18" t="str">
        <f>mgmt_vc_fqdn</f>
        <v>Value Missing.Value Missing</v>
      </c>
      <c r="E28" s="53"/>
    </row>
    <row r="29" spans="2:5" ht="20" customHeight="1">
      <c r="B29" s="21" t="s">
        <v>2570</v>
      </c>
      <c r="C29" s="22" t="str">
        <f>CONCATENATE(sample_mgmt_vc_hostname,"-&lt;guid&gt;")</f>
        <v>sfo-m01-vc01-&lt;guid&gt;</v>
      </c>
      <c r="D29" s="18" t="str">
        <f>CONCATENATE(mgmt_vc_hostname,"-&lt;guid&gt;")</f>
        <v>Value Missing-&lt;guid&gt;</v>
      </c>
      <c r="E29" s="53"/>
    </row>
    <row r="30" spans="2:5" ht="16" customHeight="1"/>
    <row r="31" spans="2:5" ht="34" customHeight="1">
      <c r="B31" s="344" t="s">
        <v>3631</v>
      </c>
      <c r="C31" s="344"/>
      <c r="D31" s="344"/>
      <c r="E31" s="344"/>
    </row>
    <row r="32" spans="2:5" ht="20" customHeight="1">
      <c r="B32" s="8" t="s">
        <v>735</v>
      </c>
      <c r="C32" s="8" t="s">
        <v>554</v>
      </c>
      <c r="D32" s="20" t="s">
        <v>555</v>
      </c>
      <c r="E32" s="8" t="s">
        <v>222</v>
      </c>
    </row>
    <row r="33" spans="2:5" ht="20" customHeight="1">
      <c r="B33" s="21" t="s">
        <v>3525</v>
      </c>
      <c r="C33" s="22" t="str">
        <f>CONCATENATE(sample_mgmt_vc_hostname,".",sample_region_ad_child_fqdn)</f>
        <v>sfo-m01-vc01.sfo.rainpole.io</v>
      </c>
      <c r="D33" s="18" t="str">
        <f>mgmt_vc_fqdn</f>
        <v>Value Missing.Value Missing</v>
      </c>
      <c r="E33" s="53"/>
    </row>
    <row r="34" spans="2:5" ht="20" customHeight="1">
      <c r="B34" s="21" t="s">
        <v>2615</v>
      </c>
      <c r="C34" s="22" t="str">
        <f>sample_xreg_vrslcm_hostname</f>
        <v>xint-lcm01</v>
      </c>
      <c r="D34" s="18" t="str">
        <f>xreg_vrslcm_hostname</f>
        <v>Value Missing</v>
      </c>
      <c r="E34" s="53"/>
    </row>
    <row r="35" spans="2:5" ht="16" customHeight="1"/>
    <row r="36" spans="2:5" ht="34" customHeight="1">
      <c r="B36" s="344" t="s">
        <v>4581</v>
      </c>
      <c r="C36" s="344"/>
      <c r="D36" s="344"/>
      <c r="E36" s="344"/>
    </row>
    <row r="37" spans="2:5" ht="20" customHeight="1">
      <c r="B37" s="8" t="s">
        <v>735</v>
      </c>
      <c r="C37" s="8" t="s">
        <v>554</v>
      </c>
      <c r="D37" s="20" t="s">
        <v>555</v>
      </c>
      <c r="E37" s="8" t="s">
        <v>222</v>
      </c>
    </row>
    <row r="38" spans="2:5" ht="20" customHeight="1">
      <c r="B38" s="21" t="s">
        <v>3525</v>
      </c>
      <c r="C38" s="22" t="str">
        <f>CONCATENATE(sample_mgmt_vc_hostname,".",sample_region_ad_child_fqdn)</f>
        <v>sfo-m01-vc01.sfo.rainpole.io</v>
      </c>
      <c r="D38" s="18" t="str">
        <f>mgmt_vc_fqdn</f>
        <v>Value Missing.Value Missing</v>
      </c>
      <c r="E38" s="53"/>
    </row>
    <row r="39" spans="2:5" ht="20" customHeight="1">
      <c r="B39" s="21" t="s">
        <v>735</v>
      </c>
      <c r="C39" s="22" t="s">
        <v>3526</v>
      </c>
      <c r="D39" s="18" t="str">
        <f>vrslcm_xreg_content_library</f>
        <v>Operations</v>
      </c>
      <c r="E39" s="53"/>
    </row>
    <row r="40" spans="2:5" ht="20" customHeight="1">
      <c r="B40" s="21" t="s">
        <v>637</v>
      </c>
      <c r="C40" s="22" t="str">
        <f>CONCATENATE(sample_mgmt_vc_hostname,".",sample_region_ad_child_fqdn)</f>
        <v>sfo-m01-vc01.sfo.rainpole.io</v>
      </c>
      <c r="D40" s="18" t="str">
        <f>mgmt_vc_fqdn</f>
        <v>Value Missing.Value Missing</v>
      </c>
      <c r="E40" s="53"/>
    </row>
    <row r="41" spans="2:5" ht="20" customHeight="1">
      <c r="B41" s="21" t="s">
        <v>931</v>
      </c>
      <c r="C41" s="22" t="str">
        <f>sample_mgmt_cl01_vsan_datastore</f>
        <v>sfo-m01-cl01-ds-vsan01</v>
      </c>
      <c r="D41" s="18" t="str">
        <f>mgmt_cl01_vsan_datastore</f>
        <v>Value Missing</v>
      </c>
      <c r="E41" s="53"/>
    </row>
    <row r="42" spans="2:5" ht="16" customHeight="1"/>
    <row r="43" spans="2:5" ht="34" customHeight="1">
      <c r="B43" s="344" t="s">
        <v>3347</v>
      </c>
      <c r="C43" s="344"/>
      <c r="D43" s="344"/>
      <c r="E43" s="344"/>
    </row>
    <row r="44" spans="2:5" ht="20" customHeight="1">
      <c r="B44" s="8" t="s">
        <v>735</v>
      </c>
      <c r="C44" s="8" t="s">
        <v>554</v>
      </c>
      <c r="D44" s="20" t="s">
        <v>555</v>
      </c>
      <c r="E44" s="8" t="s">
        <v>222</v>
      </c>
    </row>
    <row r="45" spans="2:5" ht="20" customHeight="1">
      <c r="B45" s="21" t="s">
        <v>3368</v>
      </c>
      <c r="C45" s="22" t="str">
        <f>CONCATENATE(sample_xreg_vrslcm_hostname,".",sample_parent_dns_zone)</f>
        <v>xint-lcm01.rainpole.io</v>
      </c>
      <c r="D45" s="18" t="str">
        <f>xreg_vrslcm_fqdn</f>
        <v>Value Missing.Value Missing</v>
      </c>
      <c r="E45" s="53"/>
    </row>
    <row r="46" spans="2:5" ht="20" customHeight="1">
      <c r="B46" s="21" t="s">
        <v>2387</v>
      </c>
      <c r="C46" s="22" t="str">
        <f>IF(NOT(ISBLANK(input_vrs_license)),"VMware Aria Suite 2019",sample_vrli_license_alias)</f>
        <v>VMware Aria Operations for Logs</v>
      </c>
      <c r="D46" s="18" t="str">
        <f>vrli_license_alias</f>
        <v>Value Missing</v>
      </c>
      <c r="E46" s="53"/>
    </row>
    <row r="47" spans="2:5" ht="20" customHeight="1">
      <c r="B47" s="21" t="s">
        <v>2388</v>
      </c>
      <c r="C47" s="22" t="str">
        <f>sample_vrli_license</f>
        <v>xxxxx-xxxxx-xxxxx-xxxxx-xxxxx</v>
      </c>
      <c r="D47" s="18" t="str">
        <f>vrli_license</f>
        <v>Value Missing</v>
      </c>
      <c r="E47" s="53"/>
    </row>
    <row r="49" spans="2:5" ht="34" customHeight="1">
      <c r="B49" s="427" t="s">
        <v>3348</v>
      </c>
      <c r="C49" s="427"/>
      <c r="D49" s="427"/>
      <c r="E49" s="427"/>
    </row>
    <row r="50" spans="2:5" ht="20" customHeight="1">
      <c r="B50" s="8" t="s">
        <v>735</v>
      </c>
      <c r="C50" s="8" t="s">
        <v>554</v>
      </c>
      <c r="D50" s="20" t="s">
        <v>555</v>
      </c>
      <c r="E50" s="8" t="s">
        <v>222</v>
      </c>
    </row>
    <row r="51" spans="2:5" ht="20" customHeight="1">
      <c r="B51" s="21" t="s">
        <v>3368</v>
      </c>
      <c r="C51" s="22" t="str">
        <f>CONCATENATE(sample_xreg_vrslcm_hostname,".",sample_parent_dns_zone)</f>
        <v>xint-lcm01.rainpole.io</v>
      </c>
      <c r="D51" s="18" t="str">
        <f>xreg_vrslcm_fqdn</f>
        <v>Value Missing.Value Missing</v>
      </c>
      <c r="E51" s="53"/>
    </row>
    <row r="52" spans="2:5" ht="20" customHeight="1">
      <c r="B52" s="21" t="s">
        <v>735</v>
      </c>
      <c r="C52" s="22" t="str">
        <f>CONCATENATE(sample_region_vrli_virtual_hostname,".",sample_child_dns_zone)</f>
        <v>sfo-logs01.sfo.rainpole.io</v>
      </c>
      <c r="D52" s="18" t="str">
        <f>region_vrli_virtual_fqdn</f>
        <v>Value Missing.Value Missing</v>
      </c>
      <c r="E52" s="53"/>
    </row>
    <row r="53" spans="2:5" ht="16" customHeight="1"/>
    <row r="54" spans="2:5" ht="34" customHeight="1">
      <c r="B54" s="427" t="s">
        <v>3349</v>
      </c>
      <c r="C54" s="427"/>
      <c r="D54" s="427"/>
      <c r="E54" s="427"/>
    </row>
    <row r="55" spans="2:5" ht="20" customHeight="1">
      <c r="B55" s="8" t="s">
        <v>735</v>
      </c>
      <c r="C55" s="8" t="s">
        <v>554</v>
      </c>
      <c r="D55" s="20" t="s">
        <v>555</v>
      </c>
      <c r="E55" s="8" t="s">
        <v>222</v>
      </c>
    </row>
    <row r="56" spans="2:5" ht="20" customHeight="1">
      <c r="B56" s="21" t="s">
        <v>3368</v>
      </c>
      <c r="C56" s="22" t="str">
        <f>CONCATENATE(sample_xreg_vrslcm_hostname,".",sample_parent_dns_zone)</f>
        <v>xint-lcm01.rainpole.io</v>
      </c>
      <c r="D56" s="18" t="str">
        <f>xreg_vrslcm_fqdn</f>
        <v>Value Missing.Value Missing</v>
      </c>
      <c r="E56" s="53"/>
    </row>
    <row r="57" spans="2:5" ht="20" customHeight="1">
      <c r="B57" s="21" t="s">
        <v>2453</v>
      </c>
      <c r="C57" s="22" t="str">
        <f>sample_region_vrli_admin_password_alias</f>
        <v>sfo-logs-admin</v>
      </c>
      <c r="D57" s="18" t="str">
        <f>region_vrli_admin_password_alias</f>
        <v>Value Missing</v>
      </c>
      <c r="E57" s="53"/>
    </row>
    <row r="58" spans="2:5" ht="20" customHeight="1">
      <c r="B58" s="21" t="s">
        <v>1796</v>
      </c>
      <c r="C58" s="22" t="str">
        <f>sample_region_vrli_admin_password</f>
        <v>VMw@re1!</v>
      </c>
      <c r="D58" s="18" t="str">
        <f>region_vrli_admin_password</f>
        <v>Value Missing</v>
      </c>
      <c r="E58" s="53"/>
    </row>
    <row r="59" spans="2:5" ht="20" customHeight="1">
      <c r="B59" s="21" t="s">
        <v>1795</v>
      </c>
      <c r="C59" s="22" t="s">
        <v>746</v>
      </c>
      <c r="D59" s="18" t="str">
        <f>region_vrli_admin_user</f>
        <v>admin</v>
      </c>
      <c r="E59" s="53"/>
    </row>
    <row r="60" spans="2:5" ht="16" customHeight="1"/>
    <row r="61" spans="2:5" ht="34" customHeight="1">
      <c r="B61" s="344" t="s">
        <v>3350</v>
      </c>
      <c r="C61" s="344"/>
      <c r="D61" s="344"/>
      <c r="E61" s="344"/>
    </row>
    <row r="62" spans="2:5" ht="20" customHeight="1">
      <c r="B62" s="8" t="s">
        <v>735</v>
      </c>
      <c r="C62" s="8" t="s">
        <v>554</v>
      </c>
      <c r="D62" s="20" t="s">
        <v>555</v>
      </c>
      <c r="E62" s="8" t="s">
        <v>222</v>
      </c>
    </row>
    <row r="63" spans="2:5" ht="20" customHeight="1">
      <c r="B63" s="21" t="s">
        <v>3368</v>
      </c>
      <c r="C63" s="22" t="str">
        <f>CONCATENATE(sample_xreg_vrslcm_hostname,".",sample_parent_dns_zone)</f>
        <v>xint-lcm01.rainpole.io</v>
      </c>
      <c r="D63" s="18" t="str">
        <f>xreg_vrslcm_fqdn</f>
        <v>Value Missing.Value Missing</v>
      </c>
      <c r="E63" s="53"/>
    </row>
    <row r="64" spans="2:5" ht="20" customHeight="1">
      <c r="B64" s="21" t="s">
        <v>2454</v>
      </c>
      <c r="C64" s="22" t="str">
        <f>sample_vrslcm_reg_env</f>
        <v>sfo-instance-env</v>
      </c>
      <c r="D64" s="18" t="str">
        <f>vrslcm_reg_env</f>
        <v>Value Missing</v>
      </c>
      <c r="E64" s="53"/>
    </row>
    <row r="65" spans="2:5" ht="20" customHeight="1">
      <c r="B65" s="21" t="s">
        <v>2107</v>
      </c>
      <c r="C65" s="22" t="str">
        <f>sample_region_vrli_admin_password_alias</f>
        <v>sfo-logs-admin</v>
      </c>
      <c r="D65" s="18" t="str">
        <f>region_vrli_admin_password_alias</f>
        <v>Value Missing</v>
      </c>
      <c r="E65" s="53"/>
    </row>
    <row r="66" spans="2:5" ht="20" customHeight="1">
      <c r="B66" s="21" t="s">
        <v>841</v>
      </c>
      <c r="C66" s="22" t="str">
        <f>sample_vrslcm_reg_dc</f>
        <v>sfo-m01-dc01</v>
      </c>
      <c r="D66" s="18" t="str">
        <f>vrslcm_reg_dc</f>
        <v>Value Missing</v>
      </c>
      <c r="E66" s="53"/>
    </row>
    <row r="67" spans="2:5" ht="20" customHeight="1">
      <c r="B67" s="26" t="s">
        <v>2364</v>
      </c>
      <c r="C67" s="22" t="str">
        <f>IF(NOT(ISBLANK(input_vrs_license)),"VMware Aria Suite 2019",sample_vrli_license_alias)</f>
        <v>VMware Aria Operations for Logs</v>
      </c>
      <c r="D67" s="18" t="str">
        <f>vrli_license_alias</f>
        <v>Value Missing</v>
      </c>
      <c r="E67" s="53"/>
    </row>
    <row r="68" spans="2:5" ht="20" customHeight="1">
      <c r="B68" s="21" t="s">
        <v>2109</v>
      </c>
      <c r="C68" s="22" t="str">
        <f>CONCATENATE(sample_region_vrli_virtual_hostname,".",sample_child_dns_zone)</f>
        <v>sfo-logs01.sfo.rainpole.io</v>
      </c>
      <c r="D68" s="18" t="str">
        <f>region_vrli_virtual_fqdn</f>
        <v>Value Missing.Value Missing</v>
      </c>
      <c r="E68" s="53"/>
    </row>
    <row r="69" spans="2:5" ht="20" customHeight="1">
      <c r="B69" s="21" t="s">
        <v>2455</v>
      </c>
      <c r="C69" s="22" t="str">
        <f>CONCATENATE(sample_mgmt_vc_hostname,".",sample_child_dns_zone)</f>
        <v>sfo-m01-vc01.sfo.rainpole.io</v>
      </c>
      <c r="D69" s="18" t="str">
        <f>mgmt_vc_fqdn</f>
        <v>Value Missing.Value Missing</v>
      </c>
      <c r="E69" s="53"/>
    </row>
    <row r="70" spans="2:5" ht="20" customHeight="1">
      <c r="B70" s="21" t="s">
        <v>2110</v>
      </c>
      <c r="C70" s="22" t="str">
        <f>CONCATENATE(sample_mgmt_datacenter,"#",sample_mgmt_cl01_cluster)</f>
        <v>sfo-m01-dc01#sfo-m01-cl01</v>
      </c>
      <c r="D70" s="18" t="str">
        <f>CONCATENATE(mgmt_datacenter,"#",mgmt_cl01_cluster)</f>
        <v>Value Missing#Value Missing</v>
      </c>
      <c r="E70" s="53"/>
    </row>
    <row r="71" spans="2:5" ht="20" customHeight="1">
      <c r="B71" s="26" t="s">
        <v>2456</v>
      </c>
      <c r="C71" s="22" t="str">
        <f>sample_reg_seg01_name</f>
        <v>sfo-m01-seg01</v>
      </c>
      <c r="D71" s="18" t="str">
        <f>reg_seg01_name</f>
        <v>Value Missing</v>
      </c>
      <c r="E71" s="53"/>
    </row>
    <row r="72" spans="2:5" ht="20" customHeight="1">
      <c r="B72" s="26" t="s">
        <v>2457</v>
      </c>
      <c r="C72" s="22" t="str">
        <f>sample_mgmt_cl01_vsan_datastore</f>
        <v>sfo-m01-cl01-ds-vsan01</v>
      </c>
      <c r="D72" s="18" t="str">
        <f>mgmt_cl01_vsan_datastore</f>
        <v>Value Missing</v>
      </c>
      <c r="E72" s="53"/>
    </row>
    <row r="73" spans="2:5" ht="20" customHeight="1">
      <c r="B73" s="26" t="s">
        <v>1689</v>
      </c>
      <c r="C73" s="22" t="str">
        <f>sample_reg_seg01_gateway_ip</f>
        <v>N/A</v>
      </c>
      <c r="D73" s="18" t="str">
        <f>reg_seg01_gateway_ip</f>
        <v>Value Missing</v>
      </c>
      <c r="E73" s="53"/>
    </row>
    <row r="74" spans="2:5" ht="20" customHeight="1">
      <c r="B74" s="26" t="s">
        <v>1905</v>
      </c>
      <c r="C74" s="22" t="str">
        <f>IF(mgmt_vns_chosen="Exclude","N/A",VLOOKUP(INT(RIGHT(sample_reg_seg01_cidr,LEN(sample_reg_seg01_cidr)-FIND("/",sample_reg_seg01_cidr))),table_cidr_to_mask,2,FALSE))</f>
        <v>N/A</v>
      </c>
      <c r="D74" s="18" t="str">
        <f>reg_seg01_mask_overlay_backed</f>
        <v>Value Missing</v>
      </c>
      <c r="E74" s="53"/>
    </row>
    <row r="75" spans="2:5" ht="20" customHeight="1">
      <c r="B75" s="26" t="s">
        <v>2358</v>
      </c>
      <c r="C75" s="22" t="s">
        <v>3526</v>
      </c>
      <c r="D75" s="18" t="str">
        <f>vrslcm_xreg_content_library</f>
        <v>Operations</v>
      </c>
      <c r="E75" s="53"/>
    </row>
    <row r="76" spans="2:5" ht="20" customHeight="1">
      <c r="B76" s="26" t="s">
        <v>905</v>
      </c>
      <c r="C76" s="22" t="str">
        <f>sample_region_ad_child_fqdn</f>
        <v>sfo.rainpole.io</v>
      </c>
      <c r="D76" s="18" t="str">
        <f>region_ad_child_fqdn</f>
        <v>Value Missing</v>
      </c>
      <c r="E76" s="53"/>
    </row>
    <row r="77" spans="2:5" ht="20" customHeight="1">
      <c r="B77" s="26" t="s">
        <v>2111</v>
      </c>
      <c r="C77" s="22" t="str">
        <f>sample_child_dns_zone</f>
        <v>sfo.rainpole.io</v>
      </c>
      <c r="D77" s="18" t="str">
        <f>child_dns_zone</f>
        <v>Value Missing</v>
      </c>
      <c r="E77" s="53"/>
    </row>
    <row r="78" spans="2:5" ht="20" customHeight="1">
      <c r="B78" s="26" t="s">
        <v>2112</v>
      </c>
      <c r="C78" s="22" t="str">
        <f>sample_region_dns1_ip</f>
        <v>10.11.10.4</v>
      </c>
      <c r="D78" s="18" t="str">
        <f>region_dns1_ip</f>
        <v>Value Missing</v>
      </c>
      <c r="E78" s="53"/>
    </row>
    <row r="79" spans="2:5" ht="20" customHeight="1">
      <c r="B79" s="26" t="s">
        <v>2113</v>
      </c>
      <c r="C79" s="22" t="str">
        <f>sample_region_dns2_ip</f>
        <v>10.11.10.5</v>
      </c>
      <c r="D79" s="18" t="str">
        <f>region_dns2_ip</f>
        <v>Value Missing</v>
      </c>
      <c r="E79" s="53"/>
    </row>
    <row r="80" spans="2:5" ht="20" customHeight="1">
      <c r="B80" s="26" t="s">
        <v>2458</v>
      </c>
      <c r="C80" s="22" t="str">
        <f>sample_region_ntp1_server</f>
        <v>ntp.sfo.rainpole.io</v>
      </c>
      <c r="D80" s="18" t="str">
        <f>region_ntp1_server</f>
        <v>Value Missing</v>
      </c>
      <c r="E80" s="53"/>
    </row>
    <row r="81" spans="2:5" ht="20" customHeight="1">
      <c r="B81" s="26" t="s">
        <v>2459</v>
      </c>
      <c r="C81" s="22" t="str">
        <f>sample_region_ntp2_server</f>
        <v>n/a</v>
      </c>
      <c r="D81" s="18" t="str">
        <f>region_ntp2_server</f>
        <v>Value Missing</v>
      </c>
      <c r="E81" s="53"/>
    </row>
    <row r="82" spans="2:5" ht="20" customHeight="1">
      <c r="B82" s="26" t="s">
        <v>2394</v>
      </c>
      <c r="C82" s="22" t="str">
        <f>sample_region_vrli_appliance_size</f>
        <v>Medium</v>
      </c>
      <c r="D82" s="18" t="str">
        <f>region_vrli_appliance_size</f>
        <v>Medium</v>
      </c>
      <c r="E82" s="53"/>
    </row>
    <row r="83" spans="2:5" ht="20" customHeight="1">
      <c r="B83" s="21" t="s">
        <v>2109</v>
      </c>
      <c r="C83" s="22" t="str">
        <f>CONCATENATE(sample_region_vrli_virtual_hostname,".",sample_child_dns_zone)</f>
        <v>sfo-logs01.sfo.rainpole.io</v>
      </c>
      <c r="D83" s="18" t="str">
        <f>region_vrli_virtual_fqdn</f>
        <v>Value Missing.Value Missing</v>
      </c>
      <c r="E83" s="53"/>
    </row>
    <row r="84" spans="2:5" ht="20" customHeight="1">
      <c r="B84" s="21" t="s">
        <v>2460</v>
      </c>
      <c r="C84" s="22" t="str">
        <f>sample_region_vrli_admin_email</f>
        <v>administrator@rainpole.io</v>
      </c>
      <c r="D84" s="18" t="str">
        <f>region_vrli_admin_email</f>
        <v>Value Missing</v>
      </c>
      <c r="E84" s="53"/>
    </row>
    <row r="85" spans="2:5" ht="20" customHeight="1">
      <c r="B85" s="21" t="s">
        <v>2461</v>
      </c>
      <c r="C85" s="22" t="str">
        <f>sample_region_vrli_admin_password_alias</f>
        <v>sfo-logs-admin</v>
      </c>
      <c r="D85" s="18" t="str">
        <f>region_vrli_admin_password_alias</f>
        <v>Value Missing</v>
      </c>
      <c r="E85" s="53"/>
    </row>
    <row r="86" spans="2:5" ht="20" customHeight="1">
      <c r="B86" s="21" t="s">
        <v>3769</v>
      </c>
      <c r="C86" s="22" t="str">
        <f>CONCATENATE(sample_region_vrli_virtual_hostname,".",sample_child_dns_zone)</f>
        <v>sfo-logs01.sfo.rainpole.io</v>
      </c>
      <c r="D86" s="18" t="str">
        <f>region_vrli_virtual_fqdn</f>
        <v>Value Missing.Value Missing</v>
      </c>
      <c r="E86" s="53"/>
    </row>
    <row r="87" spans="2:5" ht="20" customHeight="1">
      <c r="B87" s="21" t="s">
        <v>3768</v>
      </c>
      <c r="C87" s="22" t="str">
        <f>sample_region_vrli_virtual_ip</f>
        <v>192.168.31.10</v>
      </c>
      <c r="D87" s="18" t="str">
        <f>region_vrli_virtual_ip</f>
        <v>Value Missing</v>
      </c>
      <c r="E87" s="53"/>
    </row>
    <row r="88" spans="2:5" ht="20" customHeight="1">
      <c r="B88" s="21" t="s">
        <v>2462</v>
      </c>
      <c r="C88" s="22" t="str">
        <f>sample_region_vrli_nodea_hostname</f>
        <v>sfo-logs01a</v>
      </c>
      <c r="D88" s="18" t="str">
        <f>region_vrli_nodea_hostname</f>
        <v>Value Missing</v>
      </c>
      <c r="E88" s="53"/>
    </row>
    <row r="89" spans="2:5" ht="20" customHeight="1">
      <c r="B89" s="21" t="s">
        <v>2463</v>
      </c>
      <c r="C89" s="22" t="str">
        <f>CONCATENATE(sample_region_vrli_nodea_hostname,".",sample_child_dns_zone)</f>
        <v>sfo-logs01a.sfo.rainpole.io</v>
      </c>
      <c r="D89" s="18" t="str">
        <f>region_vrli_nodea_fqdn</f>
        <v>Value Missing.Value Missing</v>
      </c>
      <c r="E89" s="53"/>
    </row>
    <row r="90" spans="2:5" ht="20" customHeight="1">
      <c r="B90" s="21" t="s">
        <v>2464</v>
      </c>
      <c r="C90" s="22" t="str">
        <f>sample_region_vrli_nodea_ip</f>
        <v>192.168.31.11</v>
      </c>
      <c r="D90" s="18" t="str">
        <f>region_vrli_nodea_ip</f>
        <v>Value Missing</v>
      </c>
      <c r="E90" s="53"/>
    </row>
    <row r="91" spans="2:5" ht="20" customHeight="1">
      <c r="B91" s="21" t="s">
        <v>2465</v>
      </c>
      <c r="C91" s="22" t="str">
        <f>sample_region_vrli_nodeb_hostname</f>
        <v>sfo-logs01b</v>
      </c>
      <c r="D91" s="18" t="str">
        <f>region_vrli_nodeb_hostname</f>
        <v>Value Missing</v>
      </c>
      <c r="E91" s="53"/>
    </row>
    <row r="92" spans="2:5" ht="20" customHeight="1">
      <c r="B92" s="21" t="s">
        <v>2466</v>
      </c>
      <c r="C92" s="22" t="str">
        <f>CONCATENATE(sample_region_vrli_nodeb_hostname,".",sample_child_dns_zone)</f>
        <v>sfo-logs01b.sfo.rainpole.io</v>
      </c>
      <c r="D92" s="18" t="str">
        <f>region_vrli_nodeb_fqdn</f>
        <v>Value Missing.Value Missing</v>
      </c>
      <c r="E92" s="53"/>
    </row>
    <row r="93" spans="2:5" ht="20" customHeight="1">
      <c r="B93" s="21" t="s">
        <v>2467</v>
      </c>
      <c r="C93" s="22" t="str">
        <f>sample_region_vrli_nodeb_ip</f>
        <v>192.168.31.12</v>
      </c>
      <c r="D93" s="18" t="str">
        <f>region_vrli_nodeb_ip</f>
        <v>Value Missing</v>
      </c>
      <c r="E93" s="53"/>
    </row>
    <row r="94" spans="2:5" ht="20" customHeight="1">
      <c r="B94" s="21" t="s">
        <v>2468</v>
      </c>
      <c r="C94" s="22" t="str">
        <f>sample_region_vrli_nodec_hostname</f>
        <v>sfo-logs01c</v>
      </c>
      <c r="D94" s="18" t="str">
        <f>region_vrli_nodec_hostname</f>
        <v>Value Missing</v>
      </c>
      <c r="E94" s="53"/>
    </row>
    <row r="95" spans="2:5" ht="20" customHeight="1">
      <c r="B95" s="21" t="s">
        <v>2469</v>
      </c>
      <c r="C95" s="22" t="str">
        <f>CONCATENATE(sample_region_vrli_nodec_hostname,".",sample_child_dns_zone)</f>
        <v>sfo-logs01c.sfo.rainpole.io</v>
      </c>
      <c r="D95" s="18" t="str">
        <f>region_vrli_nodec_fqdn</f>
        <v>Value Missing.Value Missing</v>
      </c>
      <c r="E95" s="53"/>
    </row>
    <row r="96" spans="2:5" ht="20" customHeight="1">
      <c r="B96" s="21" t="s">
        <v>2470</v>
      </c>
      <c r="C96" s="22" t="str">
        <f>sample_region_vrli_nodec_ip</f>
        <v>192.168.31.13</v>
      </c>
      <c r="D96" s="18" t="str">
        <f>region_vrli_nodec_ip</f>
        <v>Value Missing</v>
      </c>
      <c r="E96" s="53"/>
    </row>
    <row r="97" spans="2:5" ht="16" customHeight="1"/>
    <row r="98" spans="2:5" ht="34" customHeight="1">
      <c r="B98" s="344" t="s">
        <v>3196</v>
      </c>
      <c r="C98" s="344"/>
      <c r="D98" s="344"/>
      <c r="E98" s="344"/>
    </row>
    <row r="99" spans="2:5" ht="20" customHeight="1">
      <c r="B99" s="8" t="s">
        <v>735</v>
      </c>
      <c r="C99" s="8" t="s">
        <v>554</v>
      </c>
      <c r="D99" s="20" t="s">
        <v>555</v>
      </c>
      <c r="E99" s="8" t="s">
        <v>222</v>
      </c>
    </row>
    <row r="100" spans="2:5" ht="20" customHeight="1">
      <c r="B100" s="21" t="s">
        <v>2286</v>
      </c>
      <c r="C100" s="22" t="str">
        <f>CONCATENATE(sample_mgmt_vc_hostname,".",sample_child_dns_zone)</f>
        <v>sfo-m01-vc01.sfo.rainpole.io</v>
      </c>
      <c r="D100" s="18" t="str">
        <f>mgmt_vc_fqdn</f>
        <v>Value Missing.Value Missing</v>
      </c>
      <c r="E100" s="53"/>
    </row>
    <row r="101" spans="2:5" ht="20" customHeight="1">
      <c r="B101" s="21" t="s">
        <v>841</v>
      </c>
      <c r="C101" s="22" t="str">
        <f>sample_mgmt_datacenter</f>
        <v>sfo-m01-dc01</v>
      </c>
      <c r="D101" s="18" t="str">
        <f>mgmt_datacenter</f>
        <v>Value Missing</v>
      </c>
      <c r="E101" s="53"/>
    </row>
    <row r="102" spans="2:5" ht="20" customHeight="1">
      <c r="B102" s="26" t="s">
        <v>2296</v>
      </c>
      <c r="C102" s="22" t="str">
        <f>CONCATENATE(sample_mgmt_sddc_domain,"-fd-logs")</f>
        <v>sfo-m01-fd-logs</v>
      </c>
      <c r="D102" s="18" t="str">
        <f>region_vrli_vm_folder</f>
        <v>Value Missing-fd-logs</v>
      </c>
      <c r="E102" s="53"/>
    </row>
    <row r="103" spans="2:5" ht="16" customHeight="1"/>
    <row r="104" spans="2:5" ht="34" customHeight="1">
      <c r="B104" s="344" t="s">
        <v>3197</v>
      </c>
      <c r="C104" s="344"/>
      <c r="D104" s="344"/>
      <c r="E104" s="344"/>
    </row>
    <row r="105" spans="2:5" ht="20" customHeight="1">
      <c r="B105" s="8" t="s">
        <v>735</v>
      </c>
      <c r="C105" s="8" t="s">
        <v>554</v>
      </c>
      <c r="D105" s="20" t="s">
        <v>555</v>
      </c>
      <c r="E105" s="8" t="s">
        <v>222</v>
      </c>
    </row>
    <row r="106" spans="2:5" ht="20" customHeight="1">
      <c r="B106" s="21" t="s">
        <v>2286</v>
      </c>
      <c r="C106" s="22" t="str">
        <f>CONCATENATE(sample_mgmt_vc_hostname,".",sample_child_dns_zone)</f>
        <v>sfo-m01-vc01.sfo.rainpole.io</v>
      </c>
      <c r="D106" s="18" t="str">
        <f>mgmt_vc_fqdn</f>
        <v>Value Missing.Value Missing</v>
      </c>
      <c r="E106" s="53"/>
    </row>
    <row r="107" spans="2:5" ht="20" customHeight="1">
      <c r="B107" s="21" t="s">
        <v>841</v>
      </c>
      <c r="C107" s="22" t="str">
        <f>sample_mgmt_datacenter</f>
        <v>sfo-m01-dc01</v>
      </c>
      <c r="D107" s="18" t="str">
        <f>mgmt_datacenter</f>
        <v>Value Missing</v>
      </c>
      <c r="E107" s="53"/>
    </row>
    <row r="108" spans="2:5" ht="20" customHeight="1">
      <c r="B108" s="21" t="s">
        <v>2462</v>
      </c>
      <c r="C108" s="22" t="str">
        <f>sample_region_vrli_nodea_hostname</f>
        <v>sfo-logs01a</v>
      </c>
      <c r="D108" s="18" t="str">
        <f>region_vrli_nodea_hostname</f>
        <v>Value Missing</v>
      </c>
      <c r="E108" s="53"/>
    </row>
    <row r="109" spans="2:5" ht="20" customHeight="1">
      <c r="B109" s="21" t="s">
        <v>2465</v>
      </c>
      <c r="C109" s="22" t="str">
        <f>sample_region_vrli_nodeb_hostname</f>
        <v>sfo-logs01b</v>
      </c>
      <c r="D109" s="18" t="str">
        <f>region_vrli_nodeb_hostname</f>
        <v>Value Missing</v>
      </c>
      <c r="E109" s="53"/>
    </row>
    <row r="110" spans="2:5" ht="20" customHeight="1">
      <c r="B110" s="21" t="s">
        <v>2468</v>
      </c>
      <c r="C110" s="22" t="str">
        <f>sample_region_vrli_nodec_hostname</f>
        <v>sfo-logs01c</v>
      </c>
      <c r="D110" s="18" t="str">
        <f>region_vrli_nodec_hostname</f>
        <v>Value Missing</v>
      </c>
      <c r="E110" s="53"/>
    </row>
    <row r="111" spans="2:5" ht="20" customHeight="1">
      <c r="B111" s="26" t="s">
        <v>2296</v>
      </c>
      <c r="C111" s="22" t="str">
        <f>CONCATENATE(sample_mgmt_sddc_domain,"-fd-logs")</f>
        <v>sfo-m01-fd-logs</v>
      </c>
      <c r="D111" s="18" t="str">
        <f>region_vrli_vm_folder</f>
        <v>Value Missing-fd-logs</v>
      </c>
      <c r="E111" s="53"/>
    </row>
    <row r="112" spans="2:5" ht="16" customHeight="1"/>
    <row r="113" spans="2:5" ht="34" customHeight="1">
      <c r="B113" s="344" t="s">
        <v>3198</v>
      </c>
      <c r="C113" s="344"/>
      <c r="D113" s="344"/>
      <c r="E113" s="344"/>
    </row>
    <row r="114" spans="2:5" ht="20" customHeight="1">
      <c r="B114" s="8" t="s">
        <v>735</v>
      </c>
      <c r="C114" s="8" t="s">
        <v>554</v>
      </c>
      <c r="D114" s="20" t="s">
        <v>555</v>
      </c>
      <c r="E114" s="8" t="s">
        <v>222</v>
      </c>
    </row>
    <row r="115" spans="2:5" ht="20" customHeight="1">
      <c r="B115" s="21" t="s">
        <v>2286</v>
      </c>
      <c r="C115" s="22" t="str">
        <f>CONCATENATE(sample_mgmt_vc_hostname,".",sample_child_dns_zone)</f>
        <v>sfo-m01-vc01.sfo.rainpole.io</v>
      </c>
      <c r="D115" s="18" t="str">
        <f>mgmt_vc_fqdn</f>
        <v>Value Missing.Value Missing</v>
      </c>
      <c r="E115" s="53"/>
    </row>
    <row r="116" spans="2:5" ht="20" customHeight="1">
      <c r="B116" s="21" t="s">
        <v>841</v>
      </c>
      <c r="C116" s="22" t="str">
        <f>sample_mgmt_datacenter</f>
        <v>sfo-m01-dc01</v>
      </c>
      <c r="D116" s="18" t="str">
        <f>mgmt_datacenter</f>
        <v>Value Missing</v>
      </c>
      <c r="E116" s="53"/>
    </row>
    <row r="117" spans="2:5" ht="20" customHeight="1">
      <c r="B117" s="26" t="s">
        <v>843</v>
      </c>
      <c r="C117" s="22" t="str">
        <f>sample_mgmt_cl01_cluster</f>
        <v>sfo-m01-cl01</v>
      </c>
      <c r="D117" s="18" t="str">
        <f>mgmt_cl01_cluster</f>
        <v>Value Missing</v>
      </c>
      <c r="E117" s="53"/>
    </row>
    <row r="118" spans="2:5" ht="20" customHeight="1">
      <c r="B118" s="21" t="s">
        <v>2471</v>
      </c>
      <c r="C118" s="22" t="str">
        <f>sample_mgmt_az1_vm_group_name</f>
        <v>sfo-m01-cl01_primary-az-vmgroup</v>
      </c>
      <c r="D118" s="18" t="str">
        <f>mgmt_az1_vm_group_name</f>
        <v>Value Missing</v>
      </c>
      <c r="E118" s="71"/>
    </row>
    <row r="119" spans="2:5" ht="20" customHeight="1">
      <c r="B119" s="26" t="s">
        <v>2410</v>
      </c>
      <c r="C119" s="22" t="str">
        <f>sample_region_vrli_nodea_hostname</f>
        <v>sfo-logs01a</v>
      </c>
      <c r="D119" s="18" t="str">
        <f>region_vrli_nodea_hostname</f>
        <v>Value Missing</v>
      </c>
      <c r="E119" s="53"/>
    </row>
    <row r="120" spans="2:5" ht="20" customHeight="1">
      <c r="B120" s="21" t="s">
        <v>2410</v>
      </c>
      <c r="C120" s="22" t="str">
        <f>sample_region_vrli_nodeb_hostname</f>
        <v>sfo-logs01b</v>
      </c>
      <c r="D120" s="18" t="str">
        <f>region_vrli_nodeb_hostname</f>
        <v>Value Missing</v>
      </c>
      <c r="E120" s="53"/>
    </row>
    <row r="121" spans="2:5" ht="20" customHeight="1">
      <c r="B121" s="21" t="s">
        <v>2410</v>
      </c>
      <c r="C121" s="22" t="str">
        <f>sample_region_vrli_nodec_hostname</f>
        <v>sfo-logs01c</v>
      </c>
      <c r="D121" s="18" t="str">
        <f>region_vrli_nodec_hostname</f>
        <v>Value Missing</v>
      </c>
      <c r="E121" s="53"/>
    </row>
    <row r="122" spans="2:5" ht="16" customHeight="1"/>
    <row r="123" spans="2:5" ht="34" customHeight="1">
      <c r="B123" s="427" t="s">
        <v>3199</v>
      </c>
      <c r="C123" s="427"/>
      <c r="D123" s="427"/>
      <c r="E123" s="427"/>
    </row>
    <row r="124" spans="2:5" ht="20" customHeight="1">
      <c r="B124" s="8" t="s">
        <v>735</v>
      </c>
      <c r="C124" s="8" t="s">
        <v>554</v>
      </c>
      <c r="D124" s="20" t="s">
        <v>555</v>
      </c>
      <c r="E124" s="8" t="s">
        <v>222</v>
      </c>
    </row>
    <row r="125" spans="2:5" ht="20" customHeight="1">
      <c r="B125" s="21" t="s">
        <v>3370</v>
      </c>
      <c r="C125" s="22" t="str">
        <f>CONCATENATE(sample_region_vrli_virtual_hostname,".",sample_child_dns_zone)</f>
        <v>sfo-logs01.sfo.rainpole.io</v>
      </c>
      <c r="D125" s="18" t="str">
        <f>region_vrli_virtual_fqdn</f>
        <v>Value Missing.Value Missing</v>
      </c>
      <c r="E125" s="53"/>
    </row>
    <row r="126" spans="2:5" ht="20" customHeight="1">
      <c r="B126" s="26" t="s">
        <v>622</v>
      </c>
      <c r="C126" s="22" t="str">
        <f>sample_smtp_server</f>
        <v>smtp.rainpole.io</v>
      </c>
      <c r="D126" s="18" t="str">
        <f>smtp_server</f>
        <v>Value Missing</v>
      </c>
      <c r="E126" s="53"/>
    </row>
    <row r="127" spans="2:5" ht="20" customHeight="1">
      <c r="B127" s="21" t="s">
        <v>883</v>
      </c>
      <c r="C127" s="22">
        <f>sample_smtp_server_port</f>
        <v>25</v>
      </c>
      <c r="D127" s="18" t="str">
        <f>smtp_server_port</f>
        <v>Value Missing</v>
      </c>
      <c r="E127" s="53"/>
    </row>
    <row r="128" spans="2:5" ht="20" customHeight="1">
      <c r="B128" s="26" t="s">
        <v>2472</v>
      </c>
      <c r="C128" s="22" t="str">
        <f>sample_region_vrli_email_notification_target</f>
        <v>aria-operations-for-logs-no-reply@rainpole.io</v>
      </c>
      <c r="D128" s="18" t="str">
        <f>region_vrli_email_notification_target</f>
        <v>Value Missing</v>
      </c>
      <c r="E128" s="53"/>
    </row>
    <row r="129" spans="2:5" ht="20" customHeight="1">
      <c r="B129" s="21" t="s">
        <v>4604</v>
      </c>
      <c r="C129" s="22" t="str">
        <f>sample_smtp_sender_username</f>
        <v>administrator@rainpole.io</v>
      </c>
      <c r="D129" s="18" t="str">
        <f t="array" ref="D129">smtp_sender_username</f>
        <v>Value Missing</v>
      </c>
      <c r="E129" s="53"/>
    </row>
    <row r="130" spans="2:5" ht="20" customHeight="1">
      <c r="B130" s="21" t="s">
        <v>4603</v>
      </c>
      <c r="C130" s="22" t="str">
        <f>sample_smtp_sender_password</f>
        <v>VMw@re1!</v>
      </c>
      <c r="D130" s="18" t="str">
        <f>smtp_sender_password</f>
        <v>Value Missing</v>
      </c>
      <c r="E130" s="53"/>
    </row>
    <row r="131" spans="2:5" ht="16" customHeight="1"/>
    <row r="132" spans="2:5" ht="34" customHeight="1">
      <c r="B132" s="427" t="s">
        <v>3200</v>
      </c>
      <c r="C132" s="427"/>
      <c r="D132" s="427"/>
      <c r="E132" s="427"/>
    </row>
    <row r="133" spans="2:5" ht="20" customHeight="1">
      <c r="B133" s="8" t="s">
        <v>735</v>
      </c>
      <c r="C133" s="8" t="s">
        <v>554</v>
      </c>
      <c r="D133" s="20" t="s">
        <v>555</v>
      </c>
      <c r="E133" s="8" t="s">
        <v>222</v>
      </c>
    </row>
    <row r="134" spans="2:5" ht="20" customHeight="1">
      <c r="B134" s="21" t="s">
        <v>3370</v>
      </c>
      <c r="C134" s="22" t="str">
        <f>CONCATENATE(sample_region_vrli_virtual_hostname,".",sample_child_dns_zone)</f>
        <v>sfo-logs01.sfo.rainpole.io</v>
      </c>
      <c r="D134" s="18" t="str">
        <f>region_vrli_virtual_fqdn</f>
        <v>Value Missing.Value Missing</v>
      </c>
      <c r="E134" s="53"/>
    </row>
    <row r="135" spans="2:5" ht="20" customHeight="1">
      <c r="B135" s="21" t="s">
        <v>2473</v>
      </c>
      <c r="C135" s="22" t="str">
        <f>sample_region_vrli_admin_email</f>
        <v>administrator@rainpole.io</v>
      </c>
      <c r="D135" s="18" t="str">
        <f>region_vrli_admin_email</f>
        <v>Value Missing</v>
      </c>
      <c r="E135" s="53"/>
    </row>
    <row r="136" spans="2:5" ht="20" customHeight="1">
      <c r="B136" s="21" t="s">
        <v>2474</v>
      </c>
      <c r="C136" s="22" t="str">
        <f>sample_region_vrli_log_retention_notification</f>
        <v>1 weeks</v>
      </c>
      <c r="D136" s="18" t="str">
        <f>region_vrli_log_retention_notification</f>
        <v>Value Missing</v>
      </c>
      <c r="E136" s="53"/>
    </row>
    <row r="137" spans="2:5" ht="20" customHeight="1">
      <c r="B137" s="21" t="s">
        <v>2475</v>
      </c>
      <c r="C137" s="22">
        <f>sample_region_vrli_log_retention_period</f>
        <v>7</v>
      </c>
      <c r="D137" s="18" t="str">
        <f>region_vrli_log_retention_period</f>
        <v>Value Missing</v>
      </c>
      <c r="E137" s="53"/>
    </row>
    <row r="138" spans="2:5" ht="20" customHeight="1">
      <c r="B138" s="21" t="s">
        <v>2476</v>
      </c>
      <c r="C138" s="22" t="str">
        <f>CONCATENATE("nfs://",sample_region_vrli_nfs_server,"/",sample_region_vrli_nfs_share)</f>
        <v>nfs://1.4/log-archives</v>
      </c>
      <c r="D138" s="18" t="str">
        <f>region_vrli_archive_location</f>
        <v>nfs://Value Missing/Value Missing</v>
      </c>
      <c r="E138" s="53"/>
    </row>
    <row r="139" spans="2:5" ht="16" customHeight="1"/>
    <row r="140" spans="2:5" ht="34" customHeight="1">
      <c r="B140" s="427" t="s">
        <v>3589</v>
      </c>
      <c r="C140" s="427"/>
      <c r="D140" s="427"/>
      <c r="E140" s="427"/>
    </row>
    <row r="141" spans="2:5" ht="20" customHeight="1">
      <c r="B141" s="8" t="s">
        <v>735</v>
      </c>
      <c r="C141" s="8" t="s">
        <v>554</v>
      </c>
      <c r="D141" s="20" t="s">
        <v>555</v>
      </c>
      <c r="E141" s="8" t="s">
        <v>222</v>
      </c>
    </row>
    <row r="142" spans="2:5" ht="20" customHeight="1">
      <c r="B142" s="21" t="s">
        <v>3370</v>
      </c>
      <c r="C142" s="22" t="str">
        <f>CONCATENATE(sample_region_vrli_virtual_hostname,".",sample_child_dns_zone)</f>
        <v>sfo-logs01.sfo.rainpole.io</v>
      </c>
      <c r="D142" s="18" t="str">
        <f>region_vrli_virtual_fqdn</f>
        <v>Value Missing.Value Missing</v>
      </c>
      <c r="E142" s="53"/>
    </row>
    <row r="143" spans="2:5" ht="20" customHeight="1">
      <c r="B143" s="21" t="s">
        <v>3590</v>
      </c>
      <c r="C143" s="22" t="str">
        <f>sample_region_ad_child_fqdn</f>
        <v>sfo.rainpole.io</v>
      </c>
      <c r="D143" s="18" t="str">
        <f>region_ad_child_fqdn</f>
        <v>Value Missing</v>
      </c>
      <c r="E143" s="53"/>
    </row>
    <row r="144" spans="2:5" ht="20" customHeight="1">
      <c r="B144" s="21" t="s">
        <v>3591</v>
      </c>
      <c r="C144" s="22" t="str">
        <f>CONCATENATE(sample_domain_controller_hostname,".",sample_child_dns_zone)</f>
        <v>sfo-ad01.sfo.rainpole.io</v>
      </c>
      <c r="D144" s="18" t="str">
        <f>CONCATENATE(domain_controller_hostname,child_dns_zone)</f>
        <v>Value MissingValue Missing</v>
      </c>
      <c r="E144" s="53"/>
    </row>
    <row r="145" spans="2:5" ht="20" customHeight="1">
      <c r="B145" s="21" t="s">
        <v>1795</v>
      </c>
      <c r="C145" s="22" t="str">
        <f>sample_svc_ila_ad_user</f>
        <v>svc-logs-ad</v>
      </c>
      <c r="D145" s="18" t="str">
        <f>svc_ila_ad_user</f>
        <v>Value Missing</v>
      </c>
      <c r="E145" s="53"/>
    </row>
    <row r="146" spans="2:5" ht="20" customHeight="1">
      <c r="B146" s="21" t="s">
        <v>1796</v>
      </c>
      <c r="C146" s="22" t="str">
        <f>sample_svc_ila_ad_password</f>
        <v>VMw@re1!</v>
      </c>
      <c r="D146" s="18" t="str">
        <f>svc_ila_ad_password</f>
        <v>Value Missing</v>
      </c>
      <c r="E146" s="53"/>
    </row>
    <row r="147" spans="2:5" ht="16" customHeight="1"/>
    <row r="148" spans="2:5" ht="34" customHeight="1">
      <c r="B148" s="427" t="s">
        <v>3201</v>
      </c>
      <c r="C148" s="427"/>
      <c r="D148" s="427"/>
      <c r="E148" s="427"/>
    </row>
    <row r="149" spans="2:5" ht="20" customHeight="1">
      <c r="B149" s="8" t="s">
        <v>735</v>
      </c>
      <c r="C149" s="8" t="s">
        <v>554</v>
      </c>
      <c r="D149" s="20" t="s">
        <v>555</v>
      </c>
      <c r="E149" s="8" t="s">
        <v>222</v>
      </c>
    </row>
    <row r="150" spans="2:5" ht="20" customHeight="1">
      <c r="B150" s="21" t="s">
        <v>3370</v>
      </c>
      <c r="C150" s="22" t="str">
        <f>CONCATENATE(sample_region_vrli_virtual_hostname,".",sample_child_dns_zone)</f>
        <v>sfo-logs01.sfo.rainpole.io</v>
      </c>
      <c r="D150" s="18" t="str">
        <f>region_vrli_virtual_fqdn</f>
        <v>Value Missing.Value Missing</v>
      </c>
      <c r="E150" s="53"/>
    </row>
    <row r="151" spans="2:5" ht="20" customHeight="1">
      <c r="B151" s="21" t="s">
        <v>489</v>
      </c>
      <c r="C151" s="22" t="str">
        <f>sample_region_ad_child_fqdn</f>
        <v>sfo.rainpole.io</v>
      </c>
      <c r="D151" s="18" t="str">
        <f>region_ad_child_fqdn</f>
        <v>Value Missing</v>
      </c>
      <c r="E151" s="53"/>
    </row>
    <row r="152" spans="2:5" ht="20" customHeight="1">
      <c r="B152" s="21" t="s">
        <v>2477</v>
      </c>
      <c r="C152" s="22" t="str">
        <f>sample_gg_vrli_admins_group</f>
        <v>gg-logs-admins</v>
      </c>
      <c r="D152" s="18" t="str">
        <f>group_gg_vrli_admins</f>
        <v>Value Missing</v>
      </c>
      <c r="E152" s="53"/>
    </row>
    <row r="153" spans="2:5" ht="20" customHeight="1">
      <c r="B153" s="21" t="s">
        <v>2478</v>
      </c>
      <c r="C153" s="22" t="str">
        <f>sample_gg_vrli_users_group</f>
        <v>gg-logs-users</v>
      </c>
      <c r="D153" s="18" t="str">
        <f>group_gg_vrli_users</f>
        <v>Value Missing</v>
      </c>
      <c r="E153" s="53"/>
    </row>
    <row r="154" spans="2:5" ht="20" customHeight="1">
      <c r="B154" s="52" t="s">
        <v>2479</v>
      </c>
      <c r="C154" s="22" t="str">
        <f>sample_gg_vrli_viewers_group</f>
        <v>gg-logs-viewers</v>
      </c>
      <c r="D154" s="18" t="str">
        <f>group_gg_vrli_users</f>
        <v>Value Missing</v>
      </c>
      <c r="E154" s="53"/>
    </row>
    <row r="155" spans="2:5" ht="16" customHeight="1"/>
    <row r="156" spans="2:5" ht="34" customHeight="1">
      <c r="B156" s="427" t="s">
        <v>3202</v>
      </c>
      <c r="C156" s="427"/>
      <c r="D156" s="427"/>
      <c r="E156" s="427"/>
    </row>
    <row r="157" spans="2:5" ht="20" customHeight="1">
      <c r="B157" s="8" t="s">
        <v>735</v>
      </c>
      <c r="C157" s="8" t="s">
        <v>554</v>
      </c>
      <c r="D157" s="20" t="s">
        <v>555</v>
      </c>
      <c r="E157" s="8" t="s">
        <v>222</v>
      </c>
    </row>
    <row r="158" spans="2:5" ht="20" customHeight="1">
      <c r="B158" s="21" t="s">
        <v>4605</v>
      </c>
      <c r="C158" s="22" t="str">
        <f>CONCATENATE(sample_sddc_mgr_hostname,".",sample_region_ad_child_fqdn)</f>
        <v>sfo-vcf01.sfo.rainpole.io</v>
      </c>
      <c r="D158" s="18" t="str">
        <f>sddc_mgr_fqdn</f>
        <v>Value Missing.Value Missing</v>
      </c>
      <c r="E158" s="53"/>
    </row>
    <row r="159" spans="2:5" ht="20" customHeight="1">
      <c r="B159" s="21" t="s">
        <v>2480</v>
      </c>
      <c r="C159" s="22" t="str">
        <f>IF(mgmt_consolidated_result="Included",sample_mgmt_sddc_domain,sample_wld_sddc_domain)</f>
        <v>sfo-w01</v>
      </c>
      <c r="D159" s="18" t="str">
        <f>wld_sddc_domain</f>
        <v>Value Missing</v>
      </c>
      <c r="E159" s="53"/>
    </row>
    <row r="160" spans="2:5" ht="16" customHeight="1"/>
    <row r="161" spans="2:5" ht="34" customHeight="1">
      <c r="B161" s="427" t="s">
        <v>4518</v>
      </c>
      <c r="C161" s="427"/>
      <c r="D161" s="427"/>
      <c r="E161" s="427"/>
    </row>
    <row r="162" spans="2:5" ht="20" customHeight="1">
      <c r="B162" s="8" t="s">
        <v>735</v>
      </c>
      <c r="C162" s="8" t="s">
        <v>554</v>
      </c>
      <c r="D162" s="20" t="s">
        <v>555</v>
      </c>
      <c r="E162" s="8" t="s">
        <v>222</v>
      </c>
    </row>
    <row r="163" spans="2:5" ht="20" customHeight="1">
      <c r="B163" s="553" t="s">
        <v>36</v>
      </c>
      <c r="C163" s="554"/>
      <c r="D163" s="554"/>
      <c r="E163" s="555"/>
    </row>
    <row r="164" spans="2:5" ht="20" customHeight="1">
      <c r="B164" s="21" t="s">
        <v>4609</v>
      </c>
      <c r="C164" s="22" t="str">
        <f>CONCATENATE(sample_mgmt_nsxt_hostname,".",sample_child_dns_zone)</f>
        <v>sfo-m01-nsx01.sfo.rainpole.io</v>
      </c>
      <c r="D164" s="18" t="str">
        <f>mgmt_nsxt_vip_fqdn</f>
        <v>Value Missing.Value Missing</v>
      </c>
      <c r="E164" s="21"/>
    </row>
    <row r="165" spans="2:5" ht="20" customHeight="1">
      <c r="B165" s="21" t="s">
        <v>2481</v>
      </c>
      <c r="C165" s="22" t="str">
        <f>CONCATENATE(sample_region_vrli_virtual_hostname,".",sample_child_dns_zone)</f>
        <v>sfo-logs01.sfo.rainpole.io</v>
      </c>
      <c r="D165" s="18" t="str">
        <f>region_vrli_virtual_fqdn</f>
        <v>Value Missing.Value Missing</v>
      </c>
      <c r="E165" s="53"/>
    </row>
    <row r="166" spans="2:5" ht="20" customHeight="1">
      <c r="B166" s="553" t="s">
        <v>39</v>
      </c>
      <c r="C166" s="554"/>
      <c r="D166" s="554"/>
      <c r="E166" s="555"/>
    </row>
    <row r="167" spans="2:5" ht="20" customHeight="1">
      <c r="B167" s="21" t="s">
        <v>4608</v>
      </c>
      <c r="C167" s="22" t="str">
        <f>CONCATENATE(sample_wld_nsxt_hostname,".",sample_child_dns_zone)</f>
        <v>sfo-w01-nsx01.sfo.rainpole.io</v>
      </c>
      <c r="D167" s="18" t="str">
        <f>wld_nsxt_vip_fqdn</f>
        <v>Value Missing.Value Missing</v>
      </c>
      <c r="E167" s="53"/>
    </row>
    <row r="168" spans="2:5" ht="20" customHeight="1">
      <c r="B168" s="21" t="s">
        <v>2481</v>
      </c>
      <c r="C168" s="22" t="str">
        <f>CONCATENATE(sample_region_vrli_virtual_hostname,".",sample_child_dns_zone)</f>
        <v>sfo-logs01.sfo.rainpole.io</v>
      </c>
      <c r="D168" s="18" t="str">
        <f>region_vrli_virtual_fqdn</f>
        <v>Value Missing.Value Missing</v>
      </c>
      <c r="E168" s="64"/>
    </row>
    <row r="169" spans="2:5" ht="16" customHeight="1"/>
    <row r="170" spans="2:5" ht="34" customHeight="1">
      <c r="B170" s="427" t="s">
        <v>2482</v>
      </c>
      <c r="C170" s="427"/>
      <c r="D170" s="427"/>
      <c r="E170" s="427"/>
    </row>
    <row r="171" spans="2:5" ht="20" customHeight="1">
      <c r="B171" s="8" t="s">
        <v>735</v>
      </c>
      <c r="C171" s="8" t="s">
        <v>554</v>
      </c>
      <c r="D171" s="20" t="s">
        <v>555</v>
      </c>
      <c r="E171" s="8" t="s">
        <v>222</v>
      </c>
    </row>
    <row r="172" spans="2:5" ht="20" customHeight="1">
      <c r="B172" s="21" t="s">
        <v>3370</v>
      </c>
      <c r="C172" s="22" t="str">
        <f>CONCATENATE(sample_region_vrli_virtual_hostname,".",sample_child_dns_zone)</f>
        <v>sfo-logs01.sfo.rainpole.io</v>
      </c>
      <c r="D172" s="18" t="str">
        <f>region_vrli_virtual_fqdn</f>
        <v>Value Missing.Value Missing</v>
      </c>
      <c r="E172" s="53"/>
    </row>
    <row r="173" spans="2:5" ht="20" customHeight="1">
      <c r="B173" s="21" t="s">
        <v>2483</v>
      </c>
      <c r="C173" s="22" t="s">
        <v>2484</v>
      </c>
      <c r="D173" s="18" t="str">
        <f>C173</f>
        <v>VMware Workspace ONE Access</v>
      </c>
      <c r="E173" s="53"/>
    </row>
    <row r="175" spans="2:5" ht="34" customHeight="1">
      <c r="B175" s="427" t="s">
        <v>3203</v>
      </c>
      <c r="C175" s="427"/>
      <c r="D175" s="427"/>
      <c r="E175" s="427"/>
    </row>
    <row r="176" spans="2:5" ht="20" customHeight="1">
      <c r="B176" s="8" t="s">
        <v>735</v>
      </c>
      <c r="C176" s="8" t="s">
        <v>554</v>
      </c>
      <c r="D176" s="20" t="s">
        <v>555</v>
      </c>
      <c r="E176" s="8" t="s">
        <v>222</v>
      </c>
    </row>
    <row r="177" spans="2:5" ht="20" customHeight="1">
      <c r="B177" s="21" t="s">
        <v>3370</v>
      </c>
      <c r="C177" s="22" t="str">
        <f>CONCATENATE(sample_region_vrli_virtual_hostname,".",sample_child_dns_zone)</f>
        <v>sfo-logs01.sfo.rainpole.io</v>
      </c>
      <c r="D177" s="18" t="str">
        <f>region_vrli_virtual_fqdn</f>
        <v>Value Missing.Value Missing</v>
      </c>
      <c r="E177" s="53"/>
    </row>
    <row r="178" spans="2:5" ht="20" customHeight="1">
      <c r="B178" s="21" t="s">
        <v>2485</v>
      </c>
      <c r="C178" s="22" t="str">
        <f>CONCATENATE(sample_xreg_wsa_nodea_hostname,".",sample_parent_dns_zone)</f>
        <v>xint-idm01a.rainpole.io</v>
      </c>
      <c r="D178" s="18" t="str">
        <f>xreg_wsa_nodea_fqdn</f>
        <v>Value Missing.Value Missing</v>
      </c>
      <c r="E178" s="53"/>
    </row>
    <row r="179" spans="2:5" ht="20" customHeight="1">
      <c r="B179" s="21" t="s">
        <v>2486</v>
      </c>
      <c r="C179" s="22" t="str">
        <f>CONCATENATE(sample_xreg_wsa_nodeb_hostname,".",sample_parent_dns_zone)</f>
        <v>xint-idm01b.rainpole.io</v>
      </c>
      <c r="D179" s="18" t="str">
        <f>xreg_wsa_nodeb_fqdn</f>
        <v>Value Missing.Value Missing</v>
      </c>
      <c r="E179" s="53"/>
    </row>
    <row r="180" spans="2:5" ht="20" customHeight="1">
      <c r="B180" s="21" t="s">
        <v>2487</v>
      </c>
      <c r="C180" s="22" t="str">
        <f>CONCATENATE(sample_xreg_wsa_nodec_hostname,".",sample_parent_dns_zone)</f>
        <v>xint-idm01c.rainpole.io</v>
      </c>
      <c r="D180" s="18" t="str">
        <f>xreg_wsa_nodec_fqdn</f>
        <v>Value Missing.Value Missing</v>
      </c>
      <c r="E180" s="53"/>
    </row>
    <row r="181" spans="2:5" ht="16" customHeight="1"/>
    <row r="182" spans="2:5" ht="34" customHeight="1">
      <c r="B182" s="427" t="s">
        <v>3463</v>
      </c>
      <c r="C182" s="428"/>
      <c r="D182" s="428"/>
      <c r="E182" s="426"/>
    </row>
    <row r="183" spans="2:5" ht="20" customHeight="1">
      <c r="B183" s="8" t="s">
        <v>735</v>
      </c>
      <c r="C183" s="8" t="s">
        <v>554</v>
      </c>
      <c r="D183" s="20" t="s">
        <v>555</v>
      </c>
      <c r="E183" s="8" t="s">
        <v>222</v>
      </c>
    </row>
    <row r="184" spans="2:5" ht="20" customHeight="1">
      <c r="B184" s="21" t="s">
        <v>3370</v>
      </c>
      <c r="C184" s="22" t="str">
        <f>CONCATENATE(sample_region_vrli_virtual_hostname,".",sample_child_dns_zone)</f>
        <v>sfo-logs01.sfo.rainpole.io</v>
      </c>
      <c r="D184" s="18" t="str">
        <f>region_vrli_virtual_fqdn</f>
        <v>Value Missing.Value Missing</v>
      </c>
      <c r="E184" s="53"/>
    </row>
    <row r="185" spans="2:5" ht="20" customHeight="1">
      <c r="B185" s="21" t="s">
        <v>2325</v>
      </c>
      <c r="C185" s="22" t="str">
        <f>region_vrli_agent_group_wsa</f>
        <v>Workspace ONE Access - Appliance Agent Group</v>
      </c>
      <c r="D185" s="18" t="str">
        <f>region_vrli_agent_group_wsa</f>
        <v>Workspace ONE Access - Appliance Agent Group</v>
      </c>
      <c r="E185" s="53"/>
    </row>
    <row r="186" spans="2:5" ht="20" customHeight="1">
      <c r="B186" s="21" t="s">
        <v>2489</v>
      </c>
      <c r="C186" s="22" t="str">
        <f>CONCATENATE(sample_xreg_wsa_nodea_hostname,".",sample_parent_dns_zone)</f>
        <v>xint-idm01a.rainpole.io</v>
      </c>
      <c r="D186" s="18" t="str">
        <f>xreg_wsa_nodea_fqdn</f>
        <v>Value Missing.Value Missing</v>
      </c>
      <c r="E186" s="53"/>
    </row>
    <row r="187" spans="2:5" ht="20" customHeight="1">
      <c r="B187" s="21" t="s">
        <v>2490</v>
      </c>
      <c r="C187" s="22" t="str">
        <f>CONCATENATE(sample_xreg_wsa_nodeb_hostname,".",sample_parent_dns_zone)</f>
        <v>xint-idm01b.rainpole.io</v>
      </c>
      <c r="D187" s="18" t="str">
        <f>xreg_wsa_nodeb_fqdn</f>
        <v>Value Missing.Value Missing</v>
      </c>
      <c r="E187" s="53"/>
    </row>
    <row r="188" spans="2:5" ht="20" customHeight="1">
      <c r="B188" s="21" t="s">
        <v>2491</v>
      </c>
      <c r="C188" s="22" t="str">
        <f>CONCATENATE(sample_xreg_wsa_nodec_hostname,".",sample_parent_dns_zone)</f>
        <v>xint-idm01c.rainpole.io</v>
      </c>
      <c r="D188" s="18" t="str">
        <f>xreg_wsa_nodec_fqdn</f>
        <v>Value Missing.Value Missing</v>
      </c>
      <c r="E188" s="53"/>
    </row>
    <row r="189" spans="2:5" ht="16" customHeight="1"/>
    <row r="190" spans="2:5" ht="34" customHeight="1">
      <c r="B190" s="427" t="s">
        <v>3204</v>
      </c>
      <c r="C190" s="428"/>
      <c r="D190" s="428"/>
      <c r="E190" s="426"/>
    </row>
    <row r="191" spans="2:5" ht="20" customHeight="1">
      <c r="B191" s="8" t="s">
        <v>735</v>
      </c>
      <c r="C191" s="8" t="s">
        <v>554</v>
      </c>
      <c r="D191" s="20" t="s">
        <v>555</v>
      </c>
      <c r="E191" s="8" t="s">
        <v>222</v>
      </c>
    </row>
    <row r="192" spans="2:5" ht="20" customHeight="1">
      <c r="B192" s="21" t="s">
        <v>3370</v>
      </c>
      <c r="C192" s="22" t="str">
        <f>CONCATENATE(sample_region_vrli_virtual_hostname,".",sample_child_dns_zone)</f>
        <v>sfo-logs01.sfo.rainpole.io</v>
      </c>
      <c r="D192" s="18" t="str">
        <f>region_vrli_virtual_fqdn</f>
        <v>Value Missing.Value Missing</v>
      </c>
      <c r="E192" s="53"/>
    </row>
    <row r="193" spans="2:5" ht="20" customHeight="1">
      <c r="B193" s="21" t="s">
        <v>2325</v>
      </c>
      <c r="C193" s="22" t="str">
        <f>region_vrli_agent_group_photon</f>
        <v>Photon OS - Appliance Agent Group</v>
      </c>
      <c r="D193" s="18" t="str">
        <f>region_vrli_agent_group_photon</f>
        <v>Photon OS - Appliance Agent Group</v>
      </c>
      <c r="E193" s="53"/>
    </row>
    <row r="194" spans="2:5" ht="20" customHeight="1">
      <c r="B194" s="21" t="s">
        <v>2493</v>
      </c>
      <c r="C194" s="22" t="str">
        <f>CONCATENATE(sample_sddc_mgr_hostname,".",sample_region_ad_child_fqdn)</f>
        <v>sfo-vcf01.sfo.rainpole.io</v>
      </c>
      <c r="D194" s="18" t="str">
        <f>sddc_mgr_fqdn</f>
        <v>Value Missing.Value Missing</v>
      </c>
      <c r="E194" s="53"/>
    </row>
    <row r="195" spans="2:5" ht="20" customHeight="1">
      <c r="B195" s="21" t="s">
        <v>3323</v>
      </c>
      <c r="C195" s="22" t="str">
        <f>CONCATENATE(sample_xreg_vrslcm_hostname,".",sample_parent_dns_zone)</f>
        <v>xint-lcm01.rainpole.io</v>
      </c>
      <c r="D195" s="18" t="str">
        <f>xreg_vrslcm_fqdn</f>
        <v>Value Missing.Value Missing</v>
      </c>
      <c r="E195" s="53"/>
    </row>
    <row r="196" spans="2:5" ht="20" customHeight="1">
      <c r="B196" s="21" t="s">
        <v>2494</v>
      </c>
      <c r="C196" s="22" t="str">
        <f>CONCATENATE(sample_xreg_wsa_nodea_hostname,".",sample_parent_dns_zone)</f>
        <v>xint-idm01a.rainpole.io</v>
      </c>
      <c r="D196" s="18" t="str">
        <f>xreg_wsa_nodea_fqdn</f>
        <v>Value Missing.Value Missing</v>
      </c>
      <c r="E196" s="53"/>
    </row>
    <row r="197" spans="2:5" ht="20" customHeight="1">
      <c r="B197" s="21" t="s">
        <v>2495</v>
      </c>
      <c r="C197" s="22" t="str">
        <f>CONCATENATE(sample_xreg_wsa_nodeb_hostname,".",sample_parent_dns_zone)</f>
        <v>xint-idm01b.rainpole.io</v>
      </c>
      <c r="D197" s="18" t="str">
        <f>xreg_wsa_nodeb_fqdn</f>
        <v>Value Missing.Value Missing</v>
      </c>
      <c r="E197" s="53"/>
    </row>
    <row r="198" spans="2:5" ht="21" customHeight="1">
      <c r="B198" s="21" t="s">
        <v>2496</v>
      </c>
      <c r="C198" s="22" t="str">
        <f>CONCATENATE(sample_xreg_wsa_nodec_hostname,".",sample_parent_dns_zone)</f>
        <v>xint-idm01c.rainpole.io</v>
      </c>
      <c r="D198" s="18" t="str">
        <f>xreg_wsa_nodec_fqdn</f>
        <v>Value Missing.Value Missing</v>
      </c>
      <c r="E198" s="53"/>
    </row>
    <row r="199" spans="2:5" ht="16" customHeight="1"/>
    <row r="200" spans="2:5" ht="34" customHeight="1">
      <c r="B200" s="552" t="s">
        <v>2497</v>
      </c>
      <c r="C200" s="505"/>
      <c r="D200" s="505"/>
      <c r="E200" s="505"/>
    </row>
    <row r="202" spans="2:5" ht="34" customHeight="1">
      <c r="B202" s="427" t="s">
        <v>3514</v>
      </c>
      <c r="C202" s="428"/>
      <c r="D202" s="428"/>
      <c r="E202" s="426"/>
    </row>
    <row r="203" spans="2:5" ht="20" customHeight="1">
      <c r="B203" s="8" t="s">
        <v>735</v>
      </c>
      <c r="C203" s="8" t="s">
        <v>554</v>
      </c>
      <c r="D203" s="20" t="s">
        <v>555</v>
      </c>
      <c r="E203" s="8" t="s">
        <v>222</v>
      </c>
    </row>
    <row r="204" spans="2:5" ht="20" customHeight="1">
      <c r="B204" s="21" t="s">
        <v>3370</v>
      </c>
      <c r="C204" s="22" t="str">
        <f>CONCATENATE(sample_region_vrli_virtual_hostname,".",sample_child_dns_zone)</f>
        <v>sfo-logs01.sfo.rainpole.io</v>
      </c>
      <c r="D204" s="18" t="str">
        <f>region_vrli_virtual_fqdn</f>
        <v>Value Missing.Value Missing</v>
      </c>
      <c r="E204" s="53"/>
    </row>
    <row r="205" spans="2:5" ht="20" customHeight="1">
      <c r="B205" s="21" t="s">
        <v>735</v>
      </c>
      <c r="C205" s="22" t="str">
        <f>CONCATENATE(this_instance," to ",other_instance)</f>
        <v>sfo to lax</v>
      </c>
      <c r="D205" s="18" t="str">
        <f>CONCATENATE(region_vrli_tag," to ",region_existing_remote_vrli_tag)</f>
        <v>Value Missing to Value Missing</v>
      </c>
      <c r="E205" s="77"/>
    </row>
    <row r="206" spans="2:5" ht="20" customHeight="1">
      <c r="B206" s="21" t="s">
        <v>2303</v>
      </c>
      <c r="C206" s="22" t="str">
        <f>sample_region_existing_remote_vrli_host</f>
        <v>lax-m01-vrli01.lax.rainpole.io</v>
      </c>
      <c r="D206" s="18" t="str">
        <f>region_existing_remote_vrli_host</f>
        <v>Value Missing</v>
      </c>
      <c r="E206" s="77"/>
    </row>
    <row r="207" spans="2:5" ht="20" customHeight="1">
      <c r="B207" s="21" t="s">
        <v>2347</v>
      </c>
      <c r="C207" s="22" t="str">
        <f>CONCATENATE("instance=",this_instance)</f>
        <v>instance=sfo</v>
      </c>
      <c r="D207" s="18" t="str">
        <f>CONCATENATE("instance=",region_vrli_tag)</f>
        <v>instance=Value Missing</v>
      </c>
      <c r="E207" s="53"/>
    </row>
    <row r="208" spans="2:5" ht="16" customHeight="1"/>
    <row r="209" spans="2:5" ht="34" customHeight="1">
      <c r="B209" s="427" t="s">
        <v>3515</v>
      </c>
      <c r="C209" s="428"/>
      <c r="D209" s="428"/>
      <c r="E209" s="426"/>
    </row>
    <row r="210" spans="2:5" ht="20" customHeight="1">
      <c r="B210" s="8" t="s">
        <v>735</v>
      </c>
      <c r="C210" s="8" t="s">
        <v>554</v>
      </c>
      <c r="D210" s="20" t="s">
        <v>555</v>
      </c>
      <c r="E210" s="8" t="s">
        <v>222</v>
      </c>
    </row>
    <row r="211" spans="2:5" ht="20" customHeight="1">
      <c r="B211" s="21" t="s">
        <v>3370</v>
      </c>
      <c r="C211" s="22" t="str">
        <f>CONCATENATE(sample_region_vrli_virtual_hostname,".",sample_child_dns_zone)</f>
        <v>sfo-logs01.sfo.rainpole.io</v>
      </c>
      <c r="D211" s="18" t="str">
        <f>region_vrli_virtual_fqdn</f>
        <v>Value Missing.Value Missing</v>
      </c>
      <c r="E211" s="53"/>
    </row>
    <row r="212" spans="2:5" ht="20" customHeight="1">
      <c r="B212" s="21" t="s">
        <v>340</v>
      </c>
      <c r="C212" s="22" t="str">
        <f>sample_region_existing_remote_vrli_tag</f>
        <v>lax</v>
      </c>
      <c r="D212" s="18" t="str">
        <f>region_existing_remote_vrli_tag</f>
        <v>Value Missing</v>
      </c>
      <c r="E212" s="53"/>
    </row>
    <row r="214" spans="2:5" ht="34" customHeight="1">
      <c r="B214" s="552" t="s">
        <v>2275</v>
      </c>
      <c r="C214" s="505"/>
      <c r="D214" s="505"/>
      <c r="E214" s="505"/>
    </row>
    <row r="216" spans="2:5" ht="34" customHeight="1">
      <c r="B216" s="427" t="s">
        <v>3464</v>
      </c>
      <c r="C216" s="428"/>
      <c r="D216" s="428"/>
      <c r="E216" s="426"/>
    </row>
    <row r="217" spans="2:5" ht="20" customHeight="1">
      <c r="B217" s="8" t="s">
        <v>735</v>
      </c>
      <c r="C217" s="8" t="s">
        <v>554</v>
      </c>
      <c r="D217" s="20" t="s">
        <v>555</v>
      </c>
      <c r="E217" s="8" t="s">
        <v>222</v>
      </c>
    </row>
    <row r="218" spans="2:5" ht="20" customHeight="1">
      <c r="B218" s="21" t="s">
        <v>3369</v>
      </c>
      <c r="C218" s="22" t="str">
        <f>CONCATENATE(sample_xreg_vrops_virtual_hostname,".",sample_parent_dns_zone)</f>
        <v>xint-ops01.rainpole.io</v>
      </c>
      <c r="D218" s="18" t="str">
        <f>xreg_vrops_virtual_fqdn</f>
        <v>Value Missing.Value Missing</v>
      </c>
      <c r="E218" s="53"/>
    </row>
    <row r="219" spans="2:5" ht="20" customHeight="1">
      <c r="B219" s="21" t="s">
        <v>2498</v>
      </c>
      <c r="C219" s="22" t="str">
        <f>CONCATENATE(sample_mgmt_sddc_domain,"-collector-group")</f>
        <v>sfo-m01-collector-group</v>
      </c>
      <c r="D219" s="18" t="str">
        <f>region_vrops_collector_group_name</f>
        <v>Value Missing</v>
      </c>
      <c r="E219" s="53"/>
    </row>
    <row r="220" spans="2:5" ht="15" customHeight="1"/>
    <row r="221" spans="2:5" ht="34" customHeight="1">
      <c r="B221" s="427" t="s">
        <v>3465</v>
      </c>
      <c r="C221" s="428"/>
      <c r="D221" s="428"/>
      <c r="E221" s="426"/>
    </row>
    <row r="222" spans="2:5" ht="20" customHeight="1">
      <c r="B222" s="8" t="s">
        <v>735</v>
      </c>
      <c r="C222" s="8" t="s">
        <v>554</v>
      </c>
      <c r="D222" s="20" t="s">
        <v>555</v>
      </c>
      <c r="E222" s="8" t="s">
        <v>222</v>
      </c>
    </row>
    <row r="223" spans="2:5" ht="20" customHeight="1">
      <c r="B223" s="21" t="s">
        <v>3369</v>
      </c>
      <c r="C223" s="22" t="str">
        <f>CONCATENATE(sample_xreg_vrops_virtual_hostname,".",sample_parent_dns_zone)</f>
        <v>xint-ops01.rainpole.io</v>
      </c>
      <c r="D223" s="18" t="str">
        <f>xreg_vrops_virtual_fqdn</f>
        <v>Value Missing.Value Missing</v>
      </c>
      <c r="E223" s="53"/>
    </row>
    <row r="224" spans="2:5" ht="20" customHeight="1">
      <c r="B224" s="21" t="s">
        <v>735</v>
      </c>
      <c r="C224" s="22" t="str">
        <f>CONCATENATE(sample_region_vrli_virtual_hostname,"-cluster")</f>
        <v>sfo-logs01-cluster</v>
      </c>
      <c r="D224" s="18" t="str">
        <f>CONCATENATE(region_vrli_virtual_hostname,"-cluster")</f>
        <v>Value Missing-cluster</v>
      </c>
      <c r="E224" s="53"/>
    </row>
    <row r="225" spans="2:5" ht="20" customHeight="1">
      <c r="B225" s="21" t="s">
        <v>2323</v>
      </c>
      <c r="C225" s="22" t="str">
        <f>CONCATENATE(sample_region_vrli_virtual_hostname,"-cluster")</f>
        <v>sfo-logs01-cluster</v>
      </c>
      <c r="D225" s="18" t="str">
        <f>CONCATENATE(region_vrli_virtual_hostname,"-cluster")</f>
        <v>Value Missing-cluster</v>
      </c>
      <c r="E225" s="53"/>
    </row>
    <row r="226" spans="2:5" ht="20" customHeight="1">
      <c r="B226" s="21" t="s">
        <v>2448</v>
      </c>
      <c r="C226" s="22" t="str">
        <f>CONCATENATE(sample_region_vrli_virtual_ip,",",sample_region_vrli_nodea_ip,",",sample_region_vrli_nodeb_ip,",",sample_region_vrli_nodec_ip)</f>
        <v>192.168.31.10,192.168.31.11,192.168.31.12,192.168.31.13</v>
      </c>
      <c r="D226" s="18" t="str">
        <f>CONCATENATE(region_vrli_virtual_ip,",",region_vrli_nodea_ip,",",region_vrli_nodeb_ip,",",region_vrli_nodec_ip)</f>
        <v>Value Missing,Value Missing,Value Missing,Value Missing</v>
      </c>
      <c r="E226" s="53"/>
    </row>
    <row r="227" spans="2:5" ht="20" customHeight="1">
      <c r="B227" s="21" t="s">
        <v>2322</v>
      </c>
      <c r="C227" s="22" t="str">
        <f>CONCATENATE(sample_mgmt_sddc_domain,"collector-group")</f>
        <v>sfo-m01collector-group</v>
      </c>
      <c r="D227" s="18" t="str">
        <f>region_vrops_collector_group_name</f>
        <v>Value Missing</v>
      </c>
      <c r="E227" s="53"/>
    </row>
  </sheetData>
  <sheetProtection algorithmName="SHA-512" hashValue="6GYj//x466xbCs9BYuuyFIqkRBeH+l8VWkDnODSlTKVcYLFHWHSrUJ5JKQo+oi2Sji60KCBsNwQV7fqvsRA/8g==" saltValue="V3Q5JH8tdyPmxgX4KaZAUg==" spinCount="100000" sheet="1" objects="1" scenarios="1"/>
  <mergeCells count="34">
    <mergeCell ref="B54:E54"/>
    <mergeCell ref="B98:E98"/>
    <mergeCell ref="B2:C2"/>
    <mergeCell ref="D2:E2"/>
    <mergeCell ref="B3:E3"/>
    <mergeCell ref="B49:E49"/>
    <mergeCell ref="B8:E8"/>
    <mergeCell ref="B43:E43"/>
    <mergeCell ref="B10:E10"/>
    <mergeCell ref="B17:E17"/>
    <mergeCell ref="B22:E22"/>
    <mergeCell ref="B31:E31"/>
    <mergeCell ref="B36:E36"/>
    <mergeCell ref="B123:E123"/>
    <mergeCell ref="B104:E104"/>
    <mergeCell ref="B61:E61"/>
    <mergeCell ref="B113:E113"/>
    <mergeCell ref="B200:E200"/>
    <mergeCell ref="B140:E140"/>
    <mergeCell ref="B175:E175"/>
    <mergeCell ref="B182:E182"/>
    <mergeCell ref="B190:E190"/>
    <mergeCell ref="B170:E170"/>
    <mergeCell ref="B132:E132"/>
    <mergeCell ref="B161:E161"/>
    <mergeCell ref="B148:E148"/>
    <mergeCell ref="B156:E156"/>
    <mergeCell ref="B163:E163"/>
    <mergeCell ref="B166:E166"/>
    <mergeCell ref="B202:E202"/>
    <mergeCell ref="B221:E221"/>
    <mergeCell ref="B214:E214"/>
    <mergeCell ref="B216:E216"/>
    <mergeCell ref="B209:E209"/>
  </mergeCells>
  <conditionalFormatting sqref="B8:E8 B10:E15 B17:E20 B22:E29 B31:E34 B43:E47 B49:E52 B54:E59 B61:E96 B98:E102 B104:E111 B123:E130 B132:E138 B140:E146 B148:E154 B156:E159 B161:E162 B163 B164:E165 B166 B167:E168 B170:E173 B175:E180 B182:E188 B190:E198">
    <cfRule type="expression" dxfId="1113" priority="30">
      <formula>intelligent_logging_result="Excluded"</formula>
    </cfRule>
  </conditionalFormatting>
  <conditionalFormatting sqref="B36:E41">
    <cfRule type="expression" dxfId="1112" priority="1">
      <formula>intelligent_logging_result="Excluded"</formula>
    </cfRule>
  </conditionalFormatting>
  <conditionalFormatting sqref="B113:E121">
    <cfRule type="expression" dxfId="1111" priority="431">
      <formula>OR((intelligent_operations_result="Excluded"),(intelligent_logging_result="Excluded"),(mgmt_stretched_cluster_result="Excluded"))</formula>
    </cfRule>
  </conditionalFormatting>
  <conditionalFormatting sqref="B200:E200 B216:E219 B221:E227">
    <cfRule type="expression" dxfId="1110" priority="46">
      <formula>OR((intelligent_operations_result="Excluded"),(intelligent_logging_result="Excluded"))</formula>
    </cfRule>
  </conditionalFormatting>
  <conditionalFormatting sqref="B202:E207">
    <cfRule type="expression" dxfId="1109" priority="52">
      <formula>intelligent_logging_result="Excluded"</formula>
    </cfRule>
  </conditionalFormatting>
  <conditionalFormatting sqref="B209:E212">
    <cfRule type="expression" dxfId="1108" priority="485">
      <formula>intelligent_logging_result="Excluded"</formula>
    </cfRule>
  </conditionalFormatting>
  <conditionalFormatting sqref="B214:E214">
    <cfRule type="expression" dxfId="1107" priority="472">
      <formula>OR((intelligent_operations_result="Excluded"),(intelligent_logging_result="Excluded"))</formula>
    </cfRule>
  </conditionalFormatting>
  <conditionalFormatting sqref="C5">
    <cfRule type="expression" dxfId="1106" priority="470">
      <formula>intelligent_logging_result="Excluded"</formula>
    </cfRule>
  </conditionalFormatting>
  <conditionalFormatting sqref="D5:E5">
    <cfRule type="expression" dxfId="1033" priority="471">
      <formula>OR((intelligent_operations_chosen&lt;&gt;"Initial Deployment"),(intelligent_operations_result="Excluded"))</formula>
    </cfRule>
  </conditionalFormatting>
  <hyperlinks>
    <hyperlink ref="C5" location="'Intelligent Logging &amp; Analytics'!navigation_ila_implementation" display="Implementation" xr:uid="{00000000-0004-0000-1300-000000000000}"/>
    <hyperlink ref="E5" location="'Intelligent Logging &amp; Analytics'!navigation_ila_solution_interop" display="Solution Interoperability" xr:uid="{00000000-0004-0000-1300-000001000000}"/>
    <hyperlink ref="D5" location="'Intelligent Logging &amp; Analytics'!B346" display="Additional Instance" xr:uid="{061D6E68-00FE-C94F-9413-7C3E629896BB}"/>
    <hyperlink ref="B5" location="'Deployment Options'!H50" display="Section Navigation (Click to Navigate)" xr:uid="{A2AFF4E0-122C-CE46-9BFE-AA6714F439E4}"/>
  </hyperlink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notContainsText" priority="40" operator="notContains" id="{452FF496-F343-EA4E-8FD1-96E087AD910F}">
            <xm:f>ISERROR(SEARCH("Value Missing",D12))</xm:f>
            <xm:f>"Value Missing"</xm:f>
            <x14:dxf>
              <font>
                <color rgb="FF006100"/>
              </font>
              <fill>
                <patternFill>
                  <bgColor rgb="FFC6EFCE"/>
                </patternFill>
              </fill>
            </x14:dxf>
          </x14:cfRule>
          <x14:cfRule type="containsText" priority="401" operator="containsText" id="{130595DC-E75E-674D-A5A0-50E671B11644}">
            <xm:f>NOT(ISERROR(SEARCH("Value Missing",D12)))</xm:f>
            <xm:f>"Value Missing"</xm:f>
            <x14:dxf>
              <font>
                <color rgb="FF9C0006"/>
              </font>
              <fill>
                <patternFill>
                  <bgColor rgb="FFFFC7CE"/>
                </patternFill>
              </fill>
            </x14:dxf>
          </x14:cfRule>
          <xm:sqref>D12:D15 D63:D76 D164:D165</xm:sqref>
        </x14:conditionalFormatting>
        <x14:conditionalFormatting xmlns:xm="http://schemas.microsoft.com/office/excel/2006/main">
          <x14:cfRule type="notContainsText" priority="37" operator="notContains" id="{15A246F0-D3B6-D94C-A057-97623D59AD2E}">
            <xm:f>ISERROR(SEARCH("Value Missing",D19))</xm:f>
            <xm:f>"Value Missing"</xm:f>
            <x14:dxf>
              <font>
                <color rgb="FF006100"/>
              </font>
              <fill>
                <patternFill>
                  <bgColor rgb="FFC6EFCE"/>
                </patternFill>
              </fill>
            </x14:dxf>
          </x14:cfRule>
          <x14:cfRule type="containsText" priority="39" operator="containsText" id="{D0A9DCE0-5BE4-3F40-A77C-406EA07B71E6}">
            <xm:f>NOT(ISERROR(SEARCH("Value Missing",D19)))</xm:f>
            <xm:f>"Value Missing"</xm:f>
            <x14:dxf>
              <font>
                <color rgb="FF9C0006"/>
              </font>
              <fill>
                <patternFill>
                  <bgColor rgb="FFFFC7CE"/>
                </patternFill>
              </fill>
            </x14:dxf>
          </x14:cfRule>
          <xm:sqref>D19:D20</xm:sqref>
        </x14:conditionalFormatting>
        <x14:conditionalFormatting xmlns:xm="http://schemas.microsoft.com/office/excel/2006/main">
          <x14:cfRule type="notContainsText" priority="31" operator="notContains" id="{63E73F59-7ADC-8E4F-A823-3258D61DF206}">
            <xm:f>ISERROR(SEARCH("Value Missing",D24))</xm:f>
            <xm:f>"Value Missing"</xm:f>
            <x14:dxf>
              <font>
                <color rgb="FF006100"/>
              </font>
              <fill>
                <patternFill>
                  <bgColor rgb="FFC6EFCE"/>
                </patternFill>
              </fill>
            </x14:dxf>
          </x14:cfRule>
          <x14:cfRule type="containsText" priority="36" operator="containsText" id="{B93A59A0-8195-134E-9BEF-612C29CECF81}">
            <xm:f>NOT(ISERROR(SEARCH("Value Missing",D24)))</xm:f>
            <xm:f>"Value Missing"</xm:f>
            <x14:dxf>
              <font>
                <color rgb="FF9C0006"/>
              </font>
              <fill>
                <patternFill>
                  <bgColor rgb="FFFFC7CE"/>
                </patternFill>
              </fill>
            </x14:dxf>
          </x14:cfRule>
          <xm:sqref>D24:D29</xm:sqref>
        </x14:conditionalFormatting>
        <x14:conditionalFormatting xmlns:xm="http://schemas.microsoft.com/office/excel/2006/main">
          <x14:cfRule type="notContainsText" priority="45" operator="notContains" id="{1D2B0C1B-C6E5-3E40-B413-E18929D91023}">
            <xm:f>ISERROR(SEARCH("Value Missing",D33))</xm:f>
            <xm:f>"Value Missing"</xm:f>
            <x14:dxf>
              <font>
                <color rgb="FF006100"/>
              </font>
              <fill>
                <patternFill>
                  <bgColor rgb="FFC6EFCE"/>
                </patternFill>
              </fill>
            </x14:dxf>
          </x14:cfRule>
          <x14:cfRule type="containsText" priority="462" operator="containsText" id="{006AC7AB-EE56-1245-8E34-9C5698CCADCE}">
            <xm:f>NOT(ISERROR(SEARCH("Value Missing",D33)))</xm:f>
            <xm:f>"Value Missing"</xm:f>
            <x14:dxf>
              <font>
                <color rgb="FF9C0006"/>
              </font>
              <fill>
                <patternFill>
                  <bgColor rgb="FFFFC7CE"/>
                </patternFill>
              </fill>
            </x14:dxf>
          </x14:cfRule>
          <xm:sqref>D33:D34</xm:sqref>
        </x14:conditionalFormatting>
        <x14:conditionalFormatting xmlns:xm="http://schemas.microsoft.com/office/excel/2006/main">
          <x14:cfRule type="notContainsText" priority="2" operator="notContains" id="{6EB42568-09E6-1543-A7FB-85B28AEF6024}">
            <xm:f>ISERROR(SEARCH("Value Missing",D38))</xm:f>
            <xm:f>"Value Missing"</xm:f>
            <x14:dxf>
              <font>
                <color rgb="FF006100"/>
              </font>
              <fill>
                <patternFill>
                  <bgColor rgb="FFC6EFCE"/>
                </patternFill>
              </fill>
            </x14:dxf>
          </x14:cfRule>
          <x14:cfRule type="containsText" priority="3" operator="containsText" id="{5C5796CF-F838-3E4F-B1D5-D5DE5DA9397A}">
            <xm:f>NOT(ISERROR(SEARCH("Value Missing",D38)))</xm:f>
            <xm:f>"Value Missing"</xm:f>
            <x14:dxf>
              <font>
                <color rgb="FF9C0006"/>
              </font>
              <fill>
                <patternFill>
                  <bgColor rgb="FFFFC7CE"/>
                </patternFill>
              </fill>
            </x14:dxf>
          </x14:cfRule>
          <xm:sqref>D38:D41</xm:sqref>
        </x14:conditionalFormatting>
        <x14:conditionalFormatting xmlns:xm="http://schemas.microsoft.com/office/excel/2006/main">
          <x14:cfRule type="notContainsText" priority="631" operator="notContains" id="{85147F6A-0A1C-D948-8A00-5FC6DF9DD220}">
            <xm:f>ISERROR(SEARCH("Value Missing",D45))</xm:f>
            <xm:f>"Value Missing"</xm:f>
            <x14:dxf>
              <font>
                <color rgb="FF006100"/>
              </font>
              <fill>
                <patternFill>
                  <bgColor rgb="FFC6EFCE"/>
                </patternFill>
              </fill>
            </x14:dxf>
          </x14:cfRule>
          <x14:cfRule type="containsText" priority="632" operator="containsText" id="{2D98D202-E049-0643-8D5B-94C49FEA78E2}">
            <xm:f>NOT(ISERROR(SEARCH("Value Missing",D45)))</xm:f>
            <xm:f>"Value Missing"</xm:f>
            <x14:dxf>
              <font>
                <color rgb="FF9C0006"/>
              </font>
              <fill>
                <patternFill>
                  <bgColor rgb="FFFFC7CE"/>
                </patternFill>
              </fill>
            </x14:dxf>
          </x14:cfRule>
          <xm:sqref>D45:D47</xm:sqref>
        </x14:conditionalFormatting>
        <x14:conditionalFormatting xmlns:xm="http://schemas.microsoft.com/office/excel/2006/main">
          <x14:cfRule type="notContainsText" priority="1989" operator="notContains" id="{18023BB2-E750-1743-93B9-F18AC3F6ABE2}">
            <xm:f>ISERROR(SEARCH("Value Missing",D51))</xm:f>
            <xm:f>"Value Missing"</xm:f>
            <x14:dxf>
              <font>
                <color rgb="FF006100"/>
              </font>
              <fill>
                <patternFill>
                  <bgColor rgb="FFC6EFCE"/>
                </patternFill>
              </fill>
            </x14:dxf>
          </x14:cfRule>
          <x14:cfRule type="containsText" priority="1990" operator="containsText" id="{50560BAD-5411-A447-AFD6-5EDACDFF1F58}">
            <xm:f>NOT(ISERROR(SEARCH("Value Missing",D51)))</xm:f>
            <xm:f>"Value Missing"</xm:f>
            <x14:dxf>
              <font>
                <color rgb="FF9C0006"/>
              </font>
              <fill>
                <patternFill>
                  <bgColor rgb="FFFFC7CE"/>
                </patternFill>
              </fill>
            </x14:dxf>
          </x14:cfRule>
          <xm:sqref>D51:D52</xm:sqref>
        </x14:conditionalFormatting>
        <x14:conditionalFormatting xmlns:xm="http://schemas.microsoft.com/office/excel/2006/main">
          <x14:cfRule type="containsText" priority="1484" operator="containsText" id="{FAD46F95-FC42-C44D-9299-54D1F826BF00}">
            <xm:f>NOT(ISERROR(SEARCH("Value Missing",D56)))</xm:f>
            <xm:f>"Value Missing"</xm:f>
            <x14:dxf>
              <font>
                <color rgb="FF9C0006"/>
              </font>
              <fill>
                <patternFill>
                  <bgColor rgb="FFFFC7CE"/>
                </patternFill>
              </fill>
            </x14:dxf>
          </x14:cfRule>
          <x14:cfRule type="notContainsText" priority="1483" operator="notContains" id="{DE16C80F-5ECC-704F-80B1-9C00272799F6}">
            <xm:f>ISERROR(SEARCH("Value Missing",D56))</xm:f>
            <xm:f>"Value Missing"</xm:f>
            <x14:dxf>
              <font>
                <color rgb="FF006100"/>
              </font>
              <fill>
                <patternFill>
                  <bgColor rgb="FFC6EFCE"/>
                </patternFill>
              </fill>
            </x14:dxf>
          </x14:cfRule>
          <xm:sqref>D56:D59</xm:sqref>
        </x14:conditionalFormatting>
        <x14:conditionalFormatting xmlns:xm="http://schemas.microsoft.com/office/excel/2006/main">
          <x14:cfRule type="containsText" priority="1410" operator="containsText" id="{EA00F82B-1251-094C-82C9-ED9E6CD289F0}">
            <xm:f>NOT(ISERROR(SEARCH("Value Missing",D74)))</xm:f>
            <xm:f>"Value Missing"</xm:f>
            <x14:dxf>
              <font>
                <color rgb="FF9C0006"/>
              </font>
              <fill>
                <patternFill>
                  <bgColor rgb="FFFFC7CE"/>
                </patternFill>
              </fill>
            </x14:dxf>
          </x14:cfRule>
          <x14:cfRule type="notContainsText" priority="1409" operator="notContains" id="{DC27C1F4-16BF-FC4D-AECF-443FDFAD93C8}">
            <xm:f>ISERROR(SEARCH("Value Missing",D74))</xm:f>
            <xm:f>"Value Missing"</xm:f>
            <x14:dxf>
              <font>
                <color rgb="FF006100"/>
              </font>
              <fill>
                <patternFill>
                  <bgColor rgb="FFC6EFCE"/>
                </patternFill>
              </fill>
            </x14:dxf>
          </x14:cfRule>
          <xm:sqref>D74:D84</xm:sqref>
        </x14:conditionalFormatting>
        <x14:conditionalFormatting xmlns:xm="http://schemas.microsoft.com/office/excel/2006/main">
          <x14:cfRule type="notContainsText" priority="1407" operator="notContains" id="{B7CE0016-CC82-AD43-8FCF-A7BDA5DBADC2}">
            <xm:f>ISERROR(SEARCH("Value Missing",D82))</xm:f>
            <xm:f>"Value Missing"</xm:f>
            <x14:dxf>
              <font>
                <color rgb="FF006100"/>
              </font>
              <fill>
                <patternFill>
                  <bgColor rgb="FFC6EFCE"/>
                </patternFill>
              </fill>
            </x14:dxf>
          </x14:cfRule>
          <x14:cfRule type="containsText" priority="1408" operator="containsText" id="{3892689E-C987-534D-A9F4-D7E11A3E4155}">
            <xm:f>NOT(ISERROR(SEARCH("Value Missing",D82)))</xm:f>
            <xm:f>"Value Missing"</xm:f>
            <x14:dxf>
              <font>
                <color rgb="FF9C0006"/>
              </font>
              <fill>
                <patternFill>
                  <bgColor rgb="FFFFC7CE"/>
                </patternFill>
              </fill>
            </x14:dxf>
          </x14:cfRule>
          <xm:sqref>D82</xm:sqref>
        </x14:conditionalFormatting>
        <x14:conditionalFormatting xmlns:xm="http://schemas.microsoft.com/office/excel/2006/main">
          <x14:cfRule type="containsText" priority="696" operator="containsText" id="{10DEFA6A-459B-1344-874E-91ACA1B22324}">
            <xm:f>NOT(ISERROR(SEARCH("Value Missing",D85)))</xm:f>
            <xm:f>"Value Missing"</xm:f>
            <x14:dxf>
              <font>
                <color rgb="FF9C0006"/>
              </font>
              <fill>
                <patternFill>
                  <bgColor rgb="FFFFC7CE"/>
                </patternFill>
              </fill>
            </x14:dxf>
          </x14:cfRule>
          <x14:cfRule type="notContainsText" priority="695" operator="notContains" id="{5E36D4B2-5C90-A84D-9708-DB6D9E4FC76C}">
            <xm:f>ISERROR(SEARCH("Value Missing",D85))</xm:f>
            <xm:f>"Value Missing"</xm:f>
            <x14:dxf>
              <font>
                <color rgb="FF006100"/>
              </font>
              <fill>
                <patternFill>
                  <bgColor rgb="FFC6EFCE"/>
                </patternFill>
              </fill>
            </x14:dxf>
          </x14:cfRule>
          <xm:sqref>D85:D96</xm:sqref>
        </x14:conditionalFormatting>
        <x14:conditionalFormatting xmlns:xm="http://schemas.microsoft.com/office/excel/2006/main">
          <x14:cfRule type="notContainsText" priority="1327" operator="notContains" id="{7C11A9F8-E521-AD4D-969E-18620D2D9A3D}">
            <xm:f>ISERROR(SEARCH("Value Missing",D100))</xm:f>
            <xm:f>"Value Missing"</xm:f>
            <x14:dxf>
              <font>
                <color rgb="FF006100"/>
              </font>
              <fill>
                <patternFill>
                  <bgColor rgb="FFC6EFCE"/>
                </patternFill>
              </fill>
            </x14:dxf>
          </x14:cfRule>
          <x14:cfRule type="containsText" priority="1328" operator="containsText" id="{92F10970-02DF-DE47-8E58-4CCF30A7590C}">
            <xm:f>NOT(ISERROR(SEARCH("Value Missing",D100)))</xm:f>
            <xm:f>"Value Missing"</xm:f>
            <x14:dxf>
              <font>
                <color rgb="FF9C0006"/>
              </font>
              <fill>
                <patternFill>
                  <bgColor rgb="FFFFC7CE"/>
                </patternFill>
              </fill>
            </x14:dxf>
          </x14:cfRule>
          <xm:sqref>D100:D102</xm:sqref>
        </x14:conditionalFormatting>
        <x14:conditionalFormatting xmlns:xm="http://schemas.microsoft.com/office/excel/2006/main">
          <x14:cfRule type="containsText" priority="1228" operator="containsText" id="{312A38FE-1A5E-8143-B52D-F0BD3F43094F}">
            <xm:f>NOT(ISERROR(SEARCH("Value Missing",D106)))</xm:f>
            <xm:f>"Value Missing"</xm:f>
            <x14:dxf>
              <font>
                <color rgb="FF9C0006"/>
              </font>
              <fill>
                <patternFill>
                  <bgColor rgb="FFFFC7CE"/>
                </patternFill>
              </fill>
            </x14:dxf>
          </x14:cfRule>
          <x14:cfRule type="notContainsText" priority="1227" operator="notContains" id="{87F0CB23-CE64-B44E-BF38-EB07D0346FF4}">
            <xm:f>ISERROR(SEARCH("Value Missing",D106))</xm:f>
            <xm:f>"Value Missing"</xm:f>
            <x14:dxf>
              <font>
                <color rgb="FF006100"/>
              </font>
              <fill>
                <patternFill>
                  <bgColor rgb="FFC6EFCE"/>
                </patternFill>
              </fill>
            </x14:dxf>
          </x14:cfRule>
          <xm:sqref>D106:D111</xm:sqref>
        </x14:conditionalFormatting>
        <x14:conditionalFormatting xmlns:xm="http://schemas.microsoft.com/office/excel/2006/main">
          <x14:cfRule type="notContainsText" priority="494" operator="notContains" id="{04F23B77-8F63-FF46-8CD2-D80BA7696440}">
            <xm:f>ISERROR(SEARCH("Value Missing",D115))</xm:f>
            <xm:f>"Value Missing"</xm:f>
            <x14:dxf>
              <font>
                <color rgb="FF006100"/>
              </font>
              <fill>
                <patternFill>
                  <bgColor rgb="FFC6EFCE"/>
                </patternFill>
              </fill>
            </x14:dxf>
          </x14:cfRule>
          <x14:cfRule type="containsText" priority="495" operator="containsText" id="{6CDEA292-F876-0D4D-9A38-EF910B0F389D}">
            <xm:f>NOT(ISERROR(SEARCH("Value Missing",D115)))</xm:f>
            <xm:f>"Value Missing"</xm:f>
            <x14:dxf>
              <font>
                <color rgb="FF9C0006"/>
              </font>
              <fill>
                <patternFill>
                  <bgColor rgb="FFFFC7CE"/>
                </patternFill>
              </fill>
            </x14:dxf>
          </x14:cfRule>
          <xm:sqref>D115:D121</xm:sqref>
        </x14:conditionalFormatting>
        <x14:conditionalFormatting xmlns:xm="http://schemas.microsoft.com/office/excel/2006/main">
          <x14:cfRule type="notContainsText" priority="1089" operator="notContains" id="{AFFC3EA0-D726-3444-8BC8-1072E66AA425}">
            <xm:f>ISERROR(SEARCH("Value Missing",D125))</xm:f>
            <xm:f>"Value Missing"</xm:f>
            <x14:dxf>
              <font>
                <color rgb="FF006100"/>
              </font>
              <fill>
                <patternFill>
                  <bgColor rgb="FFC6EFCE"/>
                </patternFill>
              </fill>
            </x14:dxf>
          </x14:cfRule>
          <x14:cfRule type="containsText" priority="1090" operator="containsText" id="{B7AE67AA-6D80-E944-BD96-8FEE2DD8D08A}">
            <xm:f>NOT(ISERROR(SEARCH("Value Missing",D125)))</xm:f>
            <xm:f>"Value Missing"</xm:f>
            <x14:dxf>
              <font>
                <color rgb="FF9C0006"/>
              </font>
              <fill>
                <patternFill>
                  <bgColor rgb="FFFFC7CE"/>
                </patternFill>
              </fill>
            </x14:dxf>
          </x14:cfRule>
          <xm:sqref>D125:D130</xm:sqref>
        </x14:conditionalFormatting>
        <x14:conditionalFormatting xmlns:xm="http://schemas.microsoft.com/office/excel/2006/main">
          <x14:cfRule type="containsText" priority="1088" operator="containsText" id="{0C03C536-974E-584F-A9F1-3486FE004262}">
            <xm:f>NOT(ISERROR(SEARCH("Value Missing",D127)))</xm:f>
            <xm:f>"Value Missing"</xm:f>
            <x14:dxf>
              <font>
                <color rgb="FF9C0006"/>
              </font>
              <fill>
                <patternFill>
                  <bgColor rgb="FFFFC7CE"/>
                </patternFill>
              </fill>
            </x14:dxf>
          </x14:cfRule>
          <x14:cfRule type="notContainsText" priority="1087" operator="notContains" id="{FAD93775-5F5E-6344-B217-4C3A1EA18E85}">
            <xm:f>ISERROR(SEARCH("Value Missing",D127))</xm:f>
            <xm:f>"Value Missing"</xm:f>
            <x14:dxf>
              <font>
                <color rgb="FF006100"/>
              </font>
              <fill>
                <patternFill>
                  <bgColor rgb="FFC6EFCE"/>
                </patternFill>
              </fill>
            </x14:dxf>
          </x14:cfRule>
          <xm:sqref>D127</xm:sqref>
        </x14:conditionalFormatting>
        <x14:conditionalFormatting xmlns:xm="http://schemas.microsoft.com/office/excel/2006/main">
          <x14:cfRule type="containsText" priority="1252" operator="containsText" id="{8443C450-492C-EC40-AE91-20C32274F7C3}">
            <xm:f>NOT(ISERROR(SEARCH("Value Missing",D132)))</xm:f>
            <xm:f>"Value Missing"</xm:f>
            <x14:dxf>
              <font>
                <color rgb="FF9C0006"/>
              </font>
              <fill>
                <patternFill>
                  <bgColor rgb="FFFFC7CE"/>
                </patternFill>
              </fill>
            </x14:dxf>
          </x14:cfRule>
          <xm:sqref>D132 D134:D136 D138</xm:sqref>
        </x14:conditionalFormatting>
        <x14:conditionalFormatting xmlns:xm="http://schemas.microsoft.com/office/excel/2006/main">
          <x14:cfRule type="notContainsText" priority="1251" operator="notContains" id="{514264A0-F2D3-F84C-9338-98C45C63E4EF}">
            <xm:f>ISERROR(SEARCH("Value Missing",D132))</xm:f>
            <xm:f>"Value Missing"</xm:f>
            <x14:dxf>
              <font>
                <color rgb="FF006100"/>
              </font>
              <fill>
                <patternFill>
                  <bgColor rgb="FFC6EFCE"/>
                </patternFill>
              </fill>
            </x14:dxf>
          </x14:cfRule>
          <xm:sqref>D134:D136 D138 D132</xm:sqref>
        </x14:conditionalFormatting>
        <x14:conditionalFormatting xmlns:xm="http://schemas.microsoft.com/office/excel/2006/main">
          <x14:cfRule type="containsText" priority="481" operator="containsText" id="{5FBD02D7-B4AE-6548-9F97-3567A5817921}">
            <xm:f>NOT(ISERROR(SEARCH("Value Missing",D134)))</xm:f>
            <xm:f>"Value Missing"</xm:f>
            <x14:dxf>
              <font>
                <color rgb="FF9C0006"/>
              </font>
              <fill>
                <patternFill>
                  <bgColor rgb="FFFFC7CE"/>
                </patternFill>
              </fill>
            </x14:dxf>
          </x14:cfRule>
          <x14:cfRule type="notContainsText" priority="480" operator="notContains" id="{09D52A34-15C7-B641-AC6B-10BEDB5ADAC5}">
            <xm:f>ISERROR(SEARCH("Value Missing",D134))</xm:f>
            <xm:f>"Value Missing"</xm:f>
            <x14:dxf>
              <font>
                <color rgb="FF006100"/>
              </font>
              <fill>
                <patternFill>
                  <bgColor rgb="FFC6EFCE"/>
                </patternFill>
              </fill>
            </x14:dxf>
          </x14:cfRule>
          <xm:sqref>D134:D138</xm:sqref>
        </x14:conditionalFormatting>
        <x14:conditionalFormatting xmlns:xm="http://schemas.microsoft.com/office/excel/2006/main">
          <x14:cfRule type="containsText" priority="479" operator="containsText" id="{8138EA1E-BFEC-2B4A-A884-50C72709D90F}">
            <xm:f>NOT(ISERROR(SEARCH("Value Missing",D137)))</xm:f>
            <xm:f>"Value Missing"</xm:f>
            <x14:dxf>
              <font>
                <color rgb="FF9C0006"/>
              </font>
              <fill>
                <patternFill>
                  <bgColor rgb="FFFFC7CE"/>
                </patternFill>
              </fill>
            </x14:dxf>
          </x14:cfRule>
          <x14:cfRule type="notContainsText" priority="478" operator="notContains" id="{C6C288E1-3408-8641-9F7F-42C545755897}">
            <xm:f>ISERROR(SEARCH("Value Missing",D137))</xm:f>
            <xm:f>"Value Missing"</xm:f>
            <x14:dxf>
              <font>
                <color rgb="FF006100"/>
              </font>
              <fill>
                <patternFill>
                  <bgColor rgb="FFC6EFCE"/>
                </patternFill>
              </fill>
            </x14:dxf>
          </x14:cfRule>
          <xm:sqref>D137</xm:sqref>
        </x14:conditionalFormatting>
        <x14:conditionalFormatting xmlns:xm="http://schemas.microsoft.com/office/excel/2006/main">
          <x14:cfRule type="containsText" priority="552" operator="containsText" id="{1109B87A-EB63-2E43-AE45-9DCE1E36E19C}">
            <xm:f>NOT(ISERROR(SEARCH("Value Missing",D140)))</xm:f>
            <xm:f>"Value Missing"</xm:f>
            <x14:dxf>
              <font>
                <color rgb="FF9C0006"/>
              </font>
              <fill>
                <patternFill>
                  <bgColor rgb="FFFFC7CE"/>
                </patternFill>
              </fill>
            </x14:dxf>
          </x14:cfRule>
          <x14:cfRule type="notContainsText" priority="551" operator="notContains" id="{C2D33AB3-6A4B-7842-9B4B-9503251B8ACD}">
            <xm:f>ISERROR(SEARCH("Value Missing",D140))</xm:f>
            <xm:f>"Value Missing"</xm:f>
            <x14:dxf>
              <font>
                <color rgb="FF006100"/>
              </font>
              <fill>
                <patternFill>
                  <bgColor rgb="FFC6EFCE"/>
                </patternFill>
              </fill>
            </x14:dxf>
          </x14:cfRule>
          <xm:sqref>D140</xm:sqref>
        </x14:conditionalFormatting>
        <x14:conditionalFormatting xmlns:xm="http://schemas.microsoft.com/office/excel/2006/main">
          <x14:cfRule type="containsText" priority="1016" operator="containsText" id="{E4029012-5F18-1E4D-890B-046BC19764BC}">
            <xm:f>NOT(ISERROR(SEARCH("Value Missing",D142)))</xm:f>
            <xm:f>"Value Missing"</xm:f>
            <x14:dxf>
              <font>
                <color rgb="FF9C0006"/>
              </font>
              <fill>
                <patternFill>
                  <bgColor rgb="FFFFC7CE"/>
                </patternFill>
              </fill>
            </x14:dxf>
          </x14:cfRule>
          <x14:cfRule type="notContainsText" priority="1015" operator="notContains" id="{8729894E-051F-6548-A6E2-AE8E22711E10}">
            <xm:f>ISERROR(SEARCH("Value Missing",D142))</xm:f>
            <xm:f>"Value Missing"</xm:f>
            <x14:dxf>
              <font>
                <color rgb="FF006100"/>
              </font>
              <fill>
                <patternFill>
                  <bgColor rgb="FFC6EFCE"/>
                </patternFill>
              </fill>
            </x14:dxf>
          </x14:cfRule>
          <xm:sqref>D142:D146</xm:sqref>
        </x14:conditionalFormatting>
        <x14:conditionalFormatting xmlns:xm="http://schemas.microsoft.com/office/excel/2006/main">
          <x14:cfRule type="containsText" priority="548" operator="containsText" id="{06A642A4-8FEB-6E49-8A62-F792C4055FBF}">
            <xm:f>NOT(ISERROR(SEARCH("Value Missing",D148)))</xm:f>
            <xm:f>"Value Missing"</xm:f>
            <x14:dxf>
              <font>
                <color rgb="FF9C0006"/>
              </font>
              <fill>
                <patternFill>
                  <bgColor rgb="FFFFC7CE"/>
                </patternFill>
              </fill>
            </x14:dxf>
          </x14:cfRule>
          <x14:cfRule type="notContainsText" priority="547" operator="notContains" id="{CC9B1725-6124-CC46-B7AC-DCC90F853C8A}">
            <xm:f>ISERROR(SEARCH("Value Missing",D148))</xm:f>
            <xm:f>"Value Missing"</xm:f>
            <x14:dxf>
              <font>
                <color rgb="FF006100"/>
              </font>
              <fill>
                <patternFill>
                  <bgColor rgb="FFC6EFCE"/>
                </patternFill>
              </fill>
            </x14:dxf>
          </x14:cfRule>
          <xm:sqref>D148</xm:sqref>
        </x14:conditionalFormatting>
        <x14:conditionalFormatting xmlns:xm="http://schemas.microsoft.com/office/excel/2006/main">
          <x14:cfRule type="notContainsText" priority="1007" operator="notContains" id="{48B3CA9B-185D-514F-B4A8-7511D707E7D9}">
            <xm:f>ISERROR(SEARCH("Value Missing",D150))</xm:f>
            <xm:f>"Value Missing"</xm:f>
            <x14:dxf>
              <font>
                <color rgb="FF006100"/>
              </font>
              <fill>
                <patternFill>
                  <bgColor rgb="FFC6EFCE"/>
                </patternFill>
              </fill>
            </x14:dxf>
          </x14:cfRule>
          <x14:cfRule type="containsText" priority="1008" operator="containsText" id="{118FAB6C-54D9-E044-A302-96978D0DB746}">
            <xm:f>NOT(ISERROR(SEARCH("Value Missing",D150)))</xm:f>
            <xm:f>"Value Missing"</xm:f>
            <x14:dxf>
              <font>
                <color rgb="FF9C0006"/>
              </font>
              <fill>
                <patternFill>
                  <bgColor rgb="FFFFC7CE"/>
                </patternFill>
              </fill>
            </x14:dxf>
          </x14:cfRule>
          <xm:sqref>D150:D154</xm:sqref>
        </x14:conditionalFormatting>
        <x14:conditionalFormatting xmlns:xm="http://schemas.microsoft.com/office/excel/2006/main">
          <x14:cfRule type="notContainsText" priority="995" operator="notContains" id="{FCF1A366-9841-9A4D-9614-FE7FCBBB9AE7}">
            <xm:f>ISERROR(SEARCH("Value Missing",D158))</xm:f>
            <xm:f>"Value Missing"</xm:f>
            <x14:dxf>
              <font>
                <color rgb="FF006100"/>
              </font>
              <fill>
                <patternFill>
                  <bgColor rgb="FFC6EFCE"/>
                </patternFill>
              </fill>
            </x14:dxf>
          </x14:cfRule>
          <x14:cfRule type="containsText" priority="996" operator="containsText" id="{CAC3F2DF-FC46-604F-B9C0-804CB1D3D182}">
            <xm:f>NOT(ISERROR(SEARCH("Value Missing",D158)))</xm:f>
            <xm:f>"Value Missing"</xm:f>
            <x14:dxf>
              <font>
                <color rgb="FF9C0006"/>
              </font>
              <fill>
                <patternFill>
                  <bgColor rgb="FFFFC7CE"/>
                </patternFill>
              </fill>
            </x14:dxf>
          </x14:cfRule>
          <x14:cfRule type="notContainsText" priority="1085" operator="notContains" id="{BFD9A817-A054-4D4B-872A-863E79291EED}">
            <xm:f>ISERROR(SEARCH("Value Missing",D158))</xm:f>
            <xm:f>"Value Missing"</xm:f>
            <x14:dxf>
              <font>
                <color rgb="FF006100"/>
              </font>
              <fill>
                <patternFill>
                  <bgColor rgb="FFC6EFCE"/>
                </patternFill>
              </fill>
            </x14:dxf>
          </x14:cfRule>
          <x14:cfRule type="containsText" priority="1086" operator="containsText" id="{B35A6673-E506-6B4B-94E3-1FFA699D59B5}">
            <xm:f>NOT(ISERROR(SEARCH("Value Missing",D158)))</xm:f>
            <xm:f>"Value Missing"</xm:f>
            <x14:dxf>
              <font>
                <color rgb="FF9C0006"/>
              </font>
              <fill>
                <patternFill>
                  <bgColor rgb="FFFFC7CE"/>
                </patternFill>
              </fill>
            </x14:dxf>
          </x14:cfRule>
          <xm:sqref>D158:D159</xm:sqref>
        </x14:conditionalFormatting>
        <x14:conditionalFormatting xmlns:xm="http://schemas.microsoft.com/office/excel/2006/main">
          <x14:cfRule type="notContainsText" priority="1083" operator="notContains" id="{2582870F-2B1A-9F48-88C9-338308884CD1}">
            <xm:f>ISERROR(SEARCH("Value Missing",D159))</xm:f>
            <xm:f>"Value Missing"</xm:f>
            <x14:dxf>
              <font>
                <color rgb="FF006100"/>
              </font>
              <fill>
                <patternFill>
                  <bgColor rgb="FFC6EFCE"/>
                </patternFill>
              </fill>
            </x14:dxf>
          </x14:cfRule>
          <x14:cfRule type="containsText" priority="1084" operator="containsText" id="{F3E851B7-F5AB-F74A-970C-C2F352FF8FCA}">
            <xm:f>NOT(ISERROR(SEARCH("Value Missing",D159)))</xm:f>
            <xm:f>"Value Missing"</xm:f>
            <x14:dxf>
              <font>
                <color rgb="FF9C0006"/>
              </font>
              <fill>
                <patternFill>
                  <bgColor rgb="FFFFC7CE"/>
                </patternFill>
              </fill>
            </x14:dxf>
          </x14:cfRule>
          <xm:sqref>D159</xm:sqref>
        </x14:conditionalFormatting>
        <x14:conditionalFormatting xmlns:xm="http://schemas.microsoft.com/office/excel/2006/main">
          <x14:cfRule type="containsText" priority="822" operator="containsText" id="{29800441-252A-6C46-99FA-9BD9708894C1}">
            <xm:f>NOT(ISERROR(SEARCH("Value Missing",D167)))</xm:f>
            <xm:f>"Value Missing"</xm:f>
            <x14:dxf>
              <font>
                <color rgb="FF9C0006"/>
              </font>
              <fill>
                <patternFill>
                  <bgColor rgb="FFFFC7CE"/>
                </patternFill>
              </fill>
            </x14:dxf>
          </x14:cfRule>
          <x14:cfRule type="notContainsText" priority="821" operator="notContains" id="{0F584424-A955-4541-92A2-BBC08D45D6A6}">
            <xm:f>ISERROR(SEARCH("Value Missing",D167))</xm:f>
            <xm:f>"Value Missing"</xm:f>
            <x14:dxf>
              <font>
                <color rgb="FF006100"/>
              </font>
              <fill>
                <patternFill>
                  <bgColor rgb="FFC6EFCE"/>
                </patternFill>
              </fill>
            </x14:dxf>
          </x14:cfRule>
          <xm:sqref>D167:D168</xm:sqref>
        </x14:conditionalFormatting>
        <x14:conditionalFormatting xmlns:xm="http://schemas.microsoft.com/office/excel/2006/main">
          <x14:cfRule type="containsText" priority="49" operator="containsText" id="{89D490BF-33B8-684A-9040-3F815D04D6A2}">
            <xm:f>NOT(ISERROR(SEARCH("Value Missing",D172)))</xm:f>
            <xm:f>"Value Missing"</xm:f>
            <x14:dxf>
              <font>
                <color rgb="FF9C0006"/>
              </font>
              <fill>
                <patternFill>
                  <bgColor rgb="FFFFC7CE"/>
                </patternFill>
              </fill>
            </x14:dxf>
          </x14:cfRule>
          <x14:cfRule type="notContainsText" priority="48" operator="notContains" id="{5E154BDE-D34B-8146-9CC8-AD8CD347E0DD}">
            <xm:f>ISERROR(SEARCH("Value Missing",D172))</xm:f>
            <xm:f>"Value Missing"</xm:f>
            <x14:dxf>
              <font>
                <color rgb="FF006100"/>
              </font>
              <fill>
                <patternFill>
                  <bgColor rgb="FFC6EFCE"/>
                </patternFill>
              </fill>
            </x14:dxf>
          </x14:cfRule>
          <xm:sqref>D172:D173</xm:sqref>
        </x14:conditionalFormatting>
        <x14:conditionalFormatting xmlns:xm="http://schemas.microsoft.com/office/excel/2006/main">
          <x14:cfRule type="containsText" priority="1992" operator="containsText" id="{0BB78D36-F949-4242-91C6-99F056B391E0}">
            <xm:f>NOT(ISERROR(SEARCH("Value Missing",D177)))</xm:f>
            <xm:f>"Value Missing"</xm:f>
            <x14:dxf>
              <font>
                <color rgb="FF9C0006"/>
              </font>
              <fill>
                <patternFill>
                  <bgColor rgb="FFFFC7CE"/>
                </patternFill>
              </fill>
            </x14:dxf>
          </x14:cfRule>
          <xm:sqref>D177 D192:D198</xm:sqref>
        </x14:conditionalFormatting>
        <x14:conditionalFormatting xmlns:xm="http://schemas.microsoft.com/office/excel/2006/main">
          <x14:cfRule type="containsText" priority="638" operator="containsText" id="{8138CF55-646C-0F49-812F-2A5E1238D746}">
            <xm:f>NOT(ISERROR(SEARCH("Value Missing",D177)))</xm:f>
            <xm:f>"Value Missing"</xm:f>
            <x14:dxf>
              <font>
                <color rgb="FF9C0006"/>
              </font>
              <fill>
                <patternFill>
                  <bgColor rgb="FFFFC7CE"/>
                </patternFill>
              </fill>
            </x14:dxf>
          </x14:cfRule>
          <x14:cfRule type="notContainsText" priority="637" operator="notContains" id="{7ACE2C22-86AD-E84A-84A8-F72BF5322883}">
            <xm:f>ISERROR(SEARCH("Value Missing",D177))</xm:f>
            <xm:f>"Value Missing"</xm:f>
            <x14:dxf>
              <font>
                <color rgb="FF006100"/>
              </font>
              <fill>
                <patternFill>
                  <bgColor rgb="FFC6EFCE"/>
                </patternFill>
              </fill>
            </x14:dxf>
          </x14:cfRule>
          <xm:sqref>D177:D180</xm:sqref>
        </x14:conditionalFormatting>
        <x14:conditionalFormatting xmlns:xm="http://schemas.microsoft.com/office/excel/2006/main">
          <x14:cfRule type="containsText" priority="491" operator="containsText" id="{9CAA12B8-AA0C-AF49-B351-8A560D102E12}">
            <xm:f>NOT(ISERROR(SEARCH("Value Missing",D184)))</xm:f>
            <xm:f>"Value Missing"</xm:f>
            <x14:dxf>
              <font>
                <color rgb="FF9C0006"/>
              </font>
              <fill>
                <patternFill>
                  <bgColor rgb="FFFFC7CE"/>
                </patternFill>
              </fill>
            </x14:dxf>
          </x14:cfRule>
          <x14:cfRule type="notContainsText" priority="490" operator="notContains" id="{608D1C1C-D1C5-A74E-941B-604A54FA7285}">
            <xm:f>ISERROR(SEARCH("Value Missing",D184))</xm:f>
            <xm:f>"Value Missing"</xm:f>
            <x14:dxf>
              <font>
                <color rgb="FF006100"/>
              </font>
              <fill>
                <patternFill>
                  <bgColor rgb="FFC6EFCE"/>
                </patternFill>
              </fill>
            </x14:dxf>
          </x14:cfRule>
          <xm:sqref>D184:D188 D190 D192:D198</xm:sqref>
        </x14:conditionalFormatting>
        <x14:conditionalFormatting xmlns:xm="http://schemas.microsoft.com/office/excel/2006/main">
          <x14:cfRule type="notContainsText" priority="1991" operator="notContains" id="{2CFF9E32-1A32-2843-AEB5-2C3EE3898A4C}">
            <xm:f>ISERROR(SEARCH("Value Missing",D177))</xm:f>
            <xm:f>"Value Missing"</xm:f>
            <x14:dxf>
              <font>
                <color rgb="FF006100"/>
              </font>
              <fill>
                <patternFill>
                  <bgColor rgb="FFC6EFCE"/>
                </patternFill>
              </fill>
            </x14:dxf>
          </x14:cfRule>
          <xm:sqref>D192:D198 D177</xm:sqref>
        </x14:conditionalFormatting>
        <x14:conditionalFormatting xmlns:xm="http://schemas.microsoft.com/office/excel/2006/main">
          <x14:cfRule type="containsText" priority="704" operator="containsText" id="{DD91B58B-4DE7-2643-93C7-3F110A2D826C}">
            <xm:f>NOT(ISERROR(SEARCH("Value Missing",D192)))</xm:f>
            <xm:f>"Value Missing"</xm:f>
            <x14:dxf>
              <font>
                <color rgb="FF9C0006"/>
              </font>
              <fill>
                <patternFill>
                  <bgColor rgb="FFFFC7CE"/>
                </patternFill>
              </fill>
            </x14:dxf>
          </x14:cfRule>
          <x14:cfRule type="notContainsText" priority="703" operator="notContains" id="{3CB32E5A-0BB8-814C-9050-8ACE8E188DB0}">
            <xm:f>ISERROR(SEARCH("Value Missing",D192))</xm:f>
            <xm:f>"Value Missing"</xm:f>
            <x14:dxf>
              <font>
                <color rgb="FF006100"/>
              </font>
              <fill>
                <patternFill>
                  <bgColor rgb="FFC6EFCE"/>
                </patternFill>
              </fill>
            </x14:dxf>
          </x14:cfRule>
          <xm:sqref>D192:D198</xm:sqref>
        </x14:conditionalFormatting>
        <x14:conditionalFormatting xmlns:xm="http://schemas.microsoft.com/office/excel/2006/main">
          <x14:cfRule type="containsText" priority="700" operator="containsText" id="{00E90C06-13A7-AC4D-BA8C-0E8B7440BF0D}">
            <xm:f>NOT(ISERROR(SEARCH("Value Missing",D204)))</xm:f>
            <xm:f>"Value Missing"</xm:f>
            <x14:dxf>
              <font>
                <color rgb="FF9C0006"/>
              </font>
              <fill>
                <patternFill>
                  <bgColor rgb="FFFFC7CE"/>
                </patternFill>
              </fill>
            </x14:dxf>
          </x14:cfRule>
          <x14:cfRule type="notContainsText" priority="699" operator="notContains" id="{5EADBF13-FE39-C146-8AAD-D14AF69F6AC2}">
            <xm:f>ISERROR(SEARCH("Value Missing",D204))</xm:f>
            <xm:f>"Value Missing"</xm:f>
            <x14:dxf>
              <font>
                <color rgb="FF006100"/>
              </font>
              <fill>
                <patternFill>
                  <bgColor rgb="FFC6EFCE"/>
                </patternFill>
              </fill>
            </x14:dxf>
          </x14:cfRule>
          <xm:sqref>D204:D207</xm:sqref>
        </x14:conditionalFormatting>
        <x14:conditionalFormatting xmlns:xm="http://schemas.microsoft.com/office/excel/2006/main">
          <x14:cfRule type="containsText" priority="487" operator="containsText" id="{0C595B0E-DF3B-5D40-9BAF-A1337117867A}">
            <xm:f>NOT(ISERROR(SEARCH("Value Missing",D211)))</xm:f>
            <xm:f>"Value Missing"</xm:f>
            <x14:dxf>
              <font>
                <color rgb="FF9C0006"/>
              </font>
              <fill>
                <patternFill>
                  <bgColor rgb="FFFFC7CE"/>
                </patternFill>
              </fill>
            </x14:dxf>
          </x14:cfRule>
          <x14:cfRule type="notContainsText" priority="486" operator="notContains" id="{0D10A1CF-A9EF-7044-82C2-8631D1340FC7}">
            <xm:f>ISERROR(SEARCH("Value Missing",D211))</xm:f>
            <xm:f>"Value Missing"</xm:f>
            <x14:dxf>
              <font>
                <color rgb="FF006100"/>
              </font>
              <fill>
                <patternFill>
                  <bgColor rgb="FFC6EFCE"/>
                </patternFill>
              </fill>
            </x14:dxf>
          </x14:cfRule>
          <xm:sqref>D211:D212</xm:sqref>
        </x14:conditionalFormatting>
        <x14:conditionalFormatting xmlns:xm="http://schemas.microsoft.com/office/excel/2006/main">
          <x14:cfRule type="containsText" priority="894" operator="containsText" id="{91AAC929-5E04-244B-9A4F-01BD70A9B5A7}">
            <xm:f>NOT(ISERROR(SEARCH("Value Missing",D218)))</xm:f>
            <xm:f>"Value Missing"</xm:f>
            <x14:dxf>
              <font>
                <color rgb="FF9C0006"/>
              </font>
              <fill>
                <patternFill>
                  <bgColor rgb="FFFFC7CE"/>
                </patternFill>
              </fill>
            </x14:dxf>
          </x14:cfRule>
          <x14:cfRule type="notContainsText" priority="893" operator="notContains" id="{3A9951C5-988D-5445-9023-39E80532A82E}">
            <xm:f>ISERROR(SEARCH("Value Missing",D218))</xm:f>
            <xm:f>"Value Missing"</xm:f>
            <x14:dxf>
              <font>
                <color rgb="FF006100"/>
              </font>
              <fill>
                <patternFill>
                  <bgColor rgb="FFC6EFCE"/>
                </patternFill>
              </fill>
            </x14:dxf>
          </x14:cfRule>
          <xm:sqref>D218:D219</xm:sqref>
        </x14:conditionalFormatting>
        <x14:conditionalFormatting xmlns:xm="http://schemas.microsoft.com/office/excel/2006/main">
          <x14:cfRule type="notContainsText" priority="683" operator="notContains" id="{12654122-7E41-514B-BBDD-75C71D017E9F}">
            <xm:f>ISERROR(SEARCH("Value Missing",D223))</xm:f>
            <xm:f>"Value Missing"</xm:f>
            <x14:dxf>
              <font>
                <color rgb="FF006100"/>
              </font>
              <fill>
                <patternFill>
                  <bgColor rgb="FFC6EFCE"/>
                </patternFill>
              </fill>
            </x14:dxf>
          </x14:cfRule>
          <x14:cfRule type="containsText" priority="684" operator="containsText" id="{0AFBD483-5C93-BD4B-976C-132F26870BF3}">
            <xm:f>NOT(ISERROR(SEARCH("Value Missing",D223)))</xm:f>
            <xm:f>"Value Missing"</xm:f>
            <x14:dxf>
              <font>
                <color rgb="FF9C0006"/>
              </font>
              <fill>
                <patternFill>
                  <bgColor rgb="FFFFC7CE"/>
                </patternFill>
              </fill>
            </x14:dxf>
          </x14:cfRule>
          <xm:sqref>D223:D227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2F59F-39EF-2940-B21F-708512264A34}">
  <sheetPr codeName="Sheet21">
    <tabColor theme="4" tint="0.39997558519241921"/>
  </sheetPr>
  <dimension ref="A1:S478"/>
  <sheetViews>
    <sheetView showGridLines="0" zoomScaleNormal="100" workbookViewId="0">
      <pane ySplit="6" topLeftCell="A7" activePane="bottomLeft" state="frozen"/>
      <selection pane="bottomLeft"/>
    </sheetView>
  </sheetViews>
  <sheetFormatPr baseColWidth="10" defaultColWidth="11" defaultRowHeight="16"/>
  <cols>
    <col min="1" max="1" width="2.83203125" customWidth="1"/>
    <col min="2" max="2" width="60.83203125" customWidth="1"/>
    <col min="3" max="4" width="70.83203125" customWidth="1"/>
    <col min="5" max="5" width="80.83203125" customWidth="1"/>
    <col min="6" max="6" width="2.83203125" customWidth="1"/>
    <col min="9" max="9" width="13.33203125" bestFit="1" customWidth="1"/>
  </cols>
  <sheetData>
    <row r="1" spans="1:6" s="3" customFormat="1" ht="16" customHeight="1">
      <c r="A1" s="6"/>
    </row>
    <row r="2" spans="1:6" s="3" customFormat="1" ht="54" customHeight="1">
      <c r="B2" s="533"/>
      <c r="C2" s="534"/>
      <c r="D2" s="495" t="s">
        <v>2499</v>
      </c>
      <c r="E2" s="496"/>
    </row>
    <row r="3" spans="1:6" s="3" customFormat="1" ht="20" customHeight="1">
      <c r="B3" s="341" t="s">
        <v>2500</v>
      </c>
      <c r="C3" s="342"/>
      <c r="D3" s="342"/>
      <c r="E3" s="343"/>
    </row>
    <row r="5" spans="1:6" ht="34" customHeight="1">
      <c r="B5" s="179" t="s">
        <v>2273</v>
      </c>
      <c r="C5" s="169" t="s">
        <v>68</v>
      </c>
      <c r="D5" s="169" t="s">
        <v>2386</v>
      </c>
      <c r="E5" s="169" t="s">
        <v>2275</v>
      </c>
    </row>
    <row r="6" spans="1:6" s="3" customFormat="1">
      <c r="D6" s="7"/>
      <c r="E6" s="5"/>
      <c r="F6" s="5"/>
    </row>
    <row r="8" spans="1:6" ht="34" customHeight="1">
      <c r="B8" s="552" t="s">
        <v>68</v>
      </c>
      <c r="C8" s="505"/>
      <c r="D8" s="505"/>
      <c r="E8" s="505"/>
    </row>
    <row r="9" spans="1:6" ht="16" customHeight="1"/>
    <row r="10" spans="1:6" ht="34" customHeight="1">
      <c r="B10" s="344" t="s">
        <v>3616</v>
      </c>
      <c r="C10" s="344"/>
      <c r="D10" s="344"/>
      <c r="E10" s="344"/>
    </row>
    <row r="11" spans="1:6" ht="20" customHeight="1">
      <c r="B11" s="8" t="s">
        <v>735</v>
      </c>
      <c r="C11" s="8" t="s">
        <v>554</v>
      </c>
      <c r="D11" s="20" t="s">
        <v>555</v>
      </c>
      <c r="E11" s="8" t="s">
        <v>222</v>
      </c>
    </row>
    <row r="12" spans="1:6" ht="20" customHeight="1">
      <c r="B12" s="21" t="s">
        <v>3525</v>
      </c>
      <c r="C12" s="22" t="str">
        <f>CONCATENATE(sample_mgmt_vc_hostname,".",sample_region_ad_child_fqdn)</f>
        <v>sfo-m01-vc01.sfo.rainpole.io</v>
      </c>
      <c r="D12" s="18" t="str">
        <f>mgmt_vc_fqdn</f>
        <v>Value Missing.Value Missing</v>
      </c>
      <c r="E12" s="53"/>
    </row>
    <row r="13" spans="1:6" ht="20" customHeight="1">
      <c r="B13" s="21" t="s">
        <v>735</v>
      </c>
      <c r="C13" s="22" t="s">
        <v>3526</v>
      </c>
      <c r="D13" s="18" t="str">
        <f>vrslcm_xreg_content_library</f>
        <v>Operations</v>
      </c>
      <c r="E13" s="53"/>
    </row>
    <row r="14" spans="1:6" ht="20" customHeight="1">
      <c r="B14" s="21" t="s">
        <v>637</v>
      </c>
      <c r="C14" s="22" t="str">
        <f>CONCATENATE(sample_mgmt_vc_hostname,".",sample_region_ad_child_fqdn)</f>
        <v>sfo-m01-vc01.sfo.rainpole.io</v>
      </c>
      <c r="D14" s="18" t="str">
        <f>mgmt_vc_fqdn</f>
        <v>Value Missing.Value Missing</v>
      </c>
      <c r="E14" s="53"/>
    </row>
    <row r="15" spans="1:6" ht="20" customHeight="1">
      <c r="B15" s="21" t="s">
        <v>931</v>
      </c>
      <c r="C15" s="22" t="str">
        <f>sample_mgmt_cl01_vsan_datastore</f>
        <v>sfo-m01-cl01-ds-vsan01</v>
      </c>
      <c r="D15" s="18" t="str">
        <f>mgmt_cl01_vsan_datastore</f>
        <v>Value Missing</v>
      </c>
      <c r="E15" s="53"/>
    </row>
    <row r="16" spans="1:6" ht="16" customHeight="1"/>
    <row r="17" spans="2:5" ht="34" customHeight="1">
      <c r="B17" s="344" t="s">
        <v>3617</v>
      </c>
      <c r="C17" s="344"/>
      <c r="D17" s="344"/>
      <c r="E17" s="344"/>
    </row>
    <row r="18" spans="2:5" ht="20" customHeight="1">
      <c r="B18" s="8" t="s">
        <v>735</v>
      </c>
      <c r="C18" s="8" t="s">
        <v>554</v>
      </c>
      <c r="D18" s="20" t="s">
        <v>555</v>
      </c>
      <c r="E18" s="8" t="s">
        <v>222</v>
      </c>
    </row>
    <row r="19" spans="2:5" ht="20" customHeight="1">
      <c r="B19" s="21" t="s">
        <v>3525</v>
      </c>
      <c r="C19" s="22" t="str">
        <f>CONCATENATE(sample_mgmt_vc_hostname,".",sample_region_ad_child_fqdn)</f>
        <v>sfo-m01-vc01.sfo.rainpole.io</v>
      </c>
      <c r="D19" s="18" t="str">
        <f>mgmt_vc_fqdn</f>
        <v>Value Missing.Value Missing</v>
      </c>
      <c r="E19" s="53"/>
    </row>
    <row r="20" spans="2:5" ht="20" customHeight="1">
      <c r="B20" s="21" t="s">
        <v>2358</v>
      </c>
      <c r="C20" s="22" t="s">
        <v>3526</v>
      </c>
      <c r="D20" s="18" t="str">
        <f>vrslcm_xreg_content_library</f>
        <v>Operations</v>
      </c>
      <c r="E20" s="53"/>
    </row>
    <row r="21" spans="2:5" ht="16" customHeight="1"/>
    <row r="22" spans="2:5" ht="34" customHeight="1">
      <c r="B22" s="344" t="s">
        <v>3618</v>
      </c>
      <c r="C22" s="344"/>
      <c r="D22" s="344"/>
      <c r="E22" s="344"/>
    </row>
    <row r="23" spans="2:5" ht="20" customHeight="1">
      <c r="B23" s="8" t="s">
        <v>735</v>
      </c>
      <c r="C23" s="8" t="s">
        <v>554</v>
      </c>
      <c r="D23" s="20" t="s">
        <v>555</v>
      </c>
      <c r="E23" s="8" t="s">
        <v>222</v>
      </c>
    </row>
    <row r="24" spans="2:5" ht="20" customHeight="1">
      <c r="B24" s="21" t="s">
        <v>3525</v>
      </c>
      <c r="C24" s="22" t="str">
        <f>CONCATENATE(sample_mgmt_vc_hostname,".",sample_region_ad_child_fqdn)</f>
        <v>sfo-m01-vc01.sfo.rainpole.io</v>
      </c>
      <c r="D24" s="18" t="str">
        <f>mgmt_vc_fqdn</f>
        <v>Value Missing.Value Missing</v>
      </c>
      <c r="E24" s="53"/>
    </row>
    <row r="25" spans="2:5" ht="20" customHeight="1">
      <c r="B25" s="21" t="s">
        <v>2358</v>
      </c>
      <c r="C25" s="22" t="s">
        <v>3526</v>
      </c>
      <c r="D25" s="18" t="str">
        <f>vrslcm_xreg_content_library</f>
        <v>Operations</v>
      </c>
      <c r="E25" s="53"/>
    </row>
    <row r="26" spans="2:5" ht="20" customHeight="1">
      <c r="B26" s="21" t="s">
        <v>2615</v>
      </c>
      <c r="C26" s="22" t="str">
        <f>sample_xreg_vrslcm_hostname</f>
        <v>xint-lcm01</v>
      </c>
      <c r="D26" s="18" t="str">
        <f>xreg_vrslcm_hostname</f>
        <v>Value Missing</v>
      </c>
      <c r="E26" s="53"/>
    </row>
    <row r="27" spans="2:5" ht="20" customHeight="1">
      <c r="B27" s="21" t="s">
        <v>3368</v>
      </c>
      <c r="C27" s="22" t="str">
        <f>CONCATENATE(sample_xreg_vrslcm_hostname,".",sample_parent_dns_zone)</f>
        <v>xint-lcm01.rainpole.io</v>
      </c>
      <c r="D27" s="18" t="str">
        <f>xreg_vrslcm_fqdn</f>
        <v>Value Missing.Value Missing</v>
      </c>
      <c r="E27" s="53"/>
    </row>
    <row r="28" spans="2:5" ht="20" customHeight="1">
      <c r="B28" s="21" t="s">
        <v>3523</v>
      </c>
      <c r="C28" s="22" t="str">
        <f>CONCATENATE(sample_mgmt_vc_hostname,".",sample_region_ad_child_fqdn)</f>
        <v>sfo-m01-vc01.sfo.rainpole.io</v>
      </c>
      <c r="D28" s="18" t="str">
        <f>mgmt_vc_fqdn</f>
        <v>Value Missing.Value Missing</v>
      </c>
      <c r="E28" s="53"/>
    </row>
    <row r="29" spans="2:5" ht="20" customHeight="1">
      <c r="B29" s="21" t="s">
        <v>2570</v>
      </c>
      <c r="C29" s="22" t="str">
        <f>CONCATENATE(sample_mgmt_vc_hostname,"-&lt;guid&gt;")</f>
        <v>sfo-m01-vc01-&lt;guid&gt;</v>
      </c>
      <c r="D29" s="18" t="str">
        <f>CONCATENATE(mgmt_vc_hostname,"-&lt;guid&gt;")</f>
        <v>Value Missing-&lt;guid&gt;</v>
      </c>
      <c r="E29" s="53"/>
    </row>
    <row r="30" spans="2:5" ht="16" customHeight="1"/>
    <row r="31" spans="2:5" ht="34" customHeight="1">
      <c r="B31" s="344" t="s">
        <v>3619</v>
      </c>
      <c r="C31" s="344"/>
      <c r="D31" s="344"/>
      <c r="E31" s="344"/>
    </row>
    <row r="32" spans="2:5" ht="20" customHeight="1">
      <c r="B32" s="8" t="s">
        <v>735</v>
      </c>
      <c r="C32" s="8" t="s">
        <v>554</v>
      </c>
      <c r="D32" s="20" t="s">
        <v>555</v>
      </c>
      <c r="E32" s="8" t="s">
        <v>222</v>
      </c>
    </row>
    <row r="33" spans="1:19" ht="20" customHeight="1">
      <c r="B33" s="21" t="s">
        <v>3525</v>
      </c>
      <c r="C33" s="22" t="str">
        <f>CONCATENATE(sample_mgmt_vc_hostname,".",sample_region_ad_child_fqdn)</f>
        <v>sfo-m01-vc01.sfo.rainpole.io</v>
      </c>
      <c r="D33" s="18" t="str">
        <f>mgmt_vc_fqdn</f>
        <v>Value Missing.Value Missing</v>
      </c>
      <c r="E33" s="53"/>
    </row>
    <row r="34" spans="1:19" ht="20" customHeight="1">
      <c r="B34" s="21" t="s">
        <v>2615</v>
      </c>
      <c r="C34" s="22" t="str">
        <f>sample_xreg_vrslcm_hostname</f>
        <v>xint-lcm01</v>
      </c>
      <c r="D34" s="18" t="str">
        <f>xreg_vrslcm_hostname</f>
        <v>Value Missing</v>
      </c>
      <c r="E34" s="53"/>
    </row>
    <row r="35" spans="1:19" ht="16" customHeight="1"/>
    <row r="36" spans="1:19" ht="34" customHeight="1">
      <c r="A36" s="125"/>
      <c r="B36" s="557" t="s">
        <v>2501</v>
      </c>
      <c r="C36" s="557"/>
      <c r="D36" s="557"/>
      <c r="E36" s="557"/>
      <c r="F36" s="103"/>
      <c r="G36" s="103"/>
      <c r="H36" s="103"/>
      <c r="I36" s="103"/>
      <c r="J36" s="103"/>
      <c r="K36" s="103"/>
      <c r="L36" s="103"/>
      <c r="M36" s="103"/>
      <c r="N36" s="103"/>
      <c r="O36" s="103"/>
      <c r="P36" s="103"/>
      <c r="Q36" s="103"/>
      <c r="R36" s="103"/>
      <c r="S36" s="103"/>
    </row>
    <row r="37" spans="1:19" ht="20" customHeight="1">
      <c r="A37" s="125"/>
      <c r="B37" s="112" t="s">
        <v>735</v>
      </c>
      <c r="C37" s="112" t="s">
        <v>554</v>
      </c>
      <c r="D37" s="113" t="s">
        <v>555</v>
      </c>
      <c r="E37" s="112" t="s">
        <v>222</v>
      </c>
      <c r="F37" s="103"/>
      <c r="G37" s="103"/>
      <c r="H37" s="103"/>
      <c r="I37" s="103"/>
      <c r="J37" s="103"/>
      <c r="K37" s="103"/>
      <c r="L37" s="103"/>
      <c r="M37" s="103"/>
      <c r="N37" s="103"/>
      <c r="O37" s="103"/>
      <c r="P37" s="103"/>
      <c r="Q37" s="103"/>
      <c r="R37" s="103"/>
      <c r="S37" s="103"/>
    </row>
    <row r="38" spans="1:19" ht="20" customHeight="1">
      <c r="A38" s="125"/>
      <c r="B38" s="114" t="s">
        <v>2292</v>
      </c>
      <c r="C38" s="115" t="str">
        <f>CONCATENATE(sample_sddc_mgr_hostname,".",sample_child_dns_zone)</f>
        <v>sfo-vcf01.sfo.rainpole.io</v>
      </c>
      <c r="D38" s="12" t="str">
        <f>sddc_mgr_fqdn</f>
        <v>Value Missing.Value Missing</v>
      </c>
      <c r="E38" s="116"/>
      <c r="F38" s="103"/>
      <c r="G38" s="103"/>
      <c r="H38" s="103"/>
      <c r="I38" s="103"/>
      <c r="J38" s="103"/>
      <c r="K38" s="103"/>
      <c r="L38" s="103"/>
      <c r="M38" s="103"/>
      <c r="N38" s="103"/>
      <c r="O38" s="103"/>
      <c r="P38" s="103"/>
      <c r="Q38" s="103"/>
      <c r="R38" s="103"/>
      <c r="S38" s="103"/>
    </row>
    <row r="39" spans="1:19" ht="20" customHeight="1">
      <c r="A39" s="125"/>
      <c r="B39" s="114" t="s">
        <v>489</v>
      </c>
      <c r="C39" s="115" t="str">
        <f>sample_child_dns_zone</f>
        <v>sfo.rainpole.io</v>
      </c>
      <c r="D39" s="12" t="str">
        <f>child_dns_zone</f>
        <v>Value Missing</v>
      </c>
      <c r="E39" s="116"/>
      <c r="F39" s="103"/>
      <c r="G39" s="103"/>
      <c r="H39" s="103"/>
      <c r="I39" s="103"/>
      <c r="J39" s="103"/>
      <c r="K39" s="103"/>
      <c r="L39" s="103"/>
      <c r="M39" s="103"/>
      <c r="N39" s="103"/>
      <c r="O39" s="103"/>
      <c r="P39" s="103"/>
      <c r="Q39" s="103"/>
      <c r="R39" s="103"/>
      <c r="S39" s="103"/>
    </row>
    <row r="40" spans="1:19" ht="20" customHeight="1">
      <c r="A40" s="125"/>
      <c r="B40" s="114" t="s">
        <v>2502</v>
      </c>
      <c r="C40" s="115" t="str">
        <f>sample_svc_iom_vcf_user</f>
        <v>svc-ops-vcf</v>
      </c>
      <c r="D40" s="12" t="str">
        <f>iom_vcf_svc_user</f>
        <v>Value Missing</v>
      </c>
      <c r="E40" s="116"/>
      <c r="F40" s="103"/>
      <c r="G40" s="103"/>
      <c r="H40" s="103"/>
      <c r="I40" s="103"/>
      <c r="J40" s="103"/>
      <c r="K40" s="103"/>
      <c r="L40" s="103"/>
      <c r="M40" s="103"/>
      <c r="N40" s="103"/>
      <c r="O40" s="103"/>
      <c r="P40" s="103"/>
      <c r="Q40" s="103"/>
      <c r="R40" s="103"/>
      <c r="S40" s="103"/>
    </row>
    <row r="41" spans="1:19" s="103" customFormat="1" ht="20" customHeight="1"/>
    <row r="42" spans="1:19" ht="34" customHeight="1">
      <c r="A42" s="125"/>
      <c r="B42" s="557" t="s">
        <v>2503</v>
      </c>
      <c r="C42" s="557"/>
      <c r="D42" s="557"/>
      <c r="E42" s="557"/>
      <c r="F42" s="103"/>
      <c r="G42" s="103"/>
      <c r="H42" s="103"/>
      <c r="I42" s="103"/>
      <c r="J42" s="103"/>
      <c r="K42" s="103"/>
      <c r="L42" s="103"/>
      <c r="M42" s="103"/>
      <c r="N42" s="103"/>
      <c r="O42" s="103"/>
      <c r="P42" s="103"/>
      <c r="Q42" s="103"/>
      <c r="R42" s="103"/>
      <c r="S42" s="103"/>
    </row>
    <row r="43" spans="1:19" ht="20" customHeight="1">
      <c r="A43" s="125"/>
      <c r="B43" s="112" t="s">
        <v>735</v>
      </c>
      <c r="C43" s="112" t="s">
        <v>554</v>
      </c>
      <c r="D43" s="113" t="s">
        <v>555</v>
      </c>
      <c r="E43" s="112" t="s">
        <v>222</v>
      </c>
      <c r="F43" s="103"/>
      <c r="G43" s="103"/>
      <c r="H43" s="103"/>
      <c r="I43" s="103"/>
      <c r="J43" s="103"/>
      <c r="K43" s="103"/>
      <c r="L43" s="103"/>
      <c r="M43" s="103"/>
      <c r="N43" s="103"/>
      <c r="O43" s="103"/>
      <c r="P43" s="103"/>
      <c r="Q43" s="103"/>
      <c r="R43" s="103"/>
      <c r="S43" s="103"/>
    </row>
    <row r="44" spans="1:19" ht="20" customHeight="1">
      <c r="A44" s="125"/>
      <c r="B44" s="114" t="s">
        <v>2286</v>
      </c>
      <c r="C44" s="115" t="str">
        <f>CONCATENATE(sample_mgmt_vc_hostname,".",sample_child_dns_zone)</f>
        <v>sfo-m01-vc01.sfo.rainpole.io</v>
      </c>
      <c r="D44" s="12" t="str">
        <f>mgmt_vc_fqdn</f>
        <v>Value Missing.Value Missing</v>
      </c>
      <c r="E44" s="116"/>
      <c r="F44" s="103"/>
      <c r="G44" s="103"/>
      <c r="H44" s="103"/>
      <c r="I44" s="103"/>
      <c r="J44" s="103"/>
      <c r="K44" s="103"/>
      <c r="L44" s="103"/>
      <c r="M44" s="103"/>
      <c r="N44" s="103"/>
      <c r="O44" s="103"/>
      <c r="P44" s="103"/>
      <c r="Q44" s="103"/>
      <c r="R44" s="103"/>
      <c r="S44" s="103"/>
    </row>
    <row r="45" spans="1:19" ht="20" customHeight="1">
      <c r="A45" s="125"/>
      <c r="B45" s="114" t="s">
        <v>4600</v>
      </c>
      <c r="C45" s="115" t="str">
        <f>sample_iom_vsphere_role</f>
        <v>VMware Aria Operations to vSphere Integration</v>
      </c>
      <c r="D45" s="12" t="str">
        <f>iom_vsphere_role</f>
        <v>Value Missing</v>
      </c>
      <c r="E45" s="116"/>
      <c r="F45" s="103"/>
      <c r="G45" s="103"/>
      <c r="H45" s="103"/>
      <c r="I45" s="103"/>
      <c r="J45" s="103"/>
      <c r="K45" s="103"/>
      <c r="L45" s="103"/>
      <c r="M45" s="103"/>
      <c r="N45" s="103"/>
      <c r="O45" s="103"/>
      <c r="P45" s="103"/>
      <c r="Q45" s="103"/>
      <c r="R45" s="103"/>
      <c r="S45" s="103"/>
    </row>
    <row r="46" spans="1:19" s="103" customFormat="1" ht="20" customHeight="1"/>
    <row r="47" spans="1:19" ht="34" customHeight="1">
      <c r="A47" s="103"/>
      <c r="B47" s="556" t="s">
        <v>2504</v>
      </c>
      <c r="C47" s="557"/>
      <c r="D47" s="557"/>
      <c r="E47" s="557"/>
      <c r="F47" s="103"/>
      <c r="G47" s="103"/>
      <c r="H47" s="103"/>
      <c r="I47" s="103"/>
      <c r="J47" s="103"/>
      <c r="K47" s="103"/>
      <c r="L47" s="103"/>
      <c r="M47" s="103"/>
      <c r="N47" s="103"/>
      <c r="O47" s="103"/>
      <c r="P47" s="103"/>
      <c r="Q47" s="103"/>
      <c r="R47" s="103"/>
      <c r="S47" s="103"/>
    </row>
    <row r="48" spans="1:19" ht="20" customHeight="1">
      <c r="A48" s="103"/>
      <c r="B48" s="112" t="s">
        <v>735</v>
      </c>
      <c r="C48" s="112" t="s">
        <v>554</v>
      </c>
      <c r="D48" s="113" t="s">
        <v>555</v>
      </c>
      <c r="E48" s="112" t="s">
        <v>222</v>
      </c>
      <c r="F48" s="103"/>
      <c r="G48" s="103"/>
      <c r="H48" s="103"/>
      <c r="I48" s="103"/>
      <c r="J48" s="103"/>
      <c r="K48" s="103"/>
      <c r="L48" s="103"/>
      <c r="M48" s="103"/>
      <c r="N48" s="103"/>
      <c r="O48" s="103"/>
      <c r="P48" s="103"/>
      <c r="Q48" s="103"/>
      <c r="R48" s="103"/>
      <c r="S48" s="103"/>
    </row>
    <row r="49" spans="1:19" ht="20" customHeight="1">
      <c r="A49" s="103"/>
      <c r="B49" s="114" t="s">
        <v>2286</v>
      </c>
      <c r="C49" s="115" t="str">
        <f>CONCATENATE(sample_mgmt_vc_hostname,".",sample_child_dns_zone)</f>
        <v>sfo-m01-vc01.sfo.rainpole.io</v>
      </c>
      <c r="D49" s="12" t="str">
        <f>mgmt_vc_fqdn</f>
        <v>Value Missing.Value Missing</v>
      </c>
      <c r="E49" s="116"/>
      <c r="F49" s="103"/>
      <c r="G49" s="103"/>
      <c r="H49" s="103"/>
      <c r="I49" s="103"/>
      <c r="J49" s="103"/>
      <c r="K49" s="103"/>
      <c r="L49" s="103"/>
      <c r="M49" s="103"/>
      <c r="N49" s="103"/>
      <c r="O49" s="103"/>
      <c r="P49" s="103"/>
      <c r="Q49" s="103"/>
      <c r="R49" s="103"/>
      <c r="S49" s="103"/>
    </row>
    <row r="50" spans="1:19" ht="20" customHeight="1">
      <c r="A50" s="103"/>
      <c r="B50" s="114" t="s">
        <v>489</v>
      </c>
      <c r="C50" s="115" t="str">
        <f>sample_child_dns_zone</f>
        <v>sfo.rainpole.io</v>
      </c>
      <c r="D50" s="12" t="str">
        <f>child_dns_zone</f>
        <v>Value Missing</v>
      </c>
      <c r="E50" s="116"/>
      <c r="F50" s="103"/>
      <c r="G50" s="103"/>
      <c r="H50" s="103"/>
      <c r="I50" s="103"/>
      <c r="J50" s="103"/>
      <c r="K50" s="103"/>
      <c r="L50" s="103"/>
      <c r="M50" s="103"/>
      <c r="N50" s="103"/>
      <c r="O50" s="103"/>
      <c r="P50" s="103"/>
      <c r="Q50" s="103"/>
      <c r="R50" s="103"/>
      <c r="S50" s="103"/>
    </row>
    <row r="51" spans="1:19" ht="20" customHeight="1">
      <c r="A51" s="103"/>
      <c r="B51" s="114" t="s">
        <v>2502</v>
      </c>
      <c r="C51" s="164" t="str">
        <f>sample_svc_iom_vsphere_user</f>
        <v>svc-ops-vsphere</v>
      </c>
      <c r="D51" s="12" t="str">
        <f>iom_vsphere_svc_user</f>
        <v>Value Missing</v>
      </c>
      <c r="E51" s="116"/>
      <c r="F51" s="103"/>
      <c r="G51" s="103"/>
      <c r="H51" s="103"/>
      <c r="I51" s="103"/>
      <c r="J51" s="103"/>
      <c r="K51" s="103"/>
      <c r="L51" s="103"/>
      <c r="M51" s="103"/>
      <c r="N51" s="103"/>
      <c r="O51" s="103"/>
      <c r="P51" s="103"/>
      <c r="Q51" s="103"/>
      <c r="R51" s="103"/>
      <c r="S51" s="103"/>
    </row>
    <row r="52" spans="1:19" ht="20" customHeight="1">
      <c r="A52" s="103"/>
      <c r="B52" s="117" t="s">
        <v>2505</v>
      </c>
      <c r="C52" s="115" t="str">
        <f>sample_iom_vsphere_role</f>
        <v>VMware Aria Operations to vSphere Integration</v>
      </c>
      <c r="D52" s="12" t="str">
        <f>iom_vsphere_role</f>
        <v>Value Missing</v>
      </c>
      <c r="E52" s="116"/>
      <c r="F52" s="103"/>
      <c r="G52" s="103"/>
      <c r="H52" s="103"/>
      <c r="I52" s="103"/>
      <c r="J52" s="103"/>
      <c r="K52" s="103"/>
      <c r="L52" s="103"/>
      <c r="M52" s="103"/>
      <c r="N52" s="103"/>
      <c r="O52" s="103"/>
      <c r="P52" s="103"/>
      <c r="Q52" s="103"/>
      <c r="R52" s="103"/>
      <c r="S52" s="103"/>
    </row>
    <row r="53" spans="1:19" s="103" customFormat="1" ht="20" customHeight="1"/>
    <row r="54" spans="1:19" ht="34" customHeight="1">
      <c r="B54" s="344" t="s">
        <v>3226</v>
      </c>
      <c r="C54" s="344"/>
      <c r="D54" s="344"/>
      <c r="E54" s="344"/>
    </row>
    <row r="55" spans="1:19" ht="20" customHeight="1">
      <c r="B55" s="8" t="s">
        <v>735</v>
      </c>
      <c r="C55" s="8" t="s">
        <v>554</v>
      </c>
      <c r="D55" s="20" t="s">
        <v>555</v>
      </c>
      <c r="E55" s="8" t="s">
        <v>222</v>
      </c>
    </row>
    <row r="56" spans="1:19" ht="20" customHeight="1">
      <c r="B56" s="21" t="s">
        <v>2286</v>
      </c>
      <c r="C56" s="22" t="str">
        <f>CONCATENATE(sample_mgmt_vc_hostname,".",sample_child_dns_zone)</f>
        <v>sfo-m01-vc01.sfo.rainpole.io</v>
      </c>
      <c r="D56" s="18" t="str">
        <f>mgmt_vc_fqdn</f>
        <v>Value Missing.Value Missing</v>
      </c>
      <c r="E56" s="53"/>
    </row>
    <row r="57" spans="1:19" ht="20" customHeight="1">
      <c r="B57" s="21" t="s">
        <v>841</v>
      </c>
      <c r="C57" s="22" t="str">
        <f>sample_mgmt_datacenter</f>
        <v>sfo-m01-dc01</v>
      </c>
      <c r="D57" s="18" t="str">
        <f>mgmt_datacenter</f>
        <v>Value Missing</v>
      </c>
      <c r="E57" s="53"/>
    </row>
    <row r="58" spans="1:19" ht="20" customHeight="1">
      <c r="B58" s="26" t="s">
        <v>2506</v>
      </c>
      <c r="C58" s="22" t="str">
        <f>sample_xreg_vrops_vm_folder</f>
        <v>xint-m01-fd-operations</v>
      </c>
      <c r="D58" s="18" t="str">
        <f>xreg_vrops_vm_folder</f>
        <v>Value Missing</v>
      </c>
      <c r="E58" s="53"/>
    </row>
    <row r="59" spans="1:19" ht="20" customHeight="1">
      <c r="B59" s="26" t="s">
        <v>2507</v>
      </c>
      <c r="C59" s="22" t="str">
        <f>CONCATENATE(sample_mgmt_sddc_domain,"-fd-operations")</f>
        <v>sfo-m01-fd-operations</v>
      </c>
      <c r="D59" s="18" t="str">
        <f>region_vrops_collector_vm_folder</f>
        <v>Value Missing-fd-operations</v>
      </c>
      <c r="E59" s="53"/>
    </row>
    <row r="60" spans="1:19" ht="16" customHeight="1"/>
    <row r="61" spans="1:19" ht="34" customHeight="1">
      <c r="A61" s="103"/>
      <c r="B61" s="557" t="s">
        <v>3227</v>
      </c>
      <c r="C61" s="557"/>
      <c r="D61" s="557"/>
      <c r="E61" s="557"/>
      <c r="F61" s="103"/>
      <c r="G61" s="103"/>
      <c r="H61" s="103"/>
      <c r="I61" s="103"/>
      <c r="J61" s="103"/>
      <c r="K61" s="103"/>
      <c r="L61" s="103"/>
      <c r="M61" s="103"/>
      <c r="N61" s="103"/>
      <c r="O61" s="103"/>
      <c r="P61" s="103"/>
      <c r="Q61" s="103"/>
      <c r="R61" s="103"/>
      <c r="S61" s="103"/>
    </row>
    <row r="62" spans="1:19" ht="20" customHeight="1">
      <c r="A62" s="103"/>
      <c r="B62" s="112" t="s">
        <v>735</v>
      </c>
      <c r="C62" s="112" t="s">
        <v>554</v>
      </c>
      <c r="D62" s="113" t="s">
        <v>555</v>
      </c>
      <c r="E62" s="112" t="s">
        <v>222</v>
      </c>
      <c r="F62" s="103"/>
      <c r="G62" s="103"/>
      <c r="H62" s="103"/>
      <c r="I62" s="103"/>
      <c r="J62" s="103"/>
      <c r="K62" s="103"/>
      <c r="L62" s="103"/>
      <c r="M62" s="103"/>
      <c r="N62" s="103"/>
      <c r="O62" s="103"/>
      <c r="P62" s="103"/>
      <c r="Q62" s="103"/>
      <c r="R62" s="103"/>
      <c r="S62" s="103"/>
    </row>
    <row r="63" spans="1:19" ht="20" customHeight="1">
      <c r="A63" s="103"/>
      <c r="B63" s="558" t="s">
        <v>2508</v>
      </c>
      <c r="C63" s="559"/>
      <c r="D63" s="559"/>
      <c r="E63" s="560"/>
      <c r="F63" s="103"/>
      <c r="G63" s="103"/>
      <c r="H63" s="103"/>
      <c r="I63" s="103"/>
      <c r="J63" s="103"/>
      <c r="K63" s="103"/>
      <c r="L63" s="103"/>
      <c r="M63" s="103"/>
      <c r="N63" s="103"/>
      <c r="O63" s="103"/>
      <c r="P63" s="103"/>
      <c r="Q63" s="103"/>
      <c r="R63" s="103"/>
      <c r="S63" s="103"/>
    </row>
    <row r="64" spans="1:19" ht="20" customHeight="1">
      <c r="A64" s="103"/>
      <c r="B64" s="114" t="s">
        <v>2306</v>
      </c>
      <c r="C64" s="115" t="str">
        <f>CONCATENATE(sample_mgmt_nsxt_hostname,".",sample_child_dns_zone)</f>
        <v>sfo-m01-nsx01.sfo.rainpole.io</v>
      </c>
      <c r="D64" s="12" t="str">
        <f>mgmt_vc_fqdn</f>
        <v>Value Missing.Value Missing</v>
      </c>
      <c r="E64" s="116"/>
      <c r="F64" s="103"/>
      <c r="G64" s="103"/>
      <c r="H64" s="103"/>
      <c r="I64" s="103"/>
      <c r="J64" s="103"/>
      <c r="K64" s="103"/>
      <c r="L64" s="103"/>
      <c r="M64" s="103"/>
      <c r="N64" s="103"/>
      <c r="O64" s="103"/>
      <c r="P64" s="103"/>
      <c r="Q64" s="103"/>
      <c r="R64" s="103"/>
      <c r="S64" s="103"/>
    </row>
    <row r="65" spans="1:19" ht="20" customHeight="1">
      <c r="A65" s="103"/>
      <c r="B65" s="114" t="s">
        <v>2509</v>
      </c>
      <c r="C65" s="115" t="str">
        <f>sample_iom_mgmt_nsxt_piuser</f>
        <v>svc-xint-ops01-sfo-m01-nsx01</v>
      </c>
      <c r="D65" s="12" t="str">
        <f>iom_mgmt_nsxt_piuser</f>
        <v>Value Missing</v>
      </c>
      <c r="E65" s="116"/>
      <c r="F65" s="103"/>
      <c r="G65" s="103"/>
      <c r="H65" s="103"/>
      <c r="I65" s="103"/>
      <c r="J65" s="103"/>
      <c r="K65" s="103"/>
      <c r="L65" s="103"/>
      <c r="M65" s="103"/>
      <c r="N65" s="103"/>
      <c r="O65" s="103"/>
      <c r="P65" s="103"/>
      <c r="Q65" s="103"/>
      <c r="R65" s="103"/>
      <c r="S65" s="103"/>
    </row>
    <row r="66" spans="1:19" ht="20" customHeight="1">
      <c r="A66" s="103"/>
      <c r="B66" s="117" t="s">
        <v>2505</v>
      </c>
      <c r="C66" s="115" t="s">
        <v>2510</v>
      </c>
      <c r="D66" s="12" t="str">
        <f>C66</f>
        <v>Enterprise Admin</v>
      </c>
      <c r="E66" s="116"/>
      <c r="F66" s="103"/>
      <c r="G66" s="103"/>
      <c r="H66" s="103"/>
      <c r="I66" s="103"/>
      <c r="J66" s="103"/>
      <c r="K66" s="103"/>
      <c r="L66" s="103"/>
      <c r="M66" s="103"/>
      <c r="N66" s="103"/>
      <c r="O66" s="103"/>
      <c r="P66" s="103"/>
      <c r="Q66" s="103"/>
      <c r="R66" s="103"/>
      <c r="S66" s="103"/>
    </row>
    <row r="67" spans="1:19" ht="20" customHeight="1">
      <c r="A67" s="103"/>
      <c r="B67" s="114" t="s">
        <v>2511</v>
      </c>
      <c r="C67" s="115" t="str">
        <f>sample_mgmt_nsxt_hostname</f>
        <v>sfo-m01-nsx01</v>
      </c>
      <c r="D67" s="12" t="str">
        <f>mgmt_nsxt_hostname</f>
        <v>Value Missing</v>
      </c>
      <c r="E67" s="116"/>
      <c r="F67" s="103"/>
      <c r="G67" s="103"/>
      <c r="H67" s="103"/>
      <c r="I67" s="103"/>
      <c r="J67" s="103"/>
      <c r="K67" s="103"/>
      <c r="L67" s="103"/>
      <c r="M67" s="103"/>
      <c r="N67" s="103"/>
      <c r="O67" s="103"/>
      <c r="P67" s="103"/>
      <c r="Q67" s="103"/>
      <c r="R67" s="103"/>
      <c r="S67" s="103"/>
    </row>
    <row r="68" spans="1:19" ht="20" customHeight="1">
      <c r="A68" s="103"/>
      <c r="B68" s="558" t="s">
        <v>2512</v>
      </c>
      <c r="C68" s="559"/>
      <c r="D68" s="559"/>
      <c r="E68" s="560"/>
      <c r="F68" s="103"/>
      <c r="G68" s="103"/>
      <c r="H68" s="103"/>
      <c r="I68" s="103"/>
      <c r="J68" s="103"/>
      <c r="K68" s="103"/>
      <c r="L68" s="103"/>
      <c r="M68" s="103"/>
      <c r="N68" s="103"/>
      <c r="O68" s="103"/>
      <c r="P68" s="103"/>
      <c r="Q68" s="103"/>
      <c r="R68" s="103"/>
      <c r="S68" s="103"/>
    </row>
    <row r="69" spans="1:19" ht="20" customHeight="1">
      <c r="A69" s="103"/>
      <c r="B69" s="114" t="s">
        <v>2306</v>
      </c>
      <c r="C69" s="115" t="str">
        <f>CONCATENATE(sample_wld_nsxt_hostname,".",sample_child_dns_zone)</f>
        <v>sfo-w01-nsx01.sfo.rainpole.io</v>
      </c>
      <c r="D69" s="12" t="str">
        <f>mgmt_vc_fqdn</f>
        <v>Value Missing.Value Missing</v>
      </c>
      <c r="E69" s="116"/>
      <c r="F69" s="103"/>
      <c r="G69" s="103"/>
      <c r="H69" s="103"/>
      <c r="I69" s="103"/>
      <c r="J69" s="103"/>
      <c r="K69" s="103"/>
      <c r="L69" s="103"/>
      <c r="M69" s="103"/>
      <c r="N69" s="103"/>
      <c r="O69" s="103"/>
      <c r="P69" s="103"/>
      <c r="Q69" s="103"/>
      <c r="R69" s="103"/>
      <c r="S69" s="103"/>
    </row>
    <row r="70" spans="1:19" ht="20" customHeight="1">
      <c r="A70" s="103"/>
      <c r="B70" s="114" t="s">
        <v>2509</v>
      </c>
      <c r="C70" s="115" t="str">
        <f>sample_iom_wld_nsxt_piuser</f>
        <v>svc-xint-ops01-sfo-w01-nsx01</v>
      </c>
      <c r="D70" s="12" t="str">
        <f>iom_wld_nsxt_piuser</f>
        <v>Value Missing</v>
      </c>
      <c r="E70" s="116"/>
      <c r="F70" s="103"/>
      <c r="G70" s="103"/>
      <c r="H70" s="103"/>
      <c r="I70" s="103"/>
      <c r="J70" s="103"/>
      <c r="K70" s="103"/>
      <c r="L70" s="103"/>
      <c r="M70" s="103"/>
      <c r="N70" s="103"/>
      <c r="O70" s="103"/>
      <c r="P70" s="103"/>
      <c r="Q70" s="103"/>
      <c r="R70" s="103"/>
      <c r="S70" s="103"/>
    </row>
    <row r="71" spans="1:19" ht="20" customHeight="1">
      <c r="A71" s="103"/>
      <c r="B71" s="117" t="s">
        <v>2505</v>
      </c>
      <c r="C71" s="115" t="s">
        <v>2510</v>
      </c>
      <c r="D71" s="12" t="str">
        <f>C71</f>
        <v>Enterprise Admin</v>
      </c>
      <c r="E71" s="116"/>
      <c r="F71" s="103"/>
      <c r="G71" s="103"/>
      <c r="H71" s="103"/>
      <c r="I71" s="103"/>
      <c r="J71" s="103"/>
      <c r="K71" s="103"/>
      <c r="L71" s="103"/>
      <c r="M71" s="103"/>
      <c r="N71" s="103"/>
      <c r="O71" s="103"/>
      <c r="P71" s="103"/>
      <c r="Q71" s="103"/>
      <c r="R71" s="103"/>
      <c r="S71" s="103"/>
    </row>
    <row r="72" spans="1:19" ht="20" customHeight="1">
      <c r="A72" s="103"/>
      <c r="B72" s="114" t="s">
        <v>2511</v>
      </c>
      <c r="C72" s="115" t="str">
        <f>sample_wld_nsxt_hostname</f>
        <v>sfo-w01-nsx01</v>
      </c>
      <c r="D72" s="12" t="str">
        <f>wld_nsxt_hostname</f>
        <v>Value Missing</v>
      </c>
      <c r="E72" s="116"/>
      <c r="F72" s="103"/>
      <c r="G72" s="103"/>
      <c r="H72" s="103"/>
      <c r="I72" s="103"/>
      <c r="J72" s="103"/>
      <c r="K72" s="103"/>
      <c r="L72" s="103"/>
      <c r="M72" s="103"/>
      <c r="N72" s="103"/>
      <c r="O72" s="103"/>
      <c r="P72" s="103"/>
      <c r="Q72" s="103"/>
      <c r="R72" s="103"/>
      <c r="S72" s="103"/>
    </row>
    <row r="73" spans="1:19" s="103" customFormat="1" ht="20" customHeight="1"/>
    <row r="74" spans="1:19" ht="34" customHeight="1">
      <c r="B74" s="344" t="s">
        <v>4582</v>
      </c>
      <c r="C74" s="344"/>
      <c r="D74" s="344"/>
      <c r="E74" s="344"/>
    </row>
    <row r="75" spans="1:19" ht="20" customHeight="1">
      <c r="B75" s="8" t="s">
        <v>735</v>
      </c>
      <c r="C75" s="8" t="s">
        <v>554</v>
      </c>
      <c r="D75" s="20" t="s">
        <v>555</v>
      </c>
      <c r="E75" s="8" t="s">
        <v>222</v>
      </c>
    </row>
    <row r="76" spans="1:19" ht="20" customHeight="1">
      <c r="B76" s="21" t="s">
        <v>3525</v>
      </c>
      <c r="C76" s="22" t="str">
        <f>CONCATENATE(sample_mgmt_vc_hostname,".",sample_region_ad_child_fqdn)</f>
        <v>sfo-m01-vc01.sfo.rainpole.io</v>
      </c>
      <c r="D76" s="18" t="str">
        <f>mgmt_vc_fqdn</f>
        <v>Value Missing.Value Missing</v>
      </c>
      <c r="E76" s="53"/>
    </row>
    <row r="77" spans="1:19" ht="20" customHeight="1">
      <c r="B77" s="21" t="s">
        <v>735</v>
      </c>
      <c r="C77" s="22" t="s">
        <v>3526</v>
      </c>
      <c r="D77" s="18" t="str">
        <f>vrslcm_xreg_content_library</f>
        <v>Operations</v>
      </c>
      <c r="E77" s="53"/>
    </row>
    <row r="78" spans="1:19" ht="20" customHeight="1">
      <c r="B78" s="21" t="s">
        <v>637</v>
      </c>
      <c r="C78" s="22" t="str">
        <f>CONCATENATE(sample_mgmt_vc_hostname,".",sample_region_ad_child_fqdn)</f>
        <v>sfo-m01-vc01.sfo.rainpole.io</v>
      </c>
      <c r="D78" s="18" t="str">
        <f>mgmt_vc_fqdn</f>
        <v>Value Missing.Value Missing</v>
      </c>
      <c r="E78" s="53"/>
    </row>
    <row r="79" spans="1:19" ht="20" customHeight="1">
      <c r="B79" s="21" t="s">
        <v>931</v>
      </c>
      <c r="C79" s="22" t="str">
        <f>sample_mgmt_cl01_vsan_datastore</f>
        <v>sfo-m01-cl01-ds-vsan01</v>
      </c>
      <c r="D79" s="18" t="str">
        <f>mgmt_cl01_vsan_datastore</f>
        <v>Value Missing</v>
      </c>
      <c r="E79" s="53"/>
    </row>
    <row r="80" spans="1:19" ht="16" customHeight="1"/>
    <row r="81" spans="2:5" ht="34" customHeight="1">
      <c r="B81" s="344" t="s">
        <v>3351</v>
      </c>
      <c r="C81" s="344"/>
      <c r="D81" s="344"/>
      <c r="E81" s="344"/>
    </row>
    <row r="82" spans="2:5" ht="20" customHeight="1">
      <c r="B82" s="8" t="s">
        <v>735</v>
      </c>
      <c r="C82" s="8" t="s">
        <v>554</v>
      </c>
      <c r="D82" s="20" t="s">
        <v>555</v>
      </c>
      <c r="E82" s="8" t="s">
        <v>222</v>
      </c>
    </row>
    <row r="83" spans="2:5" ht="20" customHeight="1">
      <c r="B83" s="21" t="s">
        <v>3368</v>
      </c>
      <c r="C83" s="22" t="str">
        <f>CONCATENATE(sample_xreg_vrslcm_hostname,".",sample_parent_dns_zone)</f>
        <v>xint-lcm01.rainpole.io</v>
      </c>
      <c r="D83" s="18" t="str">
        <f>xreg_vrslcm_fqdn</f>
        <v>Value Missing.Value Missing</v>
      </c>
      <c r="E83" s="53"/>
    </row>
    <row r="84" spans="2:5" ht="20" customHeight="1">
      <c r="B84" s="21" t="s">
        <v>2387</v>
      </c>
      <c r="C84" s="22" t="str">
        <f>IF(NOT(ISBLANK(input_vrs_license)),"VMware Aria Suite 2019","VMware Aria Operations")</f>
        <v>VMware Aria Operations</v>
      </c>
      <c r="D84" s="18" t="str">
        <f>vrops_license_alias</f>
        <v>Value Missing</v>
      </c>
      <c r="E84" s="53"/>
    </row>
    <row r="85" spans="2:5" ht="20" customHeight="1">
      <c r="B85" s="21" t="s">
        <v>2388</v>
      </c>
      <c r="C85" s="22" t="str">
        <f>sample_vrops_license</f>
        <v>xxxxx-xxxxx-xxxxx-xxxxx-xxxxx</v>
      </c>
      <c r="D85" s="18" t="str">
        <f>vrops_license</f>
        <v>Value Missing</v>
      </c>
      <c r="E85" s="53"/>
    </row>
    <row r="86" spans="2:5" ht="16" customHeight="1"/>
    <row r="87" spans="2:5" ht="34" customHeight="1">
      <c r="B87" s="344" t="s">
        <v>3352</v>
      </c>
      <c r="C87" s="344"/>
      <c r="D87" s="344"/>
      <c r="E87" s="344"/>
    </row>
    <row r="88" spans="2:5" ht="20" customHeight="1">
      <c r="B88" s="8" t="s">
        <v>735</v>
      </c>
      <c r="C88" s="8" t="s">
        <v>554</v>
      </c>
      <c r="D88" s="20" t="s">
        <v>555</v>
      </c>
      <c r="E88" s="8" t="s">
        <v>222</v>
      </c>
    </row>
    <row r="89" spans="2:5" ht="20" customHeight="1">
      <c r="B89" s="21" t="s">
        <v>3368</v>
      </c>
      <c r="C89" s="22" t="str">
        <f>CONCATENATE(sample_xreg_vrslcm_hostname,".",sample_parent_dns_zone)</f>
        <v>xint-lcm01.rainpole.io</v>
      </c>
      <c r="D89" s="18" t="str">
        <f>xreg_vrslcm_fqdn</f>
        <v>Value Missing.Value Missing</v>
      </c>
      <c r="E89" s="53"/>
    </row>
    <row r="90" spans="2:5" ht="20" customHeight="1">
      <c r="B90" s="21" t="s">
        <v>735</v>
      </c>
      <c r="C90" s="22" t="str">
        <f>CONCATENATE(sample_xreg_vrops_virtual_hostname,".",sample_parent_dns_zone)</f>
        <v>xint-ops01.rainpole.io</v>
      </c>
      <c r="D90" s="18" t="str">
        <f>xreg_vrops_virtual_fqdn</f>
        <v>Value Missing.Value Missing</v>
      </c>
      <c r="E90" s="53"/>
    </row>
    <row r="91" spans="2:5" ht="16" customHeight="1"/>
    <row r="92" spans="2:5" ht="34" customHeight="1">
      <c r="B92" s="344" t="s">
        <v>3353</v>
      </c>
      <c r="C92" s="344"/>
      <c r="D92" s="344"/>
      <c r="E92" s="344"/>
    </row>
    <row r="93" spans="2:5" ht="20" customHeight="1">
      <c r="B93" s="8" t="s">
        <v>735</v>
      </c>
      <c r="C93" s="8" t="s">
        <v>554</v>
      </c>
      <c r="D93" s="20" t="s">
        <v>555</v>
      </c>
      <c r="E93" s="8" t="s">
        <v>222</v>
      </c>
    </row>
    <row r="94" spans="2:5" ht="20" customHeight="1">
      <c r="B94" s="21" t="s">
        <v>3368</v>
      </c>
      <c r="C94" s="22" t="str">
        <f>CONCATENATE(sample_xreg_vrslcm_hostname,".",sample_parent_dns_zone)</f>
        <v>xint-lcm01.rainpole.io</v>
      </c>
      <c r="D94" s="18" t="str">
        <f>xreg_vrslcm_fqdn</f>
        <v>Value Missing.Value Missing</v>
      </c>
      <c r="E94" s="53"/>
    </row>
    <row r="95" spans="2:5" ht="20" customHeight="1">
      <c r="B95" s="21" t="s">
        <v>1005</v>
      </c>
      <c r="C95" s="22" t="str">
        <f>sample_xreg_vrops_root_password_alias</f>
        <v>xint-ops-root</v>
      </c>
      <c r="D95" s="18" t="str">
        <f>xreg_vrops_root_password_alias</f>
        <v>Value Missing</v>
      </c>
      <c r="E95" s="53"/>
    </row>
    <row r="96" spans="2:5" ht="20" customHeight="1">
      <c r="B96" s="21" t="s">
        <v>755</v>
      </c>
      <c r="C96" s="22" t="str">
        <f>sample_xreg_vrops_root_password</f>
        <v>VMw@re1!</v>
      </c>
      <c r="D96" s="18" t="str">
        <f>xreg_vrops_root_password</f>
        <v>Value Missing</v>
      </c>
      <c r="E96" s="53"/>
    </row>
    <row r="97" spans="2:5" ht="20" customHeight="1">
      <c r="B97" s="21" t="s">
        <v>2513</v>
      </c>
      <c r="C97" s="22" t="s">
        <v>1352</v>
      </c>
      <c r="D97" s="18" t="str">
        <f>C97</f>
        <v>root</v>
      </c>
      <c r="E97" s="53"/>
    </row>
    <row r="98" spans="2:5" ht="20" customHeight="1">
      <c r="B98" s="21" t="s">
        <v>2389</v>
      </c>
      <c r="C98" s="22" t="str">
        <f>sample_vrslcm_xreg_env_password_alias</f>
        <v>xint-env-admin</v>
      </c>
      <c r="D98" s="18" t="str">
        <f>vrslcm_xreg_env_password_alias</f>
        <v>Value Missing</v>
      </c>
      <c r="E98" s="53"/>
    </row>
    <row r="99" spans="2:5" ht="20" customHeight="1">
      <c r="B99" s="26" t="s">
        <v>2390</v>
      </c>
      <c r="C99" s="22" t="str">
        <f>sample_vrslcm_xreg_env_password</f>
        <v>VMw@re1!</v>
      </c>
      <c r="D99" s="18" t="str">
        <f>vrslcm_xreg_env_password</f>
        <v>Value Missing</v>
      </c>
      <c r="E99" s="53"/>
    </row>
    <row r="100" spans="2:5" ht="20" customHeight="1">
      <c r="B100" s="26" t="s">
        <v>2514</v>
      </c>
      <c r="C100" s="22" t="str">
        <f>sample_vrslcm_xreg_admin_username</f>
        <v>admin</v>
      </c>
      <c r="D100" s="18" t="str">
        <f>vrslcm_xreg_admin_username</f>
        <v>Value Missing</v>
      </c>
      <c r="E100" s="53"/>
    </row>
    <row r="101" spans="2:5" ht="20" customHeight="1"/>
    <row r="102" spans="2:5" ht="34" customHeight="1">
      <c r="B102" s="344" t="s">
        <v>3354</v>
      </c>
      <c r="C102" s="344"/>
      <c r="D102" s="344"/>
      <c r="E102" s="344"/>
    </row>
    <row r="103" spans="2:5" ht="20" customHeight="1">
      <c r="B103" s="8" t="s">
        <v>735</v>
      </c>
      <c r="C103" s="8" t="s">
        <v>554</v>
      </c>
      <c r="D103" s="20" t="s">
        <v>555</v>
      </c>
      <c r="E103" s="8" t="s">
        <v>222</v>
      </c>
    </row>
    <row r="104" spans="2:5" ht="20" customHeight="1">
      <c r="B104" s="21" t="s">
        <v>3368</v>
      </c>
      <c r="C104" s="22" t="str">
        <f>CONCATENATE(sample_xreg_vrslcm_hostname,".",sample_parent_dns_zone)</f>
        <v>xint-lcm01.rainpole.io</v>
      </c>
      <c r="D104" s="18" t="str">
        <f>xreg_vrslcm_fqdn</f>
        <v>Value Missing.Value Missing</v>
      </c>
      <c r="E104" s="177"/>
    </row>
    <row r="105" spans="2:5" ht="20" customHeight="1">
      <c r="B105" s="419" t="s">
        <v>3620</v>
      </c>
      <c r="C105" s="420"/>
      <c r="D105" s="420"/>
      <c r="E105" s="421"/>
    </row>
    <row r="106" spans="2:5" ht="20" customHeight="1">
      <c r="B106" s="21" t="s">
        <v>3461</v>
      </c>
      <c r="C106" s="22" t="str">
        <f>sample_xreg_vrops_virtual_ip</f>
        <v>192.168.11.30</v>
      </c>
      <c r="D106" s="18" t="str">
        <f>xreg_vrops_virtual_ip</f>
        <v>Value Missing</v>
      </c>
      <c r="E106" s="177"/>
    </row>
    <row r="107" spans="2:5" ht="20" customHeight="1">
      <c r="B107" s="21" t="s">
        <v>3462</v>
      </c>
      <c r="C107" s="22" t="str">
        <f>CONCATENATE(sample_xreg_vrops_virtual_hostname,".",sample_parent_dns_zone)</f>
        <v>xint-ops01.rainpole.io</v>
      </c>
      <c r="D107" s="18" t="str">
        <f>xreg_vrops_virtual_fqdn</f>
        <v>Value Missing.Value Missing</v>
      </c>
      <c r="E107" s="177"/>
    </row>
    <row r="108" spans="2:5" ht="20" customHeight="1">
      <c r="B108" s="419" t="s">
        <v>3621</v>
      </c>
      <c r="C108" s="420"/>
      <c r="D108" s="420"/>
      <c r="E108" s="421"/>
    </row>
    <row r="109" spans="2:5" ht="20" customHeight="1">
      <c r="B109" s="21" t="s">
        <v>2392</v>
      </c>
      <c r="C109" s="22" t="str">
        <f>sample_vrslcm_xreg_env</f>
        <v>xint-env</v>
      </c>
      <c r="D109" s="18" t="str">
        <f>vrslcm_xreg_env</f>
        <v>Value Missing</v>
      </c>
      <c r="E109" s="176" t="s">
        <v>3627</v>
      </c>
    </row>
    <row r="110" spans="2:5" ht="20" customHeight="1">
      <c r="B110" s="26" t="s">
        <v>2393</v>
      </c>
      <c r="C110" s="22" t="str">
        <f>sample_vrslcm_xreg_env_password_alias</f>
        <v>xint-env-admin</v>
      </c>
      <c r="D110" s="18" t="str">
        <f>vrslcm_xreg_env_password_alias</f>
        <v>Value Missing</v>
      </c>
      <c r="E110" s="176" t="s">
        <v>3627</v>
      </c>
    </row>
    <row r="111" spans="2:5" ht="20" customHeight="1">
      <c r="B111" s="26" t="s">
        <v>841</v>
      </c>
      <c r="C111" s="22" t="str">
        <f>sample_vrslcm_xreg_dc</f>
        <v>xint-m01-dc01</v>
      </c>
      <c r="D111" s="18" t="str">
        <f>vrslcm_xreg_dc</f>
        <v>Value Missing</v>
      </c>
      <c r="E111" s="176" t="s">
        <v>3627</v>
      </c>
    </row>
    <row r="112" spans="2:5" ht="20" customHeight="1">
      <c r="B112" s="26" t="s">
        <v>2515</v>
      </c>
      <c r="C112" s="22" t="str">
        <f>sample_xreg_vrops_appliance_size</f>
        <v>Medium</v>
      </c>
      <c r="D112" s="18" t="str">
        <f>xreg_vrops_appliance_size</f>
        <v>Medium</v>
      </c>
      <c r="E112" s="177"/>
    </row>
    <row r="113" spans="2:5" ht="20" customHeight="1">
      <c r="B113" s="26" t="s">
        <v>2364</v>
      </c>
      <c r="C113" s="22" t="str">
        <f>IF(NOT(ISBLANK(input_vrs_license)),"VMware Aria Suite 2019","VMware Aria Operations")</f>
        <v>VMware Aria Operations</v>
      </c>
      <c r="D113" s="18" t="str">
        <f>vrops_license</f>
        <v>Value Missing</v>
      </c>
      <c r="E113" s="177"/>
    </row>
    <row r="114" spans="2:5" ht="20" customHeight="1">
      <c r="B114" s="26" t="s">
        <v>2109</v>
      </c>
      <c r="C114" s="22" t="str">
        <f>sample_xreg_vrops_virtual_hostname</f>
        <v>xint-ops01</v>
      </c>
      <c r="D114" s="18" t="str">
        <f>xreg_vrops_virtual_hostname</f>
        <v>Value Missing</v>
      </c>
      <c r="E114" s="177"/>
    </row>
    <row r="115" spans="2:5" ht="20" customHeight="1">
      <c r="B115" s="21" t="s">
        <v>2110</v>
      </c>
      <c r="C115" s="22" t="str">
        <f>CONCATENATE(sample_mgmt_datacenter,"#",sample_mgmt_cl01_cluster)</f>
        <v>sfo-m01-dc01#sfo-m01-cl01</v>
      </c>
      <c r="D115" s="18" t="str">
        <f>CONCATENATE(mgmt_datacenter,"#",mgmt_cl01_cluster)</f>
        <v>Value Missing#Value Missing</v>
      </c>
      <c r="E115" s="177"/>
    </row>
    <row r="116" spans="2:5" ht="20" customHeight="1">
      <c r="B116" s="26" t="s">
        <v>2109</v>
      </c>
      <c r="C116" s="22" t="str">
        <f>sample_xreg_vrops_virtual_hostname</f>
        <v>xint-ops01</v>
      </c>
      <c r="D116" s="18" t="str">
        <f>xreg_vrops_virtual_hostname</f>
        <v>Value Missing</v>
      </c>
      <c r="E116" s="177"/>
    </row>
    <row r="117" spans="2:5" ht="20" customHeight="1">
      <c r="B117" s="26" t="s">
        <v>2358</v>
      </c>
      <c r="C117" s="22" t="s">
        <v>3526</v>
      </c>
      <c r="D117" s="18" t="str">
        <f>vrslcm_xreg_content_library</f>
        <v>Operations</v>
      </c>
      <c r="E117" s="177"/>
    </row>
    <row r="118" spans="2:5" ht="20" customHeight="1">
      <c r="B118" s="26" t="s">
        <v>2395</v>
      </c>
      <c r="C118" s="22" t="str">
        <f>sample_xreg_vrops_root_password_alias</f>
        <v>xint-ops-root</v>
      </c>
      <c r="D118" s="18" t="str">
        <f>xreg_vrops_root_password_alias</f>
        <v>Value Missing</v>
      </c>
      <c r="E118" s="177"/>
    </row>
    <row r="119" spans="2:5" ht="20" customHeight="1">
      <c r="B119" s="26" t="s">
        <v>2516</v>
      </c>
      <c r="C119" s="22" t="str">
        <f>CONCATENATE(sample_xreg_vrops_virtual_hostname,".",sample_parent_dns_zone)</f>
        <v>xint-ops01.rainpole.io</v>
      </c>
      <c r="D119" s="18" t="str">
        <f>xreg_vrops_virtual_fqdn</f>
        <v>Value Missing.Value Missing</v>
      </c>
      <c r="E119" s="177"/>
    </row>
    <row r="120" spans="2:5" ht="20" customHeight="1">
      <c r="B120" s="26" t="s">
        <v>2517</v>
      </c>
      <c r="C120" s="22" t="str">
        <f>sample_xreg_vrops_nodea_hostname</f>
        <v>xint-ops01a</v>
      </c>
      <c r="D120" s="18" t="str">
        <f>xreg_vrops_nodea_hostname</f>
        <v>Value Missing</v>
      </c>
      <c r="E120" s="177"/>
    </row>
    <row r="121" spans="2:5" ht="20" customHeight="1">
      <c r="B121" s="26" t="s">
        <v>2518</v>
      </c>
      <c r="C121" s="22" t="str">
        <f>CONCATENATE(sample_xreg_vrops_nodea_hostname,".",sample_parent_dns_zone)</f>
        <v>xint-ops01a.rainpole.io</v>
      </c>
      <c r="D121" s="18" t="str">
        <f>xreg_vrops_nodea_fqdn</f>
        <v>Value Missing.Value Missing</v>
      </c>
      <c r="E121" s="177"/>
    </row>
    <row r="122" spans="2:5" ht="20" customHeight="1">
      <c r="B122" s="26" t="s">
        <v>2519</v>
      </c>
      <c r="C122" s="22" t="str">
        <f>sample_xreg_vrops_nodea_ip</f>
        <v>192.168.11.31</v>
      </c>
      <c r="D122" s="18" t="str">
        <f>xreg_vrops_nodea_ip</f>
        <v>Value Missing</v>
      </c>
      <c r="E122" s="177"/>
    </row>
    <row r="123" spans="2:5" ht="20" customHeight="1">
      <c r="B123" s="26" t="s">
        <v>2520</v>
      </c>
      <c r="C123" s="22" t="str">
        <f>sample_mgmt_cl01_vsan_datastore</f>
        <v>sfo-m01-cl01-ds-vsan01</v>
      </c>
      <c r="D123" s="18" t="str">
        <f>mgmt_cl01_vsan_datastore</f>
        <v>Value Missing</v>
      </c>
      <c r="E123" s="177"/>
    </row>
    <row r="124" spans="2:5" ht="20" customHeight="1">
      <c r="B124" s="26" t="s">
        <v>2521</v>
      </c>
      <c r="C124" s="22" t="str">
        <f>sample_xreg_vrops_nodeb_hostname</f>
        <v>xint-ops01b</v>
      </c>
      <c r="D124" s="18" t="str">
        <f>xreg_vrops_nodeb_hostname</f>
        <v>Value Missing</v>
      </c>
      <c r="E124" s="177"/>
    </row>
    <row r="125" spans="2:5" ht="20" customHeight="1">
      <c r="B125" s="26" t="s">
        <v>2522</v>
      </c>
      <c r="C125" s="22" t="str">
        <f>CONCATENATE(sample_xreg_vrops_nodeb_hostname,".",sample_parent_dns_zone)</f>
        <v>xint-ops01b.rainpole.io</v>
      </c>
      <c r="D125" s="18" t="str">
        <f>xreg_vrops_nodeb_fqdn</f>
        <v>Value Missing.Value Missing</v>
      </c>
      <c r="E125" s="177"/>
    </row>
    <row r="126" spans="2:5" ht="20" customHeight="1">
      <c r="B126" s="26" t="s">
        <v>2523</v>
      </c>
      <c r="C126" s="22" t="str">
        <f>sample_xreg_vrops_nodeb_ip</f>
        <v>192.168.11.32</v>
      </c>
      <c r="D126" s="18" t="str">
        <f>xreg_vrops_nodeb_ip</f>
        <v>Value Missing</v>
      </c>
      <c r="E126" s="177"/>
    </row>
    <row r="127" spans="2:5" ht="20" customHeight="1">
      <c r="B127" s="26" t="s">
        <v>2524</v>
      </c>
      <c r="C127" s="22" t="str">
        <f>sample_mgmt_cl01_vsan_datastore</f>
        <v>sfo-m01-cl01-ds-vsan01</v>
      </c>
      <c r="D127" s="18" t="str">
        <f>mgmt_cl01_vsan_datastore</f>
        <v>Value Missing</v>
      </c>
      <c r="E127" s="177"/>
    </row>
    <row r="128" spans="2:5" ht="20" customHeight="1">
      <c r="B128" s="26" t="s">
        <v>2525</v>
      </c>
      <c r="C128" s="22" t="str">
        <f>sample_xreg_vrops_nodec_hostname</f>
        <v>xint-ops01c</v>
      </c>
      <c r="D128" s="18" t="str">
        <f>xreg_vrops_nodec_hostname</f>
        <v>Value Missing</v>
      </c>
      <c r="E128" s="177"/>
    </row>
    <row r="129" spans="2:5" ht="20" customHeight="1">
      <c r="B129" s="26" t="s">
        <v>2526</v>
      </c>
      <c r="C129" s="22" t="str">
        <f>CONCATENATE(sample_xreg_vrops_nodec_hostname,".",sample_parent_dns_zone)</f>
        <v>xint-ops01c.rainpole.io</v>
      </c>
      <c r="D129" s="18" t="str">
        <f>xreg_vrops_nodec_fqdn</f>
        <v>Value Missing.Value Missing</v>
      </c>
      <c r="E129" s="177"/>
    </row>
    <row r="130" spans="2:5" ht="20" customHeight="1">
      <c r="B130" s="26" t="s">
        <v>2527</v>
      </c>
      <c r="C130" s="22" t="str">
        <f>sample_xreg_vrops_nodec_ip</f>
        <v>192.168.11.33</v>
      </c>
      <c r="D130" s="18" t="str">
        <f>xreg_vrops_nodec_ip</f>
        <v>Value Missing</v>
      </c>
      <c r="E130" s="177"/>
    </row>
    <row r="131" spans="2:5" ht="20" customHeight="1">
      <c r="B131" s="26" t="s">
        <v>2528</v>
      </c>
      <c r="C131" s="22" t="str">
        <f>sample_mgmt_cl01_vsan_datastore</f>
        <v>sfo-m01-cl01-ds-vsan01</v>
      </c>
      <c r="D131" s="18" t="str">
        <f>mgmt_cl01_vsan_datastore</f>
        <v>Value Missing</v>
      </c>
      <c r="E131" s="177"/>
    </row>
    <row r="132" spans="2:5" ht="20" customHeight="1">
      <c r="B132" s="26" t="s">
        <v>2529</v>
      </c>
      <c r="C132" s="22" t="str">
        <f>sample_region_vropsca_hostname</f>
        <v>sfo-ops-pxy01a</v>
      </c>
      <c r="D132" s="18" t="str">
        <f>region_vropsca_hostname</f>
        <v>Value Missing</v>
      </c>
      <c r="E132" s="177"/>
    </row>
    <row r="133" spans="2:5" ht="20" customHeight="1">
      <c r="B133" s="26" t="s">
        <v>2530</v>
      </c>
      <c r="C133" s="22" t="str">
        <f>CONCATENATE(sample_region_vropsca_hostname,".",sample_child_dns_zone)</f>
        <v>sfo-ops-pxy01a.sfo.rainpole.io</v>
      </c>
      <c r="D133" s="18" t="str">
        <f>region_vropsca_fqdn</f>
        <v>Value Missing.Value Missing</v>
      </c>
      <c r="E133" s="177"/>
    </row>
    <row r="134" spans="2:5" ht="20" customHeight="1">
      <c r="B134" s="26" t="s">
        <v>2531</v>
      </c>
      <c r="C134" s="22" t="str">
        <f>sample_region_vropsca_ip</f>
        <v>192.168.31.31</v>
      </c>
      <c r="D134" s="18" t="str">
        <f>region_vropsca_ip</f>
        <v>Value Missing</v>
      </c>
      <c r="E134" s="177"/>
    </row>
    <row r="135" spans="2:5" ht="20" customHeight="1">
      <c r="B135" s="26" t="s">
        <v>2532</v>
      </c>
      <c r="C135" s="22" t="str">
        <f>sample_xreg_vrops_rc_size</f>
        <v>Small</v>
      </c>
      <c r="D135" s="18" t="str">
        <f>xreg_vrops_rc_size</f>
        <v>Small</v>
      </c>
      <c r="E135" s="177"/>
    </row>
    <row r="136" spans="2:5" ht="20" customHeight="1">
      <c r="B136" s="21" t="s">
        <v>2533</v>
      </c>
      <c r="C136" s="22" t="str">
        <f>CONCATENATE(sample_mgmt_vc_hostname,".",sample_child_dns_zone)</f>
        <v>sfo-m01-vc01.sfo.rainpole.io</v>
      </c>
      <c r="D136" s="18" t="str">
        <f>mgmt_vc_fqdn</f>
        <v>Value Missing.Value Missing</v>
      </c>
      <c r="E136" s="177"/>
    </row>
    <row r="137" spans="2:5" ht="20" customHeight="1">
      <c r="B137" s="21" t="s">
        <v>2534</v>
      </c>
      <c r="C137" s="22" t="str">
        <f>CONCATENATE(sample_mgmt_datacenter,"#",sample_mgmt_cl01_cluster)</f>
        <v>sfo-m01-dc01#sfo-m01-cl01</v>
      </c>
      <c r="D137" s="18" t="str">
        <f>CONCATENATE(mgmt_datacenter,"#",mgmt_cl01_cluster)</f>
        <v>Value Missing#Value Missing</v>
      </c>
      <c r="E137" s="177"/>
    </row>
    <row r="138" spans="2:5" ht="20" customHeight="1">
      <c r="B138" s="26" t="s">
        <v>2535</v>
      </c>
      <c r="C138" s="22" t="str">
        <f>sample_reg_seg01_name</f>
        <v>sfo-m01-seg01</v>
      </c>
      <c r="D138" s="18" t="str">
        <f>reg_seg01_name</f>
        <v>Value Missing</v>
      </c>
      <c r="E138" s="177"/>
    </row>
    <row r="139" spans="2:5" ht="20" customHeight="1">
      <c r="B139" s="26" t="s">
        <v>2536</v>
      </c>
      <c r="C139" s="22" t="str">
        <f>sample_mgmt_cl01_vsan_datastore</f>
        <v>sfo-m01-cl01-ds-vsan01</v>
      </c>
      <c r="D139" s="18" t="str">
        <f>mgmt_cl01_vsan_datastore</f>
        <v>Value Missing</v>
      </c>
      <c r="E139" s="177"/>
    </row>
    <row r="140" spans="2:5" ht="20" customHeight="1">
      <c r="B140" s="26" t="s">
        <v>2537</v>
      </c>
      <c r="C140" s="22" t="str">
        <f>sample_reg_seg01_gateway_ip</f>
        <v>N/A</v>
      </c>
      <c r="D140" s="18" t="str">
        <f>reg_seg01_gateway_ip</f>
        <v>Value Missing</v>
      </c>
      <c r="E140" s="177"/>
    </row>
    <row r="141" spans="2:5" ht="20" customHeight="1">
      <c r="B141" s="26" t="s">
        <v>2538</v>
      </c>
      <c r="C141" s="22" t="str">
        <f>sample_region_ad_child_fqdn</f>
        <v>sfo.rainpole.io</v>
      </c>
      <c r="D141" s="18" t="str">
        <f>region_ad_child_fqdn</f>
        <v>Value Missing</v>
      </c>
      <c r="E141" s="177"/>
    </row>
    <row r="142" spans="2:5" ht="20" customHeight="1">
      <c r="B142" s="26" t="s">
        <v>2539</v>
      </c>
      <c r="C142" s="22" t="str">
        <f>CONCATENATE(sample_child_dns_zone,",",sample_parent_dns_zone)</f>
        <v>sfo.rainpole.io,rainpole.io</v>
      </c>
      <c r="D142" s="18" t="str">
        <f>CONCATENATE(child_dns_zone,",",parent_dns_zone)</f>
        <v>Value Missing,Value Missing</v>
      </c>
      <c r="E142" s="177"/>
    </row>
    <row r="143" spans="2:5" ht="20" customHeight="1">
      <c r="B143" s="26" t="s">
        <v>2540</v>
      </c>
      <c r="C143" s="22" t="str">
        <f>CONCATENATE(sample_region_dns2_ip,",",sample_region_dns1_ip)</f>
        <v>10.11.10.5,10.11.10.4</v>
      </c>
      <c r="D143" s="18" t="str">
        <f>CONCATENATE(IF(ISBLANK(input_region_dns2_ip),"Value Missing",region_dns2_ip),",",IF(ISBLANK(input_region_dns1_ip),"Value Missing",region_dns1_ip))</f>
        <v>Value Missing,Value Missing</v>
      </c>
      <c r="E143" s="177"/>
    </row>
    <row r="144" spans="2:5" ht="20" customHeight="1">
      <c r="B144" s="26" t="s">
        <v>2541</v>
      </c>
      <c r="C144" s="22" t="str">
        <f>sample_region_vropscb_hostname</f>
        <v>sfo-ops-pxy01b</v>
      </c>
      <c r="D144" s="18" t="str">
        <f>region_vropscb_hostname</f>
        <v>Value Missing</v>
      </c>
      <c r="E144" s="177"/>
    </row>
    <row r="145" spans="2:5" ht="20" customHeight="1">
      <c r="B145" s="26" t="s">
        <v>2542</v>
      </c>
      <c r="C145" s="22" t="str">
        <f>CONCATENATE(sample_region_vropscb_hostname,".",sample_child_dns_zone)</f>
        <v>sfo-ops-pxy01b.sfo.rainpole.io</v>
      </c>
      <c r="D145" s="18" t="str">
        <f>region_vropscb_fqdn</f>
        <v>Value Missing.Value Missing</v>
      </c>
      <c r="E145" s="177"/>
    </row>
    <row r="146" spans="2:5" ht="20" customHeight="1">
      <c r="B146" s="26" t="s">
        <v>2543</v>
      </c>
      <c r="C146" s="22" t="str">
        <f>sample_region_vropscb_ip</f>
        <v>192.168.31.32</v>
      </c>
      <c r="D146" s="18" t="str">
        <f>region_vropscb_ip</f>
        <v>Value Missing</v>
      </c>
      <c r="E146" s="177"/>
    </row>
    <row r="147" spans="2:5" ht="20" customHeight="1">
      <c r="B147" s="26" t="s">
        <v>2544</v>
      </c>
      <c r="C147" s="22" t="str">
        <f>sample_xreg_vrops_rc_size</f>
        <v>Small</v>
      </c>
      <c r="D147" s="18" t="str">
        <f>xreg_vrops_rc_size</f>
        <v>Small</v>
      </c>
      <c r="E147" s="177"/>
    </row>
    <row r="148" spans="2:5" ht="20" customHeight="1">
      <c r="B148" s="21" t="s">
        <v>2545</v>
      </c>
      <c r="C148" s="22" t="str">
        <f>CONCATENATE(sample_mgmt_vc_hostname,".",sample_child_dns_zone)</f>
        <v>sfo-m01-vc01.sfo.rainpole.io</v>
      </c>
      <c r="D148" s="18" t="str">
        <f>mgmt_vc_fqdn</f>
        <v>Value Missing.Value Missing</v>
      </c>
      <c r="E148" s="177"/>
    </row>
    <row r="149" spans="2:5" ht="20" customHeight="1">
      <c r="B149" s="21" t="s">
        <v>2546</v>
      </c>
      <c r="C149" s="22" t="str">
        <f>CONCATENATE(sample_mgmt_datacenter,"#",sample_mgmt_cl01_cluster)</f>
        <v>sfo-m01-dc01#sfo-m01-cl01</v>
      </c>
      <c r="D149" s="18" t="str">
        <f>CONCATENATE(mgmt_datacenter,"#",mgmt_cl01_cluster)</f>
        <v>Value Missing#Value Missing</v>
      </c>
      <c r="E149" s="177"/>
    </row>
    <row r="150" spans="2:5" ht="20" customHeight="1">
      <c r="B150" s="26" t="s">
        <v>2547</v>
      </c>
      <c r="C150" s="22" t="str">
        <f>sample_reg_seg01_name</f>
        <v>sfo-m01-seg01</v>
      </c>
      <c r="D150" s="18" t="str">
        <f>reg_seg01_name</f>
        <v>Value Missing</v>
      </c>
      <c r="E150" s="177"/>
    </row>
    <row r="151" spans="2:5" ht="20" customHeight="1">
      <c r="B151" s="26" t="s">
        <v>2548</v>
      </c>
      <c r="C151" s="22" t="str">
        <f>sample_mgmt_cl01_vsan_datastore</f>
        <v>sfo-m01-cl01-ds-vsan01</v>
      </c>
      <c r="D151" s="18" t="str">
        <f>mgmt_cl01_vsan_datastore</f>
        <v>Value Missing</v>
      </c>
      <c r="E151" s="177"/>
    </row>
    <row r="152" spans="2:5" ht="20" customHeight="1">
      <c r="B152" s="26" t="s">
        <v>2549</v>
      </c>
      <c r="C152" s="22" t="str">
        <f>sample_reg_seg01_gateway_ip</f>
        <v>N/A</v>
      </c>
      <c r="D152" s="18" t="str">
        <f>reg_seg01_gateway_ip</f>
        <v>Value Missing</v>
      </c>
      <c r="E152" s="177"/>
    </row>
    <row r="153" spans="2:5" ht="20" customHeight="1">
      <c r="B153" s="26" t="s">
        <v>2550</v>
      </c>
      <c r="C153" s="22" t="str">
        <f>sample_region_ad_child_fqdn</f>
        <v>sfo.rainpole.io</v>
      </c>
      <c r="D153" s="18" t="str">
        <f>region_ad_child_fqdn</f>
        <v>Value Missing</v>
      </c>
      <c r="E153" s="177"/>
    </row>
    <row r="154" spans="2:5" ht="20" customHeight="1">
      <c r="B154" s="26" t="s">
        <v>2551</v>
      </c>
      <c r="C154" s="22" t="str">
        <f>CONCATENATE(sample_child_dns_zone,",",sample_parent_dns_zone)</f>
        <v>sfo.rainpole.io,rainpole.io</v>
      </c>
      <c r="D154" s="18" t="str">
        <f>CONCATENATE(child_dns_zone,",",parent_dns_zone)</f>
        <v>Value Missing,Value Missing</v>
      </c>
      <c r="E154" s="177"/>
    </row>
    <row r="155" spans="2:5" ht="20" customHeight="1">
      <c r="B155" s="26" t="s">
        <v>2552</v>
      </c>
      <c r="C155" s="22" t="str">
        <f>CONCATENATE(sample_region_dns2_ip,",",sample_region_dns1_ip)</f>
        <v>10.11.10.5,10.11.10.4</v>
      </c>
      <c r="D155" s="18" t="str">
        <f>CONCATENATE(IF(ISBLANK(input_region_dns2_ip),"Value Missing",region_dns2_ip),",",IF(ISBLANK(input_region_dns1_ip),"Value Missing",region_dns1_ip))</f>
        <v>Value Missing,Value Missing</v>
      </c>
      <c r="E155" s="177"/>
    </row>
    <row r="156" spans="2:5" ht="16" customHeight="1"/>
    <row r="157" spans="2:5" ht="34" customHeight="1">
      <c r="B157" s="486" t="s">
        <v>3598</v>
      </c>
      <c r="C157" s="344"/>
      <c r="D157" s="344"/>
      <c r="E157" s="344"/>
    </row>
    <row r="158" spans="2:5" ht="20" customHeight="1">
      <c r="B158" s="8" t="s">
        <v>735</v>
      </c>
      <c r="C158" s="8" t="s">
        <v>554</v>
      </c>
      <c r="D158" s="20" t="s">
        <v>555</v>
      </c>
      <c r="E158" s="8" t="s">
        <v>222</v>
      </c>
    </row>
    <row r="159" spans="2:5" ht="20" customHeight="1">
      <c r="B159" s="21" t="s">
        <v>3369</v>
      </c>
      <c r="C159" s="22" t="str">
        <f>CONCATENATE(sample_xreg_vrops_virtual_hostname,".",sample_parent_dns_zone)</f>
        <v>xint-ops01.rainpole.io</v>
      </c>
      <c r="D159" s="18" t="str">
        <f>xreg_vrops_virtual_fqdn</f>
        <v>Value Missing.Value Missing</v>
      </c>
      <c r="E159" s="53"/>
    </row>
    <row r="160" spans="2:5" ht="20" customHeight="1">
      <c r="B160" s="21" t="s">
        <v>723</v>
      </c>
      <c r="C160" s="22" t="str">
        <f>sample_region_vropsca_hostname</f>
        <v>sfo-ops-pxy01a</v>
      </c>
      <c r="D160" s="18" t="str">
        <f>region_vropsca_hostname</f>
        <v>Value Missing</v>
      </c>
      <c r="E160" s="53"/>
    </row>
    <row r="161" spans="2:5" ht="20" customHeight="1">
      <c r="B161" s="26" t="s">
        <v>723</v>
      </c>
      <c r="C161" s="22" t="str">
        <f>sample_region_vropscb_hostname</f>
        <v>sfo-ops-pxy01b</v>
      </c>
      <c r="D161" s="18" t="str">
        <f>region_vropscb_hostname</f>
        <v>Value Missing</v>
      </c>
      <c r="E161" s="53"/>
    </row>
    <row r="162" spans="2:5" ht="16" customHeight="1"/>
    <row r="163" spans="2:5" ht="34" customHeight="1">
      <c r="B163" s="486" t="s">
        <v>3599</v>
      </c>
      <c r="C163" s="344"/>
      <c r="D163" s="344"/>
      <c r="E163" s="344"/>
    </row>
    <row r="164" spans="2:5" ht="20" customHeight="1">
      <c r="B164" s="8" t="s">
        <v>735</v>
      </c>
      <c r="C164" s="8" t="s">
        <v>554</v>
      </c>
      <c r="D164" s="20" t="s">
        <v>555</v>
      </c>
      <c r="E164" s="8" t="s">
        <v>222</v>
      </c>
    </row>
    <row r="165" spans="2:5" ht="20" customHeight="1">
      <c r="B165" s="21" t="s">
        <v>2286</v>
      </c>
      <c r="C165" s="22" t="str">
        <f>CONCATENATE(sample_mgmt_vc_hostname,".",sample_child_dns_zone)</f>
        <v>sfo-m01-vc01.sfo.rainpole.io</v>
      </c>
      <c r="D165" s="18" t="str">
        <f>mgmt_vc_fqdn</f>
        <v>Value Missing.Value Missing</v>
      </c>
      <c r="E165" s="53"/>
    </row>
    <row r="166" spans="2:5" ht="20" customHeight="1">
      <c r="B166" s="21" t="s">
        <v>841</v>
      </c>
      <c r="C166" s="22" t="str">
        <f>sample_mgmt_datacenter</f>
        <v>sfo-m01-dc01</v>
      </c>
      <c r="D166" s="18" t="str">
        <f>mgmt_datacenter</f>
        <v>Value Missing</v>
      </c>
      <c r="E166" s="53"/>
    </row>
    <row r="167" spans="2:5" ht="20" customHeight="1">
      <c r="B167" s="26" t="s">
        <v>2553</v>
      </c>
      <c r="C167" s="22" t="str">
        <f>sample_xreg_vrops_nodea_hostname</f>
        <v>xint-ops01a</v>
      </c>
      <c r="D167" s="18" t="str">
        <f>xreg_vrops_nodea_hostname</f>
        <v>Value Missing</v>
      </c>
      <c r="E167" s="53"/>
    </row>
    <row r="168" spans="2:5" ht="20" customHeight="1">
      <c r="B168" s="26" t="s">
        <v>2554</v>
      </c>
      <c r="C168" s="22" t="str">
        <f>sample_xreg_vrops_nodeb_hostname</f>
        <v>xint-ops01b</v>
      </c>
      <c r="D168" s="18" t="str">
        <f>xreg_vrops_nodeb_hostname</f>
        <v>Value Missing</v>
      </c>
      <c r="E168" s="53"/>
    </row>
    <row r="169" spans="2:5" ht="20" customHeight="1">
      <c r="B169" s="26" t="s">
        <v>2555</v>
      </c>
      <c r="C169" s="22" t="str">
        <f>sample_xreg_vrops_nodec_hostname</f>
        <v>xint-ops01c</v>
      </c>
      <c r="D169" s="18" t="str">
        <f>xreg_vrops_nodec_hostname</f>
        <v>Value Missing</v>
      </c>
      <c r="E169" s="53"/>
    </row>
    <row r="170" spans="2:5" ht="20" customHeight="1">
      <c r="B170" s="26" t="s">
        <v>2506</v>
      </c>
      <c r="C170" s="22" t="str">
        <f>sample_xreg_vrops_vm_folder</f>
        <v>xint-m01-fd-operations</v>
      </c>
      <c r="D170" s="18" t="str">
        <f>xreg_vrops_vm_folder</f>
        <v>Value Missing</v>
      </c>
      <c r="E170" s="53"/>
    </row>
    <row r="171" spans="2:5" ht="20" customHeight="1">
      <c r="B171" s="26" t="s">
        <v>2556</v>
      </c>
      <c r="C171" s="22" t="str">
        <f>sample_region_vropsca_hostname</f>
        <v>sfo-ops-pxy01a</v>
      </c>
      <c r="D171" s="18" t="str">
        <f>region_vropsca_hostname</f>
        <v>Value Missing</v>
      </c>
      <c r="E171" s="53"/>
    </row>
    <row r="172" spans="2:5" ht="20" customHeight="1">
      <c r="B172" s="26" t="s">
        <v>2557</v>
      </c>
      <c r="C172" s="22" t="str">
        <f>sample_region_vropscb_hostname</f>
        <v>sfo-ops-pxy01b</v>
      </c>
      <c r="D172" s="18" t="str">
        <f>region_vropscb_hostname</f>
        <v>Value Missing</v>
      </c>
      <c r="E172" s="53"/>
    </row>
    <row r="173" spans="2:5" ht="20" customHeight="1">
      <c r="B173" s="26" t="s">
        <v>2507</v>
      </c>
      <c r="C173" s="22" t="str">
        <f>CONCATENATE(sample_mgmt_sddc_domain,"-fd-operations")</f>
        <v>sfo-m01-fd-operations</v>
      </c>
      <c r="D173" s="18" t="str">
        <f>region_vrops_collector_vm_folder</f>
        <v>Value Missing-fd-operations</v>
      </c>
      <c r="E173" s="53"/>
    </row>
    <row r="174" spans="2:5" ht="16" customHeight="1"/>
    <row r="175" spans="2:5" ht="34" customHeight="1">
      <c r="B175" s="344" t="s">
        <v>3600</v>
      </c>
      <c r="C175" s="344"/>
      <c r="D175" s="344"/>
      <c r="E175" s="344"/>
    </row>
    <row r="176" spans="2:5" ht="20" customHeight="1">
      <c r="B176" s="8" t="s">
        <v>735</v>
      </c>
      <c r="C176" s="8" t="s">
        <v>554</v>
      </c>
      <c r="D176" s="20" t="s">
        <v>555</v>
      </c>
      <c r="E176" s="8" t="s">
        <v>222</v>
      </c>
    </row>
    <row r="177" spans="2:5" ht="20" customHeight="1">
      <c r="B177" s="21" t="s">
        <v>2286</v>
      </c>
      <c r="C177" s="22" t="str">
        <f>CONCATENATE(sample_mgmt_vc_hostname,".",sample_child_dns_zone)</f>
        <v>sfo-m01-vc01.sfo.rainpole.io</v>
      </c>
      <c r="D177" s="18" t="str">
        <f>mgmt_vc_fqdn</f>
        <v>Value Missing.Value Missing</v>
      </c>
      <c r="E177" s="53"/>
    </row>
    <row r="178" spans="2:5" ht="20" customHeight="1">
      <c r="B178" s="21" t="s">
        <v>841</v>
      </c>
      <c r="C178" s="22" t="str">
        <f>sample_mgmt_datacenter</f>
        <v>sfo-m01-dc01</v>
      </c>
      <c r="D178" s="18" t="str">
        <f>mgmt_datacenter</f>
        <v>Value Missing</v>
      </c>
      <c r="E178" s="53"/>
    </row>
    <row r="179" spans="2:5" ht="20" customHeight="1">
      <c r="B179" s="26" t="s">
        <v>843</v>
      </c>
      <c r="C179" s="22" t="str">
        <f>sample_mgmt_cl01_cluster</f>
        <v>sfo-m01-cl01</v>
      </c>
      <c r="D179" s="18" t="str">
        <f>mgmt_cl01_cluster</f>
        <v>Value Missing</v>
      </c>
      <c r="E179" s="53"/>
    </row>
    <row r="180" spans="2:5" ht="20" customHeight="1">
      <c r="B180" s="26" t="s">
        <v>735</v>
      </c>
      <c r="C180" s="22" t="s">
        <v>3588</v>
      </c>
      <c r="D180" s="18" t="str">
        <f>xreg_vropsrc_anti_affinity_rule_name</f>
        <v>anti-affinity-rule-operations-proxies</v>
      </c>
      <c r="E180" s="53"/>
    </row>
    <row r="181" spans="2:5" ht="20" customHeight="1">
      <c r="B181" s="21" t="s">
        <v>2410</v>
      </c>
      <c r="C181" s="22" t="str">
        <f>sample_region_vropsca_hostname</f>
        <v>sfo-ops-pxy01a</v>
      </c>
      <c r="D181" s="18" t="str">
        <f>region_vropsca_hostname</f>
        <v>Value Missing</v>
      </c>
      <c r="E181" s="53"/>
    </row>
    <row r="182" spans="2:5" ht="20" customHeight="1">
      <c r="B182" s="21" t="s">
        <v>2410</v>
      </c>
      <c r="C182" s="22" t="str">
        <f>sample_region_vropscb_hostname</f>
        <v>sfo-ops-pxy01b</v>
      </c>
      <c r="D182" s="18" t="str">
        <f>region_vropscb_hostname</f>
        <v>Value Missing</v>
      </c>
      <c r="E182" s="53"/>
    </row>
    <row r="183" spans="2:5" ht="16" customHeight="1"/>
    <row r="184" spans="2:5" ht="34" customHeight="1">
      <c r="B184" s="344" t="s">
        <v>3601</v>
      </c>
      <c r="C184" s="344"/>
      <c r="D184" s="344"/>
      <c r="E184" s="344"/>
    </row>
    <row r="185" spans="2:5" ht="20" customHeight="1">
      <c r="B185" s="8" t="s">
        <v>735</v>
      </c>
      <c r="C185" s="8" t="s">
        <v>554</v>
      </c>
      <c r="D185" s="20" t="s">
        <v>555</v>
      </c>
      <c r="E185" s="8" t="s">
        <v>222</v>
      </c>
    </row>
    <row r="186" spans="2:5" ht="20" customHeight="1">
      <c r="B186" s="21" t="s">
        <v>2286</v>
      </c>
      <c r="C186" s="22" t="str">
        <f>CONCATENATE(sample_mgmt_vc_hostname,".",sample_child_dns_zone)</f>
        <v>sfo-m01-vc01.sfo.rainpole.io</v>
      </c>
      <c r="D186" s="18" t="str">
        <f>mgmt_vc_fqdn</f>
        <v>Value Missing.Value Missing</v>
      </c>
      <c r="E186" s="53"/>
    </row>
    <row r="187" spans="2:5" ht="20" customHeight="1">
      <c r="B187" s="21" t="s">
        <v>841</v>
      </c>
      <c r="C187" s="22" t="str">
        <f>sample_mgmt_datacenter</f>
        <v>sfo-m01-dc01</v>
      </c>
      <c r="D187" s="18" t="str">
        <f>mgmt_datacenter</f>
        <v>Value Missing</v>
      </c>
      <c r="E187" s="53"/>
    </row>
    <row r="188" spans="2:5" ht="20" customHeight="1">
      <c r="B188" s="26" t="s">
        <v>843</v>
      </c>
      <c r="C188" s="22" t="str">
        <f>sample_mgmt_cl01_cluster</f>
        <v>sfo-m01-cl01</v>
      </c>
      <c r="D188" s="18" t="str">
        <f>mgmt_cl01_cluster</f>
        <v>Value Missing</v>
      </c>
      <c r="E188" s="53"/>
    </row>
    <row r="189" spans="2:5" ht="20" customHeight="1">
      <c r="B189" s="26" t="s">
        <v>735</v>
      </c>
      <c r="C189" s="22" t="str">
        <f>xreg_vrops_vm_group_name</f>
        <v>xint-vm-group-operations</v>
      </c>
      <c r="D189" s="18" t="str">
        <f>xreg_vrops_vm_group_name</f>
        <v>xint-vm-group-operations</v>
      </c>
      <c r="E189" s="18"/>
    </row>
    <row r="190" spans="2:5" ht="20" customHeight="1">
      <c r="B190" s="26" t="s">
        <v>2410</v>
      </c>
      <c r="C190" s="22" t="str">
        <f>sample_xreg_vrops_nodea_hostname</f>
        <v>xint-ops01a</v>
      </c>
      <c r="D190" s="18" t="str">
        <f>xreg_vrops_nodea_hostname</f>
        <v>Value Missing</v>
      </c>
      <c r="E190" s="53"/>
    </row>
    <row r="191" spans="2:5" ht="20" customHeight="1">
      <c r="B191" s="21" t="s">
        <v>2410</v>
      </c>
      <c r="C191" s="22" t="str">
        <f>sample_xreg_vrops_nodeb_hostname</f>
        <v>xint-ops01b</v>
      </c>
      <c r="D191" s="18" t="str">
        <f>xreg_vrops_nodeb_hostname</f>
        <v>Value Missing</v>
      </c>
      <c r="E191" s="53"/>
    </row>
    <row r="192" spans="2:5" ht="20" customHeight="1">
      <c r="B192" s="21" t="s">
        <v>2410</v>
      </c>
      <c r="C192" s="22" t="str">
        <f>sample_xreg_vrops_nodec_hostname</f>
        <v>xint-ops01c</v>
      </c>
      <c r="D192" s="18" t="str">
        <f>xreg_vrops_nodec_hostname</f>
        <v>Value Missing</v>
      </c>
      <c r="E192" s="53"/>
    </row>
    <row r="193" spans="2:5" ht="20" customHeight="1">
      <c r="B193" s="21" t="s">
        <v>735</v>
      </c>
      <c r="C193" s="22" t="s">
        <v>4612</v>
      </c>
      <c r="D193" s="18" t="str">
        <f>xreg_wsa_vrops_vm_to_vm_rule_name</f>
        <v>vm-vm-rule-idm-operations</v>
      </c>
      <c r="E193" s="18"/>
    </row>
    <row r="194" spans="2:5" ht="20" customHeight="1">
      <c r="B194" s="26" t="s">
        <v>2411</v>
      </c>
      <c r="C194" s="22" t="str">
        <f>xreg_wsa_vm_group_name</f>
        <v>xint-vm-group-idm</v>
      </c>
      <c r="D194" s="18" t="str">
        <f>xreg_wsa_vm_group_name</f>
        <v>xint-vm-group-idm</v>
      </c>
      <c r="E194" s="18"/>
    </row>
    <row r="195" spans="2:5" ht="20" customHeight="1">
      <c r="B195" s="26" t="s">
        <v>2412</v>
      </c>
      <c r="C195" s="22" t="str">
        <f>xreg_vrops_vm_group_name</f>
        <v>xint-vm-group-operations</v>
      </c>
      <c r="D195" s="18" t="str">
        <f>xreg_vrops_vm_group_name</f>
        <v>xint-vm-group-operations</v>
      </c>
      <c r="E195" s="18"/>
    </row>
    <row r="196" spans="2:5" ht="16" customHeight="1"/>
    <row r="197" spans="2:5" ht="34" customHeight="1">
      <c r="B197" s="344" t="s">
        <v>3228</v>
      </c>
      <c r="C197" s="344"/>
      <c r="D197" s="344"/>
      <c r="E197" s="344"/>
    </row>
    <row r="198" spans="2:5" ht="20" customHeight="1">
      <c r="B198" s="8" t="s">
        <v>735</v>
      </c>
      <c r="C198" s="8" t="s">
        <v>554</v>
      </c>
      <c r="D198" s="20" t="s">
        <v>555</v>
      </c>
      <c r="E198" s="8" t="s">
        <v>222</v>
      </c>
    </row>
    <row r="199" spans="2:5" ht="20" customHeight="1">
      <c r="B199" s="21" t="s">
        <v>2286</v>
      </c>
      <c r="C199" s="22" t="str">
        <f>CONCATENATE(sample_mgmt_vc_hostname,".",sample_child_dns_zone)</f>
        <v>sfo-m01-vc01.sfo.rainpole.io</v>
      </c>
      <c r="D199" s="18" t="str">
        <f>mgmt_vc_fqdn</f>
        <v>Value Missing.Value Missing</v>
      </c>
      <c r="E199" s="53"/>
    </row>
    <row r="200" spans="2:5" ht="20" customHeight="1">
      <c r="B200" s="21" t="s">
        <v>841</v>
      </c>
      <c r="C200" s="22" t="str">
        <f>sample_mgmt_datacenter</f>
        <v>sfo-m01-dc01</v>
      </c>
      <c r="D200" s="18" t="str">
        <f>mgmt_datacenter</f>
        <v>Value Missing</v>
      </c>
      <c r="E200" s="53"/>
    </row>
    <row r="201" spans="2:5" ht="20" customHeight="1">
      <c r="B201" s="26" t="s">
        <v>843</v>
      </c>
      <c r="C201" s="22" t="str">
        <f>sample_mgmt_cl01_cluster</f>
        <v>sfo-m01-cl01</v>
      </c>
      <c r="D201" s="18" t="str">
        <f>mgmt_cl01_cluster</f>
        <v>Value Missing</v>
      </c>
      <c r="E201" s="53"/>
    </row>
    <row r="202" spans="2:5" ht="20" customHeight="1">
      <c r="B202" s="26" t="s">
        <v>735</v>
      </c>
      <c r="C202" s="22" t="str">
        <f>CONCATENATE(sample_mgmt_sddc_domain,"-vm-group-ops-proxies")</f>
        <v>sfo-m01-vm-group-ops-proxies</v>
      </c>
      <c r="D202" s="18" t="str">
        <f>region_vropsrc_vm_group_name</f>
        <v>Value Missing-vm-group-operations-proxies</v>
      </c>
      <c r="E202" s="18"/>
    </row>
    <row r="203" spans="2:5" ht="20" customHeight="1">
      <c r="B203" s="26" t="s">
        <v>2410</v>
      </c>
      <c r="C203" s="22" t="str">
        <f>sample_region_vropsca_hostname</f>
        <v>sfo-ops-pxy01a</v>
      </c>
      <c r="D203" s="18" t="str">
        <f>region_vropsca_hostname</f>
        <v>Value Missing</v>
      </c>
      <c r="E203" s="53"/>
    </row>
    <row r="204" spans="2:5" ht="20" customHeight="1">
      <c r="B204" s="21" t="s">
        <v>2410</v>
      </c>
      <c r="C204" s="22" t="str">
        <f>sample_region_vropscb_hostname</f>
        <v>sfo-ops-pxy01b</v>
      </c>
      <c r="D204" s="18" t="str">
        <f>region_vropscb_hostname</f>
        <v>Value Missing</v>
      </c>
      <c r="E204" s="53"/>
    </row>
    <row r="205" spans="2:5" ht="20" customHeight="1">
      <c r="B205" s="21" t="s">
        <v>735</v>
      </c>
      <c r="C205" s="22" t="s">
        <v>3584</v>
      </c>
      <c r="D205" s="18" t="str">
        <f>xreg_vrops_vm_to_vm_rule_name</f>
        <v>vm-vm-rule-operations-proxies</v>
      </c>
      <c r="E205" s="18"/>
    </row>
    <row r="206" spans="2:5" ht="20" customHeight="1">
      <c r="B206" s="26" t="s">
        <v>2411</v>
      </c>
      <c r="C206" s="22" t="str">
        <f>xreg_vrops_vm_group_name</f>
        <v>xint-vm-group-operations</v>
      </c>
      <c r="D206" s="18" t="str">
        <f>xreg_vrops_vm_group_name</f>
        <v>xint-vm-group-operations</v>
      </c>
      <c r="E206" s="18"/>
    </row>
    <row r="207" spans="2:5" ht="20" customHeight="1">
      <c r="B207" s="26" t="s">
        <v>2412</v>
      </c>
      <c r="C207" s="22" t="str">
        <f>C202</f>
        <v>sfo-m01-vm-group-ops-proxies</v>
      </c>
      <c r="D207" s="18" t="str">
        <f>region_vropsrc_vm_group_name</f>
        <v>Value Missing-vm-group-operations-proxies</v>
      </c>
      <c r="E207" s="18"/>
    </row>
    <row r="208" spans="2:5" ht="16" customHeight="1"/>
    <row r="209" spans="2:5" ht="34" customHeight="1">
      <c r="B209" s="344" t="s">
        <v>3602</v>
      </c>
      <c r="C209" s="344"/>
      <c r="D209" s="344"/>
      <c r="E209" s="344"/>
    </row>
    <row r="210" spans="2:5" ht="20" customHeight="1">
      <c r="B210" s="8" t="s">
        <v>735</v>
      </c>
      <c r="C210" s="8" t="s">
        <v>554</v>
      </c>
      <c r="D210" s="20" t="s">
        <v>555</v>
      </c>
      <c r="E210" s="8" t="s">
        <v>222</v>
      </c>
    </row>
    <row r="211" spans="2:5" ht="20" customHeight="1">
      <c r="B211" s="21" t="s">
        <v>2286</v>
      </c>
      <c r="C211" s="22" t="str">
        <f>CONCATENATE(sample_mgmt_vc_hostname,".",sample_child_dns_zone)</f>
        <v>sfo-m01-vc01.sfo.rainpole.io</v>
      </c>
      <c r="D211" s="18" t="str">
        <f>mgmt_vc_fqdn</f>
        <v>Value Missing.Value Missing</v>
      </c>
      <c r="E211" s="53"/>
    </row>
    <row r="212" spans="2:5" ht="20" customHeight="1">
      <c r="B212" s="21" t="s">
        <v>841</v>
      </c>
      <c r="C212" s="22" t="str">
        <f>sample_mgmt_datacenter</f>
        <v>sfo-m01-dc01</v>
      </c>
      <c r="D212" s="18" t="str">
        <f>mgmt_datacenter</f>
        <v>Value Missing</v>
      </c>
      <c r="E212" s="53"/>
    </row>
    <row r="213" spans="2:5" ht="20" customHeight="1">
      <c r="B213" s="26" t="s">
        <v>843</v>
      </c>
      <c r="C213" s="22" t="str">
        <f>sample_mgmt_cl01_cluster</f>
        <v>sfo-m01-cl01</v>
      </c>
      <c r="D213" s="18" t="str">
        <f>mgmt_cl01_cluster</f>
        <v>Value Missing</v>
      </c>
      <c r="E213" s="53"/>
    </row>
    <row r="214" spans="2:5" ht="20" customHeight="1">
      <c r="B214" s="21" t="s">
        <v>2559</v>
      </c>
      <c r="C214" s="22" t="str">
        <f>CONCATENATE(sample_mgmt_cl01_cluster,"_primary-az-vmgroup")</f>
        <v>sfo-m01-cl01_primary-az-vmgroup</v>
      </c>
      <c r="D214" s="18" t="str">
        <f>mgmt_az1_vm_group_name</f>
        <v>Value Missing</v>
      </c>
      <c r="E214" s="71"/>
    </row>
    <row r="215" spans="2:5" ht="20" customHeight="1">
      <c r="B215" s="26" t="s">
        <v>2410</v>
      </c>
      <c r="C215" s="22" t="str">
        <f>sample_xreg_vrops_nodea_hostname</f>
        <v>xint-ops01a</v>
      </c>
      <c r="D215" s="18" t="str">
        <f>xreg_vrops_nodea_hostname</f>
        <v>Value Missing</v>
      </c>
      <c r="E215" s="53"/>
    </row>
    <row r="216" spans="2:5" ht="20" customHeight="1">
      <c r="B216" s="21" t="s">
        <v>2410</v>
      </c>
      <c r="C216" s="22" t="str">
        <f>sample_xreg_vrops_nodeb_hostname</f>
        <v>xint-ops01b</v>
      </c>
      <c r="D216" s="18" t="str">
        <f>xreg_vrops_nodeb_hostname</f>
        <v>Value Missing</v>
      </c>
      <c r="E216" s="53"/>
    </row>
    <row r="217" spans="2:5" ht="20" customHeight="1">
      <c r="B217" s="21" t="s">
        <v>2410</v>
      </c>
      <c r="C217" s="22" t="str">
        <f>sample_xreg_vrops_nodec_hostname</f>
        <v>xint-ops01c</v>
      </c>
      <c r="D217" s="18" t="str">
        <f>xreg_vrops_nodec_hostname</f>
        <v>Value Missing</v>
      </c>
      <c r="E217" s="53"/>
    </row>
    <row r="218" spans="2:5" ht="20" customHeight="1">
      <c r="B218" s="26" t="s">
        <v>2410</v>
      </c>
      <c r="C218" s="22" t="str">
        <f>sample_region_vropsca_hostname</f>
        <v>sfo-ops-pxy01a</v>
      </c>
      <c r="D218" s="18" t="str">
        <f>region_vropsca_hostname</f>
        <v>Value Missing</v>
      </c>
      <c r="E218" s="53"/>
    </row>
    <row r="219" spans="2:5" ht="20" customHeight="1">
      <c r="B219" s="21" t="s">
        <v>2410</v>
      </c>
      <c r="C219" s="22" t="str">
        <f>sample_region_vropscb_hostname</f>
        <v>sfo-ops-pxy01b</v>
      </c>
      <c r="D219" s="18" t="str">
        <f>region_vropscb_hostname</f>
        <v>Value Missing</v>
      </c>
      <c r="E219" s="53"/>
    </row>
    <row r="220" spans="2:5" ht="16" customHeight="1"/>
    <row r="221" spans="2:5" ht="34" customHeight="1">
      <c r="B221" s="344" t="s">
        <v>3603</v>
      </c>
      <c r="C221" s="344"/>
      <c r="D221" s="344"/>
      <c r="E221" s="344"/>
    </row>
    <row r="222" spans="2:5" ht="20" customHeight="1">
      <c r="B222" s="8" t="s">
        <v>735</v>
      </c>
      <c r="C222" s="8" t="s">
        <v>554</v>
      </c>
      <c r="D222" s="20" t="s">
        <v>555</v>
      </c>
      <c r="E222" s="8" t="s">
        <v>222</v>
      </c>
    </row>
    <row r="223" spans="2:5" ht="20" customHeight="1">
      <c r="B223" s="21" t="s">
        <v>3369</v>
      </c>
      <c r="C223" s="22" t="str">
        <f>CONCATENATE(sample_xreg_vrops_virtual_hostname,".",sample_parent_dns_zone)</f>
        <v>xint-ops01.rainpole.io</v>
      </c>
      <c r="D223" s="18" t="str">
        <f>xreg_vrops_virtual_fqdn</f>
        <v>Value Missing.Value Missing</v>
      </c>
      <c r="E223" s="53"/>
    </row>
    <row r="224" spans="2:5" ht="20" customHeight="1">
      <c r="B224" s="21" t="s">
        <v>735</v>
      </c>
      <c r="C224" s="22" t="str">
        <f>CONCATENATE(sample_mgmt_sddc_domain,"-collector-group")</f>
        <v>sfo-m01-collector-group</v>
      </c>
      <c r="D224" s="18" t="str">
        <f>region_vrops_collector_group_name</f>
        <v>Value Missing</v>
      </c>
      <c r="E224" s="18"/>
    </row>
    <row r="225" spans="2:5" ht="20" customHeight="1">
      <c r="B225" s="21" t="s">
        <v>2410</v>
      </c>
      <c r="C225" s="22" t="str">
        <f>sample_region_vropsca_hostname</f>
        <v>sfo-ops-pxy01a</v>
      </c>
      <c r="D225" s="18" t="str">
        <f>region_vropsca_hostname</f>
        <v>Value Missing</v>
      </c>
      <c r="E225" s="53" t="s">
        <v>4916</v>
      </c>
    </row>
    <row r="226" spans="2:5" ht="20" customHeight="1">
      <c r="B226" s="21" t="s">
        <v>2410</v>
      </c>
      <c r="C226" s="22" t="str">
        <f>sample_region_vropscb_hostname</f>
        <v>sfo-ops-pxy01b</v>
      </c>
      <c r="D226" s="18" t="str">
        <f>region_vropscb_hostname</f>
        <v>Value Missing</v>
      </c>
      <c r="E226" s="53" t="s">
        <v>4916</v>
      </c>
    </row>
    <row r="227" spans="2:5" ht="16" customHeight="1"/>
    <row r="228" spans="2:5" ht="34" customHeight="1">
      <c r="B228" s="344" t="s">
        <v>3229</v>
      </c>
      <c r="C228" s="344"/>
      <c r="D228" s="344"/>
      <c r="E228" s="344"/>
    </row>
    <row r="229" spans="2:5" ht="20" customHeight="1">
      <c r="B229" s="8" t="s">
        <v>735</v>
      </c>
      <c r="C229" s="8" t="s">
        <v>554</v>
      </c>
      <c r="D229" s="20" t="s">
        <v>555</v>
      </c>
      <c r="E229" s="8" t="s">
        <v>222</v>
      </c>
    </row>
    <row r="230" spans="2:5" ht="20" customHeight="1">
      <c r="B230" s="21" t="s">
        <v>2414</v>
      </c>
      <c r="C230" s="22" t="str">
        <f>CONCATENATE(sample_xreg_wsa_virtual_hostname,".",sample_parent_dns_zone)</f>
        <v>xint-idm01.rainpole.io</v>
      </c>
      <c r="D230" s="18" t="str">
        <f>xreg_wsa_virtual_fqdn</f>
        <v>Value Missing.Value Missing</v>
      </c>
      <c r="E230" s="53"/>
    </row>
    <row r="231" spans="2:5" ht="20" customHeight="1">
      <c r="B231" s="21" t="s">
        <v>2560</v>
      </c>
      <c r="C231" s="22" t="str">
        <f>sample_gg_vrops_admins_group</f>
        <v>gg-ops-admins</v>
      </c>
      <c r="D231" s="18" t="str">
        <f>group_gg_vrops_admins</f>
        <v>Value Missing</v>
      </c>
      <c r="E231" s="53"/>
    </row>
    <row r="232" spans="2:5" ht="20" customHeight="1">
      <c r="B232" s="21" t="s">
        <v>2561</v>
      </c>
      <c r="C232" s="22" t="str">
        <f>sample_gg_vrops_content_admins_group</f>
        <v>gg-ops-content-admins</v>
      </c>
      <c r="D232" s="18" t="str">
        <f>group_gg_vrops_content_admins</f>
        <v>Value Missing</v>
      </c>
      <c r="E232" s="53"/>
    </row>
    <row r="233" spans="2:5" ht="20" customHeight="1">
      <c r="B233" s="21" t="s">
        <v>2562</v>
      </c>
      <c r="C233" s="22" t="str">
        <f>sample_gg_vrops_read_only_group</f>
        <v>gg-ops-read-only</v>
      </c>
      <c r="D233" s="18" t="str">
        <f>group_gg_vrops_read_only</f>
        <v>Value Missing</v>
      </c>
      <c r="E233" s="53"/>
    </row>
    <row r="234" spans="2:5" ht="16" customHeight="1"/>
    <row r="235" spans="2:5" ht="34" customHeight="1">
      <c r="B235" s="561" t="s">
        <v>3230</v>
      </c>
      <c r="C235" s="561"/>
      <c r="D235" s="561"/>
      <c r="E235" s="561"/>
    </row>
    <row r="236" spans="2:5" ht="20" customHeight="1">
      <c r="B236" s="8" t="s">
        <v>735</v>
      </c>
      <c r="C236" s="8" t="s">
        <v>554</v>
      </c>
      <c r="D236" s="20" t="s">
        <v>555</v>
      </c>
      <c r="E236" s="8" t="s">
        <v>222</v>
      </c>
    </row>
    <row r="237" spans="2:5" ht="20" customHeight="1">
      <c r="B237" s="21" t="s">
        <v>3369</v>
      </c>
      <c r="C237" s="22" t="str">
        <f>CONCATENATE(sample_xreg_vrops_virtual_hostname,".",sample_parent_dns_zone)</f>
        <v>xint-ops01.rainpole.io</v>
      </c>
      <c r="D237" s="18" t="str">
        <f>xreg_vrops_virtual_fqdn</f>
        <v>Value Missing.Value Missing</v>
      </c>
      <c r="E237" s="53"/>
    </row>
    <row r="238" spans="2:5" ht="20" customHeight="1">
      <c r="B238" s="21" t="s">
        <v>905</v>
      </c>
      <c r="C238" s="22" t="str">
        <f>sample_region_ad_child_fqdn</f>
        <v>sfo.rainpole.io</v>
      </c>
      <c r="D238" s="18" t="str">
        <f>region_ad_parent_fqdn</f>
        <v>Value Missing</v>
      </c>
      <c r="E238" s="53"/>
    </row>
    <row r="239" spans="2:5" ht="20" customHeight="1">
      <c r="B239" s="21" t="s">
        <v>2560</v>
      </c>
      <c r="C239" s="22" t="str">
        <f>sample_gg_vrops_admins_group</f>
        <v>gg-ops-admins</v>
      </c>
      <c r="D239" s="18" t="str">
        <f>group_gg_vrops_admins</f>
        <v>Value Missing</v>
      </c>
      <c r="E239" s="53"/>
    </row>
    <row r="240" spans="2:5" ht="20" customHeight="1">
      <c r="B240" s="21" t="s">
        <v>2561</v>
      </c>
      <c r="C240" s="22" t="str">
        <f>sample_gg_vrops_content_admins_group</f>
        <v>gg-ops-content-admins</v>
      </c>
      <c r="D240" s="18" t="str">
        <f>group_gg_vrops_content_admins</f>
        <v>Value Missing</v>
      </c>
      <c r="E240" s="53"/>
    </row>
    <row r="241" spans="2:5" ht="20" customHeight="1">
      <c r="B241" s="21" t="s">
        <v>2562</v>
      </c>
      <c r="C241" s="22" t="str">
        <f>sample_gg_vrops_read_only_group</f>
        <v>gg-ops-read-only</v>
      </c>
      <c r="D241" s="18" t="str">
        <f>group_gg_vrops_read_only</f>
        <v>Value Missing</v>
      </c>
      <c r="E241" s="53"/>
    </row>
    <row r="242" spans="2:5" ht="16" customHeight="1"/>
    <row r="243" spans="2:5" ht="34" customHeight="1">
      <c r="B243" s="344" t="s">
        <v>3231</v>
      </c>
      <c r="C243" s="344"/>
      <c r="D243" s="344"/>
      <c r="E243" s="344"/>
    </row>
    <row r="244" spans="2:5" ht="20" customHeight="1">
      <c r="B244" s="8" t="s">
        <v>735</v>
      </c>
      <c r="C244" s="8" t="s">
        <v>554</v>
      </c>
      <c r="D244" s="20" t="s">
        <v>555</v>
      </c>
      <c r="E244" s="8" t="s">
        <v>222</v>
      </c>
    </row>
    <row r="245" spans="2:5" ht="20" customHeight="1">
      <c r="B245" s="21" t="s">
        <v>3369</v>
      </c>
      <c r="C245" s="22" t="str">
        <f>CONCATENATE(sample_xreg_vrops_virtual_hostname,".",sample_parent_dns_zone)</f>
        <v>xint-ops01.rainpole.io</v>
      </c>
      <c r="D245" s="18" t="str">
        <f>xreg_vrops_virtual_fqdn</f>
        <v>Value Missing.Value Missing</v>
      </c>
      <c r="E245" s="53"/>
    </row>
    <row r="246" spans="2:5" ht="20" customHeight="1">
      <c r="B246" s="21" t="s">
        <v>1035</v>
      </c>
      <c r="C246" s="22" t="str">
        <f>sample_xreg_vrops_currency</f>
        <v>EUR</v>
      </c>
      <c r="D246" s="18" t="str">
        <f>xreg_vrops_currency</f>
        <v>Value Missing</v>
      </c>
      <c r="E246" s="53"/>
    </row>
    <row r="247" spans="2:5" ht="16" customHeight="1"/>
    <row r="248" spans="2:5" ht="34" customHeight="1">
      <c r="B248" s="344" t="s">
        <v>3232</v>
      </c>
      <c r="C248" s="344"/>
      <c r="D248" s="344"/>
      <c r="E248" s="344"/>
    </row>
    <row r="249" spans="2:5" ht="20" customHeight="1">
      <c r="B249" s="8" t="s">
        <v>735</v>
      </c>
      <c r="C249" s="8" t="s">
        <v>554</v>
      </c>
      <c r="D249" s="20" t="s">
        <v>555</v>
      </c>
      <c r="E249" s="8" t="s">
        <v>222</v>
      </c>
    </row>
    <row r="250" spans="2:5" ht="20" customHeight="1">
      <c r="B250" s="21" t="s">
        <v>3369</v>
      </c>
      <c r="C250" s="22" t="str">
        <f>CONCATENATE(sample_xreg_vrops_virtual_hostname,".",sample_parent_dns_zone)</f>
        <v>xint-ops01.rainpole.io</v>
      </c>
      <c r="D250" s="18" t="str">
        <f>xreg_vrops_virtual_fqdn</f>
        <v>Value Missing.Value Missing</v>
      </c>
      <c r="E250" s="53"/>
    </row>
    <row r="251" spans="2:5" ht="20" customHeight="1">
      <c r="B251" s="21" t="s">
        <v>2563</v>
      </c>
      <c r="C251" s="22" t="str">
        <f>sample_smtp_server</f>
        <v>smtp.rainpole.io</v>
      </c>
      <c r="D251" s="18" t="str">
        <f>smtp_server</f>
        <v>Value Missing</v>
      </c>
      <c r="E251" s="53"/>
    </row>
    <row r="252" spans="2:5" ht="20" customHeight="1">
      <c r="B252" s="21" t="s">
        <v>2564</v>
      </c>
      <c r="C252" s="22" t="str">
        <f>sample_smtp_server</f>
        <v>smtp.rainpole.io</v>
      </c>
      <c r="D252" s="18" t="str">
        <f>smtp_server</f>
        <v>Value Missing</v>
      </c>
      <c r="E252" s="53"/>
    </row>
    <row r="253" spans="2:5" ht="20" customHeight="1">
      <c r="B253" s="21" t="s">
        <v>2565</v>
      </c>
      <c r="C253" s="22">
        <f>sample_smtp_server_port</f>
        <v>25</v>
      </c>
      <c r="D253" s="18" t="str">
        <f>smtp_server_port</f>
        <v>Value Missing</v>
      </c>
      <c r="E253" s="53"/>
    </row>
    <row r="254" spans="2:5" ht="20" customHeight="1">
      <c r="B254" s="26" t="s">
        <v>1080</v>
      </c>
      <c r="C254" s="22" t="str">
        <f>sample_xreg_vrops_smtp_sender_email_address</f>
        <v>aria-operations-no-reply@rainpole.io</v>
      </c>
      <c r="D254" s="18" t="str">
        <f>xreg_vrops_smtp_sender_email_address</f>
        <v>Value Missing</v>
      </c>
      <c r="E254" s="53"/>
    </row>
    <row r="255" spans="2:5" ht="20" customHeight="1">
      <c r="B255" s="26" t="s">
        <v>1081</v>
      </c>
      <c r="C255" s="22" t="str">
        <f>sample_xreg_vrops_smtp_sender_name</f>
        <v>aria-operations-no-reply</v>
      </c>
      <c r="D255" s="18" t="str">
        <f>xreg_vrops_smtp_sender_name</f>
        <v>Value Missing</v>
      </c>
      <c r="E255" s="53"/>
    </row>
    <row r="256" spans="2:5" ht="20" customHeight="1">
      <c r="B256" s="21" t="s">
        <v>4618</v>
      </c>
      <c r="C256" s="22" t="str">
        <f>sample_smtp_sender_username</f>
        <v>administrator@rainpole.io</v>
      </c>
      <c r="D256" s="18" t="str">
        <f>smtp_sender_username</f>
        <v>Value Missing</v>
      </c>
      <c r="E256" s="53"/>
    </row>
    <row r="257" spans="1:19" ht="20" customHeight="1">
      <c r="B257" s="21" t="s">
        <v>4619</v>
      </c>
      <c r="C257" s="22" t="str">
        <f>sample_smtp_sender_password</f>
        <v>VMw@re1!</v>
      </c>
      <c r="D257" s="18" t="str">
        <f>smtp_sender_password</f>
        <v>Value Missing</v>
      </c>
      <c r="E257" s="53"/>
    </row>
    <row r="258" spans="1:19" ht="20" customHeight="1">
      <c r="B258" s="21" t="s">
        <v>1082</v>
      </c>
      <c r="C258" s="22" t="str">
        <f>sample_xreg_vrops_smtp_receiver_email_address</f>
        <v>administrator@rainpole.io</v>
      </c>
      <c r="D258" s="18" t="str">
        <f>xreg_vrops_smtp_receiver_email_address</f>
        <v>Value Missing</v>
      </c>
      <c r="E258" s="53"/>
    </row>
    <row r="259" spans="1:19" ht="16" customHeight="1"/>
    <row r="260" spans="1:19" ht="34" customHeight="1">
      <c r="B260" s="344" t="s">
        <v>3233</v>
      </c>
      <c r="C260" s="344"/>
      <c r="D260" s="344"/>
      <c r="E260" s="344"/>
    </row>
    <row r="261" spans="1:19" ht="20" customHeight="1">
      <c r="B261" s="8" t="s">
        <v>735</v>
      </c>
      <c r="C261" s="8" t="s">
        <v>554</v>
      </c>
      <c r="D261" s="20" t="s">
        <v>555</v>
      </c>
      <c r="E261" s="8" t="s">
        <v>222</v>
      </c>
    </row>
    <row r="262" spans="1:19" ht="20" customHeight="1">
      <c r="B262" s="26" t="s">
        <v>3369</v>
      </c>
      <c r="C262" s="22" t="str">
        <f>CONCATENATE(sample_xreg_vrops_virtual_hostname,".",sample_parent_dns_zone)</f>
        <v>xint-ops01.rainpole.io</v>
      </c>
      <c r="D262" s="18" t="str">
        <f>xreg_vrops_virtual_fqdn</f>
        <v>Value Missing.Value Missing</v>
      </c>
      <c r="E262" s="53"/>
    </row>
    <row r="263" spans="1:19" ht="20" customHeight="1">
      <c r="B263" s="21" t="s">
        <v>3120</v>
      </c>
      <c r="C263" s="22" t="str">
        <f>CONCATENATE("vRSLCM_VCF_VC Adapter Instance for ",sample_mgmt_sddc_domain,".",sample_child_dns_zone)</f>
        <v>vRSLCM_VCF_VC Adapter Instance for sfo-m01.sfo.rainpole.io</v>
      </c>
      <c r="D263" s="18" t="str">
        <f>iom_vaops_vcf_vc_adapter_name</f>
        <v>Value Missing</v>
      </c>
      <c r="E263" s="53"/>
    </row>
    <row r="264" spans="1:19" ht="20" customHeight="1">
      <c r="B264" s="21" t="s">
        <v>3121</v>
      </c>
      <c r="C264" s="22" t="str">
        <f>CONCATENATE("vRSLCM_VCF_VC Credential for ",sample_mgmt_sddc_domain,".",sample_child_dns_zone)</f>
        <v>vRSLCM_VCF_VC Credential for sfo-m01.sfo.rainpole.io</v>
      </c>
      <c r="D264" s="18" t="str">
        <f>iom_vaops_vcf_vc_credential_name</f>
        <v>Value Missing</v>
      </c>
      <c r="E264" s="53"/>
    </row>
    <row r="265" spans="1:19" ht="20" customHeight="1">
      <c r="B265" s="21" t="s">
        <v>3122</v>
      </c>
      <c r="C265" s="22" t="str">
        <f>CONCATENATE("vRSLCM_VCF_VSAN Credential for ",sample_mgmt_sddc_domain,".",sample_child_dns_zone)</f>
        <v>vRSLCM_VCF_VSAN Credential for sfo-m01.sfo.rainpole.io</v>
      </c>
      <c r="D265" s="18" t="str">
        <f>iom_vaops_vcf_vsan_credential_name</f>
        <v>Value Missing</v>
      </c>
      <c r="E265" s="53"/>
    </row>
    <row r="266" spans="1:19" ht="16" customHeight="1"/>
    <row r="267" spans="1:19" ht="34" customHeight="1">
      <c r="A267" s="103"/>
      <c r="B267" s="557" t="s">
        <v>3234</v>
      </c>
      <c r="C267" s="557"/>
      <c r="D267" s="557"/>
      <c r="E267" s="557"/>
      <c r="F267" s="103"/>
      <c r="G267" s="103"/>
      <c r="H267" s="103"/>
      <c r="I267" s="103"/>
      <c r="J267" s="103"/>
      <c r="K267" s="103"/>
      <c r="L267" s="103"/>
      <c r="M267" s="103"/>
      <c r="N267" s="103"/>
      <c r="O267" s="103"/>
      <c r="P267" s="103"/>
      <c r="Q267" s="103"/>
      <c r="R267" s="103"/>
      <c r="S267" s="103"/>
    </row>
    <row r="268" spans="1:19" ht="20" customHeight="1">
      <c r="A268" s="103"/>
      <c r="B268" s="112" t="s">
        <v>735</v>
      </c>
      <c r="C268" s="112" t="s">
        <v>554</v>
      </c>
      <c r="D268" s="113" t="s">
        <v>555</v>
      </c>
      <c r="E268" s="112" t="s">
        <v>222</v>
      </c>
      <c r="F268" s="103"/>
      <c r="G268" s="103"/>
      <c r="H268" s="103"/>
      <c r="I268" s="103"/>
      <c r="J268" s="103"/>
      <c r="K268" s="103"/>
      <c r="L268" s="103"/>
      <c r="M268" s="103"/>
      <c r="N268" s="103"/>
      <c r="O268" s="103"/>
      <c r="P268" s="103"/>
      <c r="Q268" s="103"/>
      <c r="R268" s="103"/>
      <c r="S268" s="103"/>
    </row>
    <row r="269" spans="1:19" ht="20" customHeight="1">
      <c r="A269" s="103"/>
      <c r="B269" s="114" t="s">
        <v>3369</v>
      </c>
      <c r="C269" s="115" t="str">
        <f>CONCATENATE(sample_xreg_vrops_virtual_hostname,".",sample_parent_dns_zone)</f>
        <v>xint-ops01.rainpole.io</v>
      </c>
      <c r="D269" s="12" t="str">
        <f>xreg_vrops_virtual_fqdn</f>
        <v>Value Missing.Value Missing</v>
      </c>
      <c r="E269" s="116"/>
      <c r="F269" s="103"/>
      <c r="G269" s="103"/>
      <c r="H269" s="103"/>
      <c r="I269" s="103"/>
      <c r="J269" s="103"/>
      <c r="K269" s="103"/>
      <c r="L269" s="103"/>
      <c r="M269" s="103"/>
      <c r="N269" s="103"/>
      <c r="O269" s="103"/>
      <c r="P269" s="103"/>
      <c r="Q269" s="103"/>
      <c r="R269" s="103"/>
      <c r="S269" s="103"/>
    </row>
    <row r="270" spans="1:19" ht="20" customHeight="1">
      <c r="A270" s="103"/>
      <c r="B270" s="558" t="s">
        <v>2566</v>
      </c>
      <c r="C270" s="559"/>
      <c r="D270" s="559"/>
      <c r="E270" s="560"/>
      <c r="F270" s="103"/>
      <c r="G270" s="103"/>
      <c r="H270" s="103"/>
      <c r="I270" s="103"/>
      <c r="J270" s="103"/>
      <c r="K270" s="103"/>
      <c r="L270" s="103"/>
      <c r="M270" s="103"/>
      <c r="N270" s="103"/>
      <c r="O270" s="103"/>
      <c r="P270" s="103"/>
      <c r="Q270" s="103"/>
      <c r="R270" s="103"/>
      <c r="S270" s="103"/>
    </row>
    <row r="271" spans="1:19" ht="20" customHeight="1">
      <c r="A271" s="103"/>
      <c r="B271" s="117" t="s">
        <v>2567</v>
      </c>
      <c r="C271" s="115" t="s">
        <v>7</v>
      </c>
      <c r="D271" s="12" t="str">
        <f>C271</f>
        <v>VMware Cloud Foundation</v>
      </c>
      <c r="E271" s="116"/>
      <c r="F271" s="103"/>
      <c r="G271" s="103"/>
      <c r="H271" s="103"/>
      <c r="I271" s="103"/>
      <c r="J271" s="103"/>
      <c r="K271" s="103"/>
      <c r="L271" s="103"/>
      <c r="M271" s="103"/>
      <c r="N271" s="103"/>
      <c r="O271" s="103"/>
      <c r="P271" s="103"/>
      <c r="Q271" s="103"/>
      <c r="R271" s="103"/>
      <c r="S271" s="103"/>
    </row>
    <row r="272" spans="1:19" ht="20" customHeight="1">
      <c r="A272" s="103"/>
      <c r="B272" s="117" t="s">
        <v>2568</v>
      </c>
      <c r="C272" s="115" t="s">
        <v>2569</v>
      </c>
      <c r="D272" s="12" t="str">
        <f>C272</f>
        <v>VCF Client Credential</v>
      </c>
      <c r="E272" s="116"/>
      <c r="F272" s="103"/>
      <c r="G272" s="103"/>
      <c r="H272" s="103"/>
      <c r="I272" s="103"/>
      <c r="J272" s="103"/>
      <c r="K272" s="103"/>
      <c r="L272" s="103"/>
      <c r="M272" s="103"/>
      <c r="N272" s="103"/>
      <c r="O272" s="103"/>
      <c r="P272" s="103"/>
      <c r="Q272" s="103"/>
      <c r="R272" s="103"/>
      <c r="S272" s="103"/>
    </row>
    <row r="273" spans="1:19" ht="20" customHeight="1">
      <c r="A273" s="103"/>
      <c r="B273" s="117" t="s">
        <v>2445</v>
      </c>
      <c r="C273" s="115" t="str">
        <f>CONCATENATE("VCF Credential - ",sample_sddc_mgr_hostname)</f>
        <v>VCF Credential - sfo-vcf01</v>
      </c>
      <c r="D273" s="12" t="str">
        <f>CONCATENATE("VCF Credential - ",sddc_mgr_hostname)</f>
        <v>VCF Credential - Value Missing</v>
      </c>
      <c r="E273" s="116"/>
      <c r="F273" s="103"/>
      <c r="G273" s="103"/>
      <c r="H273" s="103"/>
      <c r="I273" s="103"/>
      <c r="J273" s="103"/>
      <c r="K273" s="103"/>
      <c r="L273" s="103"/>
      <c r="M273" s="103"/>
      <c r="N273" s="103"/>
      <c r="O273" s="103"/>
      <c r="P273" s="103"/>
      <c r="Q273" s="103"/>
      <c r="R273" s="103"/>
      <c r="S273" s="103"/>
    </row>
    <row r="274" spans="1:19" ht="20" customHeight="1">
      <c r="A274" s="103"/>
      <c r="B274" s="117" t="s">
        <v>1801</v>
      </c>
      <c r="C274" s="115" t="str">
        <f>CONCATENATE(sample_svc_iom_vcf_user,"@",sample_child_dns_zone)</f>
        <v>svc-ops-vcf@sfo.rainpole.io</v>
      </c>
      <c r="D274" s="12" t="str">
        <f>CONCATENATE(iom_vcf_svc_user,"@",child_dns_zone)</f>
        <v>Value Missing@Value Missing</v>
      </c>
      <c r="E274" s="116"/>
      <c r="F274" s="103"/>
      <c r="G274" s="103"/>
      <c r="H274" s="103"/>
      <c r="I274" s="103"/>
      <c r="J274" s="103"/>
      <c r="K274" s="103"/>
      <c r="L274" s="103"/>
      <c r="M274" s="103"/>
      <c r="N274" s="103"/>
      <c r="O274" s="103"/>
      <c r="P274" s="103"/>
      <c r="Q274" s="103"/>
      <c r="R274" s="103"/>
      <c r="S274" s="103"/>
    </row>
    <row r="275" spans="1:19" ht="20" customHeight="1">
      <c r="A275" s="103"/>
      <c r="B275" s="117" t="s">
        <v>1796</v>
      </c>
      <c r="C275" s="115" t="str">
        <f>sample_svc_iom_vcf_password</f>
        <v>VMw@re1!</v>
      </c>
      <c r="D275" s="12" t="str">
        <f>iom_vcf_svc_password</f>
        <v>Value Missing</v>
      </c>
      <c r="E275" s="116"/>
      <c r="F275" s="103"/>
      <c r="G275" s="103"/>
      <c r="H275" s="103"/>
      <c r="I275" s="103"/>
      <c r="J275" s="103"/>
      <c r="K275" s="103"/>
      <c r="L275" s="103"/>
      <c r="M275" s="103"/>
      <c r="N275" s="103"/>
      <c r="O275" s="103"/>
      <c r="P275" s="103"/>
      <c r="Q275" s="103"/>
      <c r="R275" s="103"/>
      <c r="S275" s="103"/>
    </row>
    <row r="276" spans="1:19" ht="20" customHeight="1">
      <c r="A276" s="103"/>
      <c r="B276" s="558" t="s">
        <v>36</v>
      </c>
      <c r="C276" s="559"/>
      <c r="D276" s="559"/>
      <c r="E276" s="560"/>
      <c r="F276" s="103"/>
      <c r="G276" s="103"/>
      <c r="H276" s="103"/>
      <c r="I276" s="103"/>
      <c r="J276" s="103"/>
      <c r="K276" s="103"/>
      <c r="L276" s="103"/>
      <c r="M276" s="103"/>
      <c r="N276" s="103"/>
      <c r="O276" s="103"/>
      <c r="P276" s="103"/>
      <c r="Q276" s="103"/>
      <c r="R276" s="103"/>
      <c r="S276" s="103"/>
    </row>
    <row r="277" spans="1:19" ht="20" customHeight="1">
      <c r="A277" s="103"/>
      <c r="B277" s="558" t="s">
        <v>2570</v>
      </c>
      <c r="C277" s="559"/>
      <c r="D277" s="559"/>
      <c r="E277" s="560"/>
      <c r="F277" s="103"/>
      <c r="G277" s="103"/>
      <c r="H277" s="103"/>
      <c r="I277" s="103"/>
      <c r="J277" s="103"/>
      <c r="K277" s="103"/>
      <c r="L277" s="103"/>
      <c r="M277" s="103"/>
      <c r="N277" s="103"/>
      <c r="O277" s="103"/>
      <c r="P277" s="103"/>
      <c r="Q277" s="103"/>
      <c r="R277" s="103"/>
      <c r="S277" s="103"/>
    </row>
    <row r="278" spans="1:19" ht="20" customHeight="1">
      <c r="A278" s="103"/>
      <c r="B278" s="117" t="s">
        <v>2567</v>
      </c>
      <c r="C278" s="115" t="s">
        <v>1802</v>
      </c>
      <c r="D278" s="12" t="str">
        <f>C278</f>
        <v>vCenter</v>
      </c>
      <c r="E278" s="116"/>
      <c r="F278" s="103"/>
      <c r="G278" s="103"/>
      <c r="H278" s="103"/>
      <c r="I278" s="103"/>
      <c r="J278" s="103"/>
      <c r="K278" s="103"/>
      <c r="L278" s="103"/>
      <c r="M278" s="103"/>
      <c r="N278" s="103"/>
      <c r="O278" s="103"/>
      <c r="P278" s="103"/>
      <c r="Q278" s="103"/>
      <c r="R278" s="103"/>
      <c r="S278" s="103"/>
    </row>
    <row r="279" spans="1:19" ht="20" customHeight="1">
      <c r="A279" s="103"/>
      <c r="B279" s="117" t="s">
        <v>2568</v>
      </c>
      <c r="C279" s="115" t="s">
        <v>2571</v>
      </c>
      <c r="D279" s="12" t="str">
        <f>C279</f>
        <v>Principal Credential</v>
      </c>
      <c r="E279" s="116"/>
      <c r="F279" s="103"/>
      <c r="G279" s="103"/>
      <c r="H279" s="103"/>
      <c r="I279" s="103"/>
      <c r="J279" s="103"/>
      <c r="K279" s="103"/>
      <c r="L279" s="103"/>
      <c r="M279" s="103"/>
      <c r="N279" s="103"/>
      <c r="O279" s="103"/>
      <c r="P279" s="103"/>
      <c r="Q279" s="103"/>
      <c r="R279" s="103"/>
      <c r="S279" s="103"/>
    </row>
    <row r="280" spans="1:19" ht="20" customHeight="1">
      <c r="A280" s="103"/>
      <c r="B280" s="117" t="s">
        <v>2445</v>
      </c>
      <c r="C280" s="115" t="str">
        <f>CONCATENATE("vCenter Credential - ",sample_mgmt_vc_hostname)</f>
        <v>vCenter Credential - sfo-m01-vc01</v>
      </c>
      <c r="D280" s="12" t="str">
        <f>CONCATENATE("vCenter Credential - ",mgmt_vc_hostname)</f>
        <v>vCenter Credential - Value Missing</v>
      </c>
      <c r="E280" s="116"/>
      <c r="F280" s="103"/>
      <c r="G280" s="103"/>
      <c r="H280" s="103"/>
      <c r="I280" s="103"/>
      <c r="J280" s="103"/>
      <c r="K280" s="103"/>
      <c r="L280" s="103"/>
      <c r="M280" s="103"/>
      <c r="N280" s="103"/>
      <c r="O280" s="103"/>
      <c r="P280" s="103"/>
      <c r="Q280" s="103"/>
      <c r="R280" s="103"/>
      <c r="S280" s="103"/>
    </row>
    <row r="281" spans="1:19" ht="20" customHeight="1">
      <c r="A281" s="103"/>
      <c r="B281" s="117" t="s">
        <v>1801</v>
      </c>
      <c r="C281" s="115" t="str">
        <f>CONCATENATE(sample_svc_iom_vsphere_user,"@",sample_child_dns_zone)</f>
        <v>svc-ops-vsphere@sfo.rainpole.io</v>
      </c>
      <c r="D281" s="12" t="str">
        <f>CONCATENATE(iom_vsphere_svc_user,"@",child_dns_zone)</f>
        <v>Value Missing@Value Missing</v>
      </c>
      <c r="E281" s="116"/>
      <c r="F281" s="103"/>
      <c r="G281" s="103"/>
      <c r="H281" s="103"/>
      <c r="I281" s="103"/>
      <c r="J281" s="103"/>
      <c r="K281" s="103"/>
      <c r="L281" s="103"/>
      <c r="M281" s="103"/>
      <c r="N281" s="103"/>
      <c r="O281" s="103"/>
      <c r="P281" s="103"/>
      <c r="Q281" s="103"/>
      <c r="R281" s="103"/>
      <c r="S281" s="103"/>
    </row>
    <row r="282" spans="1:19" ht="20" customHeight="1">
      <c r="A282" s="103"/>
      <c r="B282" s="117" t="s">
        <v>1796</v>
      </c>
      <c r="C282" s="115" t="str">
        <f>sample_svc_iom_vsphere_password</f>
        <v>VMw@re1!</v>
      </c>
      <c r="D282" s="12" t="str">
        <f>iom_vsphere_svc_password</f>
        <v>Value Missing</v>
      </c>
      <c r="E282" s="116"/>
      <c r="F282" s="103"/>
      <c r="G282" s="103"/>
      <c r="H282" s="103"/>
      <c r="I282" s="103"/>
      <c r="J282" s="103"/>
      <c r="K282" s="103"/>
      <c r="L282" s="103"/>
      <c r="M282" s="103"/>
      <c r="N282" s="103"/>
      <c r="O282" s="103"/>
      <c r="P282" s="103"/>
      <c r="Q282" s="103"/>
      <c r="R282" s="103"/>
      <c r="S282" s="103"/>
    </row>
    <row r="283" spans="1:19" ht="20" customHeight="1">
      <c r="A283" s="103"/>
      <c r="B283" s="558" t="s">
        <v>2572</v>
      </c>
      <c r="C283" s="559"/>
      <c r="D283" s="559"/>
      <c r="E283" s="560"/>
      <c r="F283" s="103"/>
      <c r="G283" s="103"/>
      <c r="H283" s="103"/>
      <c r="I283" s="103"/>
      <c r="J283" s="103"/>
      <c r="K283" s="103"/>
      <c r="L283" s="103"/>
      <c r="M283" s="103"/>
      <c r="N283" s="103"/>
      <c r="O283" s="103"/>
      <c r="P283" s="103"/>
      <c r="Q283" s="103"/>
      <c r="R283" s="103"/>
      <c r="S283" s="103"/>
    </row>
    <row r="284" spans="1:19" ht="20" customHeight="1">
      <c r="A284" s="103"/>
      <c r="B284" s="117" t="s">
        <v>2567</v>
      </c>
      <c r="C284" s="115" t="s">
        <v>4598</v>
      </c>
      <c r="D284" s="12" t="str">
        <f>C284</f>
        <v>NSX</v>
      </c>
      <c r="E284" s="116"/>
      <c r="F284" s="103"/>
      <c r="G284" s="103"/>
      <c r="H284" s="103"/>
      <c r="I284" s="103"/>
      <c r="J284" s="103"/>
      <c r="K284" s="103"/>
      <c r="L284" s="103"/>
      <c r="M284" s="103"/>
      <c r="N284" s="103"/>
      <c r="O284" s="103"/>
      <c r="P284" s="103"/>
      <c r="Q284" s="103"/>
      <c r="R284" s="103"/>
      <c r="S284" s="103"/>
    </row>
    <row r="285" spans="1:19" ht="20" customHeight="1">
      <c r="A285" s="103"/>
      <c r="B285" s="117" t="s">
        <v>2568</v>
      </c>
      <c r="C285" s="115" t="s">
        <v>4668</v>
      </c>
      <c r="D285" s="12" t="str">
        <f>C285</f>
        <v>NSX Client Certificate Credentials</v>
      </c>
      <c r="E285" s="116"/>
      <c r="F285" s="103"/>
      <c r="G285" s="103"/>
      <c r="H285" s="103"/>
      <c r="I285" s="103"/>
      <c r="J285" s="103"/>
      <c r="K285" s="103"/>
      <c r="L285" s="103"/>
      <c r="M285" s="103"/>
      <c r="N285" s="103"/>
      <c r="O285" s="103"/>
      <c r="P285" s="103"/>
      <c r="Q285" s="103"/>
      <c r="R285" s="103"/>
      <c r="S285" s="103"/>
    </row>
    <row r="286" spans="1:19" ht="20" customHeight="1">
      <c r="A286" s="103"/>
      <c r="B286" s="117" t="s">
        <v>2445</v>
      </c>
      <c r="C286" s="115" t="str">
        <f>CONCATENATE("NSX Credential - ",sample_mgmt_nsxt_hostname)</f>
        <v>NSX Credential - sfo-m01-nsx01</v>
      </c>
      <c r="D286" s="12" t="str">
        <f>CONCATENATE("NSX Credential - ",mgmt_nsxt_hostname)</f>
        <v>NSX Credential - Value Missing</v>
      </c>
      <c r="E286" s="116"/>
      <c r="F286" s="103"/>
      <c r="G286" s="103"/>
      <c r="H286" s="103"/>
      <c r="I286" s="103"/>
      <c r="J286" s="103"/>
      <c r="K286" s="103"/>
      <c r="L286" s="103"/>
      <c r="M286" s="103"/>
      <c r="N286" s="103"/>
      <c r="O286" s="103"/>
      <c r="P286" s="103"/>
      <c r="Q286" s="103"/>
      <c r="R286" s="103"/>
      <c r="S286" s="103"/>
    </row>
    <row r="287" spans="1:19" ht="20" customHeight="1">
      <c r="A287" s="103"/>
      <c r="B287" s="117" t="s">
        <v>2573</v>
      </c>
      <c r="C287" s="115" t="str">
        <f>CONCATENATE(sample_mgmt_nsxt_hostname,".cer")</f>
        <v>sfo-m01-nsx01.cer</v>
      </c>
      <c r="D287" s="12" t="str">
        <f>CONCATENATE(mgmt_nsxt_hostname,".cer")</f>
        <v>Value Missing.cer</v>
      </c>
      <c r="E287" s="116"/>
      <c r="F287" s="103"/>
      <c r="G287" s="103"/>
      <c r="H287" s="103"/>
      <c r="I287" s="103"/>
      <c r="J287" s="103"/>
      <c r="K287" s="103"/>
      <c r="L287" s="103"/>
      <c r="M287" s="103"/>
      <c r="N287" s="103"/>
      <c r="O287" s="103"/>
      <c r="P287" s="103"/>
      <c r="Q287" s="103"/>
      <c r="R287" s="103"/>
      <c r="S287" s="103"/>
    </row>
    <row r="288" spans="1:19" ht="20" customHeight="1">
      <c r="A288" s="103"/>
      <c r="B288" s="117" t="s">
        <v>2574</v>
      </c>
      <c r="C288" s="115" t="str">
        <f>CONCATENATE(sample_mgmt_nsxt_hostname,".key")</f>
        <v>sfo-m01-nsx01.key</v>
      </c>
      <c r="D288" s="12" t="str">
        <f>CONCATENATE(mgmt_nsxt_hostname,".key")</f>
        <v>Value Missing.key</v>
      </c>
      <c r="E288" s="116"/>
      <c r="F288" s="103"/>
      <c r="G288" s="103"/>
      <c r="H288" s="103"/>
      <c r="I288" s="103"/>
      <c r="J288" s="103"/>
      <c r="K288" s="103"/>
      <c r="L288" s="103"/>
      <c r="M288" s="103"/>
      <c r="N288" s="103"/>
      <c r="O288" s="103"/>
      <c r="P288" s="103"/>
      <c r="Q288" s="103"/>
      <c r="R288" s="103"/>
      <c r="S288" s="103"/>
    </row>
    <row r="289" spans="1:19" ht="20" customHeight="1">
      <c r="A289" s="103"/>
      <c r="B289" s="558" t="s">
        <v>39</v>
      </c>
      <c r="C289" s="559"/>
      <c r="D289" s="559"/>
      <c r="E289" s="560"/>
      <c r="F289" s="103"/>
      <c r="G289" s="103"/>
      <c r="H289" s="103"/>
      <c r="I289" s="103"/>
      <c r="J289" s="103"/>
      <c r="K289" s="103"/>
      <c r="L289" s="103"/>
      <c r="M289" s="103"/>
      <c r="N289" s="103"/>
      <c r="O289" s="103"/>
      <c r="P289" s="103"/>
      <c r="Q289" s="103"/>
      <c r="R289" s="103"/>
      <c r="S289" s="103"/>
    </row>
    <row r="290" spans="1:19" ht="20" customHeight="1">
      <c r="A290" s="103"/>
      <c r="B290" s="558" t="s">
        <v>2570</v>
      </c>
      <c r="C290" s="559"/>
      <c r="D290" s="559"/>
      <c r="E290" s="560"/>
      <c r="F290" s="103"/>
      <c r="G290" s="103"/>
      <c r="H290" s="103"/>
      <c r="I290" s="103"/>
      <c r="J290" s="103"/>
      <c r="K290" s="103"/>
      <c r="L290" s="103"/>
      <c r="M290" s="103"/>
      <c r="N290" s="103"/>
      <c r="O290" s="103"/>
      <c r="P290" s="103"/>
      <c r="Q290" s="103"/>
      <c r="R290" s="103"/>
      <c r="S290" s="103"/>
    </row>
    <row r="291" spans="1:19" ht="20" customHeight="1">
      <c r="A291" s="103"/>
      <c r="B291" s="117" t="s">
        <v>2567</v>
      </c>
      <c r="C291" s="115" t="s">
        <v>1802</v>
      </c>
      <c r="D291" s="12" t="str">
        <f>C291</f>
        <v>vCenter</v>
      </c>
      <c r="E291" s="116"/>
      <c r="F291" s="103"/>
      <c r="G291" s="103"/>
      <c r="H291" s="103"/>
      <c r="I291" s="103"/>
      <c r="J291" s="103"/>
      <c r="K291" s="103"/>
      <c r="L291" s="103"/>
      <c r="M291" s="103"/>
      <c r="N291" s="103"/>
      <c r="O291" s="103"/>
      <c r="P291" s="103"/>
      <c r="Q291" s="103"/>
      <c r="R291" s="103"/>
      <c r="S291" s="103"/>
    </row>
    <row r="292" spans="1:19" ht="20" customHeight="1">
      <c r="A292" s="103"/>
      <c r="B292" s="117" t="s">
        <v>2568</v>
      </c>
      <c r="C292" s="115" t="s">
        <v>2571</v>
      </c>
      <c r="D292" s="12" t="str">
        <f>C292</f>
        <v>Principal Credential</v>
      </c>
      <c r="E292" s="116"/>
      <c r="F292" s="103"/>
      <c r="G292" s="103"/>
      <c r="H292" s="103"/>
      <c r="I292" s="103"/>
      <c r="J292" s="103"/>
      <c r="K292" s="103"/>
      <c r="L292" s="103"/>
      <c r="M292" s="103"/>
      <c r="N292" s="103"/>
      <c r="O292" s="103"/>
      <c r="P292" s="103"/>
      <c r="Q292" s="103"/>
      <c r="R292" s="103"/>
      <c r="S292" s="103"/>
    </row>
    <row r="293" spans="1:19" ht="20" customHeight="1">
      <c r="A293" s="103"/>
      <c r="B293" s="117" t="s">
        <v>2445</v>
      </c>
      <c r="C293" s="115" t="str">
        <f>CONCATENATE("vCenter Credential - ",sample_wld_vc_hostname)</f>
        <v>vCenter Credential - sfo-w01-vc01</v>
      </c>
      <c r="D293" s="12" t="str">
        <f>CONCATENATE("vCenter Credential - ",wld_vc_hostname)</f>
        <v>vCenter Credential - Value Missing</v>
      </c>
      <c r="E293" s="116"/>
      <c r="F293" s="103"/>
      <c r="G293" s="103"/>
      <c r="H293" s="103"/>
      <c r="I293" s="103"/>
      <c r="J293" s="103"/>
      <c r="K293" s="103"/>
      <c r="L293" s="103"/>
      <c r="M293" s="103"/>
      <c r="N293" s="103"/>
      <c r="O293" s="103"/>
      <c r="P293" s="103"/>
      <c r="Q293" s="103"/>
      <c r="R293" s="103"/>
      <c r="S293" s="103"/>
    </row>
    <row r="294" spans="1:19" ht="20" customHeight="1">
      <c r="A294" s="103"/>
      <c r="B294" s="117" t="s">
        <v>1801</v>
      </c>
      <c r="C294" s="115" t="str">
        <f>CONCATENATE(sample_svc_iom_vsphere_user,"@",sample_child_dns_zone)</f>
        <v>svc-ops-vsphere@sfo.rainpole.io</v>
      </c>
      <c r="D294" s="12" t="str">
        <f>CONCATENATE(iom_vsphere_svc_user,"@",child_dns_zone)</f>
        <v>Value Missing@Value Missing</v>
      </c>
      <c r="E294" s="116"/>
      <c r="F294" s="103"/>
      <c r="G294" s="103"/>
      <c r="H294" s="103"/>
      <c r="I294" s="103"/>
      <c r="J294" s="103"/>
      <c r="K294" s="103"/>
      <c r="L294" s="103"/>
      <c r="M294" s="103"/>
      <c r="N294" s="103"/>
      <c r="O294" s="103"/>
      <c r="P294" s="103"/>
      <c r="Q294" s="103"/>
      <c r="R294" s="103"/>
      <c r="S294" s="103"/>
    </row>
    <row r="295" spans="1:19" ht="20" customHeight="1">
      <c r="A295" s="103"/>
      <c r="B295" s="117" t="s">
        <v>1796</v>
      </c>
      <c r="C295" s="115" t="str">
        <f>sample_svc_iom_vsphere_password</f>
        <v>VMw@re1!</v>
      </c>
      <c r="D295" s="12" t="str">
        <f>iom_vsphere_svc_password</f>
        <v>Value Missing</v>
      </c>
      <c r="E295" s="116"/>
      <c r="F295" s="103"/>
      <c r="G295" s="103"/>
      <c r="H295" s="103"/>
      <c r="I295" s="103"/>
      <c r="J295" s="103"/>
      <c r="K295" s="103"/>
      <c r="L295" s="103"/>
      <c r="M295" s="103"/>
      <c r="N295" s="103"/>
      <c r="O295" s="103"/>
      <c r="P295" s="103"/>
      <c r="Q295" s="103"/>
      <c r="R295" s="103"/>
      <c r="S295" s="103"/>
    </row>
    <row r="296" spans="1:19" ht="20" customHeight="1">
      <c r="A296" s="103"/>
      <c r="B296" s="558" t="s">
        <v>2572</v>
      </c>
      <c r="C296" s="559"/>
      <c r="D296" s="559"/>
      <c r="E296" s="560"/>
      <c r="F296" s="103"/>
      <c r="G296" s="103"/>
      <c r="H296" s="103"/>
      <c r="I296" s="103"/>
      <c r="J296" s="103"/>
      <c r="K296" s="103"/>
      <c r="L296" s="103"/>
      <c r="M296" s="103"/>
      <c r="N296" s="103"/>
      <c r="O296" s="103"/>
      <c r="P296" s="103"/>
      <c r="Q296" s="103"/>
      <c r="R296" s="103"/>
      <c r="S296" s="103"/>
    </row>
    <row r="297" spans="1:19" ht="20" customHeight="1">
      <c r="A297" s="103"/>
      <c r="B297" s="117" t="s">
        <v>2567</v>
      </c>
      <c r="C297" s="115" t="s">
        <v>4598</v>
      </c>
      <c r="D297" s="12" t="str">
        <f>C297</f>
        <v>NSX</v>
      </c>
      <c r="E297" s="116"/>
      <c r="F297" s="103"/>
      <c r="G297" s="103"/>
      <c r="H297" s="103"/>
      <c r="I297" s="103"/>
      <c r="J297" s="103"/>
      <c r="K297" s="103"/>
      <c r="L297" s="103"/>
      <c r="M297" s="103"/>
      <c r="N297" s="103"/>
      <c r="O297" s="103"/>
      <c r="P297" s="103"/>
      <c r="Q297" s="103"/>
      <c r="R297" s="103"/>
      <c r="S297" s="103"/>
    </row>
    <row r="298" spans="1:19" ht="20" customHeight="1">
      <c r="A298" s="103"/>
      <c r="B298" s="117" t="s">
        <v>2568</v>
      </c>
      <c r="C298" s="115" t="s">
        <v>4668</v>
      </c>
      <c r="D298" s="12" t="str">
        <f>C298</f>
        <v>NSX Client Certificate Credentials</v>
      </c>
      <c r="E298" s="116"/>
      <c r="F298" s="103"/>
      <c r="G298" s="103"/>
      <c r="H298" s="103"/>
      <c r="I298" s="103"/>
      <c r="J298" s="103"/>
      <c r="K298" s="103"/>
      <c r="L298" s="103"/>
      <c r="M298" s="103"/>
      <c r="N298" s="103"/>
      <c r="O298" s="103"/>
      <c r="P298" s="103"/>
      <c r="Q298" s="103"/>
      <c r="R298" s="103"/>
      <c r="S298" s="103"/>
    </row>
    <row r="299" spans="1:19" ht="20" customHeight="1">
      <c r="A299" s="103"/>
      <c r="B299" s="117" t="s">
        <v>2445</v>
      </c>
      <c r="C299" s="115" t="str">
        <f>CONCATENATE("NSX Credential - ",sample_wld_nsxt_hostname)</f>
        <v>NSX Credential - sfo-w01-nsx01</v>
      </c>
      <c r="D299" s="12" t="str">
        <f>CONCATENATE("NSX Credential - ",wld_nsxt_hostname)</f>
        <v>NSX Credential - Value Missing</v>
      </c>
      <c r="E299" s="116"/>
      <c r="F299" s="103"/>
      <c r="G299" s="103"/>
      <c r="H299" s="103"/>
      <c r="I299" s="103"/>
      <c r="J299" s="103"/>
      <c r="K299" s="103"/>
      <c r="L299" s="103"/>
      <c r="M299" s="103"/>
      <c r="N299" s="103"/>
      <c r="O299" s="103"/>
      <c r="P299" s="103"/>
      <c r="Q299" s="103"/>
      <c r="R299" s="103"/>
      <c r="S299" s="103"/>
    </row>
    <row r="300" spans="1:19" ht="20" customHeight="1">
      <c r="A300" s="103"/>
      <c r="B300" s="117" t="s">
        <v>2573</v>
      </c>
      <c r="C300" s="115" t="str">
        <f>CONCATENATE(sample_wld_nsxt_hostname,".cer")</f>
        <v>sfo-w01-nsx01.cer</v>
      </c>
      <c r="D300" s="12" t="str">
        <f>CONCATENATE(wld_nsxt_hostname,".cer")</f>
        <v>Value Missing.cer</v>
      </c>
      <c r="E300" s="116"/>
      <c r="F300" s="103"/>
      <c r="G300" s="103"/>
      <c r="H300" s="103"/>
      <c r="I300" s="103"/>
      <c r="J300" s="103"/>
      <c r="K300" s="103"/>
      <c r="L300" s="103"/>
      <c r="M300" s="103"/>
      <c r="N300" s="103"/>
      <c r="O300" s="103"/>
      <c r="P300" s="103"/>
      <c r="Q300" s="103"/>
      <c r="R300" s="103"/>
      <c r="S300" s="103"/>
    </row>
    <row r="301" spans="1:19" ht="20" customHeight="1">
      <c r="A301" s="103"/>
      <c r="B301" s="117" t="s">
        <v>2574</v>
      </c>
      <c r="C301" s="115" t="str">
        <f>CONCATENATE(sample_wld_nsxt_hostname,".key")</f>
        <v>sfo-w01-nsx01.key</v>
      </c>
      <c r="D301" s="12" t="str">
        <f>CONCATENATE(wld_nsxt_hostname,".key")</f>
        <v>Value Missing.key</v>
      </c>
      <c r="E301" s="116"/>
      <c r="F301" s="103"/>
      <c r="G301" s="103"/>
      <c r="H301" s="103"/>
      <c r="I301" s="103"/>
      <c r="J301" s="103"/>
      <c r="K301" s="103"/>
      <c r="L301" s="103"/>
      <c r="M301" s="103"/>
      <c r="N301" s="103"/>
      <c r="O301" s="103"/>
      <c r="P301" s="103"/>
      <c r="Q301" s="103"/>
      <c r="R301" s="103"/>
      <c r="S301" s="103"/>
    </row>
    <row r="302" spans="1:19" s="103" customFormat="1" ht="20" customHeight="1"/>
    <row r="303" spans="1:19" ht="34" customHeight="1">
      <c r="A303" s="103"/>
      <c r="B303" s="557" t="s">
        <v>2575</v>
      </c>
      <c r="C303" s="557"/>
      <c r="D303" s="557"/>
      <c r="E303" s="557"/>
      <c r="F303" s="103"/>
      <c r="G303" s="103"/>
      <c r="H303" s="103"/>
      <c r="I303" s="103"/>
      <c r="J303" s="103"/>
      <c r="K303" s="103"/>
      <c r="L303" s="103"/>
      <c r="M303" s="103"/>
      <c r="N303" s="103"/>
      <c r="O303" s="103"/>
      <c r="P303" s="103"/>
      <c r="Q303" s="103"/>
      <c r="R303" s="103"/>
      <c r="S303" s="103"/>
    </row>
    <row r="304" spans="1:19" ht="20" customHeight="1">
      <c r="A304" s="103"/>
      <c r="B304" s="112" t="s">
        <v>735</v>
      </c>
      <c r="C304" s="112" t="s">
        <v>554</v>
      </c>
      <c r="D304" s="113" t="s">
        <v>555</v>
      </c>
      <c r="E304" s="112" t="s">
        <v>222</v>
      </c>
      <c r="F304" s="103"/>
      <c r="G304" s="103"/>
      <c r="H304" s="103"/>
      <c r="I304" s="103"/>
      <c r="J304" s="103"/>
      <c r="K304" s="103"/>
      <c r="L304" s="103"/>
      <c r="M304" s="103"/>
      <c r="N304" s="103"/>
      <c r="O304" s="103"/>
      <c r="P304" s="103"/>
      <c r="Q304" s="103"/>
      <c r="R304" s="103"/>
      <c r="S304" s="103"/>
    </row>
    <row r="305" spans="1:19" ht="20" customHeight="1">
      <c r="A305" s="103"/>
      <c r="B305" s="114" t="s">
        <v>3369</v>
      </c>
      <c r="C305" s="115" t="str">
        <f>CONCATENATE(sample_xreg_vrops_virtual_hostname,".",sample_parent_dns_zone)</f>
        <v>xint-ops01.rainpole.io</v>
      </c>
      <c r="D305" s="12" t="str">
        <f>xreg_vrops_virtual_fqdn</f>
        <v>Value Missing.Value Missing</v>
      </c>
      <c r="E305" s="116"/>
      <c r="F305" s="103"/>
      <c r="G305" s="103"/>
      <c r="H305" s="103"/>
      <c r="I305" s="103"/>
      <c r="J305" s="103"/>
      <c r="K305" s="103"/>
      <c r="L305" s="103"/>
      <c r="M305" s="103"/>
      <c r="N305" s="103"/>
      <c r="O305" s="103"/>
      <c r="P305" s="103"/>
      <c r="Q305" s="103"/>
      <c r="R305" s="103"/>
      <c r="S305" s="103"/>
    </row>
    <row r="306" spans="1:19" ht="20" customHeight="1">
      <c r="A306" s="103"/>
      <c r="B306" s="558" t="s">
        <v>2576</v>
      </c>
      <c r="C306" s="559"/>
      <c r="D306" s="559"/>
      <c r="E306" s="560"/>
      <c r="F306" s="103"/>
      <c r="G306" s="103"/>
      <c r="H306" s="103"/>
      <c r="I306" s="103"/>
      <c r="J306" s="103"/>
      <c r="K306" s="103"/>
      <c r="L306" s="103"/>
      <c r="M306" s="103"/>
      <c r="N306" s="103"/>
      <c r="O306" s="103"/>
      <c r="P306" s="103"/>
      <c r="Q306" s="103"/>
      <c r="R306" s="103"/>
      <c r="S306" s="103"/>
    </row>
    <row r="307" spans="1:19" ht="20" customHeight="1">
      <c r="A307" s="103"/>
      <c r="B307" s="117" t="s">
        <v>735</v>
      </c>
      <c r="C307" s="115" t="str">
        <f>CONCATENATE(sample_sddc_mgr_hostname,".",sample_child_dns_zone)</f>
        <v>sfo-vcf01.sfo.rainpole.io</v>
      </c>
      <c r="D307" s="12" t="str">
        <f>CONCATENATE(sddc_mgr_hostname,".",child_dns_zone)</f>
        <v>Value Missing.Value Missing</v>
      </c>
      <c r="E307" s="116"/>
      <c r="F307" s="103"/>
      <c r="G307" s="103"/>
      <c r="H307" s="103"/>
      <c r="I307" s="103"/>
      <c r="J307" s="103"/>
      <c r="K307" s="103"/>
      <c r="L307" s="103"/>
      <c r="M307" s="103"/>
      <c r="N307" s="103"/>
      <c r="O307" s="103"/>
      <c r="P307" s="103"/>
      <c r="Q307" s="103"/>
      <c r="R307" s="103"/>
      <c r="S307" s="103"/>
    </row>
    <row r="308" spans="1:19" ht="20" customHeight="1">
      <c r="A308" s="103"/>
      <c r="B308" s="117" t="s">
        <v>353</v>
      </c>
      <c r="C308" s="115" t="str">
        <f>CONCATENATE(sample_sddc_mgr_hostname,".",sample_child_dns_zone)</f>
        <v>sfo-vcf01.sfo.rainpole.io</v>
      </c>
      <c r="D308" s="12" t="str">
        <f>CONCATENATE(sddc_mgr_hostname,".",child_dns_zone)</f>
        <v>Value Missing.Value Missing</v>
      </c>
      <c r="E308" s="116"/>
      <c r="F308" s="103"/>
      <c r="G308" s="103"/>
      <c r="H308" s="103"/>
      <c r="I308" s="103"/>
      <c r="J308" s="103"/>
      <c r="K308" s="103"/>
      <c r="L308" s="103"/>
      <c r="M308" s="103"/>
      <c r="N308" s="103"/>
      <c r="O308" s="103"/>
      <c r="P308" s="103"/>
      <c r="Q308" s="103"/>
      <c r="R308" s="103"/>
      <c r="S308" s="103"/>
    </row>
    <row r="309" spans="1:19" ht="20" customHeight="1">
      <c r="A309" s="103"/>
      <c r="B309" s="117" t="s">
        <v>2321</v>
      </c>
      <c r="C309" s="115" t="str">
        <f>CONCATENATE("VCF Credential - ",sample_sddc_mgr_hostname)</f>
        <v>VCF Credential - sfo-vcf01</v>
      </c>
      <c r="D309" s="12" t="str">
        <f>CONCATENATE("VCF Credential - ",sddc_mgr_hostname)</f>
        <v>VCF Credential - Value Missing</v>
      </c>
      <c r="E309" s="116"/>
      <c r="F309" s="103"/>
      <c r="G309" s="103"/>
      <c r="H309" s="103"/>
      <c r="I309" s="103"/>
      <c r="J309" s="103"/>
      <c r="K309" s="103"/>
      <c r="L309" s="103"/>
      <c r="M309" s="103"/>
      <c r="N309" s="103"/>
      <c r="O309" s="103"/>
      <c r="P309" s="103"/>
      <c r="Q309" s="103"/>
      <c r="R309" s="103"/>
      <c r="S309" s="103"/>
    </row>
    <row r="310" spans="1:19" ht="20" customHeight="1">
      <c r="A310" s="103"/>
      <c r="B310" s="117" t="s">
        <v>2577</v>
      </c>
      <c r="C310" s="115" t="str">
        <f>CONCATENATE(sample_mgmt_sddc_domain,"-collector-group")</f>
        <v>sfo-m01-collector-group</v>
      </c>
      <c r="D310" s="12" t="str">
        <f>CONCATENATE(mgmt_sddc_domain,"-collector-group")</f>
        <v>Value Missing-collector-group</v>
      </c>
      <c r="E310" s="116"/>
      <c r="F310" s="103"/>
      <c r="G310" s="103"/>
      <c r="H310" s="103"/>
      <c r="I310" s="103"/>
      <c r="J310" s="103"/>
      <c r="K310" s="103"/>
      <c r="L310" s="103"/>
      <c r="M310" s="103"/>
      <c r="N310" s="103"/>
      <c r="O310" s="103"/>
      <c r="P310" s="103"/>
      <c r="Q310" s="103"/>
      <c r="R310" s="103"/>
      <c r="S310" s="103"/>
    </row>
    <row r="311" spans="1:19" ht="20" customHeight="1">
      <c r="A311" s="103"/>
      <c r="B311" s="558" t="s">
        <v>36</v>
      </c>
      <c r="C311" s="559"/>
      <c r="D311" s="559"/>
      <c r="E311" s="560"/>
      <c r="F311" s="103"/>
      <c r="G311" s="103"/>
      <c r="H311" s="103"/>
      <c r="I311" s="103"/>
      <c r="J311" s="103"/>
      <c r="K311" s="103"/>
      <c r="L311" s="103"/>
      <c r="M311" s="103"/>
      <c r="N311" s="103"/>
      <c r="O311" s="103"/>
      <c r="P311" s="103"/>
      <c r="Q311" s="103"/>
      <c r="R311" s="103"/>
      <c r="S311" s="103"/>
    </row>
    <row r="312" spans="1:19" ht="20" customHeight="1">
      <c r="A312" s="103"/>
      <c r="B312" s="558" t="s">
        <v>2578</v>
      </c>
      <c r="C312" s="559"/>
      <c r="D312" s="559"/>
      <c r="E312" s="560"/>
      <c r="F312" s="103"/>
      <c r="G312" s="103"/>
      <c r="H312" s="103"/>
      <c r="I312" s="103"/>
      <c r="J312" s="103"/>
      <c r="K312" s="103"/>
      <c r="L312" s="103"/>
      <c r="M312" s="103"/>
      <c r="N312" s="103"/>
      <c r="O312" s="103"/>
      <c r="P312" s="103"/>
      <c r="Q312" s="103"/>
      <c r="R312" s="103"/>
      <c r="S312" s="103"/>
    </row>
    <row r="313" spans="1:19" ht="20" customHeight="1">
      <c r="A313" s="103"/>
      <c r="B313" s="117" t="s">
        <v>735</v>
      </c>
      <c r="C313" s="115" t="str">
        <f>sample_mgmt_sddc_domain</f>
        <v>sfo-m01</v>
      </c>
      <c r="D313" s="12" t="str">
        <f>mgmt_sddc_domain</f>
        <v>Value Missing</v>
      </c>
      <c r="E313" s="116"/>
      <c r="F313" s="103"/>
      <c r="G313" s="103"/>
      <c r="H313" s="103"/>
      <c r="I313" s="103"/>
      <c r="J313" s="103"/>
      <c r="K313" s="103"/>
      <c r="L313" s="103"/>
      <c r="M313" s="103"/>
      <c r="N313" s="103"/>
      <c r="O313" s="103"/>
      <c r="P313" s="103"/>
      <c r="Q313" s="103"/>
      <c r="R313" s="103"/>
      <c r="S313" s="103"/>
    </row>
    <row r="314" spans="1:19" ht="20" customHeight="1">
      <c r="A314" s="103"/>
      <c r="B314" s="117" t="s">
        <v>2321</v>
      </c>
      <c r="C314" s="115" t="str">
        <f>CONCATENATE("vCenter Credential - ",sample_mgmt_vc_hostname)</f>
        <v>vCenter Credential - sfo-m01-vc01</v>
      </c>
      <c r="D314" s="12" t="str">
        <f>CONCATENATE("vCenter Credential - ",mgmt_vc_hostname)</f>
        <v>vCenter Credential - Value Missing</v>
      </c>
      <c r="E314" s="116"/>
      <c r="F314" s="103"/>
      <c r="G314" s="103"/>
      <c r="H314" s="103"/>
      <c r="I314" s="103"/>
      <c r="J314" s="103"/>
      <c r="K314" s="103"/>
      <c r="L314" s="103"/>
      <c r="M314" s="103"/>
      <c r="N314" s="103"/>
      <c r="O314" s="103"/>
      <c r="P314" s="103"/>
      <c r="Q314" s="103"/>
      <c r="R314" s="103"/>
      <c r="S314" s="103"/>
    </row>
    <row r="315" spans="1:19" ht="20" customHeight="1">
      <c r="A315" s="103"/>
      <c r="B315" s="117" t="s">
        <v>2577</v>
      </c>
      <c r="C315" s="115" t="str">
        <f>CONCATENATE(sample_mgmt_sddc_domain,"-collector-group")</f>
        <v>sfo-m01-collector-group</v>
      </c>
      <c r="D315" s="12" t="str">
        <f>CONCATENATE(mgmt_sddc_domain,"-collector-group")</f>
        <v>Value Missing-collector-group</v>
      </c>
      <c r="E315" s="116"/>
      <c r="F315" s="103"/>
      <c r="G315" s="103"/>
      <c r="H315" s="103"/>
      <c r="I315" s="103"/>
      <c r="J315" s="103"/>
      <c r="K315" s="103"/>
      <c r="L315" s="103"/>
      <c r="M315" s="103"/>
      <c r="N315" s="103"/>
      <c r="O315" s="103"/>
      <c r="P315" s="103"/>
      <c r="Q315" s="103"/>
      <c r="R315" s="103"/>
      <c r="S315" s="103"/>
    </row>
    <row r="316" spans="1:19" ht="20" customHeight="1">
      <c r="A316" s="103"/>
      <c r="B316" s="558" t="s">
        <v>4908</v>
      </c>
      <c r="C316" s="559"/>
      <c r="D316" s="559"/>
      <c r="E316" s="560"/>
      <c r="F316" s="103"/>
      <c r="G316" s="103"/>
      <c r="H316" s="103"/>
      <c r="I316" s="103"/>
      <c r="J316" s="103"/>
      <c r="K316" s="103"/>
      <c r="L316" s="103"/>
      <c r="M316" s="103"/>
      <c r="N316" s="103"/>
      <c r="O316" s="103"/>
      <c r="P316" s="103"/>
      <c r="Q316" s="103"/>
      <c r="R316" s="103"/>
      <c r="S316" s="103"/>
    </row>
    <row r="317" spans="1:19" ht="20" customHeight="1">
      <c r="A317" s="103"/>
      <c r="B317" s="117" t="s">
        <v>2321</v>
      </c>
      <c r="C317" s="115" t="str">
        <f>CONCATENATE("NSX Credential - ",sample_mgmt_nsxt_hostname)</f>
        <v>NSX Credential - sfo-m01-nsx01</v>
      </c>
      <c r="D317" s="12" t="str">
        <f>CONCATENATE("NSX Credential - ",mgmt_nsxt_hostname)</f>
        <v>NSX Credential - Value Missing</v>
      </c>
      <c r="E317" s="116"/>
      <c r="F317" s="103"/>
      <c r="G317" s="103"/>
      <c r="H317" s="103"/>
      <c r="I317" s="103"/>
      <c r="J317" s="103"/>
      <c r="K317" s="103"/>
      <c r="L317" s="103"/>
      <c r="M317" s="103"/>
      <c r="N317" s="103"/>
      <c r="O317" s="103"/>
      <c r="P317" s="103"/>
      <c r="Q317" s="103"/>
      <c r="R317" s="103"/>
      <c r="S317" s="103"/>
    </row>
    <row r="318" spans="1:19" ht="20" customHeight="1">
      <c r="A318" s="103"/>
      <c r="B318" s="558" t="s">
        <v>39</v>
      </c>
      <c r="C318" s="559"/>
      <c r="D318" s="559"/>
      <c r="E318" s="560"/>
      <c r="F318" s="103"/>
      <c r="G318" s="103"/>
      <c r="H318" s="103"/>
      <c r="I318" s="103"/>
      <c r="J318" s="103"/>
      <c r="K318" s="103"/>
      <c r="L318" s="103"/>
      <c r="M318" s="103"/>
      <c r="N318" s="103"/>
      <c r="O318" s="103"/>
      <c r="P318" s="103"/>
      <c r="Q318" s="103"/>
      <c r="R318" s="103"/>
      <c r="S318" s="103"/>
    </row>
    <row r="319" spans="1:19" ht="20" customHeight="1">
      <c r="A319" s="103"/>
      <c r="B319" s="558" t="s">
        <v>2578</v>
      </c>
      <c r="C319" s="559"/>
      <c r="D319" s="559"/>
      <c r="E319" s="560"/>
      <c r="F319" s="103"/>
      <c r="G319" s="103"/>
      <c r="H319" s="103"/>
      <c r="I319" s="103"/>
      <c r="J319" s="103"/>
      <c r="K319" s="103"/>
      <c r="L319" s="103"/>
      <c r="M319" s="103"/>
      <c r="N319" s="103"/>
      <c r="O319" s="103"/>
      <c r="P319" s="103"/>
      <c r="Q319" s="103"/>
      <c r="R319" s="103"/>
      <c r="S319" s="103"/>
    </row>
    <row r="320" spans="1:19" ht="20" customHeight="1">
      <c r="A320" s="103"/>
      <c r="B320" s="117" t="s">
        <v>735</v>
      </c>
      <c r="C320" s="115" t="str">
        <f>sample_wld_sddc_domain</f>
        <v>sfo-w01</v>
      </c>
      <c r="D320" s="12" t="str">
        <f>wld_sddc_domain</f>
        <v>Value Missing</v>
      </c>
      <c r="E320" s="116"/>
      <c r="F320" s="103"/>
      <c r="G320" s="103"/>
      <c r="H320" s="103"/>
      <c r="I320" s="103"/>
      <c r="J320" s="103"/>
      <c r="K320" s="103"/>
      <c r="L320" s="103"/>
      <c r="M320" s="103"/>
      <c r="N320" s="103"/>
      <c r="O320" s="103"/>
      <c r="P320" s="103"/>
      <c r="Q320" s="103"/>
      <c r="R320" s="103"/>
      <c r="S320" s="103"/>
    </row>
    <row r="321" spans="1:19" ht="20" customHeight="1">
      <c r="A321" s="103"/>
      <c r="B321" s="117" t="s">
        <v>2321</v>
      </c>
      <c r="C321" s="115" t="str">
        <f>CONCATENATE("vCenter Credential - ",sample_mgmt_vc_hostname)</f>
        <v>vCenter Credential - sfo-m01-vc01</v>
      </c>
      <c r="D321" s="12" t="str">
        <f>CONCATENATE("vCenter Credential - ",mgmt_vc_hostname)</f>
        <v>vCenter Credential - Value Missing</v>
      </c>
      <c r="E321" s="116"/>
      <c r="F321" s="103"/>
      <c r="G321" s="103"/>
      <c r="H321" s="103"/>
      <c r="I321" s="103"/>
      <c r="J321" s="103"/>
      <c r="K321" s="103"/>
      <c r="L321" s="103"/>
      <c r="M321" s="103"/>
      <c r="N321" s="103"/>
      <c r="O321" s="103"/>
      <c r="P321" s="103"/>
      <c r="Q321" s="103"/>
      <c r="R321" s="103"/>
      <c r="S321" s="103"/>
    </row>
    <row r="322" spans="1:19" ht="20" customHeight="1">
      <c r="A322" s="103"/>
      <c r="B322" s="117" t="s">
        <v>2577</v>
      </c>
      <c r="C322" s="115" t="str">
        <f>CONCATENATE(sample_mgmt_sddc_domain,"-collector-group")</f>
        <v>sfo-m01-collector-group</v>
      </c>
      <c r="D322" s="12" t="str">
        <f>CONCATENATE(mgmt_sddc_domain,"-collector-group")</f>
        <v>Value Missing-collector-group</v>
      </c>
      <c r="E322" s="116"/>
      <c r="F322" s="103"/>
      <c r="G322" s="103"/>
      <c r="H322" s="103"/>
      <c r="I322" s="103"/>
      <c r="J322" s="103"/>
      <c r="K322" s="103"/>
      <c r="L322" s="103"/>
      <c r="M322" s="103"/>
      <c r="N322" s="103"/>
      <c r="O322" s="103"/>
      <c r="P322" s="103"/>
      <c r="Q322" s="103"/>
      <c r="R322" s="103"/>
      <c r="S322" s="103"/>
    </row>
    <row r="323" spans="1:19" ht="20" customHeight="1">
      <c r="A323" s="103"/>
      <c r="B323" s="558" t="s">
        <v>4909</v>
      </c>
      <c r="C323" s="559"/>
      <c r="D323" s="559"/>
      <c r="E323" s="560"/>
      <c r="F323" s="103"/>
      <c r="G323" s="103"/>
      <c r="H323" s="103"/>
      <c r="I323" s="103"/>
      <c r="J323" s="103"/>
      <c r="K323" s="103"/>
      <c r="L323" s="103"/>
      <c r="M323" s="103"/>
      <c r="N323" s="103"/>
      <c r="O323" s="103"/>
      <c r="P323" s="103"/>
      <c r="Q323" s="103"/>
      <c r="R323" s="103"/>
      <c r="S323" s="103"/>
    </row>
    <row r="324" spans="1:19" ht="20" customHeight="1">
      <c r="A324" s="103"/>
      <c r="B324" s="117" t="s">
        <v>2321</v>
      </c>
      <c r="C324" s="115" t="str">
        <f>CONCATENATE("NSX Credential - ",sample_wld_nsxt_hostname)</f>
        <v>NSX Credential - sfo-w01-nsx01</v>
      </c>
      <c r="D324" s="12" t="str">
        <f>CONCATENATE("NSX Credential - ",sample_wld_nsxt_hostname)</f>
        <v>NSX Credential - sfo-w01-nsx01</v>
      </c>
      <c r="E324" s="116"/>
      <c r="F324" s="103"/>
      <c r="G324" s="103"/>
      <c r="H324" s="103"/>
      <c r="I324" s="103"/>
      <c r="J324" s="103"/>
      <c r="K324" s="103"/>
      <c r="L324" s="103"/>
      <c r="M324" s="103"/>
      <c r="N324" s="103"/>
      <c r="O324" s="103"/>
      <c r="P324" s="103"/>
      <c r="Q324" s="103"/>
      <c r="R324" s="103"/>
      <c r="S324" s="103"/>
    </row>
    <row r="325" spans="1:19" s="103" customFormat="1" ht="20" customHeight="1"/>
    <row r="326" spans="1:19" ht="34" customHeight="1">
      <c r="B326" s="344" t="s">
        <v>3517</v>
      </c>
      <c r="C326" s="344"/>
      <c r="D326" s="344"/>
      <c r="E326" s="344"/>
    </row>
    <row r="327" spans="1:19" ht="20" customHeight="1">
      <c r="B327" s="8" t="s">
        <v>735</v>
      </c>
      <c r="C327" s="8" t="s">
        <v>554</v>
      </c>
      <c r="D327" s="20" t="s">
        <v>555</v>
      </c>
      <c r="E327" s="8" t="s">
        <v>222</v>
      </c>
    </row>
    <row r="328" spans="1:19" ht="20" customHeight="1">
      <c r="B328" s="21" t="s">
        <v>3369</v>
      </c>
      <c r="C328" s="22" t="str">
        <f>CONCATENATE(sample_xreg_vrops_virtual_hostname,".",sample_parent_dns_zone)</f>
        <v>xint-ops01.rainpole.io</v>
      </c>
      <c r="D328" s="18" t="str">
        <f>xreg_vrops_virtual_fqdn</f>
        <v>Value Missing.Value Missing</v>
      </c>
      <c r="E328" s="53"/>
    </row>
    <row r="329" spans="1:19" ht="16" customHeight="1"/>
    <row r="330" spans="1:19" ht="34" customHeight="1">
      <c r="B330" s="344" t="s">
        <v>3235</v>
      </c>
      <c r="C330" s="344"/>
      <c r="D330" s="344"/>
      <c r="E330" s="344"/>
    </row>
    <row r="331" spans="1:19" ht="20" customHeight="1">
      <c r="B331" s="8" t="s">
        <v>735</v>
      </c>
      <c r="C331" s="8" t="s">
        <v>554</v>
      </c>
      <c r="D331" s="20" t="s">
        <v>555</v>
      </c>
      <c r="E331" s="8" t="s">
        <v>222</v>
      </c>
    </row>
    <row r="332" spans="1:19" ht="20" customHeight="1">
      <c r="B332" s="21" t="s">
        <v>3369</v>
      </c>
      <c r="C332" s="22" t="str">
        <f>CONCATENATE(sample_xreg_vrops_virtual_hostname,".",sample_parent_dns_zone)</f>
        <v>xint-ops01.rainpole.io</v>
      </c>
      <c r="D332" s="18" t="str">
        <f>xreg_vrops_virtual_fqdn</f>
        <v>Value Missing.Value Missing</v>
      </c>
      <c r="E332" s="53"/>
    </row>
    <row r="333" spans="1:19" ht="20" customHeight="1">
      <c r="B333" s="21" t="s">
        <v>2579</v>
      </c>
      <c r="C333" s="22" t="str">
        <f>CONCATENATE(sample_xreg_vrops_virtual_hostname,"-cluster")</f>
        <v>xint-ops01-cluster</v>
      </c>
      <c r="D333" s="18" t="str">
        <f>CONCATENATE(xreg_vrops_virtual_hostname,"-cluster")</f>
        <v>Value Missing-cluster</v>
      </c>
      <c r="E333" s="53"/>
    </row>
    <row r="334" spans="1:19" ht="20" customHeight="1">
      <c r="B334" s="21" t="s">
        <v>2580</v>
      </c>
      <c r="C334" s="22" t="str">
        <f>CONCATENATE(sample_xreg_vrops_virtual_hostname,"-cluster")</f>
        <v>xint-ops01-cluster</v>
      </c>
      <c r="D334" s="18" t="str">
        <f>CONCATENATE(xreg_vrops_virtual_hostname,"-cluster")</f>
        <v>Value Missing-cluster</v>
      </c>
      <c r="E334" s="53"/>
    </row>
    <row r="335" spans="1:19" ht="20" customHeight="1">
      <c r="B335" s="21" t="s">
        <v>2581</v>
      </c>
      <c r="C335" s="22" t="str">
        <f>CONCATENATE(sample_xreg_vrops_virtual_ip,",",sample_xreg_vrops_nodea_ip,",",sample_xreg_vrops_nodeb_ip,",",sample_xreg_vrops_nodec_ip)</f>
        <v>192.168.11.30,192.168.11.31,192.168.11.32,192.168.11.33</v>
      </c>
      <c r="D335" s="18" t="str">
        <f>CONCATENATE(xreg_vrops_virtual_ip,",",xreg_vrops_nodea_ip,",",xreg_vrops_nodeb_ip,",",xreg_vrops_nodec_ip)</f>
        <v>Value Missing,Value Missing,Value Missing,Value Missing</v>
      </c>
      <c r="E335" s="53"/>
    </row>
    <row r="336" spans="1:19" ht="20" customHeight="1">
      <c r="B336" s="21" t="s">
        <v>2582</v>
      </c>
      <c r="C336" s="22" t="str">
        <f>xreg_vrops_default_collector_group</f>
        <v>Default collector group</v>
      </c>
      <c r="D336" s="18" t="str">
        <f>xreg_vrops_default_collector_group</f>
        <v>Default collector group</v>
      </c>
      <c r="E336" s="53"/>
    </row>
    <row r="337" spans="2:5" ht="20" customHeight="1">
      <c r="B337" s="21" t="s">
        <v>2583</v>
      </c>
      <c r="C337" s="22" t="str">
        <f>CONCATENATE(sample_mgmt_sddc_domain,"-operations-proxies")</f>
        <v>sfo-m01-operations-proxies</v>
      </c>
      <c r="D337" s="18" t="str">
        <f>CONCATENATE(mgmt_sddc_domain,"-operations-proxies")</f>
        <v>Value Missing-operations-proxies</v>
      </c>
      <c r="E337" s="53"/>
    </row>
    <row r="338" spans="2:5" ht="20" customHeight="1">
      <c r="B338" s="21" t="s">
        <v>2584</v>
      </c>
      <c r="C338" s="22" t="str">
        <f>CONCATENATE(sample_mgmt_sddc_domain,"-operations-proxies")</f>
        <v>sfo-m01-operations-proxies</v>
      </c>
      <c r="D338" s="18" t="str">
        <f>CONCATENATE(mgmt_sddc_domain,"-operations-proxies")</f>
        <v>Value Missing-operations-proxies</v>
      </c>
      <c r="E338" s="53"/>
    </row>
    <row r="339" spans="2:5" ht="20" customHeight="1">
      <c r="B339" s="21" t="s">
        <v>2585</v>
      </c>
      <c r="C339" s="22" t="str">
        <f>CONCATENATE(sample_region_vropsca_ip,",",sample_region_vropscb_ip)</f>
        <v>192.168.31.31,192.168.31.32</v>
      </c>
      <c r="D339" s="18" t="str">
        <f>CONCATENATE(region_vropsca_ip,",",region_vropscb_ip)</f>
        <v>Value Missing,Value Missing</v>
      </c>
      <c r="E339" s="53"/>
    </row>
    <row r="340" spans="2:5" ht="20" customHeight="1">
      <c r="B340" s="21" t="s">
        <v>2586</v>
      </c>
      <c r="C340" s="22" t="str">
        <f>CONCATENATE(sample_mgmt_sddc_domain,"-collector-group")</f>
        <v>sfo-m01-collector-group</v>
      </c>
      <c r="D340" s="18" t="str">
        <f>region_vrops_collector_group_name</f>
        <v>Value Missing</v>
      </c>
      <c r="E340" s="53"/>
    </row>
    <row r="341" spans="2:5" ht="16" customHeight="1"/>
    <row r="342" spans="2:5" ht="34" customHeight="1">
      <c r="B342" s="344" t="s">
        <v>3123</v>
      </c>
      <c r="C342" s="344"/>
      <c r="D342" s="344"/>
      <c r="E342" s="344"/>
    </row>
    <row r="343" spans="2:5" ht="20" customHeight="1">
      <c r="B343" s="8" t="s">
        <v>735</v>
      </c>
      <c r="C343" s="8" t="s">
        <v>554</v>
      </c>
      <c r="D343" s="20" t="s">
        <v>555</v>
      </c>
      <c r="E343" s="8" t="s">
        <v>222</v>
      </c>
    </row>
    <row r="344" spans="2:5" ht="20" customHeight="1">
      <c r="B344" s="21" t="s">
        <v>3369</v>
      </c>
      <c r="C344" s="22" t="str">
        <f>CONCATENATE(sample_xreg_vrops_virtual_hostname,".",sample_parent_dns_zone)</f>
        <v>xint-ops01.rainpole.io</v>
      </c>
      <c r="D344" s="18" t="str">
        <f>xreg_vrops_virtual_fqdn</f>
        <v>Value Missing.Value Missing</v>
      </c>
      <c r="E344" s="53"/>
    </row>
    <row r="345" spans="2:5" ht="20" customHeight="1">
      <c r="B345" s="21" t="s">
        <v>735</v>
      </c>
      <c r="C345" s="22" t="str">
        <f>CONCATENATE(sample_xreg_wsa_virtual_hostname,"-cluster")</f>
        <v>xint-idm01-cluster</v>
      </c>
      <c r="D345" s="18" t="str">
        <f>CONCATENATE(xreg_wsa_virtual_hostname,"-cluster")</f>
        <v>Value Missing-cluster</v>
      </c>
      <c r="E345" s="53"/>
    </row>
    <row r="346" spans="2:5" ht="20" customHeight="1">
      <c r="B346" s="21" t="s">
        <v>2323</v>
      </c>
      <c r="C346" s="22" t="str">
        <f>CONCATENATE(sample_xreg_wsa_virtual_hostname,"-cluster")</f>
        <v>xint-idm01-cluster</v>
      </c>
      <c r="D346" s="18" t="str">
        <f>CONCATENATE(xreg_wsa_virtual_hostname,"-cluster")</f>
        <v>Value Missing-cluster</v>
      </c>
      <c r="E346" s="53"/>
    </row>
    <row r="347" spans="2:5" ht="20" customHeight="1">
      <c r="B347" s="21" t="s">
        <v>2324</v>
      </c>
      <c r="C347" s="22" t="str">
        <f>CONCATENATE(sample_xreg_wsa_virtual_ip,",",sample_xreg_wsa_nodea_ip,",",sample_xreg_wsa_nodeb_ip,",",sample_xreg_wsa_nodec_ip)</f>
        <v>192.168.11.60,192.168.11.61,192.168.11.62,192.168.11.63</v>
      </c>
      <c r="D347" s="18" t="str">
        <f>CONCATENATE(xreg_wsa_virtual_ip,",",xreg_wsa_nodea_ip,",",xreg_wsa_nodeb_ip,",",xreg_wsa_nodec_ip)</f>
        <v>Value Missing,Value Missing,Value Missing,Value Missing</v>
      </c>
      <c r="E347" s="53"/>
    </row>
    <row r="348" spans="2:5" ht="20" customHeight="1">
      <c r="B348" s="21" t="s">
        <v>2322</v>
      </c>
      <c r="C348" s="22" t="str">
        <f>xreg_vrops_default_collector_group</f>
        <v>Default collector group</v>
      </c>
      <c r="D348" s="18" t="str">
        <f>xreg_vrops_default_collector_group</f>
        <v>Default collector group</v>
      </c>
      <c r="E348" s="53"/>
    </row>
    <row r="349" spans="2:5" ht="16" customHeight="1"/>
    <row r="350" spans="2:5" ht="34" customHeight="1">
      <c r="B350" s="344" t="s">
        <v>3236</v>
      </c>
      <c r="C350" s="344"/>
      <c r="D350" s="344"/>
      <c r="E350" s="344"/>
    </row>
    <row r="351" spans="2:5" ht="20" customHeight="1">
      <c r="B351" s="8" t="s">
        <v>735</v>
      </c>
      <c r="C351" s="8" t="s">
        <v>554</v>
      </c>
      <c r="D351" s="20" t="s">
        <v>555</v>
      </c>
      <c r="E351" s="8" t="s">
        <v>222</v>
      </c>
    </row>
    <row r="352" spans="2:5" ht="20" customHeight="1">
      <c r="B352" s="21" t="s">
        <v>3369</v>
      </c>
      <c r="C352" s="22" t="str">
        <f>CONCATENATE(sample_xreg_vrops_virtual_hostname,".",sample_parent_dns_zone)</f>
        <v>xint-ops01.rainpole.io</v>
      </c>
      <c r="D352" s="18" t="str">
        <f>xreg_vrops_virtual_fqdn</f>
        <v>Value Missing.Value Missing</v>
      </c>
      <c r="E352" s="53"/>
    </row>
    <row r="354" spans="2:5" ht="34" customHeight="1">
      <c r="B354" s="552" t="s">
        <v>2386</v>
      </c>
      <c r="C354" s="505"/>
      <c r="D354" s="505"/>
      <c r="E354" s="505"/>
    </row>
    <row r="356" spans="2:5" ht="34" customHeight="1">
      <c r="B356" s="344" t="s">
        <v>3355</v>
      </c>
      <c r="C356" s="344"/>
      <c r="D356" s="344"/>
      <c r="E356" s="344"/>
    </row>
    <row r="357" spans="2:5" ht="20" customHeight="1">
      <c r="B357" s="8" t="s">
        <v>735</v>
      </c>
      <c r="C357" s="8" t="s">
        <v>554</v>
      </c>
      <c r="D357" s="20" t="s">
        <v>555</v>
      </c>
      <c r="E357" s="8" t="s">
        <v>222</v>
      </c>
    </row>
    <row r="358" spans="2:5" ht="20" customHeight="1">
      <c r="B358" s="21" t="s">
        <v>2286</v>
      </c>
      <c r="C358" s="22" t="str">
        <f>CONCATENATE(sample_mgmt_vc_hostname,".",sample_child_dns_zone)</f>
        <v>sfo-m01-vc01.sfo.rainpole.io</v>
      </c>
      <c r="D358" s="18" t="str">
        <f>mgmt_vc_fqdn</f>
        <v>Value Missing.Value Missing</v>
      </c>
      <c r="E358" s="21"/>
    </row>
    <row r="359" spans="2:5" ht="20" customHeight="1">
      <c r="B359" s="21" t="s">
        <v>1806</v>
      </c>
      <c r="C359" s="22" t="str">
        <f>CONCATENATE("svc-",(LEFT(sample_xreg_existing_vrslcm_fqdn,(FIND(".",sample_xreg_existing_vrslcm_fqdn,1)-1))),"-",sample_mgmt_vc_hostname)</f>
        <v>svc-xint-vrslcm01-sfo-m01-vc01</v>
      </c>
      <c r="D359" s="18" t="str">
        <f>CONCATENATE("svc-",IF(xreg_existing_vrslcm_fqdn&lt;&gt;"Value Missing",(LEFT(xreg_existing_vrslcm_fqdn,(FIND(".",xreg_existing_vrslcm_fqdn,1)-1))),"Value Missing"),"-",mgmt_vc_hostname)</f>
        <v>svc-Value Missing-Value Missing</v>
      </c>
      <c r="E359" s="21"/>
    </row>
    <row r="360" spans="2:5" ht="20" customHeight="1">
      <c r="B360" s="21" t="s">
        <v>1796</v>
      </c>
      <c r="C360" s="22" t="str">
        <f>sample_vrslcm_bespoke_svc_vrslcm_vsphere_password</f>
        <v>VMw@re1!</v>
      </c>
      <c r="D360" s="18" t="str">
        <f>vrslcm_bespoke_svc_vrslcm_vsphere_password</f>
        <v>Value Missing</v>
      </c>
      <c r="E360" s="21"/>
    </row>
    <row r="362" spans="2:5" ht="34" customHeight="1">
      <c r="B362" s="344" t="s">
        <v>3356</v>
      </c>
      <c r="C362" s="344"/>
      <c r="D362" s="344"/>
      <c r="E362" s="344"/>
    </row>
    <row r="363" spans="2:5" ht="20" customHeight="1">
      <c r="B363" s="8" t="s">
        <v>735</v>
      </c>
      <c r="C363" s="8" t="s">
        <v>554</v>
      </c>
      <c r="D363" s="20" t="s">
        <v>555</v>
      </c>
      <c r="E363" s="8" t="s">
        <v>222</v>
      </c>
    </row>
    <row r="364" spans="2:5" ht="20" customHeight="1">
      <c r="B364" s="21" t="s">
        <v>2286</v>
      </c>
      <c r="C364" s="22" t="str">
        <f>CONCATENATE(sample_mgmt_vc_hostname,".",sample_child_dns_zone)</f>
        <v>sfo-m01-vc01.sfo.rainpole.io</v>
      </c>
      <c r="D364" s="18" t="str">
        <f>mgmt_vc_fqdn</f>
        <v>Value Missing.Value Missing</v>
      </c>
      <c r="E364" s="21"/>
    </row>
    <row r="365" spans="2:5" ht="20" customHeight="1">
      <c r="B365" s="21" t="s">
        <v>2587</v>
      </c>
      <c r="C365" s="22" t="str">
        <f>CONCATENATE("svc-",(LEFT(sample_xreg_existing_vrslcm_fqdn,(FIND(".",sample_xreg_existing_vrslcm_fqdn,1)-1))),"-",sample_mgmt_vc_hostname)</f>
        <v>svc-xint-vrslcm01-sfo-m01-vc01</v>
      </c>
      <c r="D365" s="18" t="str">
        <f>CONCATENATE("svc-",IF(xreg_existing_vrslcm_fqdn&lt;&gt;"Value Missing",(LEFT(xreg_existing_vrslcm_fqdn,(FIND(".",xreg_existing_vrslcm_fqdn,1)-1))),"Value Missing"),"-",mgmt_vc_hostname)</f>
        <v>svc-Value Missing-Value Missing</v>
      </c>
      <c r="E365" s="21"/>
    </row>
    <row r="366" spans="2:5" ht="20" customHeight="1">
      <c r="B366" s="21" t="s">
        <v>2505</v>
      </c>
      <c r="C366" s="22" t="s">
        <v>3357</v>
      </c>
      <c r="D366" s="18" t="str">
        <f>C366</f>
        <v>VMware Aria Suite Lifecycle to vSphere Integration</v>
      </c>
      <c r="E366" s="21"/>
    </row>
    <row r="367" spans="2:5" ht="16" customHeight="1"/>
    <row r="368" spans="2:5" ht="34" customHeight="1">
      <c r="B368" s="344" t="s">
        <v>3358</v>
      </c>
      <c r="C368" s="344"/>
      <c r="D368" s="344"/>
      <c r="E368" s="344"/>
    </row>
    <row r="369" spans="2:5" ht="20" customHeight="1">
      <c r="B369" s="8" t="s">
        <v>735</v>
      </c>
      <c r="C369" s="8" t="s">
        <v>554</v>
      </c>
      <c r="D369" s="20" t="s">
        <v>555</v>
      </c>
      <c r="E369" s="8" t="s">
        <v>222</v>
      </c>
    </row>
    <row r="370" spans="2:5" ht="20" customHeight="1">
      <c r="B370" s="21" t="s">
        <v>3368</v>
      </c>
      <c r="C370" s="22" t="str">
        <f>sample_xreg_existing_vrslcm_fqdn</f>
        <v>xint-vrslcm01.rainpole.io</v>
      </c>
      <c r="D370" s="18" t="str">
        <f>xreg_existing_vrslcm_fqdn</f>
        <v>Value Missing</v>
      </c>
      <c r="E370" s="53"/>
    </row>
    <row r="371" spans="2:5" ht="20" customHeight="1">
      <c r="B371" s="21" t="s">
        <v>2588</v>
      </c>
      <c r="C371" s="22" t="str">
        <f>CONCATENATE("svc-",(LEFT(sample_xreg_existing_vrslcm_fqdn,(FIND(".",sample_xreg_existing_vrslcm_fqdn,1)-1))),"-",sample_mgmt_vc_hostname)</f>
        <v>svc-xint-vrslcm01-sfo-m01-vc01</v>
      </c>
      <c r="D371" s="18" t="str">
        <f>CONCATENATE("svc-",IF(xreg_existing_vrslcm_fqdn&lt;&gt;"Value Missing",(LEFT(xreg_existing_vrslcm_fqdn,(FIND(".",xreg_existing_vrslcm_fqdn,1)-1))),"Value Missing"),"-",mgmt_vc_hostname)</f>
        <v>svc-Value Missing-Value Missing</v>
      </c>
      <c r="E371" s="53"/>
    </row>
    <row r="372" spans="2:5" ht="20" customHeight="1">
      <c r="B372" s="21" t="s">
        <v>2589</v>
      </c>
      <c r="C372" s="22" t="str">
        <f>sample_vrslcm_bespoke_svc_vrslcm_vsphere_password</f>
        <v>VMw@re1!</v>
      </c>
      <c r="D372" s="18" t="str">
        <f>vrslcm_bespoke_svc_vrslcm_vsphere_password</f>
        <v>Value Missing</v>
      </c>
      <c r="E372" s="53"/>
    </row>
    <row r="373" spans="2:5" ht="20" customHeight="1">
      <c r="B373" s="21" t="s">
        <v>2590</v>
      </c>
      <c r="C373" s="22" t="str">
        <f>CONCATENATE("svc-",(LEFT(sample_xreg_existing_vrslcm_fqdn,(FIND(".",sample_xreg_existing_vrslcm_fqdn,1)-1))),"-",sample_mgmt_vc_hostname,"@vsphere.local")</f>
        <v>svc-xint-vrslcm01-sfo-m01-vc01@vsphere.local</v>
      </c>
      <c r="D373" s="18" t="str">
        <f>CONCATENATE("svc-",IF(xreg_existing_vrslcm_fqdn&lt;&gt;"Value Missing",(LEFT(xreg_existing_vrslcm_fqdn,(FIND(".",xreg_existing_vrslcm_fqdn,1)-1))),"Value Missing"),"-",mgmt_vc_hostname,"@vsphere.local")</f>
        <v>svc-Value Missing-Value Missing@vsphere.local</v>
      </c>
      <c r="E373" s="53"/>
    </row>
    <row r="374" spans="2:5" ht="16" customHeight="1"/>
    <row r="375" spans="2:5" ht="34" customHeight="1">
      <c r="B375" s="344" t="s">
        <v>3359</v>
      </c>
      <c r="C375" s="344"/>
      <c r="D375" s="344"/>
      <c r="E375" s="344"/>
    </row>
    <row r="376" spans="2:5" ht="20" customHeight="1">
      <c r="B376" s="8" t="s">
        <v>735</v>
      </c>
      <c r="C376" s="8" t="s">
        <v>554</v>
      </c>
      <c r="D376" s="20" t="s">
        <v>555</v>
      </c>
      <c r="E376" s="8" t="s">
        <v>222</v>
      </c>
    </row>
    <row r="377" spans="2:5" ht="20" customHeight="1">
      <c r="B377" s="21" t="s">
        <v>3368</v>
      </c>
      <c r="C377" s="22" t="str">
        <f>sample_xreg_existing_vrslcm_fqdn</f>
        <v>xint-vrslcm01.rainpole.io</v>
      </c>
      <c r="D377" s="18" t="str">
        <f>xreg_existing_vrslcm_fqdn</f>
        <v>Value Missing</v>
      </c>
      <c r="E377" s="53"/>
    </row>
    <row r="378" spans="2:5" ht="20" customHeight="1">
      <c r="B378" s="21" t="s">
        <v>2095</v>
      </c>
      <c r="C378" s="22" t="str">
        <f>sample_vrslcm_xreg_dc</f>
        <v>xint-m01-dc01</v>
      </c>
      <c r="D378" s="18" t="str">
        <f>vrslcm_xreg_dc</f>
        <v>Value Missing</v>
      </c>
      <c r="E378" s="21"/>
    </row>
    <row r="379" spans="2:5" ht="20" customHeight="1">
      <c r="B379" s="21" t="s">
        <v>2096</v>
      </c>
      <c r="C379" s="22" t="str">
        <f>sample_mgmt_vc_hostname</f>
        <v>sfo-m01-vc01</v>
      </c>
      <c r="D379" s="18" t="str">
        <f>mgmt_vc_hostname</f>
        <v>Value Missing</v>
      </c>
      <c r="E379" s="21"/>
    </row>
    <row r="380" spans="2:5" ht="20" customHeight="1">
      <c r="B380" s="21" t="s">
        <v>2097</v>
      </c>
      <c r="C380" s="22" t="str">
        <f>CONCATENATE(sample_mgmt_vc_hostname,".",sample_child_dns_zone)</f>
        <v>sfo-m01-vc01.sfo.rainpole.io</v>
      </c>
      <c r="D380" s="18" t="str">
        <f>mgmt_vc_fqdn</f>
        <v>Value Missing.Value Missing</v>
      </c>
      <c r="E380" s="21"/>
    </row>
    <row r="381" spans="2:5" ht="20" customHeight="1">
      <c r="B381" s="21" t="s">
        <v>2098</v>
      </c>
      <c r="C381" s="22" t="str">
        <f>CONCATENATE("svc-",(LEFT(sample_xreg_existing_vrslcm_fqdn,(FIND(".",sample_xreg_existing_vrslcm_fqdn,1)-1))),"-",sample_mgmt_vc_hostname)</f>
        <v>svc-xint-vrslcm01-sfo-m01-vc01</v>
      </c>
      <c r="D381" s="18" t="str">
        <f>CONCATENATE("svc-",IF(xreg_existing_vrslcm_fqdn&lt;&gt;"Value Missing",(LEFT(xreg_existing_vrslcm_fqdn,(FIND(".",xreg_existing_vrslcm_fqdn,1)-1))),"Value Missing"),"-",mgmt_vc_hostname)</f>
        <v>svc-Value Missing-Value Missing</v>
      </c>
      <c r="E381" s="21"/>
    </row>
    <row r="382" spans="2:5" ht="16" customHeight="1"/>
    <row r="383" spans="2:5" ht="34" customHeight="1">
      <c r="B383" s="344" t="s">
        <v>3360</v>
      </c>
      <c r="C383" s="344"/>
      <c r="D383" s="344"/>
      <c r="E383" s="344"/>
    </row>
    <row r="384" spans="2:5" ht="20" customHeight="1">
      <c r="B384" s="8" t="s">
        <v>735</v>
      </c>
      <c r="C384" s="8" t="s">
        <v>554</v>
      </c>
      <c r="D384" s="20" t="s">
        <v>555</v>
      </c>
      <c r="E384" s="8" t="s">
        <v>222</v>
      </c>
    </row>
    <row r="385" spans="2:5" ht="20" customHeight="1">
      <c r="B385" s="21" t="s">
        <v>3368</v>
      </c>
      <c r="C385" s="22" t="str">
        <f>sample_xreg_existing_vrslcm_fqdn</f>
        <v>xint-vrslcm01.rainpole.io</v>
      </c>
      <c r="D385" s="18" t="str">
        <f>xreg_existing_vrslcm_fqdn</f>
        <v>Value Missing</v>
      </c>
      <c r="E385" s="53"/>
    </row>
    <row r="386" spans="2:5" ht="20" customHeight="1">
      <c r="B386" s="26" t="s">
        <v>2591</v>
      </c>
      <c r="C386" s="22" t="str">
        <f>sample_region_vropsca_hostname</f>
        <v>sfo-ops-pxy01a</v>
      </c>
      <c r="D386" s="18" t="str">
        <f>region_vropsca_hostname</f>
        <v>Value Missing</v>
      </c>
      <c r="E386" s="53"/>
    </row>
    <row r="387" spans="2:5" ht="20" customHeight="1">
      <c r="B387" s="26" t="s">
        <v>2592</v>
      </c>
      <c r="C387" s="22" t="str">
        <f>CONCATENATE(sample_region_vropsca_hostname,".",sample_child_dns_zone)</f>
        <v>sfo-ops-pxy01a.sfo.rainpole.io</v>
      </c>
      <c r="D387" s="18" t="str">
        <f>region_vropsca_fqdn</f>
        <v>Value Missing.Value Missing</v>
      </c>
      <c r="E387" s="53"/>
    </row>
    <row r="388" spans="2:5" ht="20" customHeight="1">
      <c r="B388" s="26" t="s">
        <v>2593</v>
      </c>
      <c r="C388" s="22" t="str">
        <f>sample_region_vropsca_ip</f>
        <v>192.168.31.31</v>
      </c>
      <c r="D388" s="18" t="str">
        <f>region_vropsca_ip</f>
        <v>Value Missing</v>
      </c>
      <c r="E388" s="53"/>
    </row>
    <row r="389" spans="2:5" ht="20" customHeight="1">
      <c r="B389" s="26" t="s">
        <v>2594</v>
      </c>
      <c r="C389" s="22" t="str">
        <f>sample_xreg_vrops_rc_size</f>
        <v>Small</v>
      </c>
      <c r="D389" s="18" t="str">
        <f>xreg_vrops_rc_size</f>
        <v>Small</v>
      </c>
      <c r="E389" s="53"/>
    </row>
    <row r="390" spans="2:5" ht="20" customHeight="1">
      <c r="B390" s="21" t="s">
        <v>2595</v>
      </c>
      <c r="C390" s="22" t="str">
        <f>CONCATENATE(sample_mgmt_vc_hostname,".",sample_child_dns_zone)</f>
        <v>sfo-m01-vc01.sfo.rainpole.io</v>
      </c>
      <c r="D390" s="18" t="str">
        <f>mgmt_vc_fqdn</f>
        <v>Value Missing.Value Missing</v>
      </c>
      <c r="E390" s="53"/>
    </row>
    <row r="391" spans="2:5" ht="20" customHeight="1">
      <c r="B391" s="21" t="s">
        <v>2596</v>
      </c>
      <c r="C391" s="22" t="str">
        <f>CONCATENATE(sample_mgmt_datacenter,"#",sample_mgmt_cl01_cluster)</f>
        <v>sfo-m01-dc01#sfo-m01-cl01</v>
      </c>
      <c r="D391" s="18" t="str">
        <f>CONCATENATE(mgmt_datacenter,"#",mgmt_cl01_cluster)</f>
        <v>Value Missing#Value Missing</v>
      </c>
      <c r="E391" s="53"/>
    </row>
    <row r="392" spans="2:5" ht="20" customHeight="1">
      <c r="B392" s="26" t="s">
        <v>2597</v>
      </c>
      <c r="C392" s="22" t="str">
        <f>sample_reg_seg01_name</f>
        <v>sfo-m01-seg01</v>
      </c>
      <c r="D392" s="18" t="str">
        <f>reg_seg01_name</f>
        <v>Value Missing</v>
      </c>
      <c r="E392" s="53"/>
    </row>
    <row r="393" spans="2:5" ht="20" customHeight="1">
      <c r="B393" s="26" t="s">
        <v>2598</v>
      </c>
      <c r="C393" s="22" t="str">
        <f>sample_mgmt_cl01_vsan_datastore</f>
        <v>sfo-m01-cl01-ds-vsan01</v>
      </c>
      <c r="D393" s="18" t="str">
        <f>mgmt_cl01_vsan_datastore</f>
        <v>Value Missing</v>
      </c>
      <c r="E393" s="53"/>
    </row>
    <row r="394" spans="2:5" ht="20" customHeight="1">
      <c r="B394" s="26" t="s">
        <v>2599</v>
      </c>
      <c r="C394" s="22" t="str">
        <f>sample_reg_seg01_gateway_ip</f>
        <v>N/A</v>
      </c>
      <c r="D394" s="18" t="str">
        <f>reg_seg01_gateway_ip</f>
        <v>Value Missing</v>
      </c>
      <c r="E394" s="53"/>
    </row>
    <row r="395" spans="2:5" ht="20" customHeight="1">
      <c r="B395" s="26" t="s">
        <v>2600</v>
      </c>
      <c r="C395" s="22" t="str">
        <f>sample_region_ad_child_fqdn</f>
        <v>sfo.rainpole.io</v>
      </c>
      <c r="D395" s="18" t="str">
        <f>region_ad_child_fqdn</f>
        <v>Value Missing</v>
      </c>
      <c r="E395" s="53"/>
    </row>
    <row r="396" spans="2:5" ht="20" customHeight="1">
      <c r="B396" s="26" t="s">
        <v>2601</v>
      </c>
      <c r="C396" s="22" t="str">
        <f>CONCATENATE(sample_child_dns_zone,",",sample_parent_dns_zone)</f>
        <v>sfo.rainpole.io,rainpole.io</v>
      </c>
      <c r="D396" s="18" t="str">
        <f>CONCATENATE(child_dns_zone,",",parent_dns_zone)</f>
        <v>Value Missing,Value Missing</v>
      </c>
      <c r="E396" s="53"/>
    </row>
    <row r="397" spans="2:5" ht="20" customHeight="1">
      <c r="B397" s="26" t="s">
        <v>2602</v>
      </c>
      <c r="C397" s="22" t="str">
        <f>CONCATENATE(sample_region_dns2_ip,",",sample_region_dns1_ip)</f>
        <v>10.11.10.5,10.11.10.4</v>
      </c>
      <c r="D397" s="18" t="str">
        <f>CONCATENATE(IF(ISBLANK(input_region_dns2_ip),"Value Missing",region_dns2_ip),",",IF(ISBLANK(input_region_dns1_ip),"Value Missing",region_dns1_ip))</f>
        <v>Value Missing,Value Missing</v>
      </c>
      <c r="E397" s="53"/>
    </row>
    <row r="398" spans="2:5" ht="20" customHeight="1">
      <c r="B398" s="26" t="s">
        <v>2603</v>
      </c>
      <c r="C398" s="22" t="str">
        <f>sample_region_vropscb_hostname</f>
        <v>sfo-ops-pxy01b</v>
      </c>
      <c r="D398" s="18" t="str">
        <f>region_vropscb_hostname</f>
        <v>Value Missing</v>
      </c>
      <c r="E398" s="53"/>
    </row>
    <row r="399" spans="2:5" ht="20" customHeight="1">
      <c r="B399" s="26" t="s">
        <v>2604</v>
      </c>
      <c r="C399" s="22" t="str">
        <f>CONCATENATE(sample_region_vropscb_hostname,".",sample_child_dns_zone)</f>
        <v>sfo-ops-pxy01b.sfo.rainpole.io</v>
      </c>
      <c r="D399" s="18" t="str">
        <f>region_vropscb_fqdn</f>
        <v>Value Missing.Value Missing</v>
      </c>
      <c r="E399" s="53"/>
    </row>
    <row r="400" spans="2:5" ht="20" customHeight="1">
      <c r="B400" s="26" t="s">
        <v>2605</v>
      </c>
      <c r="C400" s="22" t="str">
        <f>sample_region_vropscb_ip</f>
        <v>192.168.31.32</v>
      </c>
      <c r="D400" s="18" t="str">
        <f>region_vropscb_ip</f>
        <v>Value Missing</v>
      </c>
      <c r="E400" s="53"/>
    </row>
    <row r="401" spans="2:5" ht="20" customHeight="1">
      <c r="B401" s="26" t="s">
        <v>2606</v>
      </c>
      <c r="C401" s="22" t="str">
        <f>sample_xreg_vrops_rc_size</f>
        <v>Small</v>
      </c>
      <c r="D401" s="18" t="str">
        <f>xreg_vrops_rc_size</f>
        <v>Small</v>
      </c>
      <c r="E401" s="53"/>
    </row>
    <row r="402" spans="2:5" ht="20" customHeight="1">
      <c r="B402" s="21" t="s">
        <v>2607</v>
      </c>
      <c r="C402" s="22" t="str">
        <f>CONCATENATE(sample_mgmt_vc_hostname,".",sample_child_dns_zone)</f>
        <v>sfo-m01-vc01.sfo.rainpole.io</v>
      </c>
      <c r="D402" s="18" t="str">
        <f>mgmt_vc_fqdn</f>
        <v>Value Missing.Value Missing</v>
      </c>
      <c r="E402" s="53"/>
    </row>
    <row r="403" spans="2:5" ht="20" customHeight="1">
      <c r="B403" s="21" t="s">
        <v>2608</v>
      </c>
      <c r="C403" s="22" t="str">
        <f>CONCATENATE(sample_mgmt_datacenter,"#",sample_mgmt_cl01_cluster)</f>
        <v>sfo-m01-dc01#sfo-m01-cl01</v>
      </c>
      <c r="D403" s="18" t="str">
        <f>CONCATENATE(mgmt_datacenter,"#",mgmt_cl01_cluster)</f>
        <v>Value Missing#Value Missing</v>
      </c>
      <c r="E403" s="53"/>
    </row>
    <row r="404" spans="2:5" ht="20" customHeight="1">
      <c r="B404" s="26" t="s">
        <v>2609</v>
      </c>
      <c r="C404" s="22" t="str">
        <f>sample_reg_seg01_name</f>
        <v>sfo-m01-seg01</v>
      </c>
      <c r="D404" s="18" t="str">
        <f>reg_seg01_name</f>
        <v>Value Missing</v>
      </c>
      <c r="E404" s="53"/>
    </row>
    <row r="405" spans="2:5" ht="20" customHeight="1">
      <c r="B405" s="26" t="s">
        <v>2610</v>
      </c>
      <c r="C405" s="22" t="str">
        <f>sample_mgmt_cl01_vsan_datastore</f>
        <v>sfo-m01-cl01-ds-vsan01</v>
      </c>
      <c r="D405" s="18" t="str">
        <f>mgmt_cl01_vsan_datastore</f>
        <v>Value Missing</v>
      </c>
      <c r="E405" s="53"/>
    </row>
    <row r="406" spans="2:5" ht="20" customHeight="1">
      <c r="B406" s="26" t="s">
        <v>2611</v>
      </c>
      <c r="C406" s="22" t="str">
        <f>sample_reg_seg01_gateway_ip</f>
        <v>N/A</v>
      </c>
      <c r="D406" s="18" t="str">
        <f>reg_seg01_gateway_ip</f>
        <v>Value Missing</v>
      </c>
      <c r="E406" s="53"/>
    </row>
    <row r="407" spans="2:5" ht="20" customHeight="1">
      <c r="B407" s="26" t="s">
        <v>2612</v>
      </c>
      <c r="C407" s="22" t="str">
        <f>sample_region_ad_child_fqdn</f>
        <v>sfo.rainpole.io</v>
      </c>
      <c r="D407" s="18" t="str">
        <f>region_ad_child_fqdn</f>
        <v>Value Missing</v>
      </c>
      <c r="E407" s="53"/>
    </row>
    <row r="408" spans="2:5" ht="20" customHeight="1">
      <c r="B408" s="26" t="s">
        <v>2613</v>
      </c>
      <c r="C408" s="22" t="str">
        <f>CONCATENATE(sample_child_dns_zone,",",sample_parent_dns_zone)</f>
        <v>sfo.rainpole.io,rainpole.io</v>
      </c>
      <c r="D408" s="18" t="str">
        <f>CONCATENATE(child_dns_zone,",",parent_dns_zone)</f>
        <v>Value Missing,Value Missing</v>
      </c>
      <c r="E408" s="53"/>
    </row>
    <row r="409" spans="2:5" ht="20" customHeight="1">
      <c r="B409" s="26" t="s">
        <v>2614</v>
      </c>
      <c r="C409" s="22" t="str">
        <f>CONCATENATE(sample_region_dns2_ip,",",sample_region_dns1_ip)</f>
        <v>10.11.10.5,10.11.10.4</v>
      </c>
      <c r="D409" s="18" t="str">
        <f>CONCATENATE(IF(ISBLANK(input_region_dns2_ip),"Value Missing",region_dns2_ip),",",IF(ISBLANK(input_region_dns1_ip),"Value Missing",region_dns1_ip))</f>
        <v>Value Missing,Value Missing</v>
      </c>
      <c r="E409" s="53"/>
    </row>
    <row r="410" spans="2:5" ht="16" customHeight="1"/>
    <row r="411" spans="2:5" ht="34" customHeight="1">
      <c r="B411" s="486" t="s">
        <v>3237</v>
      </c>
      <c r="C411" s="344"/>
      <c r="D411" s="344"/>
      <c r="E411" s="344"/>
    </row>
    <row r="412" spans="2:5" ht="20" customHeight="1">
      <c r="B412" s="8" t="s">
        <v>735</v>
      </c>
      <c r="C412" s="8" t="s">
        <v>554</v>
      </c>
      <c r="D412" s="20" t="s">
        <v>555</v>
      </c>
      <c r="E412" s="8" t="s">
        <v>222</v>
      </c>
    </row>
    <row r="413" spans="2:5" ht="20" customHeight="1">
      <c r="B413" s="21" t="s">
        <v>2286</v>
      </c>
      <c r="C413" s="22" t="str">
        <f>CONCATENATE(sample_mgmt_vc_hostname,".",sample_child_dns_zone)</f>
        <v>sfo-m01-vc01.sfo.rainpole.io</v>
      </c>
      <c r="D413" s="18" t="str">
        <f>mgmt_vc_fqdn</f>
        <v>Value Missing.Value Missing</v>
      </c>
      <c r="E413" s="53"/>
    </row>
    <row r="414" spans="2:5" ht="20" customHeight="1">
      <c r="B414" s="21" t="s">
        <v>841</v>
      </c>
      <c r="C414" s="22" t="str">
        <f>sample_mgmt_datacenter</f>
        <v>sfo-m01-dc01</v>
      </c>
      <c r="D414" s="18" t="str">
        <f>mgmt_datacenter</f>
        <v>Value Missing</v>
      </c>
      <c r="E414" s="53"/>
    </row>
    <row r="415" spans="2:5" ht="20" customHeight="1">
      <c r="B415" s="26" t="s">
        <v>2556</v>
      </c>
      <c r="C415" s="22" t="str">
        <f>sample_region_vropsca_hostname</f>
        <v>sfo-ops-pxy01a</v>
      </c>
      <c r="D415" s="18" t="str">
        <f>region_vropsca_hostname</f>
        <v>Value Missing</v>
      </c>
      <c r="E415" s="53"/>
    </row>
    <row r="416" spans="2:5" ht="20" customHeight="1">
      <c r="B416" s="26" t="s">
        <v>2557</v>
      </c>
      <c r="C416" s="22" t="str">
        <f>sample_region_vropscb_hostname</f>
        <v>sfo-ops-pxy01b</v>
      </c>
      <c r="D416" s="18" t="str">
        <f>region_vropscb_hostname</f>
        <v>Value Missing</v>
      </c>
      <c r="E416" s="53"/>
    </row>
    <row r="417" spans="2:5" ht="20" customHeight="1">
      <c r="B417" s="26" t="s">
        <v>2507</v>
      </c>
      <c r="C417" s="22" t="str">
        <f>CONCATENATE(sample_mgmt_sddc_domain,"-fd-vropsrc")</f>
        <v>sfo-m01-fd-vropsrc</v>
      </c>
      <c r="D417" s="18" t="str">
        <f>region_vrops_collector_vm_folder</f>
        <v>Value Missing-fd-operations</v>
      </c>
      <c r="E417" s="53"/>
    </row>
    <row r="418" spans="2:5" ht="16" customHeight="1"/>
    <row r="419" spans="2:5" ht="34" customHeight="1">
      <c r="B419" s="344" t="s">
        <v>3238</v>
      </c>
      <c r="C419" s="344"/>
      <c r="D419" s="344"/>
      <c r="E419" s="344"/>
    </row>
    <row r="420" spans="2:5" ht="20" customHeight="1">
      <c r="B420" s="8" t="s">
        <v>735</v>
      </c>
      <c r="C420" s="8" t="s">
        <v>554</v>
      </c>
      <c r="D420" s="20" t="s">
        <v>555</v>
      </c>
      <c r="E420" s="8" t="s">
        <v>222</v>
      </c>
    </row>
    <row r="421" spans="2:5" ht="20" customHeight="1">
      <c r="B421" s="21" t="s">
        <v>2286</v>
      </c>
      <c r="C421" s="22" t="str">
        <f>CONCATENATE(sample_mgmt_vc_hostname,".",sample_child_dns_zone)</f>
        <v>sfo-m01-vc01.sfo.rainpole.io</v>
      </c>
      <c r="D421" s="18" t="str">
        <f>mgmt_vc_fqdn</f>
        <v>Value Missing.Value Missing</v>
      </c>
      <c r="E421" s="53"/>
    </row>
    <row r="422" spans="2:5" ht="20" customHeight="1">
      <c r="B422" s="21" t="s">
        <v>841</v>
      </c>
      <c r="C422" s="22" t="str">
        <f>sample_mgmt_datacenter</f>
        <v>sfo-m01-dc01</v>
      </c>
      <c r="D422" s="18" t="str">
        <f>mgmt_datacenter</f>
        <v>Value Missing</v>
      </c>
      <c r="E422" s="53"/>
    </row>
    <row r="423" spans="2:5" ht="20" customHeight="1">
      <c r="B423" s="26" t="s">
        <v>843</v>
      </c>
      <c r="C423" s="22" t="str">
        <f>sample_mgmt_cl01_cluster</f>
        <v>sfo-m01-cl01</v>
      </c>
      <c r="D423" s="18" t="str">
        <f>mgmt_cl01_cluster</f>
        <v>Value Missing</v>
      </c>
      <c r="E423" s="53"/>
    </row>
    <row r="424" spans="2:5" ht="20" customHeight="1">
      <c r="B424" s="21" t="s">
        <v>735</v>
      </c>
      <c r="C424" s="22" t="str">
        <f>CONCATENATE(sample_mgmt_cl01_cluster,"_primary-az-vmgroup")</f>
        <v>sfo-m01-cl01_primary-az-vmgroup</v>
      </c>
      <c r="D424" s="18" t="str">
        <f>CONCATENATE(mgmt_cl01_cluster,"_primary-az-vmgroup")</f>
        <v>Value Missing_primary-az-vmgroup</v>
      </c>
      <c r="E424" s="71"/>
    </row>
    <row r="425" spans="2:5" ht="20" customHeight="1">
      <c r="B425" s="26" t="s">
        <v>2410</v>
      </c>
      <c r="C425" s="22" t="str">
        <f>sample_region_vropsca_hostname</f>
        <v>sfo-ops-pxy01a</v>
      </c>
      <c r="D425" s="18" t="str">
        <f>region_vropsca_hostname</f>
        <v>Value Missing</v>
      </c>
      <c r="E425" s="53"/>
    </row>
    <row r="426" spans="2:5" ht="20" customHeight="1">
      <c r="B426" s="21" t="s">
        <v>2410</v>
      </c>
      <c r="C426" s="22" t="str">
        <f>sample_region_vropscb_hostname</f>
        <v>sfo-ops-pxy01b</v>
      </c>
      <c r="D426" s="18" t="str">
        <f>region_vropscb_hostname</f>
        <v>Value Missing</v>
      </c>
      <c r="E426" s="53"/>
    </row>
    <row r="427" spans="2:5" ht="16" customHeight="1"/>
    <row r="428" spans="2:5" ht="34" customHeight="1">
      <c r="B428" s="344" t="s">
        <v>3406</v>
      </c>
      <c r="C428" s="344"/>
      <c r="D428" s="344"/>
      <c r="E428" s="344"/>
    </row>
    <row r="429" spans="2:5" ht="20" customHeight="1">
      <c r="B429" s="8" t="s">
        <v>735</v>
      </c>
      <c r="C429" s="8" t="s">
        <v>554</v>
      </c>
      <c r="D429" s="20" t="s">
        <v>555</v>
      </c>
      <c r="E429" s="8" t="s">
        <v>222</v>
      </c>
    </row>
    <row r="430" spans="2:5" ht="20" customHeight="1">
      <c r="B430" s="21" t="s">
        <v>2286</v>
      </c>
      <c r="C430" s="22" t="str">
        <f>CONCATENATE(sample_mgmt_vc_hostname,".",sample_child_dns_zone)</f>
        <v>sfo-m01-vc01.sfo.rainpole.io</v>
      </c>
      <c r="D430" s="18" t="str">
        <f>mgmt_vc_fqdn</f>
        <v>Value Missing.Value Missing</v>
      </c>
      <c r="E430" s="53"/>
    </row>
    <row r="431" spans="2:5" ht="20" customHeight="1">
      <c r="B431" s="21" t="s">
        <v>841</v>
      </c>
      <c r="C431" s="22" t="str">
        <f>sample_mgmt_datacenter</f>
        <v>sfo-m01-dc01</v>
      </c>
      <c r="D431" s="18" t="str">
        <f>mgmt_datacenter</f>
        <v>Value Missing</v>
      </c>
      <c r="E431" s="53"/>
    </row>
    <row r="432" spans="2:5" ht="20" customHeight="1">
      <c r="B432" s="26" t="s">
        <v>843</v>
      </c>
      <c r="C432" s="22" t="str">
        <f>sample_mgmt_cl01_cluster</f>
        <v>sfo-m01-cl01</v>
      </c>
      <c r="D432" s="18" t="str">
        <f>mgmt_cl01_cluster</f>
        <v>Value Missing</v>
      </c>
      <c r="E432" s="53"/>
    </row>
    <row r="433" spans="2:5" ht="20" customHeight="1">
      <c r="B433" s="26" t="s">
        <v>735</v>
      </c>
      <c r="C433" s="22" t="s">
        <v>2558</v>
      </c>
      <c r="D433" s="18" t="str">
        <f>C433</f>
        <v>anti-affinity-rule-vropsrc</v>
      </c>
      <c r="E433" s="53"/>
    </row>
    <row r="434" spans="2:5" ht="20" customHeight="1">
      <c r="B434" s="21" t="s">
        <v>2410</v>
      </c>
      <c r="C434" s="22" t="str">
        <f>sample_region_vropsca_hostname</f>
        <v>sfo-ops-pxy01a</v>
      </c>
      <c r="D434" s="18" t="str">
        <f>region_vropsca_hostname</f>
        <v>Value Missing</v>
      </c>
      <c r="E434" s="53"/>
    </row>
    <row r="435" spans="2:5" ht="20" customHeight="1">
      <c r="B435" s="21" t="s">
        <v>2410</v>
      </c>
      <c r="C435" s="22" t="str">
        <f>sample_region_vropscb_hostname</f>
        <v>sfo-ops-pxy01b</v>
      </c>
      <c r="D435" s="18" t="str">
        <f>region_vropscb_hostname</f>
        <v>Value Missing</v>
      </c>
      <c r="E435" s="53"/>
    </row>
    <row r="436" spans="2:5" ht="16" customHeight="1"/>
    <row r="437" spans="2:5" ht="34" customHeight="1">
      <c r="B437" s="344" t="s">
        <v>3407</v>
      </c>
      <c r="C437" s="344"/>
      <c r="D437" s="344"/>
      <c r="E437" s="344"/>
    </row>
    <row r="438" spans="2:5" ht="20" customHeight="1">
      <c r="B438" s="8" t="s">
        <v>735</v>
      </c>
      <c r="C438" s="8" t="s">
        <v>554</v>
      </c>
      <c r="D438" s="20" t="s">
        <v>555</v>
      </c>
      <c r="E438" s="8" t="s">
        <v>222</v>
      </c>
    </row>
    <row r="439" spans="2:5" ht="20" customHeight="1">
      <c r="B439" s="21" t="s">
        <v>3369</v>
      </c>
      <c r="C439" s="22" t="str">
        <f>CONCATENATE(sample_xreg_vrops_virtual_hostname,".",sample_parent_dns_zone)</f>
        <v>xint-ops01.rainpole.io</v>
      </c>
      <c r="D439" s="18" t="str">
        <f>xreg_vrops_existing_virtual_server_fqdn</f>
        <v>Value Missing</v>
      </c>
      <c r="E439" s="53"/>
    </row>
    <row r="440" spans="2:5" ht="20" customHeight="1">
      <c r="B440" s="21" t="s">
        <v>735</v>
      </c>
      <c r="C440" s="22" t="str">
        <f>CONCATENATE(sample_mgmt_sddc_domain,"-collector-group")</f>
        <v>sfo-m01-collector-group</v>
      </c>
      <c r="D440" s="18" t="str">
        <f>CONCATENATE(mgmt_sddc_domain,"-collector-group")</f>
        <v>Value Missing-collector-group</v>
      </c>
      <c r="E440" s="53"/>
    </row>
    <row r="441" spans="2:5" ht="20" customHeight="1">
      <c r="B441" s="21" t="s">
        <v>2410</v>
      </c>
      <c r="C441" s="22" t="str">
        <f>sample_region_vropsca_hostname</f>
        <v>sfo-ops-pxy01a</v>
      </c>
      <c r="D441" s="18" t="str">
        <f>region_vropsca_hostname</f>
        <v>Value Missing</v>
      </c>
      <c r="E441" s="176" t="s">
        <v>4916</v>
      </c>
    </row>
    <row r="442" spans="2:5" ht="20" customHeight="1">
      <c r="B442" s="21" t="s">
        <v>2410</v>
      </c>
      <c r="C442" s="22" t="str">
        <f>sample_region_vropscb_hostname</f>
        <v>sfo-ops-pxy01b</v>
      </c>
      <c r="D442" s="18" t="str">
        <f>region_vropscb_hostname</f>
        <v>Value Missing</v>
      </c>
      <c r="E442" s="176" t="s">
        <v>4916</v>
      </c>
    </row>
    <row r="443" spans="2:5" ht="16" customHeight="1"/>
    <row r="444" spans="2:5" ht="34" customHeight="1">
      <c r="B444" s="344" t="s">
        <v>4910</v>
      </c>
      <c r="C444" s="344"/>
      <c r="D444" s="344"/>
      <c r="E444" s="344"/>
    </row>
    <row r="445" spans="2:5" ht="20" customHeight="1">
      <c r="B445" s="8" t="s">
        <v>735</v>
      </c>
      <c r="C445" s="8" t="s">
        <v>554</v>
      </c>
      <c r="D445" s="20" t="s">
        <v>555</v>
      </c>
      <c r="E445" s="8" t="s">
        <v>222</v>
      </c>
    </row>
    <row r="446" spans="2:5" ht="20" customHeight="1">
      <c r="B446" s="21" t="s">
        <v>3369</v>
      </c>
      <c r="C446" s="22" t="str">
        <f>CONCATENATE(sample_xreg_vrops_virtual_hostname,".",sample_parent_dns_zone)</f>
        <v>xint-ops01.rainpole.io</v>
      </c>
      <c r="D446" s="18" t="str">
        <f>xreg_vrops_existing_virtual_server_fqdn</f>
        <v>Value Missing</v>
      </c>
      <c r="E446" s="53"/>
    </row>
    <row r="447" spans="2:5" ht="20" customHeight="1">
      <c r="B447" s="21" t="s">
        <v>2623</v>
      </c>
      <c r="C447" s="22" t="str">
        <f>CONCATENATE("NSX Adapter for ",sample_mgmt_nsxt_hostname,".",sample_child_dns_zone)</f>
        <v>NSX Adapter for sfo-m01-nsx01.sfo.rainpole.io</v>
      </c>
      <c r="D447" s="18" t="str">
        <f>CONCATENATE("NSX Adapter for ",mgmt_nsxt_vip_fqdn)</f>
        <v>NSX Adapter for Value Missing.Value Missing</v>
      </c>
      <c r="E447" s="53"/>
    </row>
    <row r="448" spans="2:5" ht="20" customHeight="1">
      <c r="B448" s="21" t="s">
        <v>4911</v>
      </c>
      <c r="C448" s="22" t="str">
        <f>CONCATENATE(sample_mgmt_nsxt_hostname,".",sample_child_dns_zone)</f>
        <v>sfo-m01-nsx01.sfo.rainpole.io</v>
      </c>
      <c r="D448" s="18" t="str">
        <f>mgmt_nsxt_vip_fqdn</f>
        <v>Value Missing.Value Missing</v>
      </c>
      <c r="E448" s="53"/>
    </row>
    <row r="449" spans="2:5" ht="20" customHeight="1">
      <c r="B449" s="21" t="s">
        <v>2616</v>
      </c>
      <c r="C449" s="22" t="str">
        <f>CONCATENATE("NSX-Credential for ",sample_mgmt_nsxt_hostname)</f>
        <v>NSX-Credential for sfo-m01-nsx01</v>
      </c>
      <c r="D449" s="18" t="str">
        <f>CONCATENATE("NSX-Credential for ",mgmt_nsxt_hostname)</f>
        <v>NSX-Credential for Value Missing</v>
      </c>
      <c r="E449" s="53"/>
    </row>
    <row r="450" spans="2:5" ht="20" customHeight="1">
      <c r="B450" s="21" t="s">
        <v>2617</v>
      </c>
      <c r="C450" s="22" t="s">
        <v>746</v>
      </c>
      <c r="D450" s="18" t="str">
        <f>C450</f>
        <v>admin</v>
      </c>
      <c r="E450" s="53"/>
    </row>
    <row r="451" spans="2:5" ht="20" customHeight="1">
      <c r="B451" s="21" t="s">
        <v>2618</v>
      </c>
      <c r="C451" s="22" t="str">
        <f>sample_nsxt_lm_admin_password</f>
        <v>VMw@re1!VMw@re1!</v>
      </c>
      <c r="D451" s="18" t="str">
        <f>svc_vrops_nsx_password</f>
        <v>Value Missing</v>
      </c>
      <c r="E451" s="53"/>
    </row>
    <row r="452" spans="2:5" ht="20" customHeight="1">
      <c r="B452" s="21" t="s">
        <v>2619</v>
      </c>
      <c r="C452" s="22" t="str">
        <f>CONCATENATE(sample_mgmt_sddc_domain,"-collector-group")</f>
        <v>sfo-m01-collector-group</v>
      </c>
      <c r="D452" s="18" t="str">
        <f>CONCATENATE(mgmt_sddc_domain,"-collector-group")</f>
        <v>Value Missing-collector-group</v>
      </c>
      <c r="E452" s="53"/>
    </row>
    <row r="453" spans="2:5" ht="20" customHeight="1">
      <c r="B453" s="21" t="s">
        <v>2624</v>
      </c>
      <c r="C453" s="22" t="str">
        <f>CONCATENATE("NSX Adapter for ",sample_wld_nsxt_hostname,".",sample_child_dns_zone)</f>
        <v>NSX Adapter for sfo-w01-nsx01.sfo.rainpole.io</v>
      </c>
      <c r="D453" s="18" t="str">
        <f>CONCATENATE("NSX Adapter for ",wld_nsxt_vip_fqdn)</f>
        <v>NSX Adapter for Value Missing.Value Missing</v>
      </c>
      <c r="E453" s="53"/>
    </row>
    <row r="454" spans="2:5" ht="20" customHeight="1">
      <c r="B454" s="21" t="s">
        <v>4912</v>
      </c>
      <c r="C454" s="22" t="str">
        <f>CONCATENATE(sample_wld_nsxt_hostname,".",sample_child_dns_zone)</f>
        <v>sfo-w01-nsx01.sfo.rainpole.io</v>
      </c>
      <c r="D454" s="18" t="str">
        <f>wld_nsxt_vip_fqdn</f>
        <v>Value Missing.Value Missing</v>
      </c>
      <c r="E454" s="53"/>
    </row>
    <row r="455" spans="2:5" ht="20" customHeight="1">
      <c r="B455" s="21" t="s">
        <v>2620</v>
      </c>
      <c r="C455" s="22" t="str">
        <f>CONCATENATE("NSX-Credential for ",sample_wld_nsxt_hostname)</f>
        <v>NSX-Credential for sfo-w01-nsx01</v>
      </c>
      <c r="D455" s="18" t="str">
        <f>CONCATENATE("NSX-Credential for ",wld_nsxt_hostname)</f>
        <v>NSX-Credential for Value Missing</v>
      </c>
      <c r="E455" s="53"/>
    </row>
    <row r="456" spans="2:5" ht="20" customHeight="1">
      <c r="B456" s="21" t="s">
        <v>2621</v>
      </c>
      <c r="C456" s="22" t="s">
        <v>746</v>
      </c>
      <c r="D456" s="18" t="str">
        <f>C456</f>
        <v>admin</v>
      </c>
      <c r="E456" s="53"/>
    </row>
    <row r="457" spans="2:5" ht="20" customHeight="1">
      <c r="B457" s="21" t="s">
        <v>2625</v>
      </c>
      <c r="C457" s="22" t="str">
        <f>sample_nsxt_lm_admin_password</f>
        <v>VMw@re1!VMw@re1!</v>
      </c>
      <c r="D457" s="18" t="str">
        <f>svc_vrops_nsx_password</f>
        <v>Value Missing</v>
      </c>
      <c r="E457" s="53"/>
    </row>
    <row r="458" spans="2:5" ht="20" customHeight="1">
      <c r="B458" s="21" t="s">
        <v>2622</v>
      </c>
      <c r="C458" s="22" t="str">
        <f>CONCATENATE(sample_mgmt_sddc_domain,"-collector-group")</f>
        <v>sfo-m01-collector-group</v>
      </c>
      <c r="D458" s="18" t="str">
        <f>CONCATENATE(mgmt_sddc_domain,"-collector-group")</f>
        <v>Value Missing-collector-group</v>
      </c>
      <c r="E458" s="53"/>
    </row>
    <row r="459" spans="2:5" ht="16" customHeight="1"/>
    <row r="460" spans="2:5" ht="34" customHeight="1">
      <c r="B460" s="344" t="s">
        <v>3408</v>
      </c>
      <c r="C460" s="344"/>
      <c r="D460" s="344"/>
      <c r="E460" s="344"/>
    </row>
    <row r="461" spans="2:5" ht="20" customHeight="1">
      <c r="B461" s="8" t="s">
        <v>735</v>
      </c>
      <c r="C461" s="8" t="s">
        <v>554</v>
      </c>
      <c r="D461" s="20" t="s">
        <v>555</v>
      </c>
      <c r="E461" s="8" t="s">
        <v>222</v>
      </c>
    </row>
    <row r="462" spans="2:5" ht="20" customHeight="1">
      <c r="B462" s="21" t="s">
        <v>3369</v>
      </c>
      <c r="C462" s="22" t="str">
        <f>CONCATENATE(sample_xreg_vrops_virtual_hostname,".",sample_parent_dns_zone)</f>
        <v>xint-ops01.rainpole.io</v>
      </c>
      <c r="D462" s="18" t="str">
        <f>xreg_vrops_existing_virtual_server_fqdn</f>
        <v>Value Missing</v>
      </c>
      <c r="E462" s="53"/>
    </row>
    <row r="463" spans="2:5" ht="20" customHeight="1">
      <c r="B463" s="21" t="s">
        <v>2583</v>
      </c>
      <c r="C463" s="22" t="str">
        <f>CONCATENATE(sample_mgmt_sddc_domain,"-collector-group")</f>
        <v>sfo-m01-collector-group</v>
      </c>
      <c r="D463" s="18" t="str">
        <f>CONCATENATE(mgmt_sddc_domain,"-collector-group")</f>
        <v>Value Missing-collector-group</v>
      </c>
      <c r="E463" s="53"/>
    </row>
    <row r="464" spans="2:5" ht="20" customHeight="1">
      <c r="B464" s="21" t="s">
        <v>2626</v>
      </c>
      <c r="C464" s="22" t="str">
        <f>CONCATENATE(sample_mgmt_sddc_domain,"-collector-group")</f>
        <v>sfo-m01-collector-group</v>
      </c>
      <c r="D464" s="18" t="str">
        <f>CONCATENATE(mgmt_sddc_domain,"-collector-group")</f>
        <v>Value Missing-collector-group</v>
      </c>
      <c r="E464" s="53"/>
    </row>
    <row r="465" spans="2:5" ht="20" customHeight="1">
      <c r="B465" s="21" t="s">
        <v>2585</v>
      </c>
      <c r="C465" s="22" t="str">
        <f>CONCATENATE(sample_region_vropsca_ip,",",sample_region_vropscb_ip)</f>
        <v>192.168.31.31,192.168.31.32</v>
      </c>
      <c r="D465" s="18" t="str">
        <f>CONCATENATE(region_vropsca_ip,",",region_vropscb_ip)</f>
        <v>Value Missing,Value Missing</v>
      </c>
      <c r="E465" s="53"/>
    </row>
    <row r="466" spans="2:5" ht="20" customHeight="1">
      <c r="B466" s="21" t="s">
        <v>2586</v>
      </c>
      <c r="C466" s="22" t="str">
        <f>CONCATENATE(sample_mgmt_sddc_domain,"-collector-group")</f>
        <v>sfo-m01-collector-group</v>
      </c>
      <c r="D466" s="18" t="str">
        <f>CONCATENATE(mgmt_sddc_domain,"-collector-group")</f>
        <v>Value Missing-collector-group</v>
      </c>
      <c r="E466" s="53"/>
    </row>
    <row r="468" spans="2:5" ht="34" customHeight="1">
      <c r="B468" s="552" t="s">
        <v>2275</v>
      </c>
      <c r="C468" s="505"/>
      <c r="D468" s="505"/>
      <c r="E468" s="505"/>
    </row>
    <row r="470" spans="2:5" ht="34" customHeight="1">
      <c r="B470" s="427" t="s">
        <v>3409</v>
      </c>
      <c r="C470" s="428"/>
      <c r="D470" s="428"/>
      <c r="E470" s="426"/>
    </row>
    <row r="471" spans="2:5" ht="20" customHeight="1">
      <c r="B471" s="8" t="s">
        <v>735</v>
      </c>
      <c r="C471" s="8" t="s">
        <v>554</v>
      </c>
      <c r="D471" s="20" t="s">
        <v>555</v>
      </c>
      <c r="E471" s="8" t="s">
        <v>222</v>
      </c>
    </row>
    <row r="472" spans="2:5" ht="20" customHeight="1">
      <c r="B472" s="21" t="s">
        <v>3370</v>
      </c>
      <c r="C472" s="22" t="str">
        <f>CONCATENATE(sample_region_vrli_virtual_hostname,".",sample_child_dns_zone)</f>
        <v>sfo-logs01.sfo.rainpole.io</v>
      </c>
      <c r="D472" s="18" t="str">
        <f>region_vrli_virtual_fqdn</f>
        <v>Value Missing.Value Missing</v>
      </c>
      <c r="E472" s="53"/>
    </row>
    <row r="473" spans="2:5" ht="20" customHeight="1">
      <c r="B473" s="21" t="s">
        <v>2325</v>
      </c>
      <c r="C473" s="22" t="s">
        <v>2627</v>
      </c>
      <c r="D473" s="18" t="str">
        <f>C473</f>
        <v>Photon OS (IOM) - Appliance Agent Group</v>
      </c>
      <c r="E473" s="53"/>
    </row>
    <row r="474" spans="2:5" ht="20" customHeight="1">
      <c r="B474" s="21" t="s">
        <v>3410</v>
      </c>
      <c r="C474" s="22" t="str">
        <f>CONCATENATE(sample_xreg_vrops_nodea_hostname,".",sample_parent_dns_zone)</f>
        <v>xint-ops01a.rainpole.io</v>
      </c>
      <c r="D474" s="18" t="str">
        <f>xreg_vrops_nodea_fqdn</f>
        <v>Value Missing.Value Missing</v>
      </c>
      <c r="E474" s="53"/>
    </row>
    <row r="475" spans="2:5" ht="20" customHeight="1">
      <c r="B475" s="21" t="s">
        <v>3411</v>
      </c>
      <c r="C475" s="22" t="str">
        <f>CONCATENATE(sample_xreg_vrops_nodeb_hostname,".",sample_parent_dns_zone)</f>
        <v>xint-ops01b.rainpole.io</v>
      </c>
      <c r="D475" s="18" t="str">
        <f>xreg_vrops_nodeb_fqdn</f>
        <v>Value Missing.Value Missing</v>
      </c>
      <c r="E475" s="53"/>
    </row>
    <row r="476" spans="2:5" ht="20" customHeight="1">
      <c r="B476" s="21" t="s">
        <v>3412</v>
      </c>
      <c r="C476" s="22" t="str">
        <f>CONCATENATE(sample_xreg_vrops_nodec_hostname,".",sample_parent_dns_zone)</f>
        <v>xint-ops01c.rainpole.io</v>
      </c>
      <c r="D476" s="18" t="str">
        <f>xreg_vrops_nodec_fqdn</f>
        <v>Value Missing.Value Missing</v>
      </c>
      <c r="E476" s="53"/>
    </row>
    <row r="477" spans="2:5" ht="20" customHeight="1">
      <c r="B477" s="21" t="s">
        <v>2628</v>
      </c>
      <c r="C477" s="22" t="str">
        <f>CONCATENATE(sample_region_vropsca_hostname,".",sample_child_dns_zone)</f>
        <v>sfo-ops-pxy01a.sfo.rainpole.io</v>
      </c>
      <c r="D477" s="18" t="str">
        <f>region_vropsca_fqdn</f>
        <v>Value Missing.Value Missing</v>
      </c>
      <c r="E477" s="53"/>
    </row>
    <row r="478" spans="2:5" ht="20" customHeight="1">
      <c r="B478" s="21" t="s">
        <v>2629</v>
      </c>
      <c r="C478" s="22" t="str">
        <f>CONCATENATE(sample_region_vropscb_hostname,".",sample_child_dns_zone)</f>
        <v>sfo-ops-pxy01b.sfo.rainpole.io</v>
      </c>
      <c r="D478" s="18" t="str">
        <f>region_vropscb_fqdn</f>
        <v>Value Missing.Value Missing</v>
      </c>
      <c r="E478" s="53"/>
    </row>
  </sheetData>
  <sheetProtection algorithmName="SHA-512" hashValue="Uxze35A0ZYJWKgEMsfwzWe6vrT+6gkgSOGjpVnJMFsrbNok/A9YJUAstELZ5ApqOnFLddtoXaxZcIingS9MHMw==" saltValue="dnO/KsDfPFso5ggONUNBew==" spinCount="100000" sheet="1" objects="1" scenarios="1"/>
  <mergeCells count="68">
    <mergeCell ref="B248:E248"/>
    <mergeCell ref="B306:E306"/>
    <mergeCell ref="B311:E311"/>
    <mergeCell ref="B276:E276"/>
    <mergeCell ref="B277:E277"/>
    <mergeCell ref="B283:E283"/>
    <mergeCell ref="B2:C2"/>
    <mergeCell ref="D2:E2"/>
    <mergeCell ref="B3:E3"/>
    <mergeCell ref="B87:E87"/>
    <mergeCell ref="B92:E92"/>
    <mergeCell ref="B8:E8"/>
    <mergeCell ref="B81:E81"/>
    <mergeCell ref="B36:E36"/>
    <mergeCell ref="B42:E42"/>
    <mergeCell ref="B61:E61"/>
    <mergeCell ref="B63:E63"/>
    <mergeCell ref="B68:E68"/>
    <mergeCell ref="B10:E10"/>
    <mergeCell ref="B17:E17"/>
    <mergeCell ref="B22:E22"/>
    <mergeCell ref="B74:E74"/>
    <mergeCell ref="B54:E54"/>
    <mergeCell ref="B375:E375"/>
    <mergeCell ref="B354:E354"/>
    <mergeCell ref="B383:E383"/>
    <mergeCell ref="B368:E368"/>
    <mergeCell ref="B362:E362"/>
    <mergeCell ref="B289:E289"/>
    <mergeCell ref="B197:E197"/>
    <mergeCell ref="B228:E228"/>
    <mergeCell ref="B209:E209"/>
    <mergeCell ref="B330:E330"/>
    <mergeCell ref="B326:E326"/>
    <mergeCell ref="B221:E221"/>
    <mergeCell ref="B235:E235"/>
    <mergeCell ref="B260:E260"/>
    <mergeCell ref="B243:E243"/>
    <mergeCell ref="B468:E468"/>
    <mergeCell ref="B350:E350"/>
    <mergeCell ref="B356:E356"/>
    <mergeCell ref="B267:E267"/>
    <mergeCell ref="B316:E316"/>
    <mergeCell ref="B318:E318"/>
    <mergeCell ref="B319:E319"/>
    <mergeCell ref="B323:E323"/>
    <mergeCell ref="B270:E270"/>
    <mergeCell ref="B312:E312"/>
    <mergeCell ref="B296:E296"/>
    <mergeCell ref="B303:E303"/>
    <mergeCell ref="B342:E342"/>
    <mergeCell ref="B290:E290"/>
    <mergeCell ref="B470:E470"/>
    <mergeCell ref="B437:E437"/>
    <mergeCell ref="B460:E460"/>
    <mergeCell ref="B31:E31"/>
    <mergeCell ref="B184:E184"/>
    <mergeCell ref="B175:E175"/>
    <mergeCell ref="B102:E102"/>
    <mergeCell ref="B163:E163"/>
    <mergeCell ref="B157:E157"/>
    <mergeCell ref="B105:E105"/>
    <mergeCell ref="B108:E108"/>
    <mergeCell ref="B47:E47"/>
    <mergeCell ref="B444:E444"/>
    <mergeCell ref="B428:E428"/>
    <mergeCell ref="B411:E411"/>
    <mergeCell ref="B419:E419"/>
  </mergeCells>
  <conditionalFormatting sqref="B10:E15 B17:E20 B22:E29 B31:E34 B36:E40 B42:E45 B81:E85 B102:E155 B267:E301 B303:E324 B326:E328 B330:E340 B350:E352">
    <cfRule type="expression" dxfId="1032" priority="30">
      <formula>OR((intelligent_operations_chosen&lt;&gt;"Initial Deployment"),(intelligent_operations_result="Excluded"))</formula>
    </cfRule>
  </conditionalFormatting>
  <conditionalFormatting sqref="B47:E52 B54:E59 B61:E72 B87:E90 B92:E100 B157:E161 B163:E173 B175:E182 B184:E195 B197:E207 B221:E226 B228:E233 B235:E241 B243:E246 B248:E258 B260:E265">
    <cfRule type="expression" dxfId="1031" priority="55" stopIfTrue="1">
      <formula>OR((intelligent_operations_chosen&lt;&gt;"Initial Deployment"),(intelligent_operations_result="Excluded"))</formula>
    </cfRule>
  </conditionalFormatting>
  <conditionalFormatting sqref="B74:E79">
    <cfRule type="expression" dxfId="1030" priority="1">
      <formula>OR((intelligent_operations_chosen&lt;&gt;"Initial Deployment"),(intelligent_operations_result="Excluded"))</formula>
    </cfRule>
  </conditionalFormatting>
  <conditionalFormatting sqref="B106:E107">
    <cfRule type="expression" dxfId="1029" priority="58" stopIfTrue="1">
      <formula>OR((intelligent_operations_chosen&lt;&gt;"Initial Deployment"),(intelligent_operations_result="Excluded"))</formula>
    </cfRule>
  </conditionalFormatting>
  <conditionalFormatting sqref="B209:E219">
    <cfRule type="expression" dxfId="1028" priority="619">
      <formula>OR((intelligent_operations_chosen&lt;&gt;"Initial Deployment"),(intelligent_operations_result="Excluded"),(mgmt_stretched_cluster_result="Excluded"))</formula>
    </cfRule>
  </conditionalFormatting>
  <conditionalFormatting sqref="B342:E348">
    <cfRule type="expression" dxfId="1027" priority="56">
      <formula>OR((intelligent_operations_chosen&lt;&gt;"Initial Deployment"),(intelligent_operations_result="Excluded"))</formula>
    </cfRule>
  </conditionalFormatting>
  <conditionalFormatting sqref="B354:E354 B356:E360 B362:E366 B368:E373 B375:E381 B411:E417 B428:E435 B437:E442">
    <cfRule type="expression" dxfId="1026" priority="163">
      <formula>OR((intelligent_operations_chosen&lt;&gt;"Connect Instance"),(intelligent_operations_result="Excluded"))</formula>
    </cfRule>
  </conditionalFormatting>
  <conditionalFormatting sqref="B383:E409">
    <cfRule type="expression" dxfId="1025" priority="242">
      <formula>OR((intelligent_operations_chosen&lt;&gt;"Connect Instance"),(intelligent_operations_result="Excluded"))</formula>
    </cfRule>
  </conditionalFormatting>
  <conditionalFormatting sqref="B419:E419 B420:C420 E420 B421:E426">
    <cfRule type="expression" dxfId="1024" priority="767">
      <formula>OR((intelligent_operations_chosen&lt;&gt;"Connect Instance"),(intelligent_operations_result="Excluded"),(mgmt_stretched_cluster_result="Excluded"))</formula>
    </cfRule>
  </conditionalFormatting>
  <conditionalFormatting sqref="B444:E458">
    <cfRule type="expression" dxfId="1023" priority="233">
      <formula>OR((intelligent_operations_chosen&lt;&gt;"Connect Instance"),(intelligent_operations_result="Excluded"))</formula>
    </cfRule>
  </conditionalFormatting>
  <conditionalFormatting sqref="B460:E466">
    <cfRule type="expression" dxfId="1022" priority="231">
      <formula>OR((intelligent_operations_chosen&lt;&gt;"Connect Instance"),(intelligent_operations_result="Excluded"))</formula>
    </cfRule>
  </conditionalFormatting>
  <conditionalFormatting sqref="B468:E468">
    <cfRule type="expression" dxfId="1021" priority="672">
      <formula>OR((intelligent_operations_result="Excluded"),(intelligent_logging_result="Excluded"))</formula>
    </cfRule>
  </conditionalFormatting>
  <conditionalFormatting sqref="B470:E478">
    <cfRule type="expression" dxfId="1020" priority="53">
      <formula>OR((intelligent_operations_chosen&lt;&gt;"Initial Deployment"),(intelligent_operations_result="Excluded"),(intelligent_logging_result="Excluded"))</formula>
    </cfRule>
  </conditionalFormatting>
  <conditionalFormatting sqref="C5 B8:E8">
    <cfRule type="expression" dxfId="1019" priority="674">
      <formula>OR((intelligent_operations_chosen&lt;&gt;"Initial Deployment"),(intelligent_operations_result="Excluded"))</formula>
    </cfRule>
  </conditionalFormatting>
  <conditionalFormatting sqref="D5">
    <cfRule type="expression" dxfId="1018" priority="669">
      <formula>OR((intelligent_operations_chosen&lt;&gt;"Connect Instance"),(intelligent_operations_result="Excluded"))</formula>
    </cfRule>
  </conditionalFormatting>
  <conditionalFormatting sqref="D158">
    <cfRule type="expression" dxfId="947" priority="153">
      <formula>OR((intelligent_operations_chosen&lt;&gt;"Initial Deployment"),(intelligent_operations_result="Excluded"))</formula>
    </cfRule>
  </conditionalFormatting>
  <conditionalFormatting sqref="D210">
    <cfRule type="expression" dxfId="922" priority="222">
      <formula>OR((intelligent_operations_chosen&lt;&gt;"Initial Deployment"),(intelligent_operations_result="Excluded"))</formula>
    </cfRule>
  </conditionalFormatting>
  <conditionalFormatting sqref="D222">
    <cfRule type="expression" dxfId="920" priority="221">
      <formula>OR((intelligent_operations_chosen&lt;&gt;"Initial Deployment"),(intelligent_operations_result="Excluded"))</formula>
    </cfRule>
  </conditionalFormatting>
  <conditionalFormatting sqref="D236">
    <cfRule type="expression" dxfId="916" priority="219">
      <formula>OR((intelligent_operations_chosen&lt;&gt;"Initial Deployment"),(intelligent_operations_result="Excluded"))</formula>
    </cfRule>
  </conditionalFormatting>
  <conditionalFormatting sqref="D261">
    <cfRule type="expression" dxfId="913" priority="216">
      <formula>OR((intelligent_operations_chosen&lt;&gt;"Initial Deployment"),(intelligent_operations_result="Excluded"))</formula>
    </cfRule>
  </conditionalFormatting>
  <conditionalFormatting sqref="D420">
    <cfRule type="expression" dxfId="855" priority="238">
      <formula>OR((intelligent_operations_chosen&lt;&gt;"Connect Instance"),(intelligent_operations_result="Excluded"))</formula>
    </cfRule>
  </conditionalFormatting>
  <conditionalFormatting sqref="E5">
    <cfRule type="expression" dxfId="836" priority="671">
      <formula>OR((intelligent_operations_result="Excluded"),(intelligent_logging_result="Excluded"))</formula>
    </cfRule>
  </conditionalFormatting>
  <hyperlinks>
    <hyperlink ref="C5" location="'Intelligent Operations Mgmt'!navigation_iom_initial_deployment" display="Initial Deployment" xr:uid="{00000000-0004-0000-1500-000000000000}"/>
    <hyperlink ref="D5" location="'Intelligent Operations Mgmt'!navigation_iom_connect_instance" display="Connect Instance" xr:uid="{00000000-0004-0000-1500-000001000000}"/>
    <hyperlink ref="E5" location="'Intelligent Operations Mgmt'!navigation_iom_solution_interop" display="Solution Interoperability" xr:uid="{00000000-0004-0000-1500-000002000000}"/>
    <hyperlink ref="B5" location="'Deployment Options'!H50" display="Section Navigation (Click to Navigate)" xr:uid="{44C67F49-E3F1-8348-B5CD-3E41B0111FA5}"/>
  </hyperlink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ontainsText" priority="299" operator="containsText" id="{DE878BF4-333F-3342-BF67-8A9CDD6E21F0}">
            <xm:f>NOT(ISERROR(SEARCH("Value Missing",D12)))</xm:f>
            <xm:f>"Value Missing"</xm:f>
            <x14:dxf>
              <font>
                <color rgb="FF9C0006"/>
              </font>
              <fill>
                <patternFill>
                  <bgColor rgb="FFFFC7CE"/>
                </patternFill>
              </fill>
            </x14:dxf>
          </x14:cfRule>
          <xm:sqref>D12:D15 D159:D160 D165:D166 D262:D265 D328 D332:D340 D342:D348 D350:D352 D358:D360 D364:D366 D370:D373 D377:D381 D413:D417 D430:D435 D439:D442 D250:D258</xm:sqref>
        </x14:conditionalFormatting>
        <x14:conditionalFormatting xmlns:xm="http://schemas.microsoft.com/office/excel/2006/main">
          <x14:cfRule type="containsText" priority="294" operator="containsText" id="{171F9A09-DA05-5E4D-AD95-2EFB61B79474}">
            <xm:f>NOT(ISERROR(SEARCH("Value Missing",D19)))</xm:f>
            <xm:f>"Value Missing"</xm:f>
            <x14:dxf>
              <font>
                <color rgb="FF9C0006"/>
              </font>
              <fill>
                <patternFill>
                  <bgColor rgb="FFFFC7CE"/>
                </patternFill>
              </fill>
            </x14:dxf>
          </x14:cfRule>
          <xm:sqref>D19:D20 D470:D478</xm:sqref>
        </x14:conditionalFormatting>
        <x14:conditionalFormatting xmlns:xm="http://schemas.microsoft.com/office/excel/2006/main">
          <x14:cfRule type="containsText" priority="50" operator="containsText" id="{7E2473FF-4F77-8345-8314-A74F164CB405}">
            <xm:f>NOT(ISERROR(SEARCH("Value Missing",D24)))</xm:f>
            <xm:f>"Value Missing"</xm:f>
            <x14:dxf>
              <font>
                <color rgb="FF9C0006"/>
              </font>
              <fill>
                <patternFill>
                  <bgColor rgb="FFFFC7CE"/>
                </patternFill>
              </fill>
            </x14:dxf>
          </x14:cfRule>
          <x14:cfRule type="notContainsText" priority="49" operator="notContains" id="{BE707DB1-514A-1F4D-B5A4-0C304EC64B5A}">
            <xm:f>ISERROR(SEARCH("Value Missing",D24))</xm:f>
            <xm:f>"Value Missing"</xm:f>
            <x14:dxf>
              <font>
                <color rgb="FF006100"/>
              </font>
              <fill>
                <patternFill>
                  <bgColor rgb="FFC6EFCE"/>
                </patternFill>
              </fill>
            </x14:dxf>
          </x14:cfRule>
          <xm:sqref>D24:D29 D313:D315 D320:D322</xm:sqref>
        </x14:conditionalFormatting>
        <x14:conditionalFormatting xmlns:xm="http://schemas.microsoft.com/office/excel/2006/main">
          <x14:cfRule type="notContainsText" priority="60" operator="notContains" id="{EFF5A01A-9901-634F-97C6-BCC605E4A928}">
            <xm:f>ISERROR(SEARCH("Value Missing",D33))</xm:f>
            <xm:f>"Value Missing"</xm:f>
            <x14:dxf>
              <font>
                <color rgb="FF006100"/>
              </font>
              <fill>
                <patternFill>
                  <bgColor rgb="FFC6EFCE"/>
                </patternFill>
              </fill>
            </x14:dxf>
          </x14:cfRule>
          <x14:cfRule type="containsText" priority="61" operator="containsText" id="{1CA97794-A1F6-6946-BBFF-4AF7FEFFBDC7}">
            <xm:f>NOT(ISERROR(SEARCH("Value Missing",D33)))</xm:f>
            <xm:f>"Value Missing"</xm:f>
            <x14:dxf>
              <font>
                <color rgb="FF9C0006"/>
              </font>
              <fill>
                <patternFill>
                  <bgColor rgb="FFFFC7CE"/>
                </patternFill>
              </fill>
            </x14:dxf>
          </x14:cfRule>
          <xm:sqref>D33:D34</xm:sqref>
        </x14:conditionalFormatting>
        <x14:conditionalFormatting xmlns:xm="http://schemas.microsoft.com/office/excel/2006/main">
          <x14:cfRule type="containsText" priority="206" operator="containsText" id="{BD4DD4D2-4640-7349-A43D-6638693D538F}">
            <xm:f>NOT(ISERROR(SEARCH("Value Missing",D38)))</xm:f>
            <xm:f>"Value Missing"</xm:f>
            <x14:dxf>
              <font>
                <color rgb="FF9C0006"/>
              </font>
              <fill>
                <patternFill>
                  <bgColor rgb="FFFFC7CE"/>
                </patternFill>
              </fill>
            </x14:dxf>
          </x14:cfRule>
          <x14:cfRule type="notContainsText" priority="205" operator="notContains" id="{4CC1C029-3480-DA4B-A0D5-2441B1A7F7F8}">
            <xm:f>ISERROR(SEARCH("Value Missing",D38))</xm:f>
            <xm:f>"Value Missing"</xm:f>
            <x14:dxf>
              <font>
                <color rgb="FF006100"/>
              </font>
              <fill>
                <patternFill>
                  <bgColor rgb="FFC6EFCE"/>
                </patternFill>
              </fill>
            </x14:dxf>
          </x14:cfRule>
          <xm:sqref>D38:D40</xm:sqref>
        </x14:conditionalFormatting>
        <x14:conditionalFormatting xmlns:xm="http://schemas.microsoft.com/office/excel/2006/main">
          <x14:cfRule type="containsText" priority="202" operator="containsText" id="{EC32CDC5-1E0A-8744-87EA-1BC0495770EB}">
            <xm:f>NOT(ISERROR(SEARCH("Value Missing",D44)))</xm:f>
            <xm:f>"Value Missing"</xm:f>
            <x14:dxf>
              <font>
                <color rgb="FF9C0006"/>
              </font>
              <fill>
                <patternFill>
                  <bgColor rgb="FFFFC7CE"/>
                </patternFill>
              </fill>
            </x14:dxf>
          </x14:cfRule>
          <x14:cfRule type="notContainsText" priority="192" operator="notContains" id="{93D04807-E494-454D-BFA0-703B735641C7}">
            <xm:f>ISERROR(SEARCH("Value Missing",D44))</xm:f>
            <xm:f>"Value Missing"</xm:f>
            <x14:dxf>
              <font>
                <color rgb="FF006100"/>
              </font>
              <fill>
                <patternFill>
                  <bgColor rgb="FFC6EFCE"/>
                </patternFill>
              </fill>
            </x14:dxf>
          </x14:cfRule>
          <xm:sqref>D44:D45</xm:sqref>
        </x14:conditionalFormatting>
        <x14:conditionalFormatting xmlns:xm="http://schemas.microsoft.com/office/excel/2006/main">
          <x14:cfRule type="containsText" priority="187" operator="containsText" id="{DC8F4EB5-7357-DB49-B0A3-70F0F23C6889}">
            <xm:f>NOT(ISERROR(SEARCH("Value Missing",D49)))</xm:f>
            <xm:f>"Value Missing"</xm:f>
            <x14:dxf>
              <font>
                <color rgb="FF9C0006"/>
              </font>
              <fill>
                <patternFill>
                  <bgColor rgb="FFFFC7CE"/>
                </patternFill>
              </fill>
            </x14:dxf>
          </x14:cfRule>
          <x14:cfRule type="notContainsText" priority="186" operator="notContains" id="{B2978A73-30F8-E049-981E-D19E04B1F47E}">
            <xm:f>ISERROR(SEARCH("Value Missing",D49))</xm:f>
            <xm:f>"Value Missing"</xm:f>
            <x14:dxf>
              <font>
                <color rgb="FF006100"/>
              </font>
              <fill>
                <patternFill>
                  <bgColor rgb="FFC6EFCE"/>
                </patternFill>
              </fill>
            </x14:dxf>
          </x14:cfRule>
          <xm:sqref>D49:D52</xm:sqref>
        </x14:conditionalFormatting>
        <x14:conditionalFormatting xmlns:xm="http://schemas.microsoft.com/office/excel/2006/main">
          <x14:cfRule type="containsText" priority="1089" operator="containsText" id="{7CEB74BD-0FB5-F346-8B2A-FC7EEDE1F421}">
            <xm:f>NOT(ISERROR(SEARCH("Value Missing",D56)))</xm:f>
            <xm:f>"Value Missing"</xm:f>
            <x14:dxf>
              <font>
                <color rgb="FF9C0006"/>
              </font>
              <fill>
                <patternFill>
                  <bgColor rgb="FFFFC7CE"/>
                </patternFill>
              </fill>
            </x14:dxf>
          </x14:cfRule>
          <xm:sqref>D56:D59 D83:D85 D87 D89:D90 D92 D94:D100 D102 D104:D155 D165:D173 D186:D195 D199:D207 D211:D219 D223:D226 D230:D233 D237:D241 D245:D246 D262:D265 D328 D332:D340 D350:D352 D358:D360 D364:D366 D370:D373 D377:D381 D413:D417 D430:D435 D439:D442 D342:D348 D177:D182</xm:sqref>
        </x14:conditionalFormatting>
        <x14:conditionalFormatting xmlns:xm="http://schemas.microsoft.com/office/excel/2006/main">
          <x14:cfRule type="containsText" priority="2243" operator="containsText" id="{EA41010B-BDF1-0240-9635-2595249C4717}">
            <xm:f>NOT(ISERROR(SEARCH("Value Missing",D56)))</xm:f>
            <xm:f>"Value Missing"</xm:f>
            <x14:dxf>
              <font>
                <color rgb="FF9C0006"/>
              </font>
              <fill>
                <patternFill>
                  <bgColor rgb="FFFFC7CE"/>
                </patternFill>
              </fill>
            </x14:dxf>
          </x14:cfRule>
          <x14:cfRule type="notContainsText" priority="2242" operator="notContains" id="{32A3E918-3390-1348-A41D-51C80579D32C}">
            <xm:f>ISERROR(SEARCH("Value Missing",D56))</xm:f>
            <xm:f>"Value Missing"</xm:f>
            <x14:dxf>
              <font>
                <color rgb="FF006100"/>
              </font>
              <fill>
                <patternFill>
                  <bgColor rgb="FFC6EFCE"/>
                </patternFill>
              </fill>
            </x14:dxf>
          </x14:cfRule>
          <xm:sqref>D56:D59 D163</xm:sqref>
        </x14:conditionalFormatting>
        <x14:conditionalFormatting xmlns:xm="http://schemas.microsoft.com/office/excel/2006/main">
          <x14:cfRule type="containsText" priority="171" operator="containsText" id="{59186935-99B0-7F47-97A7-DB48DB498D09}">
            <xm:f>NOT(ISERROR(SEARCH("Value Missing",D64)))</xm:f>
            <xm:f>"Value Missing"</xm:f>
            <x14:dxf>
              <font>
                <color rgb="FF9C0006"/>
              </font>
              <fill>
                <patternFill>
                  <bgColor rgb="FFFFC7CE"/>
                </patternFill>
              </fill>
            </x14:dxf>
          </x14:cfRule>
          <x14:cfRule type="notContainsText" priority="168" operator="notContains" id="{AF4F468C-F2A0-3940-A431-74591997FF56}">
            <xm:f>ISERROR(SEARCH("Value Missing",D64))</xm:f>
            <xm:f>"Value Missing"</xm:f>
            <x14:dxf>
              <font>
                <color rgb="FF006100"/>
              </font>
              <fill>
                <patternFill>
                  <bgColor rgb="FFC6EFCE"/>
                </patternFill>
              </fill>
            </x14:dxf>
          </x14:cfRule>
          <xm:sqref>D64:D67</xm:sqref>
        </x14:conditionalFormatting>
        <x14:conditionalFormatting xmlns:xm="http://schemas.microsoft.com/office/excel/2006/main">
          <x14:cfRule type="containsText" priority="175" operator="containsText" id="{836EF2BF-29E1-8640-9BCD-B2D4626A2A7C}">
            <xm:f>NOT(ISERROR(SEARCH("Value Missing",D66)))</xm:f>
            <xm:f>"Value Missing"</xm:f>
            <x14:dxf>
              <font>
                <color rgb="FF9C0006"/>
              </font>
              <fill>
                <patternFill>
                  <bgColor rgb="FFFFC7CE"/>
                </patternFill>
              </fill>
            </x14:dxf>
          </x14:cfRule>
          <x14:cfRule type="notContainsText" priority="172" operator="notContains" id="{7C43F3F7-D655-0447-9E1E-62D87194CA59}">
            <xm:f>ISERROR(SEARCH("Value Missing",D66))</xm:f>
            <xm:f>"Value Missing"</xm:f>
            <x14:dxf>
              <font>
                <color rgb="FF006100"/>
              </font>
              <fill>
                <patternFill>
                  <bgColor rgb="FFC6EFCE"/>
                </patternFill>
              </fill>
            </x14:dxf>
          </x14:cfRule>
          <xm:sqref>D66 D71</xm:sqref>
        </x14:conditionalFormatting>
        <x14:conditionalFormatting xmlns:xm="http://schemas.microsoft.com/office/excel/2006/main">
          <x14:cfRule type="notContainsText" priority="164" operator="notContains" id="{E2EECDA8-1EE2-E345-8FBE-B8A58810AA9D}">
            <xm:f>ISERROR(SEARCH("Value Missing",D69))</xm:f>
            <xm:f>"Value Missing"</xm:f>
            <x14:dxf>
              <font>
                <color rgb="FF006100"/>
              </font>
              <fill>
                <patternFill>
                  <bgColor rgb="FFC6EFCE"/>
                </patternFill>
              </fill>
            </x14:dxf>
          </x14:cfRule>
          <x14:cfRule type="containsText" priority="167" operator="containsText" id="{54D9F05E-A804-A74F-A12D-9B44B6560026}">
            <xm:f>NOT(ISERROR(SEARCH("Value Missing",D69)))</xm:f>
            <xm:f>"Value Missing"</xm:f>
            <x14:dxf>
              <font>
                <color rgb="FF9C0006"/>
              </font>
              <fill>
                <patternFill>
                  <bgColor rgb="FFFFC7CE"/>
                </patternFill>
              </fill>
            </x14:dxf>
          </x14:cfRule>
          <xm:sqref>D69:D72</xm:sqref>
        </x14:conditionalFormatting>
        <x14:conditionalFormatting xmlns:xm="http://schemas.microsoft.com/office/excel/2006/main">
          <x14:cfRule type="notContainsText" priority="2" operator="notContains" id="{3F2F0426-0C40-4948-9DCF-44319D5EC2A3}">
            <xm:f>ISERROR(SEARCH("Value Missing",D76))</xm:f>
            <xm:f>"Value Missing"</xm:f>
            <x14:dxf>
              <font>
                <color rgb="FF006100"/>
              </font>
              <fill>
                <patternFill>
                  <bgColor rgb="FFC6EFCE"/>
                </patternFill>
              </fill>
            </x14:dxf>
          </x14:cfRule>
          <x14:cfRule type="containsText" priority="3" operator="containsText" id="{FE5878CB-78B9-764B-AC96-C11225D82678}">
            <xm:f>NOT(ISERROR(SEARCH("Value Missing",D76)))</xm:f>
            <xm:f>"Value Missing"</xm:f>
            <x14:dxf>
              <font>
                <color rgb="FF9C0006"/>
              </font>
              <fill>
                <patternFill>
                  <bgColor rgb="FFFFC7CE"/>
                </patternFill>
              </fill>
            </x14:dxf>
          </x14:cfRule>
          <xm:sqref>D76:D79</xm:sqref>
        </x14:conditionalFormatting>
        <x14:conditionalFormatting xmlns:xm="http://schemas.microsoft.com/office/excel/2006/main">
          <x14:cfRule type="notContainsText" priority="1088" operator="notContains" id="{1971A936-A029-8C40-9DE2-AE50C853589F}">
            <xm:f>ISERROR(SEARCH("Value Missing",D56))</xm:f>
            <xm:f>"Value Missing"</xm:f>
            <x14:dxf>
              <font>
                <color rgb="FF006100"/>
              </font>
              <fill>
                <patternFill>
                  <bgColor rgb="FFC6EFCE"/>
                </patternFill>
              </fill>
            </x14:dxf>
          </x14:cfRule>
          <xm:sqref>D92 D102 D104:D155 D199:D207 D186:D195 D165:D173 D211:D219 D358:D360 D350:D352 D230:D233 D250:D258 D262:D265 D328 D332:D340 D364:D366 D370:D373 D377:D381 D413:D417 D430:D435 D439:D442 D470:D478 D56:D59 D87 D89:D90 D94:D100 D223:D226 D237:D241 D245:D246 D83:D85</xm:sqref>
        </x14:conditionalFormatting>
        <x14:conditionalFormatting xmlns:xm="http://schemas.microsoft.com/office/excel/2006/main">
          <x14:cfRule type="containsText" priority="1077" operator="containsText" id="{DFAFA006-F292-A14A-896F-DE0C200912AE}">
            <xm:f>NOT(ISERROR(SEARCH("Value Missing",D54)))</xm:f>
            <xm:f>"Value Missing"</xm:f>
            <x14:dxf>
              <font>
                <color rgb="FF9C0006"/>
              </font>
              <fill>
                <patternFill>
                  <bgColor rgb="FFFFC7CE"/>
                </patternFill>
              </fill>
            </x14:dxf>
          </x14:cfRule>
          <xm:sqref>D92 D102 D163 D197 D221 D228 D235 D243 D248 D260 D54 D175 D184 D209</xm:sqref>
        </x14:conditionalFormatting>
        <x14:conditionalFormatting xmlns:xm="http://schemas.microsoft.com/office/excel/2006/main">
          <x14:cfRule type="notContainsText" priority="2420" operator="notContains" id="{E4D86100-D029-C448-8285-AA9F9FA30F93}">
            <xm:f>ISERROR(SEARCH("Value Missing",D94))</xm:f>
            <xm:f>"Value Missing"</xm:f>
            <x14:dxf>
              <font>
                <color rgb="FF006100"/>
              </font>
              <fill>
                <patternFill>
                  <bgColor rgb="FFC6EFCE"/>
                </patternFill>
              </fill>
            </x14:dxf>
          </x14:cfRule>
          <x14:cfRule type="containsText" priority="2421" operator="containsText" id="{ED2A09D4-C8CD-794B-AC54-52148658F846}">
            <xm:f>NOT(ISERROR(SEARCH("Value Missing",D94)))</xm:f>
            <xm:f>"Value Missing"</xm:f>
            <x14:dxf>
              <font>
                <color rgb="FF9C0006"/>
              </font>
              <fill>
                <patternFill>
                  <bgColor rgb="FFFFC7CE"/>
                </patternFill>
              </fill>
            </x14:dxf>
          </x14:cfRule>
          <xm:sqref>D94:D97</xm:sqref>
        </x14:conditionalFormatting>
        <x14:conditionalFormatting xmlns:xm="http://schemas.microsoft.com/office/excel/2006/main">
          <x14:cfRule type="notContainsText" priority="101" operator="notContains" id="{7F45B1ED-D20B-2241-9346-CC0ADA975F23}">
            <xm:f>ISERROR(SEARCH("Value Missing",D106))</xm:f>
            <xm:f>"Value Missing"</xm:f>
            <x14:dxf>
              <font>
                <color rgb="FF006100"/>
              </font>
              <fill>
                <patternFill>
                  <bgColor rgb="FFC6EFCE"/>
                </patternFill>
              </fill>
            </x14:dxf>
          </x14:cfRule>
          <xm:sqref>D106:D107 D177:D182</xm:sqref>
        </x14:conditionalFormatting>
        <x14:conditionalFormatting xmlns:xm="http://schemas.microsoft.com/office/excel/2006/main">
          <x14:cfRule type="containsText" priority="102" operator="containsText" id="{531F575F-E71C-FA44-A643-25C3737CB5E1}">
            <xm:f>NOT(ISERROR(SEARCH("Value Missing",D106)))</xm:f>
            <xm:f>"Value Missing"</xm:f>
            <x14:dxf>
              <font>
                <color rgb="FF9C0006"/>
              </font>
              <fill>
                <patternFill>
                  <bgColor rgb="FFFFC7CE"/>
                </patternFill>
              </fill>
            </x14:dxf>
          </x14:cfRule>
          <xm:sqref>D106:D107</xm:sqref>
        </x14:conditionalFormatting>
        <x14:conditionalFormatting xmlns:xm="http://schemas.microsoft.com/office/excel/2006/main">
          <x14:cfRule type="notContainsText" priority="2370" operator="notContains" id="{73F17BFD-E91C-9048-A722-4ECA23FEC1D4}">
            <xm:f>ISERROR(SEARCH("Value Missing",D112))</xm:f>
            <xm:f>"Value Missing"</xm:f>
            <x14:dxf>
              <font>
                <color rgb="FF006100"/>
              </font>
              <fill>
                <patternFill>
                  <bgColor rgb="FFC6EFCE"/>
                </patternFill>
              </fill>
            </x14:dxf>
          </x14:cfRule>
          <x14:cfRule type="containsText" priority="2371" operator="containsText" id="{5E6EDE58-6EEB-6A49-B8B0-4DFCE7E6548E}">
            <xm:f>NOT(ISERROR(SEARCH("Value Missing",D112)))</xm:f>
            <xm:f>"Value Missing"</xm:f>
            <x14:dxf>
              <font>
                <color rgb="FF9C0006"/>
              </font>
              <fill>
                <patternFill>
                  <bgColor rgb="FFFFC7CE"/>
                </patternFill>
              </fill>
            </x14:dxf>
          </x14:cfRule>
          <xm:sqref>D112</xm:sqref>
        </x14:conditionalFormatting>
        <x14:conditionalFormatting xmlns:xm="http://schemas.microsoft.com/office/excel/2006/main">
          <x14:cfRule type="containsText" priority="1045" operator="containsText" id="{05521885-B781-3343-983F-EA1469987B5A}">
            <xm:f>NOT(ISERROR(SEARCH("Value Missing",D116)))</xm:f>
            <xm:f>"Value Missing"</xm:f>
            <x14:dxf>
              <font>
                <color rgb="FF9C0006"/>
              </font>
              <fill>
                <patternFill>
                  <bgColor rgb="FFFFC7CE"/>
                </patternFill>
              </fill>
            </x14:dxf>
          </x14:cfRule>
          <xm:sqref>D116:D117</xm:sqref>
        </x14:conditionalFormatting>
        <x14:conditionalFormatting xmlns:xm="http://schemas.microsoft.com/office/excel/2006/main">
          <x14:cfRule type="notContainsText" priority="673" operator="notContains" id="{A583382E-BFE5-3044-A15D-1B668695E92F}">
            <xm:f>ISERROR(SEARCH("Value Missing",D54))</xm:f>
            <xm:f>"Value Missing"</xm:f>
            <x14:dxf>
              <font>
                <color rgb="FF006100"/>
              </font>
              <fill>
                <patternFill>
                  <bgColor rgb="FFC6EFCE"/>
                </patternFill>
              </fill>
            </x14:dxf>
          </x14:cfRule>
          <xm:sqref>D116:D155 D209 D54 D163 D175 D184 D197</xm:sqref>
        </x14:conditionalFormatting>
        <x14:conditionalFormatting xmlns:xm="http://schemas.microsoft.com/office/excel/2006/main">
          <x14:cfRule type="containsText" priority="2367" operator="containsText" id="{6D40CA67-3083-754F-8686-DDE4FACB8B70}">
            <xm:f>NOT(ISERROR(SEARCH("Value Missing",D118)))</xm:f>
            <xm:f>"Value Missing"</xm:f>
            <x14:dxf>
              <font>
                <color rgb="FF9C0006"/>
              </font>
              <fill>
                <patternFill>
                  <bgColor rgb="FFFFC7CE"/>
                </patternFill>
              </fill>
            </x14:dxf>
          </x14:cfRule>
          <x14:cfRule type="notContainsText" priority="2366" operator="notContains" id="{25299B10-D258-4445-AA60-0898C983D7A2}">
            <xm:f>ISERROR(SEARCH("Value Missing",D118))</xm:f>
            <xm:f>"Value Missing"</xm:f>
            <x14:dxf>
              <font>
                <color rgb="FF006100"/>
              </font>
              <fill>
                <patternFill>
                  <bgColor rgb="FFC6EFCE"/>
                </patternFill>
              </fill>
            </x14:dxf>
          </x14:cfRule>
          <xm:sqref>D118:D125</xm:sqref>
        </x14:conditionalFormatting>
        <x14:conditionalFormatting xmlns:xm="http://schemas.microsoft.com/office/excel/2006/main">
          <x14:cfRule type="containsText" priority="2351" operator="containsText" id="{AE0DAE25-5EF6-1F47-A141-7CD60CD095BB}">
            <xm:f>NOT(ISERROR(SEARCH("Value Missing",D119)))</xm:f>
            <xm:f>"Value Missing"</xm:f>
            <x14:dxf>
              <font>
                <color rgb="FF9C0006"/>
              </font>
              <fill>
                <patternFill>
                  <bgColor rgb="FFFFC7CE"/>
                </patternFill>
              </fill>
            </x14:dxf>
          </x14:cfRule>
          <x14:cfRule type="notContainsText" priority="2350" operator="notContains" id="{124C3BB2-BAE6-8843-9CDD-DACB9FCF36EF}">
            <xm:f>ISERROR(SEARCH("Value Missing",D119))</xm:f>
            <xm:f>"Value Missing"</xm:f>
            <x14:dxf>
              <font>
                <color rgb="FF006100"/>
              </font>
              <fill>
                <patternFill>
                  <bgColor rgb="FFC6EFCE"/>
                </patternFill>
              </fill>
            </x14:dxf>
          </x14:cfRule>
          <xm:sqref>D119:D126</xm:sqref>
        </x14:conditionalFormatting>
        <x14:conditionalFormatting xmlns:xm="http://schemas.microsoft.com/office/excel/2006/main">
          <x14:cfRule type="notContainsText" priority="634" operator="notContains" id="{2EEBC5D3-2597-EA44-A38A-E07A53F625FE}">
            <xm:f>ISERROR(SEARCH("Value Missing",D127))</xm:f>
            <xm:f>"Value Missing"</xm:f>
            <x14:dxf>
              <font>
                <color rgb="FF006100"/>
              </font>
              <fill>
                <patternFill>
                  <bgColor rgb="FFC6EFCE"/>
                </patternFill>
              </fill>
            </x14:dxf>
          </x14:cfRule>
          <x14:cfRule type="containsText" priority="325" operator="containsText" id="{1D0DB52F-7025-C941-BC63-E0BDF8994B17}">
            <xm:f>NOT(ISERROR(SEARCH("Value Missing",D127)))</xm:f>
            <xm:f>"Value Missing"</xm:f>
            <x14:dxf>
              <font>
                <color rgb="FF9C0006"/>
              </font>
              <fill>
                <patternFill>
                  <bgColor rgb="FFFFC7CE"/>
                </patternFill>
              </fill>
            </x14:dxf>
          </x14:cfRule>
          <x14:cfRule type="containsText" priority="635" operator="containsText" id="{7338E89D-D0DB-254F-B089-BF193D491A45}">
            <xm:f>NOT(ISERROR(SEARCH("Value Missing",D127)))</xm:f>
            <xm:f>"Value Missing"</xm:f>
            <x14:dxf>
              <font>
                <color rgb="FF9C0006"/>
              </font>
              <fill>
                <patternFill>
                  <bgColor rgb="FFFFC7CE"/>
                </patternFill>
              </fill>
            </x14:dxf>
          </x14:cfRule>
          <xm:sqref>D127 D159:D161</xm:sqref>
        </x14:conditionalFormatting>
        <x14:conditionalFormatting xmlns:xm="http://schemas.microsoft.com/office/excel/2006/main">
          <x14:cfRule type="containsText" priority="2347" operator="containsText" id="{F30E9774-928A-A540-89F8-3534081116F3}">
            <xm:f>NOT(ISERROR(SEARCH("Value Missing",D128)))</xm:f>
            <xm:f>"Value Missing"</xm:f>
            <x14:dxf>
              <font>
                <color rgb="FF9C0006"/>
              </font>
              <fill>
                <patternFill>
                  <bgColor rgb="FFFFC7CE"/>
                </patternFill>
              </fill>
            </x14:dxf>
          </x14:cfRule>
          <x14:cfRule type="notContainsText" priority="2346" operator="notContains" id="{4B6E2677-B10E-6645-B0DE-FD7785BBA965}">
            <xm:f>ISERROR(SEARCH("Value Missing",D128))</xm:f>
            <xm:f>"Value Missing"</xm:f>
            <x14:dxf>
              <font>
                <color rgb="FF006100"/>
              </font>
              <fill>
                <patternFill>
                  <bgColor rgb="FFC6EFCE"/>
                </patternFill>
              </fill>
            </x14:dxf>
          </x14:cfRule>
          <xm:sqref>D128:D130</xm:sqref>
        </x14:conditionalFormatting>
        <x14:conditionalFormatting xmlns:xm="http://schemas.microsoft.com/office/excel/2006/main">
          <x14:cfRule type="notContainsText" priority="319" operator="notContains" id="{D9F00938-4ACD-5040-B432-70759DCD38AD}">
            <xm:f>ISERROR(SEARCH("Value Missing",D131))</xm:f>
            <xm:f>"Value Missing"</xm:f>
            <x14:dxf>
              <font>
                <color rgb="FF006100"/>
              </font>
              <fill>
                <patternFill>
                  <bgColor rgb="FFC6EFCE"/>
                </patternFill>
              </fill>
            </x14:dxf>
          </x14:cfRule>
          <x14:cfRule type="containsText" priority="320" operator="containsText" id="{8101E87D-A93B-AB49-8486-9E9F1804C993}">
            <xm:f>NOT(ISERROR(SEARCH("Value Missing",D131)))</xm:f>
            <xm:f>"Value Missing"</xm:f>
            <x14:dxf>
              <font>
                <color rgb="FF9C0006"/>
              </font>
              <fill>
                <patternFill>
                  <bgColor rgb="FFFFC7CE"/>
                </patternFill>
              </fill>
            </x14:dxf>
          </x14:cfRule>
          <x14:cfRule type="notContainsText" priority="322" operator="notContains" id="{4E0A981F-8D94-1547-A9D4-CC167C7D3C0B}">
            <xm:f>ISERROR(SEARCH("Value Missing",D131))</xm:f>
            <xm:f>"Value Missing"</xm:f>
            <x14:dxf>
              <font>
                <color rgb="FF006100"/>
              </font>
              <fill>
                <patternFill>
                  <bgColor rgb="FFC6EFCE"/>
                </patternFill>
              </fill>
            </x14:dxf>
          </x14:cfRule>
          <x14:cfRule type="containsText" priority="323" operator="containsText" id="{C5BACAC4-ED1F-CD4F-A38C-ED9DFF96404B}">
            <xm:f>NOT(ISERROR(SEARCH("Value Missing",D131)))</xm:f>
            <xm:f>"Value Missing"</xm:f>
            <x14:dxf>
              <font>
                <color rgb="FF9C0006"/>
              </font>
              <fill>
                <patternFill>
                  <bgColor rgb="FFFFC7CE"/>
                </patternFill>
              </fill>
            </x14:dxf>
          </x14:cfRule>
          <xm:sqref>D131</xm:sqref>
        </x14:conditionalFormatting>
        <x14:conditionalFormatting xmlns:xm="http://schemas.microsoft.com/office/excel/2006/main">
          <x14:cfRule type="containsText" priority="2311" operator="containsText" id="{79875F58-5DB1-8140-A460-7222A30B0561}">
            <xm:f>NOT(ISERROR(SEARCH("Value Missing",D132)))</xm:f>
            <xm:f>"Value Missing"</xm:f>
            <x14:dxf>
              <font>
                <color rgb="FF9C0006"/>
              </font>
              <fill>
                <patternFill>
                  <bgColor rgb="FFFFC7CE"/>
                </patternFill>
              </fill>
            </x14:dxf>
          </x14:cfRule>
          <x14:cfRule type="notContainsText" priority="2310" operator="notContains" id="{71D8E43A-A8C2-9249-93D8-E01A5624AA86}">
            <xm:f>ISERROR(SEARCH("Value Missing",D132))</xm:f>
            <xm:f>"Value Missing"</xm:f>
            <x14:dxf>
              <font>
                <color rgb="FF006100"/>
              </font>
              <fill>
                <patternFill>
                  <bgColor rgb="FFC6EFCE"/>
                </patternFill>
              </fill>
            </x14:dxf>
          </x14:cfRule>
          <xm:sqref>D132:D134</xm:sqref>
        </x14:conditionalFormatting>
        <x14:conditionalFormatting xmlns:xm="http://schemas.microsoft.com/office/excel/2006/main">
          <x14:cfRule type="notContainsText" priority="2296" operator="notContains" id="{B36B8F59-009D-C544-A901-D94ADBE73BC0}">
            <xm:f>ISERROR(SEARCH("Value Missing",D134))</xm:f>
            <xm:f>"Value Missing"</xm:f>
            <x14:dxf>
              <font>
                <color rgb="FF006100"/>
              </font>
              <fill>
                <patternFill>
                  <bgColor rgb="FFC6EFCE"/>
                </patternFill>
              </fill>
            </x14:dxf>
          </x14:cfRule>
          <x14:cfRule type="containsText" priority="2297" operator="containsText" id="{B91B96AD-DD62-734A-808A-5FCC890AB85C}">
            <xm:f>NOT(ISERROR(SEARCH("Value Missing",D134)))</xm:f>
            <xm:f>"Value Missing"</xm:f>
            <x14:dxf>
              <font>
                <color rgb="FF9C0006"/>
              </font>
              <fill>
                <patternFill>
                  <bgColor rgb="FFFFC7CE"/>
                </patternFill>
              </fill>
            </x14:dxf>
          </x14:cfRule>
          <xm:sqref>D134:D142</xm:sqref>
        </x14:conditionalFormatting>
        <x14:conditionalFormatting xmlns:xm="http://schemas.microsoft.com/office/excel/2006/main">
          <x14:cfRule type="notContainsText" priority="2294" operator="notContains" id="{E9622F68-9D02-D041-98D3-25FFB97B70C1}">
            <xm:f>ISERROR(SEARCH("Value Missing",D135))</xm:f>
            <xm:f>"Value Missing"</xm:f>
            <x14:dxf>
              <font>
                <color rgb="FF006100"/>
              </font>
              <fill>
                <patternFill>
                  <bgColor rgb="FFC6EFCE"/>
                </patternFill>
              </fill>
            </x14:dxf>
          </x14:cfRule>
          <x14:cfRule type="containsText" priority="2295" operator="containsText" id="{698D3853-FD9D-0347-87A5-1A01BA797846}">
            <xm:f>NOT(ISERROR(SEARCH("Value Missing",D135)))</xm:f>
            <xm:f>"Value Missing"</xm:f>
            <x14:dxf>
              <font>
                <color rgb="FF9C0006"/>
              </font>
              <fill>
                <patternFill>
                  <bgColor rgb="FFFFC7CE"/>
                </patternFill>
              </fill>
            </x14:dxf>
          </x14:cfRule>
          <xm:sqref>D135:D142</xm:sqref>
        </x14:conditionalFormatting>
        <x14:conditionalFormatting xmlns:xm="http://schemas.microsoft.com/office/excel/2006/main">
          <x14:cfRule type="containsText" priority="2333" operator="containsText" id="{88FF6E72-463A-384A-908F-ECE1801F17A8}">
            <xm:f>NOT(ISERROR(SEARCH("Value Missing",D136)))</xm:f>
            <xm:f>"Value Missing"</xm:f>
            <x14:dxf>
              <font>
                <color rgb="FF9C0006"/>
              </font>
              <fill>
                <patternFill>
                  <bgColor rgb="FFFFC7CE"/>
                </patternFill>
              </fill>
            </x14:dxf>
          </x14:cfRule>
          <x14:cfRule type="notContainsText" priority="2332" operator="notContains" id="{32D890BB-378C-644B-970C-53AF2E3482E5}">
            <xm:f>ISERROR(SEARCH("Value Missing",D136))</xm:f>
            <xm:f>"Value Missing"</xm:f>
            <x14:dxf>
              <font>
                <color rgb="FF006100"/>
              </font>
              <fill>
                <patternFill>
                  <bgColor rgb="FFC6EFCE"/>
                </patternFill>
              </fill>
            </x14:dxf>
          </x14:cfRule>
          <xm:sqref>D136:D141</xm:sqref>
        </x14:conditionalFormatting>
        <x14:conditionalFormatting xmlns:xm="http://schemas.microsoft.com/office/excel/2006/main">
          <x14:cfRule type="containsText" priority="2301" operator="containsText" id="{D6BE03B2-670A-2746-A9BE-25F70FFE190B}">
            <xm:f>NOT(ISERROR(SEARCH("Value Missing",D141)))</xm:f>
            <xm:f>"Value Missing"</xm:f>
            <x14:dxf>
              <font>
                <color rgb="FF9C0006"/>
              </font>
              <fill>
                <patternFill>
                  <bgColor rgb="FFFFC7CE"/>
                </patternFill>
              </fill>
            </x14:dxf>
          </x14:cfRule>
          <x14:cfRule type="notContainsText" priority="2300" operator="notContains" id="{6DD60C49-3444-C34E-9554-6C45F265FBBD}">
            <xm:f>ISERROR(SEARCH("Value Missing",D141))</xm:f>
            <xm:f>"Value Missing"</xm:f>
            <x14:dxf>
              <font>
                <color rgb="FF006100"/>
              </font>
              <fill>
                <patternFill>
                  <bgColor rgb="FFC6EFCE"/>
                </patternFill>
              </fill>
            </x14:dxf>
          </x14:cfRule>
          <xm:sqref>D141:D147</xm:sqref>
        </x14:conditionalFormatting>
        <x14:conditionalFormatting xmlns:xm="http://schemas.microsoft.com/office/excel/2006/main">
          <x14:cfRule type="containsText" priority="1043" operator="containsText" id="{8B424FBD-EBCC-B74F-A8D5-BAAD0872D420}">
            <xm:f>NOT(ISERROR(SEARCH("Value Missing",D143)))</xm:f>
            <xm:f>"Value Missing"</xm:f>
            <x14:dxf>
              <font>
                <color rgb="FF9C0006"/>
              </font>
              <fill>
                <patternFill>
                  <bgColor rgb="FFFFC7CE"/>
                </patternFill>
              </fill>
            </x14:dxf>
          </x14:cfRule>
          <xm:sqref>D143</xm:sqref>
        </x14:conditionalFormatting>
        <x14:conditionalFormatting xmlns:xm="http://schemas.microsoft.com/office/excel/2006/main">
          <x14:cfRule type="notContainsText" priority="2278" operator="notContains" id="{3F2AD6F9-2465-1149-94E2-88238780811F}">
            <xm:f>ISERROR(SEARCH("Value Missing",D144))</xm:f>
            <xm:f>"Value Missing"</xm:f>
            <x14:dxf>
              <font>
                <color rgb="FF006100"/>
              </font>
              <fill>
                <patternFill>
                  <bgColor rgb="FFC6EFCE"/>
                </patternFill>
              </fill>
            </x14:dxf>
          </x14:cfRule>
          <x14:cfRule type="containsText" priority="2279" operator="containsText" id="{5D789A62-FF7C-6C48-97E1-20AC88475CE3}">
            <xm:f>NOT(ISERROR(SEARCH("Value Missing",D144)))</xm:f>
            <xm:f>"Value Missing"</xm:f>
            <x14:dxf>
              <font>
                <color rgb="FF9C0006"/>
              </font>
              <fill>
                <patternFill>
                  <bgColor rgb="FFFFC7CE"/>
                </patternFill>
              </fill>
            </x14:dxf>
          </x14:cfRule>
          <xm:sqref>D144:D154</xm:sqref>
        </x14:conditionalFormatting>
        <x14:conditionalFormatting xmlns:xm="http://schemas.microsoft.com/office/excel/2006/main">
          <x14:cfRule type="containsText" priority="2511" operator="containsText" id="{A4F69E11-B5A9-714D-8D15-322ACC0C75BD}">
            <xm:f>NOT(ISERROR(SEARCH("Value Missing",D147)))</xm:f>
            <xm:f>"Value Missing"</xm:f>
            <x14:dxf>
              <font>
                <color rgb="FF9C0006"/>
              </font>
              <fill>
                <patternFill>
                  <bgColor rgb="FFFFC7CE"/>
                </patternFill>
              </fill>
            </x14:dxf>
          </x14:cfRule>
          <xm:sqref>D147 D472:D476</xm:sqref>
        </x14:conditionalFormatting>
        <x14:conditionalFormatting xmlns:xm="http://schemas.microsoft.com/office/excel/2006/main">
          <x14:cfRule type="notContainsText" priority="2510" operator="notContains" id="{989DB33E-9D37-BE40-8141-90CCAFE1E46F}">
            <xm:f>ISERROR(SEARCH("Value Missing",D147))</xm:f>
            <xm:f>"Value Missing"</xm:f>
            <x14:dxf>
              <font>
                <color rgb="FF006100"/>
              </font>
              <fill>
                <patternFill>
                  <bgColor rgb="FFC6EFCE"/>
                </patternFill>
              </fill>
            </x14:dxf>
          </x14:cfRule>
          <xm:sqref>D147</xm:sqref>
        </x14:conditionalFormatting>
        <x14:conditionalFormatting xmlns:xm="http://schemas.microsoft.com/office/excel/2006/main">
          <x14:cfRule type="containsText" priority="2277" operator="containsText" id="{26195BE3-E1C3-C34A-AFD1-0589B8E455BE}">
            <xm:f>NOT(ISERROR(SEARCH("Value Missing",D153)))</xm:f>
            <xm:f>"Value Missing"</xm:f>
            <x14:dxf>
              <font>
                <color rgb="FF9C0006"/>
              </font>
              <fill>
                <patternFill>
                  <bgColor rgb="FFFFC7CE"/>
                </patternFill>
              </fill>
            </x14:dxf>
          </x14:cfRule>
          <x14:cfRule type="notContainsText" priority="2276" operator="notContains" id="{62A5FA55-B175-FF4B-8A53-3C9679CA6C55}">
            <xm:f>ISERROR(SEARCH("Value Missing",D153))</xm:f>
            <xm:f>"Value Missing"</xm:f>
            <x14:dxf>
              <font>
                <color rgb="FF006100"/>
              </font>
              <fill>
                <patternFill>
                  <bgColor rgb="FFC6EFCE"/>
                </patternFill>
              </fill>
            </x14:dxf>
          </x14:cfRule>
          <xm:sqref>D153:D154</xm:sqref>
        </x14:conditionalFormatting>
        <x14:conditionalFormatting xmlns:xm="http://schemas.microsoft.com/office/excel/2006/main">
          <x14:cfRule type="containsText" priority="1041" operator="containsText" id="{F455AF3D-B413-6843-AE53-254C97C19FAA}">
            <xm:f>NOT(ISERROR(SEARCH("Value Missing",D155)))</xm:f>
            <xm:f>"Value Missing"</xm:f>
            <x14:dxf>
              <font>
                <color rgb="FF9C0006"/>
              </font>
              <fill>
                <patternFill>
                  <bgColor rgb="FFFFC7CE"/>
                </patternFill>
              </fill>
            </x14:dxf>
          </x14:cfRule>
          <xm:sqref>D155</xm:sqref>
        </x14:conditionalFormatting>
        <x14:conditionalFormatting xmlns:xm="http://schemas.microsoft.com/office/excel/2006/main">
          <x14:cfRule type="notContainsText" priority="156" operator="notContains" id="{9E5216FE-FDAC-2448-ABA4-42F732840B84}">
            <xm:f>ISERROR(SEARCH("Value Missing",D157))</xm:f>
            <xm:f>"Value Missing"</xm:f>
            <x14:dxf>
              <font>
                <color rgb="FF006100"/>
              </font>
              <fill>
                <patternFill>
                  <bgColor rgb="FFC6EFCE"/>
                </patternFill>
              </fill>
            </x14:dxf>
          </x14:cfRule>
          <x14:cfRule type="containsText" priority="158" operator="containsText" id="{2F923012-8412-A64C-98BB-A5608EC552C9}">
            <xm:f>NOT(ISERROR(SEARCH("Value Missing",D157)))</xm:f>
            <xm:f>"Value Missing"</xm:f>
            <x14:dxf>
              <font>
                <color rgb="FF9C0006"/>
              </font>
              <fill>
                <patternFill>
                  <bgColor rgb="FFFFC7CE"/>
                </patternFill>
              </fill>
            </x14:dxf>
          </x14:cfRule>
          <x14:cfRule type="containsText" priority="317" operator="containsText" id="{E23482F8-77E0-5344-923F-17E50889DCFB}">
            <xm:f>NOT(ISERROR(SEARCH("Value Missing",D157)))</xm:f>
            <xm:f>"Value Missing"</xm:f>
            <x14:dxf>
              <font>
                <color rgb="FF9C0006"/>
              </font>
              <fill>
                <patternFill>
                  <bgColor rgb="FFFFC7CE"/>
                </patternFill>
              </fill>
            </x14:dxf>
          </x14:cfRule>
          <x14:cfRule type="notContainsText" priority="159" operator="notContains" id="{4BEEA38E-0394-B24B-87CC-980C08B86AD4}">
            <xm:f>ISERROR(SEARCH("Value Missing",D157))</xm:f>
            <xm:f>"Value Missing"</xm:f>
            <x14:dxf>
              <font>
                <color rgb="FF006100"/>
              </font>
              <fill>
                <patternFill>
                  <bgColor rgb="FFC6EFCE"/>
                </patternFill>
              </fill>
            </x14:dxf>
          </x14:cfRule>
          <x14:cfRule type="containsText" priority="160" operator="containsText" id="{6C3D0931-D5A2-0344-8306-D8DEAD278F3D}">
            <xm:f>NOT(ISERROR(SEARCH("Value Missing",D157)))</xm:f>
            <xm:f>"Value Missing"</xm:f>
            <x14:dxf>
              <font>
                <color rgb="FF9C0006"/>
              </font>
              <fill>
                <patternFill>
                  <bgColor rgb="FFFFC7CE"/>
                </patternFill>
              </fill>
            </x14:dxf>
          </x14:cfRule>
          <x14:cfRule type="notContainsText" priority="161" operator="notContains" id="{C60A14A5-FF00-6E4E-9E18-65B0872D5A36}">
            <xm:f>ISERROR(SEARCH("Value Missing",D157))</xm:f>
            <xm:f>"Value Missing"</xm:f>
            <x14:dxf>
              <font>
                <color rgb="FF006100"/>
              </font>
              <fill>
                <patternFill>
                  <bgColor rgb="FFC6EFCE"/>
                </patternFill>
              </fill>
            </x14:dxf>
          </x14:cfRule>
          <xm:sqref>D157</xm:sqref>
        </x14:conditionalFormatting>
        <x14:conditionalFormatting xmlns:xm="http://schemas.microsoft.com/office/excel/2006/main">
          <x14:cfRule type="notContainsText" priority="324" operator="notContains" id="{CB2A906F-4381-6A45-9593-0305C5E4149B}">
            <xm:f>ISERROR(SEARCH("Value Missing",D127))</xm:f>
            <xm:f>"Value Missing"</xm:f>
            <x14:dxf>
              <font>
                <color rgb="FF006100"/>
              </font>
              <fill>
                <patternFill>
                  <bgColor rgb="FFC6EFCE"/>
                </patternFill>
              </fill>
            </x14:dxf>
          </x14:cfRule>
          <xm:sqref>D159:D161 D127</xm:sqref>
        </x14:conditionalFormatting>
        <x14:conditionalFormatting xmlns:xm="http://schemas.microsoft.com/office/excel/2006/main">
          <x14:cfRule type="containsText" priority="887" operator="containsText" id="{93FCB543-9309-7B44-A47E-C5094C499A34}">
            <xm:f>NOT(ISERROR(SEARCH("Value Missing",D163)))</xm:f>
            <xm:f>"Value Missing"</xm:f>
            <x14:dxf>
              <font>
                <color rgb="FF9C0006"/>
              </font>
              <fill>
                <patternFill>
                  <bgColor rgb="FFFFC7CE"/>
                </patternFill>
              </fill>
            </x14:dxf>
          </x14:cfRule>
          <xm:sqref>D163</xm:sqref>
        </x14:conditionalFormatting>
        <x14:conditionalFormatting xmlns:xm="http://schemas.microsoft.com/office/excel/2006/main">
          <x14:cfRule type="containsText" priority="885" operator="containsText" id="{824BBDD2-A3FD-F348-BE5F-2F2F38F90BE6}">
            <xm:f>NOT(ISERROR(SEARCH("Value Missing",D173)))</xm:f>
            <xm:f>"Value Missing"</xm:f>
            <x14:dxf>
              <font>
                <color rgb="FF9C0006"/>
              </font>
              <fill>
                <patternFill>
                  <bgColor rgb="FFFFC7CE"/>
                </patternFill>
              </fill>
            </x14:dxf>
          </x14:cfRule>
          <xm:sqref>D173</xm:sqref>
        </x14:conditionalFormatting>
        <x14:conditionalFormatting xmlns:xm="http://schemas.microsoft.com/office/excel/2006/main">
          <x14:cfRule type="containsText" priority="1261" operator="containsText" id="{7DFF9333-C2D8-084B-B1D0-E08682541D43}">
            <xm:f>NOT(ISERROR(SEARCH("Value Missing",D184)))</xm:f>
            <xm:f>"Value Missing"</xm:f>
            <x14:dxf>
              <font>
                <color rgb="FF9C0006"/>
              </font>
              <fill>
                <patternFill>
                  <bgColor rgb="FFFFC7CE"/>
                </patternFill>
              </fill>
            </x14:dxf>
          </x14:cfRule>
          <x14:cfRule type="notContainsText" priority="1260" operator="notContains" id="{FF430B50-1705-3444-8149-3E918C4F1D16}">
            <xm:f>ISERROR(SEARCH("Value Missing",D184))</xm:f>
            <xm:f>"Value Missing"</xm:f>
            <x14:dxf>
              <font>
                <color rgb="FF006100"/>
              </font>
              <fill>
                <patternFill>
                  <bgColor rgb="FFC6EFCE"/>
                </patternFill>
              </fill>
            </x14:dxf>
          </x14:cfRule>
          <xm:sqref>D184 D197 D209 D221 D228 D235 D243 D248 D260 D326 D330 D354 D356 D362 D368 D375 D383 D385:D409 D411 D419 D421:D426 D428</xm:sqref>
        </x14:conditionalFormatting>
        <x14:conditionalFormatting xmlns:xm="http://schemas.microsoft.com/office/excel/2006/main">
          <x14:cfRule type="containsText" priority="983" operator="containsText" id="{43650374-E21F-C14C-9E9E-2B906933F31F}">
            <xm:f>NOT(ISERROR(SEARCH("Value Missing",D189)))</xm:f>
            <xm:f>"Value Missing"</xm:f>
            <x14:dxf>
              <font>
                <color rgb="FF9C0006"/>
              </font>
              <fill>
                <patternFill>
                  <bgColor rgb="FFFFC7CE"/>
                </patternFill>
              </fill>
            </x14:dxf>
          </x14:cfRule>
          <x14:cfRule type="notContainsText" priority="984" operator="notContains" id="{2B44430B-8D17-6D48-80D8-7DB9480273D9}">
            <xm:f>ISERROR(SEARCH("Value Missing",D189))</xm:f>
            <xm:f>"Value Missing"</xm:f>
            <x14:dxf>
              <font>
                <color rgb="FF006100"/>
              </font>
              <fill>
                <patternFill>
                  <bgColor rgb="FFC6EFCE"/>
                </patternFill>
              </fill>
            </x14:dxf>
          </x14:cfRule>
          <x14:cfRule type="containsText" priority="985" operator="containsText" id="{5B5A4972-6482-9A44-BD6F-93565700BE06}">
            <xm:f>NOT(ISERROR(SEARCH("Value Missing",D189)))</xm:f>
            <xm:f>"Value Missing"</xm:f>
            <x14:dxf>
              <font>
                <color rgb="FF9C0006"/>
              </font>
              <fill>
                <patternFill>
                  <bgColor rgb="FFFFC7CE"/>
                </patternFill>
              </fill>
            </x14:dxf>
          </x14:cfRule>
          <xm:sqref>D189</xm:sqref>
        </x14:conditionalFormatting>
        <x14:conditionalFormatting xmlns:xm="http://schemas.microsoft.com/office/excel/2006/main">
          <x14:cfRule type="containsText" priority="2055" operator="containsText" id="{C6DB9F38-151C-4747-BCB2-A0F6F247EDED}">
            <xm:f>NOT(ISERROR(SEARCH("Value Missing",D190)))</xm:f>
            <xm:f>"Value Missing"</xm:f>
            <x14:dxf>
              <font>
                <color rgb="FF9C0006"/>
              </font>
              <fill>
                <patternFill>
                  <bgColor rgb="FFFFC7CE"/>
                </patternFill>
              </fill>
            </x14:dxf>
          </x14:cfRule>
          <x14:cfRule type="notContainsText" priority="2054" operator="notContains" id="{D4AB469E-F350-9342-9995-3F36A2281CC0}">
            <xm:f>ISERROR(SEARCH("Value Missing",D190))</xm:f>
            <xm:f>"Value Missing"</xm:f>
            <x14:dxf>
              <font>
                <color rgb="FF006100"/>
              </font>
              <fill>
                <patternFill>
                  <bgColor rgb="FFC6EFCE"/>
                </patternFill>
              </fill>
            </x14:dxf>
          </x14:cfRule>
          <xm:sqref>D190:D195</xm:sqref>
        </x14:conditionalFormatting>
        <x14:conditionalFormatting xmlns:xm="http://schemas.microsoft.com/office/excel/2006/main">
          <x14:cfRule type="containsText" priority="909" operator="containsText" id="{3C3B631A-CED3-2240-90CF-94CD2D880F54}">
            <xm:f>NOT(ISERROR(SEARCH("Value Missing",D194)))</xm:f>
            <xm:f>"Value Missing"</xm:f>
            <x14:dxf>
              <font>
                <color rgb="FF9C0006"/>
              </font>
              <fill>
                <patternFill>
                  <bgColor rgb="FFFFC7CE"/>
                </patternFill>
              </fill>
            </x14:dxf>
          </x14:cfRule>
          <xm:sqref>D194:D195</xm:sqref>
        </x14:conditionalFormatting>
        <x14:conditionalFormatting xmlns:xm="http://schemas.microsoft.com/office/excel/2006/main">
          <x14:cfRule type="containsText" priority="917" operator="containsText" id="{E66E1449-D731-0144-A393-B61C65908EAC}">
            <xm:f>NOT(ISERROR(SEARCH("Value Missing",D195)))</xm:f>
            <xm:f>"Value Missing"</xm:f>
            <x14:dxf>
              <font>
                <color rgb="FF9C0006"/>
              </font>
              <fill>
                <patternFill>
                  <bgColor rgb="FFFFC7CE"/>
                </patternFill>
              </fill>
            </x14:dxf>
          </x14:cfRule>
          <x14:cfRule type="notContainsText" priority="916" operator="notContains" id="{4A8C94AE-638F-8744-A34E-4FE8E56AF634}">
            <xm:f>ISERROR(SEARCH("Value Missing",D195))</xm:f>
            <xm:f>"Value Missing"</xm:f>
            <x14:dxf>
              <font>
                <color rgb="FF006100"/>
              </font>
              <fill>
                <patternFill>
                  <bgColor rgb="FFC6EFCE"/>
                </patternFill>
              </fill>
            </x14:dxf>
          </x14:cfRule>
          <xm:sqref>D195</xm:sqref>
        </x14:conditionalFormatting>
        <x14:conditionalFormatting xmlns:xm="http://schemas.microsoft.com/office/excel/2006/main">
          <x14:cfRule type="notContainsText" priority="1076" operator="notContains" id="{AE9F5982-582B-6842-9B32-C1062A827F56}">
            <xm:f>ISERROR(SEARCH("Value Missing",D92))</xm:f>
            <xm:f>"Value Missing"</xm:f>
            <x14:dxf>
              <font>
                <color rgb="FF006100"/>
              </font>
              <fill>
                <patternFill>
                  <bgColor rgb="FFC6EFCE"/>
                </patternFill>
              </fill>
            </x14:dxf>
          </x14:cfRule>
          <xm:sqref>D197 D163 D221 D228 D235 D243 D248 D260 D92 D102</xm:sqref>
        </x14:conditionalFormatting>
        <x14:conditionalFormatting xmlns:xm="http://schemas.microsoft.com/office/excel/2006/main">
          <x14:cfRule type="containsText" priority="907" operator="containsText" id="{B3060734-E7A6-EC41-A8F9-ADFBB2ED3EE3}">
            <xm:f>NOT(ISERROR(SEARCH("Value Missing",D197)))</xm:f>
            <xm:f>"Value Missing"</xm:f>
            <x14:dxf>
              <font>
                <color rgb="FF9C0006"/>
              </font>
              <fill>
                <patternFill>
                  <bgColor rgb="FFFFC7CE"/>
                </patternFill>
              </fill>
            </x14:dxf>
          </x14:cfRule>
          <xm:sqref>D197</xm:sqref>
        </x14:conditionalFormatting>
        <x14:conditionalFormatting xmlns:xm="http://schemas.microsoft.com/office/excel/2006/main">
          <x14:cfRule type="containsText" priority="1027" operator="containsText" id="{11EF1087-9DF9-D449-845B-6A5A2E87F0AF}">
            <xm:f>NOT(ISERROR(SEARCH("Value Missing",D199)))</xm:f>
            <xm:f>"Value Missing"</xm:f>
            <x14:dxf>
              <font>
                <color rgb="FF9C0006"/>
              </font>
              <fill>
                <patternFill>
                  <bgColor rgb="FFFFC7CE"/>
                </patternFill>
              </fill>
            </x14:dxf>
          </x14:cfRule>
          <x14:cfRule type="notContainsText" priority="1026" operator="notContains" id="{4E760559-D6F6-6D44-BE07-79B2807C6BBA}">
            <xm:f>ISERROR(SEARCH("Value Missing",D199))</xm:f>
            <xm:f>"Value Missing"</xm:f>
            <x14:dxf>
              <font>
                <color rgb="FF006100"/>
              </font>
              <fill>
                <patternFill>
                  <bgColor rgb="FFC6EFCE"/>
                </patternFill>
              </fill>
            </x14:dxf>
          </x14:cfRule>
          <xm:sqref>D199:D202</xm:sqref>
        </x14:conditionalFormatting>
        <x14:conditionalFormatting xmlns:xm="http://schemas.microsoft.com/office/excel/2006/main">
          <x14:cfRule type="containsText" priority="957" operator="containsText" id="{2EE528AD-3451-1A49-9FA2-394D8DEEA646}">
            <xm:f>NOT(ISERROR(SEARCH("Value Missing",D202)))</xm:f>
            <xm:f>"Value Missing"</xm:f>
            <x14:dxf>
              <font>
                <color rgb="FF9C0006"/>
              </font>
              <fill>
                <patternFill>
                  <bgColor rgb="FFFFC7CE"/>
                </patternFill>
              </fill>
            </x14:dxf>
          </x14:cfRule>
          <x14:cfRule type="notContainsText" priority="956" operator="notContains" id="{1DA27C8A-4970-3847-8FEE-B7F8AC46E9DB}">
            <xm:f>ISERROR(SEARCH("Value Missing",D202))</xm:f>
            <xm:f>"Value Missing"</xm:f>
            <x14:dxf>
              <font>
                <color rgb="FF006100"/>
              </font>
              <fill>
                <patternFill>
                  <bgColor rgb="FFC6EFCE"/>
                </patternFill>
              </fill>
            </x14:dxf>
          </x14:cfRule>
          <xm:sqref>D202:D207</xm:sqref>
        </x14:conditionalFormatting>
        <x14:conditionalFormatting xmlns:xm="http://schemas.microsoft.com/office/excel/2006/main">
          <x14:cfRule type="containsText" priority="903" operator="containsText" id="{DA2715A6-0789-EA4B-B18C-8696AEC78F51}">
            <xm:f>NOT(ISERROR(SEARCH("Value Missing",D206)))</xm:f>
            <xm:f>"Value Missing"</xm:f>
            <x14:dxf>
              <font>
                <color rgb="FF9C0006"/>
              </font>
              <fill>
                <patternFill>
                  <bgColor rgb="FFFFC7CE"/>
                </patternFill>
              </fill>
            </x14:dxf>
          </x14:cfRule>
          <x14:cfRule type="containsText" priority="901" operator="containsText" id="{546AC233-BB0A-3546-B71E-45EC671F4B6F}">
            <xm:f>NOT(ISERROR(SEARCH("Value Missing",D206)))</xm:f>
            <xm:f>"Value Missing"</xm:f>
            <x14:dxf>
              <font>
                <color rgb="FF9C0006"/>
              </font>
              <fill>
                <patternFill>
                  <bgColor rgb="FFFFC7CE"/>
                </patternFill>
              </fill>
            </x14:dxf>
          </x14:cfRule>
          <x14:cfRule type="notContainsText" priority="902" operator="notContains" id="{15986FEF-D3FE-EB49-94AD-474625A7E2E3}">
            <xm:f>ISERROR(SEARCH("Value Missing",D206))</xm:f>
            <xm:f>"Value Missing"</xm:f>
            <x14:dxf>
              <font>
                <color rgb="FF006100"/>
              </font>
              <fill>
                <patternFill>
                  <bgColor rgb="FFC6EFCE"/>
                </patternFill>
              </fill>
            </x14:dxf>
          </x14:cfRule>
          <xm:sqref>D206</xm:sqref>
        </x14:conditionalFormatting>
        <x14:conditionalFormatting xmlns:xm="http://schemas.microsoft.com/office/excel/2006/main">
          <x14:cfRule type="containsText" priority="991" operator="containsText" id="{EEC9CEEA-5624-134A-A697-4A13ACBAC4DB}">
            <xm:f>NOT(ISERROR(SEARCH("Value Missing",D207)))</xm:f>
            <xm:f>"Value Missing"</xm:f>
            <x14:dxf>
              <font>
                <color rgb="FF9C0006"/>
              </font>
              <fill>
                <patternFill>
                  <bgColor rgb="FFFFC7CE"/>
                </patternFill>
              </fill>
            </x14:dxf>
          </x14:cfRule>
          <x14:cfRule type="notContainsText" priority="990" operator="notContains" id="{DE323700-DD8C-E943-914E-78FD90AED669}">
            <xm:f>ISERROR(SEARCH("Value Missing",D207))</xm:f>
            <xm:f>"Value Missing"</xm:f>
            <x14:dxf>
              <font>
                <color rgb="FF006100"/>
              </font>
              <fill>
                <patternFill>
                  <bgColor rgb="FFC6EFCE"/>
                </patternFill>
              </fill>
            </x14:dxf>
          </x14:cfRule>
          <xm:sqref>D207</xm:sqref>
        </x14:conditionalFormatting>
        <x14:conditionalFormatting xmlns:xm="http://schemas.microsoft.com/office/excel/2006/main">
          <x14:cfRule type="containsText" priority="850" operator="containsText" id="{5A76A0F9-526D-BF46-8072-6946796877AD}">
            <xm:f>NOT(ISERROR(SEARCH("Value Missing",D211)))</xm:f>
            <xm:f>"Value Missing"</xm:f>
            <x14:dxf>
              <font>
                <color rgb="FF9C0006"/>
              </font>
              <fill>
                <patternFill>
                  <bgColor rgb="FFFFC7CE"/>
                </patternFill>
              </fill>
            </x14:dxf>
          </x14:cfRule>
          <xm:sqref>D221 D228 D235 D243 D248 D260 D326 D330 D354 D356 D362 D383 D411 D419 D421:D426 D428 D437 D444 D446:D458 D460 D462:D466 D468 D211:D219 D368 D375</xm:sqref>
        </x14:conditionalFormatting>
        <x14:conditionalFormatting xmlns:xm="http://schemas.microsoft.com/office/excel/2006/main">
          <x14:cfRule type="containsText" priority="607" operator="containsText" id="{D536BEA0-6A0C-C345-9638-2CA2E8FD0D83}">
            <xm:f>NOT(ISERROR(SEARCH("Value Missing",D230)))</xm:f>
            <xm:f>"Value Missing"</xm:f>
            <x14:dxf>
              <font>
                <color rgb="FF9C0006"/>
              </font>
              <fill>
                <patternFill>
                  <bgColor rgb="FFFFC7CE"/>
                </patternFill>
              </fill>
            </x14:dxf>
          </x14:cfRule>
          <xm:sqref>D230:D233 D235 D243 D248 D260 D326 D330</xm:sqref>
        </x14:conditionalFormatting>
        <x14:conditionalFormatting xmlns:xm="http://schemas.microsoft.com/office/excel/2006/main">
          <x14:cfRule type="notContainsText" priority="603" operator="notContains" id="{2A078727-0FFB-2049-BBDE-E7CC18DAFF4F}">
            <xm:f>ISERROR(SEARCH("Value Missing",D230))</xm:f>
            <xm:f>"Value Missing"</xm:f>
            <x14:dxf>
              <font>
                <color rgb="FF006100"/>
              </font>
              <fill>
                <patternFill>
                  <bgColor rgb="FFC6EFCE"/>
                </patternFill>
              </fill>
            </x14:dxf>
          </x14:cfRule>
          <xm:sqref>D230:D233</xm:sqref>
        </x14:conditionalFormatting>
        <x14:conditionalFormatting xmlns:xm="http://schemas.microsoft.com/office/excel/2006/main">
          <x14:cfRule type="notContainsText" priority="535" operator="notContains" id="{8C1911B3-88B2-9345-B0B7-82CBAC3854A5}">
            <xm:f>ISERROR(SEARCH("Value Missing",D235))</xm:f>
            <xm:f>"Value Missing"</xm:f>
            <x14:dxf>
              <font>
                <color rgb="FF006100"/>
              </font>
              <fill>
                <patternFill>
                  <bgColor rgb="FFC6EFCE"/>
                </patternFill>
              </fill>
            </x14:dxf>
          </x14:cfRule>
          <xm:sqref>D235 D243 D248 D260</xm:sqref>
        </x14:conditionalFormatting>
        <x14:conditionalFormatting xmlns:xm="http://schemas.microsoft.com/office/excel/2006/main">
          <x14:cfRule type="containsText" priority="1677" operator="containsText" id="{9E4CD0B1-E4A8-A64B-B706-F8CE31441813}">
            <xm:f>NOT(ISERROR(SEARCH("Value Missing",D260)))</xm:f>
            <xm:f>"Value Missing"</xm:f>
            <x14:dxf>
              <font>
                <color rgb="FF9C0006"/>
              </font>
              <fill>
                <patternFill>
                  <bgColor rgb="FFFFC7CE"/>
                </patternFill>
              </fill>
            </x14:dxf>
          </x14:cfRule>
          <x14:cfRule type="notContainsText" priority="1676" operator="notContains" id="{3F76DD4E-DAE3-B241-BFC0-F0C1C692291B}">
            <xm:f>ISERROR(SEARCH("Value Missing",D260))</xm:f>
            <xm:f>"Value Missing"</xm:f>
            <x14:dxf>
              <font>
                <color rgb="FF006100"/>
              </font>
              <fill>
                <patternFill>
                  <bgColor rgb="FFC6EFCE"/>
                </patternFill>
              </fill>
            </x14:dxf>
          </x14:cfRule>
          <xm:sqref>D260</xm:sqref>
        </x14:conditionalFormatting>
        <x14:conditionalFormatting xmlns:xm="http://schemas.microsoft.com/office/excel/2006/main">
          <x14:cfRule type="containsText" priority="2039" operator="containsText" id="{062E5F75-1E08-C848-BEED-0BA8642E5842}">
            <xm:f>NOT(ISERROR(SEARCH("Value Missing",D262)))</xm:f>
            <xm:f>"Value Missing"</xm:f>
            <x14:dxf>
              <font>
                <color rgb="FF9C0006"/>
              </font>
              <fill>
                <patternFill>
                  <bgColor rgb="FFFFC7CE"/>
                </patternFill>
              </fill>
            </x14:dxf>
          </x14:cfRule>
          <x14:cfRule type="notContainsText" priority="2038" operator="notContains" id="{AE73A69A-5321-3146-8F74-4F5A47E83C04}">
            <xm:f>ISERROR(SEARCH("Value Missing",D262))</xm:f>
            <xm:f>"Value Missing"</xm:f>
            <x14:dxf>
              <font>
                <color rgb="FF006100"/>
              </font>
              <fill>
                <patternFill>
                  <bgColor rgb="FFC6EFCE"/>
                </patternFill>
              </fill>
            </x14:dxf>
          </x14:cfRule>
          <xm:sqref>D262:D265</xm:sqref>
        </x14:conditionalFormatting>
        <x14:conditionalFormatting xmlns:xm="http://schemas.microsoft.com/office/excel/2006/main">
          <x14:cfRule type="notContainsText" priority="143" operator="notContains" id="{D70F6768-DD84-5848-92D0-7AD1184FB38F}">
            <xm:f>ISERROR(SEARCH("Value Missing",D269))</xm:f>
            <xm:f>"Value Missing"</xm:f>
            <x14:dxf>
              <font>
                <color rgb="FF006100"/>
              </font>
              <fill>
                <patternFill>
                  <bgColor rgb="FFC6EFCE"/>
                </patternFill>
              </fill>
            </x14:dxf>
          </x14:cfRule>
          <x14:cfRule type="containsText" priority="146" operator="containsText" id="{842D1216-F4A7-4349-A571-A7484183F7F3}">
            <xm:f>NOT(ISERROR(SEARCH("Value Missing",D269)))</xm:f>
            <xm:f>"Value Missing"</xm:f>
            <x14:dxf>
              <font>
                <color rgb="FF9C0006"/>
              </font>
              <fill>
                <patternFill>
                  <bgColor rgb="FFFFC7CE"/>
                </patternFill>
              </fill>
            </x14:dxf>
          </x14:cfRule>
          <xm:sqref>D269</xm:sqref>
        </x14:conditionalFormatting>
        <x14:conditionalFormatting xmlns:xm="http://schemas.microsoft.com/office/excel/2006/main">
          <x14:cfRule type="containsText" priority="142" operator="containsText" id="{AAEAB10C-9B0D-0842-9242-D67B79099585}">
            <xm:f>NOT(ISERROR(SEARCH("Value Missing",D271)))</xm:f>
            <xm:f>"Value Missing"</xm:f>
            <x14:dxf>
              <font>
                <color rgb="FF9C0006"/>
              </font>
              <fill>
                <patternFill>
                  <bgColor rgb="FFFFC7CE"/>
                </patternFill>
              </fill>
            </x14:dxf>
          </x14:cfRule>
          <x14:cfRule type="notContainsText" priority="136" operator="notContains" id="{6C3DA62F-2618-EC4B-8E0D-3924D9BCCA46}">
            <xm:f>ISERROR(SEARCH("Value Missing",D271))</xm:f>
            <xm:f>"Value Missing"</xm:f>
            <x14:dxf>
              <font>
                <color rgb="FF006100"/>
              </font>
              <fill>
                <patternFill>
                  <bgColor rgb="FFC6EFCE"/>
                </patternFill>
              </fill>
            </x14:dxf>
          </x14:cfRule>
          <xm:sqref>D271:D275</xm:sqref>
        </x14:conditionalFormatting>
        <x14:conditionalFormatting xmlns:xm="http://schemas.microsoft.com/office/excel/2006/main">
          <x14:cfRule type="containsText" priority="135" operator="containsText" id="{EEA4337C-1D02-904C-8C59-DEE2AE43F11F}">
            <xm:f>NOT(ISERROR(SEARCH("Value Missing",D278)))</xm:f>
            <xm:f>"Value Missing"</xm:f>
            <x14:dxf>
              <font>
                <color rgb="FF9C0006"/>
              </font>
              <fill>
                <patternFill>
                  <bgColor rgb="FFFFC7CE"/>
                </patternFill>
              </fill>
            </x14:dxf>
          </x14:cfRule>
          <x14:cfRule type="notContainsText" priority="130" operator="notContains" id="{EF40BD12-B38D-B843-AB90-80193C5BFCE0}">
            <xm:f>ISERROR(SEARCH("Value Missing",D278))</xm:f>
            <xm:f>"Value Missing"</xm:f>
            <x14:dxf>
              <font>
                <color rgb="FF006100"/>
              </font>
              <fill>
                <patternFill>
                  <bgColor rgb="FFC6EFCE"/>
                </patternFill>
              </fill>
            </x14:dxf>
          </x14:cfRule>
          <xm:sqref>D278:D282</xm:sqref>
        </x14:conditionalFormatting>
        <x14:conditionalFormatting xmlns:xm="http://schemas.microsoft.com/office/excel/2006/main">
          <x14:cfRule type="notContainsText" priority="124" operator="notContains" id="{D01680F0-98E0-1547-B1B2-058A3D2C67FE}">
            <xm:f>ISERROR(SEARCH("Value Missing",D284))</xm:f>
            <xm:f>"Value Missing"</xm:f>
            <x14:dxf>
              <font>
                <color rgb="FF006100"/>
              </font>
              <fill>
                <patternFill>
                  <bgColor rgb="FFC6EFCE"/>
                </patternFill>
              </fill>
            </x14:dxf>
          </x14:cfRule>
          <x14:cfRule type="containsText" priority="129" operator="containsText" id="{AAB9CB61-4AB7-C847-9730-CE72D6F03DE6}">
            <xm:f>NOT(ISERROR(SEARCH("Value Missing",D284)))</xm:f>
            <xm:f>"Value Missing"</xm:f>
            <x14:dxf>
              <font>
                <color rgb="FF9C0006"/>
              </font>
              <fill>
                <patternFill>
                  <bgColor rgb="FFFFC7CE"/>
                </patternFill>
              </fill>
            </x14:dxf>
          </x14:cfRule>
          <xm:sqref>D284:D288 D297:D301</xm:sqref>
        </x14:conditionalFormatting>
        <x14:conditionalFormatting xmlns:xm="http://schemas.microsoft.com/office/excel/2006/main">
          <x14:cfRule type="containsText" priority="123" operator="containsText" id="{85351D37-46CE-874E-9F2C-0CB2ECEC5FBC}">
            <xm:f>NOT(ISERROR(SEARCH("Value Missing",D291)))</xm:f>
            <xm:f>"Value Missing"</xm:f>
            <x14:dxf>
              <font>
                <color rgb="FF9C0006"/>
              </font>
              <fill>
                <patternFill>
                  <bgColor rgb="FFFFC7CE"/>
                </patternFill>
              </fill>
            </x14:dxf>
          </x14:cfRule>
          <x14:cfRule type="notContainsText" priority="114" operator="notContains" id="{5341C755-41C5-6647-8935-92A27D1B7511}">
            <xm:f>ISERROR(SEARCH("Value Missing",D291))</xm:f>
            <xm:f>"Value Missing"</xm:f>
            <x14:dxf>
              <font>
                <color rgb="FF006100"/>
              </font>
              <fill>
                <patternFill>
                  <bgColor rgb="FFC6EFCE"/>
                </patternFill>
              </fill>
            </x14:dxf>
          </x14:cfRule>
          <xm:sqref>D291:D295</xm:sqref>
        </x14:conditionalFormatting>
        <x14:conditionalFormatting xmlns:xm="http://schemas.microsoft.com/office/excel/2006/main">
          <x14:cfRule type="notContainsText" priority="148" operator="notContains" id="{6A2F3815-B65C-4B40-9844-1C8E6972D405}">
            <xm:f>ISERROR(SEARCH("Value Missing",D305))</xm:f>
            <xm:f>"Value Missing"</xm:f>
            <x14:dxf>
              <font>
                <color rgb="FF006100"/>
              </font>
              <fill>
                <patternFill>
                  <bgColor rgb="FFC6EFCE"/>
                </patternFill>
              </fill>
            </x14:dxf>
          </x14:cfRule>
          <x14:cfRule type="containsText" priority="149" operator="containsText" id="{66137546-E2BF-2A48-923A-580BB39E3673}">
            <xm:f>NOT(ISERROR(SEARCH("Value Missing",D305)))</xm:f>
            <xm:f>"Value Missing"</xm:f>
            <x14:dxf>
              <font>
                <color rgb="FF9C0006"/>
              </font>
              <fill>
                <patternFill>
                  <bgColor rgb="FFFFC7CE"/>
                </patternFill>
              </fill>
            </x14:dxf>
          </x14:cfRule>
          <xm:sqref>D305</xm:sqref>
        </x14:conditionalFormatting>
        <x14:conditionalFormatting xmlns:xm="http://schemas.microsoft.com/office/excel/2006/main">
          <x14:cfRule type="notContainsText" priority="150" operator="notContains" id="{A1ED5FD0-6D87-4145-B460-B5B0F7AB7928}">
            <xm:f>ISERROR(SEARCH("Value Missing",D307))</xm:f>
            <xm:f>"Value Missing"</xm:f>
            <x14:dxf>
              <font>
                <color rgb="FF006100"/>
              </font>
              <fill>
                <patternFill>
                  <bgColor rgb="FFC6EFCE"/>
                </patternFill>
              </fill>
            </x14:dxf>
          </x14:cfRule>
          <x14:cfRule type="containsText" priority="151" operator="containsText" id="{3DB91598-5ED2-B74E-AC91-E6F95415C396}">
            <xm:f>NOT(ISERROR(SEARCH("Value Missing",D307)))</xm:f>
            <xm:f>"Value Missing"</xm:f>
            <x14:dxf>
              <font>
                <color rgb="FF9C0006"/>
              </font>
              <fill>
                <patternFill>
                  <bgColor rgb="FFFFC7CE"/>
                </patternFill>
              </fill>
            </x14:dxf>
          </x14:cfRule>
          <xm:sqref>D307:D311</xm:sqref>
        </x14:conditionalFormatting>
        <x14:conditionalFormatting xmlns:xm="http://schemas.microsoft.com/office/excel/2006/main">
          <x14:cfRule type="containsText" priority="119" operator="containsText" id="{9C827AB0-AFE6-494B-A4DA-639BC4150B9A}">
            <xm:f>NOT(ISERROR(SEARCH("Value Missing",D317)))</xm:f>
            <xm:f>"Value Missing"</xm:f>
            <x14:dxf>
              <font>
                <color rgb="FF9C0006"/>
              </font>
              <fill>
                <patternFill>
                  <bgColor rgb="FFFFC7CE"/>
                </patternFill>
              </fill>
            </x14:dxf>
          </x14:cfRule>
          <x14:cfRule type="notContainsText" priority="109" operator="notContains" id="{8E6E6C9A-6DAB-D74D-9BCA-245E9516288E}">
            <xm:f>ISERROR(SEARCH("Value Missing",D317))</xm:f>
            <xm:f>"Value Missing"</xm:f>
            <x14:dxf>
              <font>
                <color rgb="FF006100"/>
              </font>
              <fill>
                <patternFill>
                  <bgColor rgb="FFC6EFCE"/>
                </patternFill>
              </fill>
            </x14:dxf>
          </x14:cfRule>
          <xm:sqref>D317:D318</xm:sqref>
        </x14:conditionalFormatting>
        <x14:conditionalFormatting xmlns:xm="http://schemas.microsoft.com/office/excel/2006/main">
          <x14:cfRule type="containsText" priority="121" operator="containsText" id="{8E7F4C69-946F-5840-BE9B-F3B81F49F613}">
            <xm:f>NOT(ISERROR(SEARCH("Value Missing",D324)))</xm:f>
            <xm:f>"Value Missing"</xm:f>
            <x14:dxf>
              <font>
                <color rgb="FF9C0006"/>
              </font>
              <fill>
                <patternFill>
                  <bgColor rgb="FFFFC7CE"/>
                </patternFill>
              </fill>
            </x14:dxf>
          </x14:cfRule>
          <x14:cfRule type="notContainsText" priority="120" operator="notContains" id="{7470A1C3-EE03-1246-9AB9-8A151D5078FB}">
            <xm:f>ISERROR(SEARCH("Value Missing",D324))</xm:f>
            <xm:f>"Value Missing"</xm:f>
            <x14:dxf>
              <font>
                <color rgb="FF006100"/>
              </font>
              <fill>
                <patternFill>
                  <bgColor rgb="FFC6EFCE"/>
                </patternFill>
              </fill>
            </x14:dxf>
          </x14:cfRule>
          <xm:sqref>D324</xm:sqref>
        </x14:conditionalFormatting>
        <x14:conditionalFormatting xmlns:xm="http://schemas.microsoft.com/office/excel/2006/main">
          <x14:cfRule type="notContainsText" priority="851" operator="notContains" id="{D7476796-90B9-BD42-B39D-E0E9C7728B63}">
            <xm:f>ISERROR(SEARCH("Value Missing",D326))</xm:f>
            <xm:f>"Value Missing"</xm:f>
            <x14:dxf>
              <font>
                <color rgb="FF006100"/>
              </font>
              <fill>
                <patternFill>
                  <bgColor rgb="FFC6EFCE"/>
                </patternFill>
              </fill>
            </x14:dxf>
          </x14:cfRule>
          <x14:cfRule type="containsText" priority="852" operator="containsText" id="{49D80A2D-BC7D-814E-A8EB-FA884F4DBE1C}">
            <xm:f>NOT(ISERROR(SEARCH("Value Missing",D326)))</xm:f>
            <xm:f>"Value Missing"</xm:f>
            <x14:dxf>
              <font>
                <color rgb="FF9C0006"/>
              </font>
              <fill>
                <patternFill>
                  <bgColor rgb="FFFFC7CE"/>
                </patternFill>
              </fill>
            </x14:dxf>
          </x14:cfRule>
          <xm:sqref>D326 D330 D354 D356 D362 D368 D375 D383 D385:D397</xm:sqref>
        </x14:conditionalFormatting>
        <x14:conditionalFormatting xmlns:xm="http://schemas.microsoft.com/office/excel/2006/main">
          <x14:cfRule type="containsText" priority="1069" operator="containsText" id="{60990FD1-09FF-904F-895D-C1D86BD01A28}">
            <xm:f>NOT(ISERROR(SEARCH("Value Missing",D326)))</xm:f>
            <xm:f>"Value Missing"</xm:f>
            <x14:dxf>
              <font>
                <color rgb="FF9C0006"/>
              </font>
              <fill>
                <patternFill>
                  <bgColor rgb="FFFFC7CE"/>
                </patternFill>
              </fill>
            </x14:dxf>
          </x14:cfRule>
          <x14:cfRule type="notContainsText" priority="1068" operator="notContains" id="{541353D4-B773-B748-8810-BF72DF3A7781}">
            <xm:f>ISERROR(SEARCH("Value Missing",D326))</xm:f>
            <xm:f>"Value Missing"</xm:f>
            <x14:dxf>
              <font>
                <color rgb="FF006100"/>
              </font>
              <fill>
                <patternFill>
                  <bgColor rgb="FFC6EFCE"/>
                </patternFill>
              </fill>
            </x14:dxf>
          </x14:cfRule>
          <xm:sqref>D326 D330 D354 D356 D362 D368 D375 D383 D385:D409 D411 D419 D421:D426 D428 D437 D444</xm:sqref>
        </x14:conditionalFormatting>
        <x14:conditionalFormatting xmlns:xm="http://schemas.microsoft.com/office/excel/2006/main">
          <x14:cfRule type="containsText" priority="1737" operator="containsText" id="{18F24DE6-5903-B04A-AE1A-5011E055A493}">
            <xm:f>NOT(ISERROR(SEARCH("Value Missing",D326)))</xm:f>
            <xm:f>"Value Missing"</xm:f>
            <x14:dxf>
              <font>
                <color rgb="FF9C0006"/>
              </font>
              <fill>
                <patternFill>
                  <bgColor rgb="FFFFC7CE"/>
                </patternFill>
              </fill>
            </x14:dxf>
          </x14:cfRule>
          <xm:sqref>D326 D330</xm:sqref>
        </x14:conditionalFormatting>
        <x14:conditionalFormatting xmlns:xm="http://schemas.microsoft.com/office/excel/2006/main">
          <x14:cfRule type="notContainsText" priority="422" operator="notContains" id="{36C16AA3-FBE8-6E44-99BE-F53276E5A1EA}">
            <xm:f>ISERROR(SEARCH("Value Missing",D326))</xm:f>
            <xm:f>"Value Missing"</xm:f>
            <x14:dxf>
              <font>
                <color rgb="FF006100"/>
              </font>
              <fill>
                <patternFill>
                  <bgColor rgb="FFC6EFCE"/>
                </patternFill>
              </fill>
            </x14:dxf>
          </x14:cfRule>
          <xm:sqref>D326</xm:sqref>
        </x14:conditionalFormatting>
        <x14:conditionalFormatting xmlns:xm="http://schemas.microsoft.com/office/excel/2006/main">
          <x14:cfRule type="containsText" priority="1559" operator="containsText" id="{911B5F5D-AC75-594B-AD99-0DE1CF4F1C5F}">
            <xm:f>NOT(ISERROR(SEARCH("Value Missing",D328)))</xm:f>
            <xm:f>"Value Missing"</xm:f>
            <x14:dxf>
              <font>
                <color rgb="FF9C0006"/>
              </font>
              <fill>
                <patternFill>
                  <bgColor rgb="FFFFC7CE"/>
                </patternFill>
              </fill>
            </x14:dxf>
          </x14:cfRule>
          <xm:sqref>D328 D330 D354 D356 D362 D368 D375 D383 D385:D409</xm:sqref>
        </x14:conditionalFormatting>
        <x14:conditionalFormatting xmlns:xm="http://schemas.microsoft.com/office/excel/2006/main">
          <x14:cfRule type="notContainsText" priority="1736" operator="notContains" id="{9EC4F6EA-A18D-F341-84F6-876CBB00197C}">
            <xm:f>ISERROR(SEARCH("Value Missing",D326))</xm:f>
            <xm:f>"Value Missing"</xm:f>
            <x14:dxf>
              <font>
                <color rgb="FF006100"/>
              </font>
              <fill>
                <patternFill>
                  <bgColor rgb="FFC6EFCE"/>
                </patternFill>
              </fill>
            </x14:dxf>
          </x14:cfRule>
          <xm:sqref>D330 D326</xm:sqref>
        </x14:conditionalFormatting>
        <x14:conditionalFormatting xmlns:xm="http://schemas.microsoft.com/office/excel/2006/main">
          <x14:cfRule type="notContainsText" priority="352" operator="notContains" id="{86825876-D35B-764F-A2DB-E911EA70ECE1}">
            <xm:f>ISERROR(SEARCH("Value Missing",D342))</xm:f>
            <xm:f>"Value Missing"</xm:f>
            <x14:dxf>
              <font>
                <color rgb="FF006100"/>
              </font>
              <fill>
                <patternFill>
                  <bgColor rgb="FFC6EFCE"/>
                </patternFill>
              </fill>
            </x14:dxf>
          </x14:cfRule>
          <xm:sqref>D342:D348</xm:sqref>
        </x14:conditionalFormatting>
        <x14:conditionalFormatting xmlns:xm="http://schemas.microsoft.com/office/excel/2006/main">
          <x14:cfRule type="notContainsText" priority="393" operator="notContains" id="{119B5E45-9C00-374B-BB80-B064BF8511F2}">
            <xm:f>ISERROR(SEARCH("Value Missing",D352))</xm:f>
            <xm:f>"Value Missing"</xm:f>
            <x14:dxf>
              <font>
                <color rgb="FF006100"/>
              </font>
              <fill>
                <patternFill>
                  <bgColor rgb="FFC6EFCE"/>
                </patternFill>
              </fill>
            </x14:dxf>
          </x14:cfRule>
          <x14:cfRule type="containsText" priority="689" operator="containsText" id="{80D07390-F3AF-D341-8858-5336B95BD84D}">
            <xm:f>NOT(ISERROR(SEARCH("Value Missing",D352)))</xm:f>
            <xm:f>"Value Missing"</xm:f>
            <x14:dxf>
              <font>
                <color rgb="FF9C0006"/>
              </font>
              <fill>
                <patternFill>
                  <bgColor rgb="FFFFC7CE"/>
                </patternFill>
              </fill>
            </x14:dxf>
          </x14:cfRule>
          <xm:sqref>D352</xm:sqref>
        </x14:conditionalFormatting>
        <x14:conditionalFormatting xmlns:xm="http://schemas.microsoft.com/office/excel/2006/main">
          <x14:cfRule type="containsText" priority="756" operator="containsText" id="{3C9E2AD3-CF6C-0B44-9826-88785CB1F5AF}">
            <xm:f>NOT(ISERROR(SEARCH("Value Missing",D358)))</xm:f>
            <xm:f>"Value Missing"</xm:f>
            <x14:dxf>
              <font>
                <color rgb="FF9C0006"/>
              </font>
              <fill>
                <patternFill>
                  <bgColor rgb="FFFFC7CE"/>
                </patternFill>
              </fill>
            </x14:dxf>
          </x14:cfRule>
          <xm:sqref>D358:D360 D362</xm:sqref>
        </x14:conditionalFormatting>
        <x14:conditionalFormatting xmlns:xm="http://schemas.microsoft.com/office/excel/2006/main">
          <x14:cfRule type="notContainsText" priority="251" operator="notContains" id="{B7A1F3BB-246F-3A4B-B06D-916C6A810B5F}">
            <xm:f>ISERROR(SEARCH("Value Missing",D12))</xm:f>
            <xm:f>"Value Missing"</xm:f>
            <x14:dxf>
              <font>
                <color rgb="FF006100"/>
              </font>
              <fill>
                <patternFill>
                  <bgColor rgb="FFC6EFCE"/>
                </patternFill>
              </fill>
            </x14:dxf>
          </x14:cfRule>
          <xm:sqref>D358:D360 D364:D366 D370:D373 D377:D381 D413:D417 D430:D435 D439:D442 D342:D348 D159:D160 D165:D166 D262:D265 D12:D15 D328 D332:D340 D350:D352</xm:sqref>
        </x14:conditionalFormatting>
        <x14:conditionalFormatting xmlns:xm="http://schemas.microsoft.com/office/excel/2006/main">
          <x14:cfRule type="notContainsText" priority="670" operator="notContains" id="{E4592A7B-B952-4649-8F6B-0703EEB681E0}">
            <xm:f>ISERROR(SEARCH("Value Missing",D358))</xm:f>
            <xm:f>"Value Missing"</xm:f>
            <x14:dxf>
              <font>
                <color rgb="FF006100"/>
              </font>
              <fill>
                <patternFill>
                  <bgColor rgb="FFC6EFCE"/>
                </patternFill>
              </fill>
            </x14:dxf>
          </x14:cfRule>
          <xm:sqref>D358:D360</xm:sqref>
        </x14:conditionalFormatting>
        <x14:conditionalFormatting xmlns:xm="http://schemas.microsoft.com/office/excel/2006/main">
          <x14:cfRule type="notContainsText" priority="388" operator="notContains" id="{241472B0-9F31-DA4F-96D5-7D683D94DA6F}">
            <xm:f>ISERROR(SEARCH("Value Missing",D362))</xm:f>
            <xm:f>"Value Missing"</xm:f>
            <x14:dxf>
              <font>
                <color rgb="FF006100"/>
              </font>
              <fill>
                <patternFill>
                  <bgColor rgb="FFC6EFCE"/>
                </patternFill>
              </fill>
            </x14:dxf>
          </x14:cfRule>
          <xm:sqref>D362 D368 D375</xm:sqref>
        </x14:conditionalFormatting>
        <x14:conditionalFormatting xmlns:xm="http://schemas.microsoft.com/office/excel/2006/main">
          <x14:cfRule type="containsText" priority="1453" operator="containsText" id="{2BE10757-C28F-1849-97F0-C1BA4C54E204}">
            <xm:f>NOT(ISERROR(SEARCH("Value Missing",D381)))</xm:f>
            <xm:f>"Value Missing"</xm:f>
            <x14:dxf>
              <font>
                <color rgb="FF9C0006"/>
              </font>
              <fill>
                <patternFill>
                  <bgColor rgb="FFFFC7CE"/>
                </patternFill>
              </fill>
            </x14:dxf>
          </x14:cfRule>
          <xm:sqref>D381 D383 D385:D388</xm:sqref>
        </x14:conditionalFormatting>
        <x14:conditionalFormatting xmlns:xm="http://schemas.microsoft.com/office/excel/2006/main">
          <x14:cfRule type="notContainsText" priority="1452" operator="notContains" id="{11266E29-9CE2-7D4F-9275-2F63B664E13C}">
            <xm:f>ISERROR(SEARCH("Value Missing",D381))</xm:f>
            <xm:f>"Value Missing"</xm:f>
            <x14:dxf>
              <font>
                <color rgb="FF006100"/>
              </font>
              <fill>
                <patternFill>
                  <bgColor rgb="FFC6EFCE"/>
                </patternFill>
              </fill>
            </x14:dxf>
          </x14:cfRule>
          <xm:sqref>D385:D388 D383 D381</xm:sqref>
        </x14:conditionalFormatting>
        <x14:conditionalFormatting xmlns:xm="http://schemas.microsoft.com/office/excel/2006/main">
          <x14:cfRule type="notContainsText" priority="1558" operator="notContains" id="{AC57E6E9-A769-3149-9884-A8849DB9959C}">
            <xm:f>ISERROR(SEARCH("Value Missing",D328))</xm:f>
            <xm:f>"Value Missing"</xm:f>
            <x14:dxf>
              <font>
                <color rgb="FF006100"/>
              </font>
              <fill>
                <patternFill>
                  <bgColor rgb="FFC6EFCE"/>
                </patternFill>
              </fill>
            </x14:dxf>
          </x14:cfRule>
          <xm:sqref>D385:D409 D383 D330 D354 D356 D362 D368 D375 D328</xm:sqref>
        </x14:conditionalFormatting>
        <x14:conditionalFormatting xmlns:xm="http://schemas.microsoft.com/office/excel/2006/main">
          <x14:cfRule type="containsText" priority="848" operator="containsText" id="{A415BC12-58D9-2345-929A-D686F9189959}">
            <xm:f>NOT(ISERROR(SEARCH("Value Missing",D385)))</xm:f>
            <xm:f>"Value Missing"</xm:f>
            <x14:dxf>
              <font>
                <color rgb="FF9C0006"/>
              </font>
              <fill>
                <patternFill>
                  <bgColor rgb="FFFFC7CE"/>
                </patternFill>
              </fill>
            </x14:dxf>
          </x14:cfRule>
          <xm:sqref>D385:D409</xm:sqref>
        </x14:conditionalFormatting>
        <x14:conditionalFormatting xmlns:xm="http://schemas.microsoft.com/office/excel/2006/main">
          <x14:cfRule type="notContainsText" priority="1440" operator="notContains" id="{49E94843-5BBB-E746-9E0A-E8AF7C138EAE}">
            <xm:f>ISERROR(SEARCH("Value Missing",D388))</xm:f>
            <xm:f>"Value Missing"</xm:f>
            <x14:dxf>
              <font>
                <color rgb="FF006100"/>
              </font>
              <fill>
                <patternFill>
                  <bgColor rgb="FFC6EFCE"/>
                </patternFill>
              </fill>
            </x14:dxf>
          </x14:cfRule>
          <x14:cfRule type="containsText" priority="1441" operator="containsText" id="{F7E5583E-E960-A546-BA5E-6EA30276421B}">
            <xm:f>NOT(ISERROR(SEARCH("Value Missing",D388)))</xm:f>
            <xm:f>"Value Missing"</xm:f>
            <x14:dxf>
              <font>
                <color rgb="FF9C0006"/>
              </font>
              <fill>
                <patternFill>
                  <bgColor rgb="FFFFC7CE"/>
                </patternFill>
              </fill>
            </x14:dxf>
          </x14:cfRule>
          <xm:sqref>D388:D396</xm:sqref>
        </x14:conditionalFormatting>
        <x14:conditionalFormatting xmlns:xm="http://schemas.microsoft.com/office/excel/2006/main">
          <x14:cfRule type="notContainsText" priority="1438" operator="notContains" id="{F4BEC4D4-E332-A94E-AF67-A469CB13E054}">
            <xm:f>ISERROR(SEARCH("Value Missing",D389))</xm:f>
            <xm:f>"Value Missing"</xm:f>
            <x14:dxf>
              <font>
                <color rgb="FF006100"/>
              </font>
              <fill>
                <patternFill>
                  <bgColor rgb="FFC6EFCE"/>
                </patternFill>
              </fill>
            </x14:dxf>
          </x14:cfRule>
          <x14:cfRule type="containsText" priority="1439" operator="containsText" id="{00408333-283C-6A4D-8BEC-79529204530D}">
            <xm:f>NOT(ISERROR(SEARCH("Value Missing",D389)))</xm:f>
            <xm:f>"Value Missing"</xm:f>
            <x14:dxf>
              <font>
                <color rgb="FF9C0006"/>
              </font>
              <fill>
                <patternFill>
                  <bgColor rgb="FFFFC7CE"/>
                </patternFill>
              </fill>
            </x14:dxf>
          </x14:cfRule>
          <xm:sqref>D389:D396</xm:sqref>
        </x14:conditionalFormatting>
        <x14:conditionalFormatting xmlns:xm="http://schemas.microsoft.com/office/excel/2006/main">
          <x14:cfRule type="notContainsText" priority="1462" operator="notContains" id="{708DBEC6-A05E-A640-AF10-7CC970F05A1D}">
            <xm:f>ISERROR(SEARCH("Value Missing",D390))</xm:f>
            <xm:f>"Value Missing"</xm:f>
            <x14:dxf>
              <font>
                <color rgb="FF006100"/>
              </font>
              <fill>
                <patternFill>
                  <bgColor rgb="FFC6EFCE"/>
                </patternFill>
              </fill>
            </x14:dxf>
          </x14:cfRule>
          <x14:cfRule type="containsText" priority="1463" operator="containsText" id="{CC16479C-D846-0F42-A3CC-E23E8BDA5C9F}">
            <xm:f>NOT(ISERROR(SEARCH("Value Missing",D390)))</xm:f>
            <xm:f>"Value Missing"</xm:f>
            <x14:dxf>
              <font>
                <color rgb="FF9C0006"/>
              </font>
              <fill>
                <patternFill>
                  <bgColor rgb="FFFFC7CE"/>
                </patternFill>
              </fill>
            </x14:dxf>
          </x14:cfRule>
          <xm:sqref>D390:D395</xm:sqref>
        </x14:conditionalFormatting>
        <x14:conditionalFormatting xmlns:xm="http://schemas.microsoft.com/office/excel/2006/main">
          <x14:cfRule type="notContainsText" priority="1444" operator="notContains" id="{C6AA7063-0FD5-8948-9C61-AB08E1331E7F}">
            <xm:f>ISERROR(SEARCH("Value Missing",D395))</xm:f>
            <xm:f>"Value Missing"</xm:f>
            <x14:dxf>
              <font>
                <color rgb="FF006100"/>
              </font>
              <fill>
                <patternFill>
                  <bgColor rgb="FFC6EFCE"/>
                </patternFill>
              </fill>
            </x14:dxf>
          </x14:cfRule>
          <x14:cfRule type="containsText" priority="1445" operator="containsText" id="{820144F1-F168-6841-82DB-38A4B75861B6}">
            <xm:f>NOT(ISERROR(SEARCH("Value Missing",D395)))</xm:f>
            <xm:f>"Value Missing"</xm:f>
            <x14:dxf>
              <font>
                <color rgb="FF9C0006"/>
              </font>
              <fill>
                <patternFill>
                  <bgColor rgb="FFFFC7CE"/>
                </patternFill>
              </fill>
            </x14:dxf>
          </x14:cfRule>
          <xm:sqref>D395:D401</xm:sqref>
        </x14:conditionalFormatting>
        <x14:conditionalFormatting xmlns:xm="http://schemas.microsoft.com/office/excel/2006/main">
          <x14:cfRule type="containsText" priority="1425" operator="containsText" id="{506C0B3A-86AC-7C44-B2AE-692A4CDF5D46}">
            <xm:f>NOT(ISERROR(SEARCH("Value Missing",D398)))</xm:f>
            <xm:f>"Value Missing"</xm:f>
            <x14:dxf>
              <font>
                <color rgb="FF9C0006"/>
              </font>
              <fill>
                <patternFill>
                  <bgColor rgb="FFFFC7CE"/>
                </patternFill>
              </fill>
            </x14:dxf>
          </x14:cfRule>
          <x14:cfRule type="notContainsText" priority="1424" operator="notContains" id="{C0D3343F-D894-084E-A62E-6EC7EC8AA0AD}">
            <xm:f>ISERROR(SEARCH("Value Missing",D398))</xm:f>
            <xm:f>"Value Missing"</xm:f>
            <x14:dxf>
              <font>
                <color rgb="FF006100"/>
              </font>
              <fill>
                <patternFill>
                  <bgColor rgb="FFC6EFCE"/>
                </patternFill>
              </fill>
            </x14:dxf>
          </x14:cfRule>
          <xm:sqref>D398:D407</xm:sqref>
        </x14:conditionalFormatting>
        <x14:conditionalFormatting xmlns:xm="http://schemas.microsoft.com/office/excel/2006/main">
          <x14:cfRule type="containsText" priority="1479" operator="containsText" id="{148B1597-6AFA-4143-811F-F11F0675670B}">
            <xm:f>NOT(ISERROR(SEARCH("Value Missing",D401)))</xm:f>
            <xm:f>"Value Missing"</xm:f>
            <x14:dxf>
              <font>
                <color rgb="FF9C0006"/>
              </font>
              <fill>
                <patternFill>
                  <bgColor rgb="FFFFC7CE"/>
                </patternFill>
              </fill>
            </x14:dxf>
          </x14:cfRule>
          <x14:cfRule type="notContainsText" priority="1478" operator="notContains" id="{203446D2-D95D-B441-ADEB-3C7095AC6AB5}">
            <xm:f>ISERROR(SEARCH("Value Missing",D401))</xm:f>
            <xm:f>"Value Missing"</xm:f>
            <x14:dxf>
              <font>
                <color rgb="FF006100"/>
              </font>
              <fill>
                <patternFill>
                  <bgColor rgb="FFC6EFCE"/>
                </patternFill>
              </fill>
            </x14:dxf>
          </x14:cfRule>
          <x14:cfRule type="containsText" priority="1477" operator="containsText" id="{0042278F-1B0D-BE42-8468-2CCDC5DC3226}">
            <xm:f>NOT(ISERROR(SEARCH("Value Missing",D401)))</xm:f>
            <xm:f>"Value Missing"</xm:f>
            <x14:dxf>
              <font>
                <color rgb="FF9C0006"/>
              </font>
              <fill>
                <patternFill>
                  <bgColor rgb="FFFFC7CE"/>
                </patternFill>
              </fill>
            </x14:dxf>
          </x14:cfRule>
          <x14:cfRule type="notContainsText" priority="1476" operator="notContains" id="{3D329D3C-787D-1B4F-8C53-51699DBEB968}">
            <xm:f>ISERROR(SEARCH("Value Missing",D401))</xm:f>
            <xm:f>"Value Missing"</xm:f>
            <x14:dxf>
              <font>
                <color rgb="FF006100"/>
              </font>
              <fill>
                <patternFill>
                  <bgColor rgb="FFC6EFCE"/>
                </patternFill>
              </fill>
            </x14:dxf>
          </x14:cfRule>
          <xm:sqref>D401</xm:sqref>
        </x14:conditionalFormatting>
        <x14:conditionalFormatting xmlns:xm="http://schemas.microsoft.com/office/excel/2006/main">
          <x14:cfRule type="containsText" priority="1359" operator="containsText" id="{C22ECBE7-AC7D-AE49-96B7-6FD8DF6C43CC}">
            <xm:f>NOT(ISERROR(SEARCH("Value Missing",D407)))</xm:f>
            <xm:f>"Value Missing"</xm:f>
            <x14:dxf>
              <font>
                <color rgb="FF9C0006"/>
              </font>
              <fill>
                <patternFill>
                  <bgColor rgb="FFFFC7CE"/>
                </patternFill>
              </fill>
            </x14:dxf>
          </x14:cfRule>
          <x14:cfRule type="notContainsText" priority="1358" operator="notContains" id="{BC30A405-B905-0443-AD21-7C2B6DED9A11}">
            <xm:f>ISERROR(SEARCH("Value Missing",D407))</xm:f>
            <xm:f>"Value Missing"</xm:f>
            <x14:dxf>
              <font>
                <color rgb="FF006100"/>
              </font>
              <fill>
                <patternFill>
                  <bgColor rgb="FFC6EFCE"/>
                </patternFill>
              </fill>
            </x14:dxf>
          </x14:cfRule>
          <xm:sqref>D407:D409</xm:sqref>
        </x14:conditionalFormatting>
        <x14:conditionalFormatting xmlns:xm="http://schemas.microsoft.com/office/excel/2006/main">
          <x14:cfRule type="containsText" priority="1339" operator="containsText" id="{DABD7AFA-450F-8A42-8760-8B4EFBC74C68}">
            <xm:f>NOT(ISERROR(SEARCH("Value Missing",D411)))</xm:f>
            <xm:f>"Value Missing"</xm:f>
            <x14:dxf>
              <font>
                <color rgb="FF9C0006"/>
              </font>
              <fill>
                <patternFill>
                  <bgColor rgb="FFFFC7CE"/>
                </patternFill>
              </fill>
            </x14:dxf>
          </x14:cfRule>
          <x14:cfRule type="notContainsText" priority="1338" operator="notContains" id="{1A123A48-03AB-5C41-9975-EC8A7491326F}">
            <xm:f>ISERROR(SEARCH("Value Missing",D411))</xm:f>
            <xm:f>"Value Missing"</xm:f>
            <x14:dxf>
              <font>
                <color rgb="FF006100"/>
              </font>
              <fill>
                <patternFill>
                  <bgColor rgb="FFC6EFCE"/>
                </patternFill>
              </fill>
            </x14:dxf>
          </x14:cfRule>
          <xm:sqref>D411</xm:sqref>
        </x14:conditionalFormatting>
        <x14:conditionalFormatting xmlns:xm="http://schemas.microsoft.com/office/excel/2006/main">
          <x14:cfRule type="notContainsText" priority="846" operator="notContains" id="{2D638B80-37E5-2447-82F1-D8568FC88356}">
            <xm:f>ISERROR(SEARCH("Value Missing",D221))</xm:f>
            <xm:f>"Value Missing"</xm:f>
            <x14:dxf>
              <font>
                <color rgb="FF006100"/>
              </font>
              <fill>
                <patternFill>
                  <bgColor rgb="FFC6EFCE"/>
                </patternFill>
              </fill>
            </x14:dxf>
          </x14:cfRule>
          <xm:sqref>D421:D426 D419 D362 D468 D235 D243 D248 D260 D326 D330 D383 D385:D409 D444 D446:D458 D460 D462:D466 D354 D356 D411 D428 D437 D221 D228</xm:sqref>
        </x14:conditionalFormatting>
        <x14:conditionalFormatting xmlns:xm="http://schemas.microsoft.com/office/excel/2006/main">
          <x14:cfRule type="notContainsText" priority="770" operator="notContains" id="{A46C7607-9EDF-7D41-88EF-7A34FA58271C}">
            <xm:f>ISERROR(SEARCH("Value Missing",D421))</xm:f>
            <xm:f>"Value Missing"</xm:f>
            <x14:dxf>
              <font>
                <color rgb="FF006100"/>
              </font>
              <fill>
                <patternFill>
                  <bgColor rgb="FFC6EFCE"/>
                </patternFill>
              </fill>
            </x14:dxf>
          </x14:cfRule>
          <x14:cfRule type="containsText" priority="771" operator="containsText" id="{412C7AAB-7484-814C-9DA9-DFC11E6FDE85}">
            <xm:f>NOT(ISERROR(SEARCH("Value Missing",D421)))</xm:f>
            <xm:f>"Value Missing"</xm:f>
            <x14:dxf>
              <font>
                <color rgb="FF9C0006"/>
              </font>
              <fill>
                <patternFill>
                  <bgColor rgb="FFFFC7CE"/>
                </patternFill>
              </fill>
            </x14:dxf>
          </x14:cfRule>
          <xm:sqref>D421:D426</xm:sqref>
        </x14:conditionalFormatting>
        <x14:conditionalFormatting xmlns:xm="http://schemas.microsoft.com/office/excel/2006/main">
          <x14:cfRule type="containsText" priority="1117" operator="containsText" id="{2B70A14C-B64A-064E-933F-A66BB69E4CB4}">
            <xm:f>NOT(ISERROR(SEARCH("Value Missing",D433)))</xm:f>
            <xm:f>"Value Missing"</xm:f>
            <x14:dxf>
              <font>
                <color rgb="FF9C0006"/>
              </font>
              <fill>
                <patternFill>
                  <bgColor rgb="FFFFC7CE"/>
                </patternFill>
              </fill>
            </x14:dxf>
          </x14:cfRule>
          <x14:cfRule type="notContainsText" priority="1116" operator="notContains" id="{BA2430F3-6CF2-A649-9C6E-86FE34B829AC}">
            <xm:f>ISERROR(SEARCH("Value Missing",D433))</xm:f>
            <xm:f>"Value Missing"</xm:f>
            <x14:dxf>
              <font>
                <color rgb="FF006100"/>
              </font>
              <fill>
                <patternFill>
                  <bgColor rgb="FFC6EFCE"/>
                </patternFill>
              </fill>
            </x14:dxf>
          </x14:cfRule>
          <xm:sqref>D433:D435 D437 D444 D446:D458</xm:sqref>
        </x14:conditionalFormatting>
        <x14:conditionalFormatting xmlns:xm="http://schemas.microsoft.com/office/excel/2006/main">
          <x14:cfRule type="containsText" priority="1243" operator="containsText" id="{B979AF7E-3311-1940-BC18-7F779959D0AD}">
            <xm:f>NOT(ISERROR(SEARCH("Value Missing",D437)))</xm:f>
            <xm:f>"Value Missing"</xm:f>
            <x14:dxf>
              <font>
                <color rgb="FF9C0006"/>
              </font>
              <fill>
                <patternFill>
                  <bgColor rgb="FFFFC7CE"/>
                </patternFill>
              </fill>
            </x14:dxf>
          </x14:cfRule>
          <x14:cfRule type="notContainsText" priority="1242" operator="notContains" id="{194ABCE1-1B06-104A-BCF7-5BA04C1BBE9F}">
            <xm:f>ISERROR(SEARCH("Value Missing",D437))</xm:f>
            <xm:f>"Value Missing"</xm:f>
            <x14:dxf>
              <font>
                <color rgb="FF006100"/>
              </font>
              <fill>
                <patternFill>
                  <bgColor rgb="FFC6EFCE"/>
                </patternFill>
              </fill>
            </x14:dxf>
          </x14:cfRule>
          <xm:sqref>D437</xm:sqref>
        </x14:conditionalFormatting>
        <x14:conditionalFormatting xmlns:xm="http://schemas.microsoft.com/office/excel/2006/main">
          <x14:cfRule type="notContainsText" priority="932" operator="notContains" id="{5C82A69F-E667-9D44-A3D0-3F0527565F53}">
            <xm:f>ISERROR(SEARCH("Value Missing",D446))</xm:f>
            <xm:f>"Value Missing"</xm:f>
            <x14:dxf>
              <font>
                <color rgb="FF006100"/>
              </font>
              <fill>
                <patternFill>
                  <bgColor rgb="FFC6EFCE"/>
                </patternFill>
              </fill>
            </x14:dxf>
          </x14:cfRule>
          <x14:cfRule type="containsText" priority="933" operator="containsText" id="{23298830-91D7-EF4B-9A63-1873F7D92307}">
            <xm:f>NOT(ISERROR(SEARCH("Value Missing",D446)))</xm:f>
            <xm:f>"Value Missing"</xm:f>
            <x14:dxf>
              <font>
                <color rgb="FF9C0006"/>
              </font>
              <fill>
                <patternFill>
                  <bgColor rgb="FFFFC7CE"/>
                </patternFill>
              </fill>
            </x14:dxf>
          </x14:cfRule>
          <xm:sqref>D446:D452</xm:sqref>
        </x14:conditionalFormatting>
        <x14:conditionalFormatting xmlns:xm="http://schemas.microsoft.com/office/excel/2006/main">
          <x14:cfRule type="containsText" priority="1145" operator="containsText" id="{14040717-F291-2842-AE0D-EEC225113B6E}">
            <xm:f>NOT(ISERROR(SEARCH("Value Missing",D453)))</xm:f>
            <xm:f>"Value Missing"</xm:f>
            <x14:dxf>
              <font>
                <color rgb="FF9C0006"/>
              </font>
              <fill>
                <patternFill>
                  <bgColor rgb="FFFFC7CE"/>
                </patternFill>
              </fill>
            </x14:dxf>
          </x14:cfRule>
          <x14:cfRule type="notContainsText" priority="1144" operator="notContains" id="{513B5A6E-7F9D-4F4D-B5FA-02AD76F8A83D}">
            <xm:f>ISERROR(SEARCH("Value Missing",D453))</xm:f>
            <xm:f>"Value Missing"</xm:f>
            <x14:dxf>
              <font>
                <color rgb="FF006100"/>
              </font>
              <fill>
                <patternFill>
                  <bgColor rgb="FFC6EFCE"/>
                </patternFill>
              </fill>
            </x14:dxf>
          </x14:cfRule>
          <xm:sqref>D453:D458 D460</xm:sqref>
        </x14:conditionalFormatting>
        <x14:conditionalFormatting xmlns:xm="http://schemas.microsoft.com/office/excel/2006/main">
          <x14:cfRule type="notContainsText" priority="930" operator="notContains" id="{871EBADE-261E-E246-812D-B39217E1CB51}">
            <xm:f>ISERROR(SEARCH("Value Missing",D455))</xm:f>
            <xm:f>"Value Missing"</xm:f>
            <x14:dxf>
              <font>
                <color rgb="FF006100"/>
              </font>
              <fill>
                <patternFill>
                  <bgColor rgb="FFC6EFCE"/>
                </patternFill>
              </fill>
            </x14:dxf>
          </x14:cfRule>
          <x14:cfRule type="containsText" priority="931" operator="containsText" id="{1ABADDFD-2B00-3F46-8CC4-CFA40D8C751F}">
            <xm:f>NOT(ISERROR(SEARCH("Value Missing",D455)))</xm:f>
            <xm:f>"Value Missing"</xm:f>
            <x14:dxf>
              <font>
                <color rgb="FF9C0006"/>
              </font>
              <fill>
                <patternFill>
                  <bgColor rgb="FFFFC7CE"/>
                </patternFill>
              </fill>
            </x14:dxf>
          </x14:cfRule>
          <xm:sqref>D455:D458</xm:sqref>
        </x14:conditionalFormatting>
        <x14:conditionalFormatting xmlns:xm="http://schemas.microsoft.com/office/excel/2006/main">
          <x14:cfRule type="notContainsText" priority="924" operator="notContains" id="{09150293-B77F-4448-B3B5-50BDB61C352B}">
            <xm:f>ISERROR(SEARCH("Value Missing",D462))</xm:f>
            <xm:f>"Value Missing"</xm:f>
            <x14:dxf>
              <font>
                <color rgb="FF006100"/>
              </font>
              <fill>
                <patternFill>
                  <bgColor rgb="FFC6EFCE"/>
                </patternFill>
              </fill>
            </x14:dxf>
          </x14:cfRule>
          <x14:cfRule type="containsText" priority="925" operator="containsText" id="{3A441359-3F98-5F4D-BAE5-20698D4AD115}">
            <xm:f>NOT(ISERROR(SEARCH("Value Missing",D462)))</xm:f>
            <xm:f>"Value Missing"</xm:f>
            <x14:dxf>
              <font>
                <color rgb="FF9C0006"/>
              </font>
              <fill>
                <patternFill>
                  <bgColor rgb="FFFFC7CE"/>
                </patternFill>
              </fill>
            </x14:dxf>
          </x14:cfRule>
          <xm:sqref>D462:D466 D468</xm:sqref>
        </x14:conditionalFormatting>
        <x14:conditionalFormatting xmlns:xm="http://schemas.microsoft.com/office/excel/2006/main">
          <x14:cfRule type="notContainsText" priority="922" operator="notContains" id="{35FA81D0-CBC5-4946-98A3-C1A352B0DE37}">
            <xm:f>ISERROR(SEARCH("Value Missing",D466))</xm:f>
            <xm:f>"Value Missing"</xm:f>
            <x14:dxf>
              <font>
                <color rgb="FF006100"/>
              </font>
              <fill>
                <patternFill>
                  <bgColor rgb="FFC6EFCE"/>
                </patternFill>
              </fill>
            </x14:dxf>
          </x14:cfRule>
          <x14:cfRule type="containsText" priority="923" operator="containsText" id="{F739AF5A-C5F8-F44E-B7F7-EF9B7056CBFC}">
            <xm:f>NOT(ISERROR(SEARCH("Value Missing",D466)))</xm:f>
            <xm:f>"Value Missing"</xm:f>
            <x14:dxf>
              <font>
                <color rgb="FF9C0006"/>
              </font>
              <fill>
                <patternFill>
                  <bgColor rgb="FFFFC7CE"/>
                </patternFill>
              </fill>
            </x14:dxf>
          </x14:cfRule>
          <xm:sqref>D466</xm:sqref>
        </x14:conditionalFormatting>
        <x14:conditionalFormatting xmlns:xm="http://schemas.microsoft.com/office/excel/2006/main">
          <x14:cfRule type="notContainsText" priority="54" operator="notContains" id="{004FA826-72A1-5D4B-9A0E-94CD160A719D}">
            <xm:f>ISERROR(SEARCH("Value Missing",D19))</xm:f>
            <xm:f>"Value Missing"</xm:f>
            <x14:dxf>
              <font>
                <color rgb="FF006100"/>
              </font>
              <fill>
                <patternFill>
                  <bgColor rgb="FFC6EFCE"/>
                </patternFill>
              </fill>
            </x14:dxf>
          </x14:cfRule>
          <xm:sqref>D470:D475 D19:D20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2CD48-A96D-0441-BA5E-3B48093C804A}">
  <sheetPr codeName="Sheet23">
    <tabColor theme="3"/>
  </sheetPr>
  <dimension ref="B1:J71"/>
  <sheetViews>
    <sheetView showGridLines="0" zoomScaleNormal="100" workbookViewId="0">
      <pane ySplit="4" topLeftCell="A5" activePane="bottomLeft" state="frozen"/>
      <selection pane="bottomLeft"/>
    </sheetView>
  </sheetViews>
  <sheetFormatPr baseColWidth="10" defaultColWidth="11" defaultRowHeight="16"/>
  <cols>
    <col min="1" max="1" width="2.83203125" customWidth="1"/>
    <col min="2" max="2" width="124" customWidth="1"/>
    <col min="3" max="3" width="67.5" bestFit="1" customWidth="1"/>
    <col min="4" max="4" width="112.33203125" customWidth="1"/>
    <col min="5" max="5" width="19.1640625" customWidth="1"/>
    <col min="6" max="6" width="28.5" bestFit="1" customWidth="1"/>
    <col min="7" max="9" width="19.1640625" customWidth="1"/>
    <col min="10" max="10" width="10.83203125" customWidth="1"/>
  </cols>
  <sheetData>
    <row r="1" spans="2:10" s="3" customFormat="1" ht="16" customHeight="1">
      <c r="E1"/>
      <c r="F1"/>
      <c r="G1"/>
      <c r="H1"/>
      <c r="I1"/>
      <c r="J1"/>
    </row>
    <row r="2" spans="2:10" s="3" customFormat="1" ht="54" customHeight="1">
      <c r="B2" s="97"/>
      <c r="C2" s="495" t="s">
        <v>3187</v>
      </c>
      <c r="D2" s="526"/>
      <c r="E2" s="526"/>
      <c r="F2" s="526"/>
      <c r="G2" s="526"/>
      <c r="H2" s="526"/>
      <c r="I2" s="496"/>
      <c r="J2"/>
    </row>
    <row r="3" spans="2:10" s="3" customFormat="1" ht="20" customHeight="1">
      <c r="B3" s="471" t="s">
        <v>3413</v>
      </c>
      <c r="C3" s="471"/>
      <c r="D3" s="471"/>
      <c r="E3" s="471"/>
      <c r="F3" s="471"/>
      <c r="G3" s="471"/>
      <c r="H3" s="471"/>
      <c r="I3" s="471"/>
      <c r="J3"/>
    </row>
    <row r="4" spans="2:10" s="3" customFormat="1">
      <c r="D4" s="7"/>
      <c r="E4" s="5"/>
      <c r="F4" s="5"/>
    </row>
    <row r="5" spans="2:10" ht="16" customHeight="1"/>
    <row r="6" spans="2:10" ht="34" customHeight="1">
      <c r="B6" s="344" t="s">
        <v>2630</v>
      </c>
      <c r="C6" s="344"/>
      <c r="D6" s="344"/>
      <c r="E6" s="344"/>
      <c r="F6" s="344"/>
      <c r="G6" s="344"/>
      <c r="H6" s="344"/>
      <c r="I6" s="344"/>
    </row>
    <row r="7" spans="2:10" ht="20" customHeight="1">
      <c r="B7" s="8" t="s">
        <v>735</v>
      </c>
      <c r="C7" s="8" t="s">
        <v>2631</v>
      </c>
      <c r="D7" s="8" t="s">
        <v>2632</v>
      </c>
      <c r="E7" s="8" t="s">
        <v>2633</v>
      </c>
      <c r="F7" s="8" t="str">
        <f>CONCATENATE("Standard Email Plugin ",UPPER(this_instance))</f>
        <v>Standard Email Plugin SFO</v>
      </c>
      <c r="G7" s="8" t="s">
        <v>2634</v>
      </c>
      <c r="H7" s="8" t="s">
        <v>2635</v>
      </c>
      <c r="I7" s="8" t="s">
        <v>2636</v>
      </c>
    </row>
    <row r="8" spans="2:10" ht="20" customHeight="1">
      <c r="B8" s="18" t="s">
        <v>2637</v>
      </c>
      <c r="C8" s="18" t="s">
        <v>2638</v>
      </c>
      <c r="D8" s="18" t="s">
        <v>2637</v>
      </c>
      <c r="E8" s="18" t="str">
        <f t="shared" ref="E8:E22" si="0">xreg_vrops_smtp_receiver_email_address</f>
        <v>Value Missing</v>
      </c>
      <c r="F8" s="18" t="str">
        <f t="shared" ref="F8:F22" si="1">smtp_server</f>
        <v>Value Missing</v>
      </c>
      <c r="G8" s="18" t="str">
        <f t="shared" ref="G8:G22" si="2">xreg_vrops_notification_interval</f>
        <v>Value Missing</v>
      </c>
      <c r="H8" s="18" t="str">
        <f t="shared" ref="H8:H22" si="3">xreg_vrops_notification_max</f>
        <v>Value Missing</v>
      </c>
      <c r="I8" s="18" t="str">
        <f t="shared" ref="I8:I22" si="4">xreg_vrops_notification_delay</f>
        <v>Value Missing</v>
      </c>
    </row>
    <row r="9" spans="2:10" ht="20" customHeight="1">
      <c r="B9" s="18" t="s">
        <v>2639</v>
      </c>
      <c r="C9" s="18" t="s">
        <v>2638</v>
      </c>
      <c r="D9" s="18" t="s">
        <v>2639</v>
      </c>
      <c r="E9" s="18" t="str">
        <f t="shared" si="0"/>
        <v>Value Missing</v>
      </c>
      <c r="F9" s="18" t="str">
        <f t="shared" si="1"/>
        <v>Value Missing</v>
      </c>
      <c r="G9" s="18" t="str">
        <f t="shared" si="2"/>
        <v>Value Missing</v>
      </c>
      <c r="H9" s="18" t="str">
        <f t="shared" si="3"/>
        <v>Value Missing</v>
      </c>
      <c r="I9" s="18" t="str">
        <f t="shared" si="4"/>
        <v>Value Missing</v>
      </c>
    </row>
    <row r="10" spans="2:10" ht="20" customHeight="1">
      <c r="B10" s="18" t="s">
        <v>2640</v>
      </c>
      <c r="C10" s="18" t="s">
        <v>2638</v>
      </c>
      <c r="D10" s="18" t="s">
        <v>2640</v>
      </c>
      <c r="E10" s="18" t="str">
        <f t="shared" si="0"/>
        <v>Value Missing</v>
      </c>
      <c r="F10" s="18" t="str">
        <f t="shared" si="1"/>
        <v>Value Missing</v>
      </c>
      <c r="G10" s="18" t="str">
        <f t="shared" si="2"/>
        <v>Value Missing</v>
      </c>
      <c r="H10" s="18" t="str">
        <f t="shared" si="3"/>
        <v>Value Missing</v>
      </c>
      <c r="I10" s="18" t="str">
        <f t="shared" si="4"/>
        <v>Value Missing</v>
      </c>
    </row>
    <row r="11" spans="2:10" ht="20" customHeight="1">
      <c r="B11" s="18" t="s">
        <v>2641</v>
      </c>
      <c r="C11" s="18" t="s">
        <v>2638</v>
      </c>
      <c r="D11" s="18" t="s">
        <v>2641</v>
      </c>
      <c r="E11" s="18" t="str">
        <f t="shared" si="0"/>
        <v>Value Missing</v>
      </c>
      <c r="F11" s="18" t="str">
        <f t="shared" si="1"/>
        <v>Value Missing</v>
      </c>
      <c r="G11" s="18" t="str">
        <f t="shared" si="2"/>
        <v>Value Missing</v>
      </c>
      <c r="H11" s="18" t="str">
        <f t="shared" si="3"/>
        <v>Value Missing</v>
      </c>
      <c r="I11" s="18" t="str">
        <f t="shared" si="4"/>
        <v>Value Missing</v>
      </c>
    </row>
    <row r="12" spans="2:10" ht="20" customHeight="1">
      <c r="B12" s="18" t="s">
        <v>2642</v>
      </c>
      <c r="C12" s="18" t="s">
        <v>2638</v>
      </c>
      <c r="D12" s="18" t="s">
        <v>2642</v>
      </c>
      <c r="E12" s="18" t="str">
        <f t="shared" si="0"/>
        <v>Value Missing</v>
      </c>
      <c r="F12" s="18" t="str">
        <f t="shared" si="1"/>
        <v>Value Missing</v>
      </c>
      <c r="G12" s="18" t="str">
        <f t="shared" si="2"/>
        <v>Value Missing</v>
      </c>
      <c r="H12" s="18" t="str">
        <f t="shared" si="3"/>
        <v>Value Missing</v>
      </c>
      <c r="I12" s="18" t="str">
        <f t="shared" si="4"/>
        <v>Value Missing</v>
      </c>
    </row>
    <row r="13" spans="2:10" ht="20" customHeight="1">
      <c r="B13" s="18" t="s">
        <v>2643</v>
      </c>
      <c r="C13" s="18" t="s">
        <v>2638</v>
      </c>
      <c r="D13" s="18" t="s">
        <v>2643</v>
      </c>
      <c r="E13" s="18" t="str">
        <f t="shared" si="0"/>
        <v>Value Missing</v>
      </c>
      <c r="F13" s="18" t="str">
        <f t="shared" si="1"/>
        <v>Value Missing</v>
      </c>
      <c r="G13" s="18" t="str">
        <f t="shared" si="2"/>
        <v>Value Missing</v>
      </c>
      <c r="H13" s="18" t="str">
        <f t="shared" si="3"/>
        <v>Value Missing</v>
      </c>
      <c r="I13" s="18" t="str">
        <f t="shared" si="4"/>
        <v>Value Missing</v>
      </c>
    </row>
    <row r="14" spans="2:10" ht="20" customHeight="1">
      <c r="B14" s="18" t="s">
        <v>2644</v>
      </c>
      <c r="C14" s="18" t="s">
        <v>2638</v>
      </c>
      <c r="D14" s="18" t="s">
        <v>2644</v>
      </c>
      <c r="E14" s="18" t="str">
        <f t="shared" si="0"/>
        <v>Value Missing</v>
      </c>
      <c r="F14" s="18" t="str">
        <f t="shared" si="1"/>
        <v>Value Missing</v>
      </c>
      <c r="G14" s="18" t="str">
        <f t="shared" si="2"/>
        <v>Value Missing</v>
      </c>
      <c r="H14" s="18" t="str">
        <f t="shared" si="3"/>
        <v>Value Missing</v>
      </c>
      <c r="I14" s="18" t="str">
        <f t="shared" si="4"/>
        <v>Value Missing</v>
      </c>
    </row>
    <row r="15" spans="2:10" ht="20" customHeight="1">
      <c r="B15" s="18" t="s">
        <v>2645</v>
      </c>
      <c r="C15" s="18" t="s">
        <v>2638</v>
      </c>
      <c r="D15" s="18" t="s">
        <v>2645</v>
      </c>
      <c r="E15" s="18" t="str">
        <f t="shared" si="0"/>
        <v>Value Missing</v>
      </c>
      <c r="F15" s="18" t="str">
        <f t="shared" si="1"/>
        <v>Value Missing</v>
      </c>
      <c r="G15" s="18" t="str">
        <f t="shared" si="2"/>
        <v>Value Missing</v>
      </c>
      <c r="H15" s="18" t="str">
        <f t="shared" si="3"/>
        <v>Value Missing</v>
      </c>
      <c r="I15" s="18" t="str">
        <f t="shared" si="4"/>
        <v>Value Missing</v>
      </c>
    </row>
    <row r="16" spans="2:10" ht="20" customHeight="1">
      <c r="B16" s="18" t="s">
        <v>2646</v>
      </c>
      <c r="C16" s="18" t="s">
        <v>2647</v>
      </c>
      <c r="D16" s="18" t="s">
        <v>2646</v>
      </c>
      <c r="E16" s="18" t="str">
        <f t="shared" si="0"/>
        <v>Value Missing</v>
      </c>
      <c r="F16" s="18" t="str">
        <f t="shared" si="1"/>
        <v>Value Missing</v>
      </c>
      <c r="G16" s="18" t="str">
        <f t="shared" si="2"/>
        <v>Value Missing</v>
      </c>
      <c r="H16" s="18" t="str">
        <f t="shared" si="3"/>
        <v>Value Missing</v>
      </c>
      <c r="I16" s="18" t="str">
        <f t="shared" si="4"/>
        <v>Value Missing</v>
      </c>
    </row>
    <row r="17" spans="2:9" ht="20" customHeight="1">
      <c r="B17" s="18" t="s">
        <v>2648</v>
      </c>
      <c r="C17" s="18" t="s">
        <v>2647</v>
      </c>
      <c r="D17" s="18" t="s">
        <v>2648</v>
      </c>
      <c r="E17" s="18" t="str">
        <f t="shared" si="0"/>
        <v>Value Missing</v>
      </c>
      <c r="F17" s="18" t="str">
        <f t="shared" si="1"/>
        <v>Value Missing</v>
      </c>
      <c r="G17" s="18" t="str">
        <f t="shared" si="2"/>
        <v>Value Missing</v>
      </c>
      <c r="H17" s="18" t="str">
        <f t="shared" si="3"/>
        <v>Value Missing</v>
      </c>
      <c r="I17" s="18" t="str">
        <f t="shared" si="4"/>
        <v>Value Missing</v>
      </c>
    </row>
    <row r="18" spans="2:9" ht="20" customHeight="1">
      <c r="B18" s="18" t="s">
        <v>2649</v>
      </c>
      <c r="C18" s="18" t="s">
        <v>2650</v>
      </c>
      <c r="D18" s="18" t="s">
        <v>2649</v>
      </c>
      <c r="E18" s="18" t="str">
        <f t="shared" si="0"/>
        <v>Value Missing</v>
      </c>
      <c r="F18" s="18" t="str">
        <f t="shared" si="1"/>
        <v>Value Missing</v>
      </c>
      <c r="G18" s="18" t="str">
        <f t="shared" si="2"/>
        <v>Value Missing</v>
      </c>
      <c r="H18" s="18" t="str">
        <f t="shared" si="3"/>
        <v>Value Missing</v>
      </c>
      <c r="I18" s="18" t="str">
        <f t="shared" si="4"/>
        <v>Value Missing</v>
      </c>
    </row>
    <row r="19" spans="2:9" ht="20" customHeight="1">
      <c r="B19" s="18" t="s">
        <v>2651</v>
      </c>
      <c r="C19" s="18" t="s">
        <v>2650</v>
      </c>
      <c r="D19" s="18" t="s">
        <v>2651</v>
      </c>
      <c r="E19" s="18" t="str">
        <f t="shared" si="0"/>
        <v>Value Missing</v>
      </c>
      <c r="F19" s="18" t="str">
        <f t="shared" si="1"/>
        <v>Value Missing</v>
      </c>
      <c r="G19" s="18" t="str">
        <f t="shared" si="2"/>
        <v>Value Missing</v>
      </c>
      <c r="H19" s="18" t="str">
        <f t="shared" si="3"/>
        <v>Value Missing</v>
      </c>
      <c r="I19" s="18" t="str">
        <f t="shared" si="4"/>
        <v>Value Missing</v>
      </c>
    </row>
    <row r="20" spans="2:9" ht="20" customHeight="1">
      <c r="B20" s="18" t="s">
        <v>2652</v>
      </c>
      <c r="C20" s="18" t="s">
        <v>2650</v>
      </c>
      <c r="D20" s="18" t="s">
        <v>2652</v>
      </c>
      <c r="E20" s="18" t="str">
        <f t="shared" si="0"/>
        <v>Value Missing</v>
      </c>
      <c r="F20" s="18" t="str">
        <f t="shared" si="1"/>
        <v>Value Missing</v>
      </c>
      <c r="G20" s="18" t="str">
        <f t="shared" si="2"/>
        <v>Value Missing</v>
      </c>
      <c r="H20" s="18" t="str">
        <f t="shared" si="3"/>
        <v>Value Missing</v>
      </c>
      <c r="I20" s="18" t="str">
        <f t="shared" si="4"/>
        <v>Value Missing</v>
      </c>
    </row>
    <row r="21" spans="2:9" ht="20" customHeight="1">
      <c r="B21" s="18" t="s">
        <v>2653</v>
      </c>
      <c r="C21" s="18" t="s">
        <v>2650</v>
      </c>
      <c r="D21" s="18" t="s">
        <v>2653</v>
      </c>
      <c r="E21" s="18" t="str">
        <f t="shared" si="0"/>
        <v>Value Missing</v>
      </c>
      <c r="F21" s="18" t="str">
        <f t="shared" si="1"/>
        <v>Value Missing</v>
      </c>
      <c r="G21" s="18" t="str">
        <f t="shared" si="2"/>
        <v>Value Missing</v>
      </c>
      <c r="H21" s="18" t="str">
        <f t="shared" si="3"/>
        <v>Value Missing</v>
      </c>
      <c r="I21" s="18" t="str">
        <f t="shared" si="4"/>
        <v>Value Missing</v>
      </c>
    </row>
    <row r="22" spans="2:9" ht="20" customHeight="1">
      <c r="B22" s="18" t="s">
        <v>2654</v>
      </c>
      <c r="C22" s="18" t="s">
        <v>2650</v>
      </c>
      <c r="D22" s="18" t="s">
        <v>2654</v>
      </c>
      <c r="E22" s="18" t="str">
        <f t="shared" si="0"/>
        <v>Value Missing</v>
      </c>
      <c r="F22" s="18" t="str">
        <f t="shared" si="1"/>
        <v>Value Missing</v>
      </c>
      <c r="G22" s="18" t="str">
        <f t="shared" si="2"/>
        <v>Value Missing</v>
      </c>
      <c r="H22" s="18" t="str">
        <f t="shared" si="3"/>
        <v>Value Missing</v>
      </c>
      <c r="I22" s="18" t="str">
        <f t="shared" si="4"/>
        <v>Value Missing</v>
      </c>
    </row>
    <row r="23" spans="2:9" ht="16" customHeight="1"/>
    <row r="24" spans="2:9" ht="34" customHeight="1">
      <c r="B24" s="344" t="s">
        <v>2655</v>
      </c>
      <c r="C24" s="344"/>
      <c r="D24" s="344"/>
      <c r="E24" s="344"/>
      <c r="F24" s="344"/>
      <c r="G24" s="344"/>
      <c r="H24" s="344"/>
      <c r="I24" s="344"/>
    </row>
    <row r="25" spans="2:9" ht="20" customHeight="1">
      <c r="B25" s="8" t="s">
        <v>735</v>
      </c>
      <c r="C25" s="8" t="s">
        <v>2631</v>
      </c>
      <c r="D25" s="8" t="s">
        <v>2632</v>
      </c>
      <c r="E25" s="8" t="s">
        <v>2633</v>
      </c>
      <c r="F25" s="8" t="str">
        <f>CONCATENATE("Standard Email Plugin ",UPPER(this_instance))</f>
        <v>Standard Email Plugin SFO</v>
      </c>
      <c r="G25" s="8" t="s">
        <v>2634</v>
      </c>
      <c r="H25" s="8" t="s">
        <v>2635</v>
      </c>
      <c r="I25" s="8" t="s">
        <v>2636</v>
      </c>
    </row>
    <row r="26" spans="2:9" ht="20" customHeight="1">
      <c r="B26" s="18" t="s">
        <v>2656</v>
      </c>
      <c r="C26" s="18" t="s">
        <v>2657</v>
      </c>
      <c r="D26" s="18" t="s">
        <v>2658</v>
      </c>
      <c r="E26" s="18" t="str">
        <f t="shared" ref="E26:E32" si="5">xreg_vrops_smtp_receiver_email_address</f>
        <v>Value Missing</v>
      </c>
      <c r="F26" s="18" t="str">
        <f t="shared" ref="F26:F32" si="6">smtp_server</f>
        <v>Value Missing</v>
      </c>
      <c r="G26" s="18" t="str">
        <f t="shared" ref="G26:G32" si="7">xreg_vrops_notification_interval</f>
        <v>Value Missing</v>
      </c>
      <c r="H26" s="18" t="str">
        <f t="shared" ref="H26:H32" si="8">xreg_vrops_notification_max</f>
        <v>Value Missing</v>
      </c>
      <c r="I26" s="18" t="str">
        <f t="shared" ref="I26:I32" si="9">xreg_vrops_notification_delay</f>
        <v>Value Missing</v>
      </c>
    </row>
    <row r="27" spans="2:9" ht="20" customHeight="1">
      <c r="B27" s="18" t="s">
        <v>2659</v>
      </c>
      <c r="C27" s="18" t="s">
        <v>2660</v>
      </c>
      <c r="D27" s="18" t="s">
        <v>2659</v>
      </c>
      <c r="E27" s="18" t="str">
        <f t="shared" si="5"/>
        <v>Value Missing</v>
      </c>
      <c r="F27" s="18" t="str">
        <f t="shared" si="6"/>
        <v>Value Missing</v>
      </c>
      <c r="G27" s="18" t="str">
        <f t="shared" si="7"/>
        <v>Value Missing</v>
      </c>
      <c r="H27" s="18" t="str">
        <f t="shared" si="8"/>
        <v>Value Missing</v>
      </c>
      <c r="I27" s="18" t="str">
        <f t="shared" si="9"/>
        <v>Value Missing</v>
      </c>
    </row>
    <row r="28" spans="2:9" ht="20" customHeight="1">
      <c r="B28" s="18" t="s">
        <v>2661</v>
      </c>
      <c r="C28" s="18" t="s">
        <v>2660</v>
      </c>
      <c r="D28" s="18" t="s">
        <v>2661</v>
      </c>
      <c r="E28" s="18" t="str">
        <f t="shared" si="5"/>
        <v>Value Missing</v>
      </c>
      <c r="F28" s="18" t="str">
        <f t="shared" si="6"/>
        <v>Value Missing</v>
      </c>
      <c r="G28" s="18" t="str">
        <f t="shared" si="7"/>
        <v>Value Missing</v>
      </c>
      <c r="H28" s="18" t="str">
        <f t="shared" si="8"/>
        <v>Value Missing</v>
      </c>
      <c r="I28" s="18" t="str">
        <f t="shared" si="9"/>
        <v>Value Missing</v>
      </c>
    </row>
    <row r="29" spans="2:9" ht="20" customHeight="1">
      <c r="B29" s="18" t="s">
        <v>2662</v>
      </c>
      <c r="C29" s="18" t="s">
        <v>2663</v>
      </c>
      <c r="D29" s="18" t="s">
        <v>2662</v>
      </c>
      <c r="E29" s="18" t="str">
        <f t="shared" si="5"/>
        <v>Value Missing</v>
      </c>
      <c r="F29" s="18" t="str">
        <f t="shared" si="6"/>
        <v>Value Missing</v>
      </c>
      <c r="G29" s="18" t="str">
        <f t="shared" si="7"/>
        <v>Value Missing</v>
      </c>
      <c r="H29" s="18" t="str">
        <f t="shared" si="8"/>
        <v>Value Missing</v>
      </c>
      <c r="I29" s="18" t="str">
        <f t="shared" si="9"/>
        <v>Value Missing</v>
      </c>
    </row>
    <row r="30" spans="2:9" ht="20" customHeight="1">
      <c r="B30" s="18" t="s">
        <v>2664</v>
      </c>
      <c r="C30" s="18" t="s">
        <v>2665</v>
      </c>
      <c r="D30" s="18" t="s">
        <v>2664</v>
      </c>
      <c r="E30" s="18" t="str">
        <f t="shared" si="5"/>
        <v>Value Missing</v>
      </c>
      <c r="F30" s="18" t="str">
        <f t="shared" si="6"/>
        <v>Value Missing</v>
      </c>
      <c r="G30" s="18" t="str">
        <f t="shared" si="7"/>
        <v>Value Missing</v>
      </c>
      <c r="H30" s="18" t="str">
        <f t="shared" si="8"/>
        <v>Value Missing</v>
      </c>
      <c r="I30" s="18" t="str">
        <f t="shared" si="9"/>
        <v>Value Missing</v>
      </c>
    </row>
    <row r="31" spans="2:9" ht="20" customHeight="1">
      <c r="B31" s="18" t="s">
        <v>2666</v>
      </c>
      <c r="C31" s="18" t="s">
        <v>2667</v>
      </c>
      <c r="D31" s="18" t="s">
        <v>2666</v>
      </c>
      <c r="E31" s="18" t="str">
        <f t="shared" si="5"/>
        <v>Value Missing</v>
      </c>
      <c r="F31" s="18" t="str">
        <f t="shared" si="6"/>
        <v>Value Missing</v>
      </c>
      <c r="G31" s="18" t="str">
        <f t="shared" si="7"/>
        <v>Value Missing</v>
      </c>
      <c r="H31" s="18" t="str">
        <f t="shared" si="8"/>
        <v>Value Missing</v>
      </c>
      <c r="I31" s="18" t="str">
        <f t="shared" si="9"/>
        <v>Value Missing</v>
      </c>
    </row>
    <row r="32" spans="2:9" ht="20" customHeight="1">
      <c r="B32" s="18" t="s">
        <v>2668</v>
      </c>
      <c r="C32" s="18" t="s">
        <v>2669</v>
      </c>
      <c r="D32" s="18" t="s">
        <v>2668</v>
      </c>
      <c r="E32" s="18" t="str">
        <f t="shared" si="5"/>
        <v>Value Missing</v>
      </c>
      <c r="F32" s="18" t="str">
        <f t="shared" si="6"/>
        <v>Value Missing</v>
      </c>
      <c r="G32" s="18" t="str">
        <f t="shared" si="7"/>
        <v>Value Missing</v>
      </c>
      <c r="H32" s="18" t="str">
        <f t="shared" si="8"/>
        <v>Value Missing</v>
      </c>
      <c r="I32" s="18" t="str">
        <f t="shared" si="9"/>
        <v>Value Missing</v>
      </c>
    </row>
    <row r="34" spans="2:9" ht="34" customHeight="1">
      <c r="B34" s="344" t="s">
        <v>2670</v>
      </c>
      <c r="C34" s="344"/>
      <c r="D34" s="344"/>
      <c r="E34" s="344"/>
      <c r="F34" s="344"/>
      <c r="G34" s="344"/>
      <c r="H34" s="344"/>
      <c r="I34" s="344"/>
    </row>
    <row r="35" spans="2:9" ht="20" customHeight="1">
      <c r="B35" s="8" t="s">
        <v>735</v>
      </c>
      <c r="C35" s="8" t="s">
        <v>2631</v>
      </c>
      <c r="D35" s="8" t="s">
        <v>2632</v>
      </c>
      <c r="E35" s="8" t="s">
        <v>2633</v>
      </c>
      <c r="F35" s="8" t="str">
        <f>CONCATENATE("Standard Email Plugin ",UPPER(this_instance))</f>
        <v>Standard Email Plugin SFO</v>
      </c>
      <c r="G35" s="8" t="s">
        <v>2634</v>
      </c>
      <c r="H35" s="8" t="s">
        <v>2635</v>
      </c>
      <c r="I35" s="8" t="s">
        <v>2636</v>
      </c>
    </row>
    <row r="36" spans="2:9" ht="20" customHeight="1">
      <c r="B36" s="18" t="s">
        <v>2671</v>
      </c>
      <c r="C36" s="18" t="s">
        <v>2672</v>
      </c>
      <c r="D36" s="18" t="s">
        <v>2671</v>
      </c>
      <c r="E36" s="18" t="str">
        <f>xreg_vrops_smtp_receiver_email_address</f>
        <v>Value Missing</v>
      </c>
      <c r="F36" s="18" t="str">
        <f>smtp_server</f>
        <v>Value Missing</v>
      </c>
      <c r="G36" s="18" t="str">
        <f>xreg_vrops_notification_interval</f>
        <v>Value Missing</v>
      </c>
      <c r="H36" s="18" t="str">
        <f>xreg_vrops_notification_max</f>
        <v>Value Missing</v>
      </c>
      <c r="I36" s="18" t="str">
        <f>xreg_vrops_notification_delay</f>
        <v>Value Missing</v>
      </c>
    </row>
    <row r="37" spans="2:9" ht="20" customHeight="1">
      <c r="B37" s="18" t="s">
        <v>2673</v>
      </c>
      <c r="C37" s="18" t="s">
        <v>2672</v>
      </c>
      <c r="D37" s="18" t="s">
        <v>2673</v>
      </c>
      <c r="E37" s="18" t="str">
        <f>xreg_vrops_smtp_receiver_email_address</f>
        <v>Value Missing</v>
      </c>
      <c r="F37" s="18" t="str">
        <f>smtp_server</f>
        <v>Value Missing</v>
      </c>
      <c r="G37" s="18" t="str">
        <f>xreg_vrops_notification_interval</f>
        <v>Value Missing</v>
      </c>
      <c r="H37" s="18" t="str">
        <f>xreg_vrops_notification_max</f>
        <v>Value Missing</v>
      </c>
      <c r="I37" s="18" t="str">
        <f>xreg_vrops_notification_delay</f>
        <v>Value Missing</v>
      </c>
    </row>
    <row r="38" spans="2:9" ht="20" customHeight="1">
      <c r="B38" s="18" t="s">
        <v>2674</v>
      </c>
      <c r="C38" s="18" t="s">
        <v>2675</v>
      </c>
      <c r="D38" s="18" t="s">
        <v>2674</v>
      </c>
      <c r="E38" s="18" t="str">
        <f>xreg_vrops_smtp_receiver_email_address</f>
        <v>Value Missing</v>
      </c>
      <c r="F38" s="18" t="str">
        <f>smtp_server</f>
        <v>Value Missing</v>
      </c>
      <c r="G38" s="18" t="str">
        <f>xreg_vrops_notification_interval</f>
        <v>Value Missing</v>
      </c>
      <c r="H38" s="18" t="str">
        <f>xreg_vrops_notification_max</f>
        <v>Value Missing</v>
      </c>
      <c r="I38" s="18" t="str">
        <f>xreg_vrops_notification_delay</f>
        <v>Value Missing</v>
      </c>
    </row>
    <row r="39" spans="2:9" ht="20" customHeight="1">
      <c r="B39" s="18" t="s">
        <v>2676</v>
      </c>
      <c r="C39" s="18" t="s">
        <v>2675</v>
      </c>
      <c r="D39" s="18" t="s">
        <v>2676</v>
      </c>
      <c r="E39" s="18" t="str">
        <f>xreg_vrops_smtp_receiver_email_address</f>
        <v>Value Missing</v>
      </c>
      <c r="F39" s="18" t="str">
        <f>smtp_server</f>
        <v>Value Missing</v>
      </c>
      <c r="G39" s="18" t="str">
        <f>xreg_vrops_notification_interval</f>
        <v>Value Missing</v>
      </c>
      <c r="H39" s="18" t="str">
        <f>xreg_vrops_notification_max</f>
        <v>Value Missing</v>
      </c>
      <c r="I39" s="18" t="str">
        <f>xreg_vrops_notification_delay</f>
        <v>Value Missing</v>
      </c>
    </row>
    <row r="40" spans="2:9" ht="20" customHeight="1">
      <c r="B40" s="18" t="s">
        <v>2677</v>
      </c>
      <c r="C40" s="18" t="s">
        <v>2675</v>
      </c>
      <c r="D40" s="18" t="s">
        <v>2677</v>
      </c>
      <c r="E40" s="18" t="str">
        <f>xreg_vrops_smtp_receiver_email_address</f>
        <v>Value Missing</v>
      </c>
      <c r="F40" s="18" t="str">
        <f>smtp_server</f>
        <v>Value Missing</v>
      </c>
      <c r="G40" s="18" t="str">
        <f>xreg_vrops_notification_interval</f>
        <v>Value Missing</v>
      </c>
      <c r="H40" s="18" t="str">
        <f>xreg_vrops_notification_max</f>
        <v>Value Missing</v>
      </c>
      <c r="I40" s="18" t="str">
        <f>xreg_vrops_notification_delay</f>
        <v>Value Missing</v>
      </c>
    </row>
    <row r="42" spans="2:9" ht="34" customHeight="1">
      <c r="B42" s="344" t="s">
        <v>3414</v>
      </c>
      <c r="C42" s="344"/>
      <c r="D42" s="344"/>
      <c r="E42" s="344"/>
      <c r="F42" s="344"/>
      <c r="G42" s="344"/>
      <c r="H42" s="344"/>
      <c r="I42" s="344"/>
    </row>
    <row r="43" spans="2:9" ht="20" customHeight="1">
      <c r="B43" s="8" t="s">
        <v>735</v>
      </c>
      <c r="C43" s="8" t="s">
        <v>2631</v>
      </c>
      <c r="D43" s="8" t="s">
        <v>2632</v>
      </c>
      <c r="E43" s="8" t="s">
        <v>2633</v>
      </c>
      <c r="F43" s="8" t="str">
        <f>CONCATENATE("Standard Email Plugin ",UPPER(this_instance))</f>
        <v>Standard Email Plugin SFO</v>
      </c>
      <c r="G43" s="8" t="s">
        <v>2634</v>
      </c>
      <c r="H43" s="8" t="s">
        <v>2635</v>
      </c>
      <c r="I43" s="8" t="s">
        <v>2636</v>
      </c>
    </row>
    <row r="44" spans="2:9" ht="20" customHeight="1">
      <c r="B44" s="18" t="s">
        <v>2678</v>
      </c>
      <c r="C44" s="18" t="s">
        <v>2679</v>
      </c>
      <c r="D44" s="18" t="s">
        <v>2678</v>
      </c>
      <c r="E44" s="18" t="str">
        <f t="shared" ref="E44:E52" si="10">xreg_vrops_smtp_receiver_email_address</f>
        <v>Value Missing</v>
      </c>
      <c r="F44" s="18" t="str">
        <f t="shared" ref="F44:F52" si="11">smtp_server</f>
        <v>Value Missing</v>
      </c>
      <c r="G44" s="18" t="str">
        <f t="shared" ref="G44:G52" si="12">xreg_vrops_notification_interval</f>
        <v>Value Missing</v>
      </c>
      <c r="H44" s="18" t="str">
        <f t="shared" ref="H44:H52" si="13">xreg_vrops_notification_max</f>
        <v>Value Missing</v>
      </c>
      <c r="I44" s="18" t="str">
        <f t="shared" ref="I44:I52" si="14">xreg_vrops_notification_delay</f>
        <v>Value Missing</v>
      </c>
    </row>
    <row r="45" spans="2:9" ht="20" customHeight="1">
      <c r="B45" s="18" t="s">
        <v>2680</v>
      </c>
      <c r="C45" s="18" t="s">
        <v>2679</v>
      </c>
      <c r="D45" s="18" t="s">
        <v>2681</v>
      </c>
      <c r="E45" s="18" t="str">
        <f t="shared" si="10"/>
        <v>Value Missing</v>
      </c>
      <c r="F45" s="18" t="str">
        <f t="shared" si="11"/>
        <v>Value Missing</v>
      </c>
      <c r="G45" s="18" t="str">
        <f t="shared" si="12"/>
        <v>Value Missing</v>
      </c>
      <c r="H45" s="18" t="str">
        <f t="shared" si="13"/>
        <v>Value Missing</v>
      </c>
      <c r="I45" s="18" t="str">
        <f t="shared" si="14"/>
        <v>Value Missing</v>
      </c>
    </row>
    <row r="46" spans="2:9" ht="20" customHeight="1">
      <c r="B46" s="18" t="s">
        <v>2682</v>
      </c>
      <c r="C46" s="18" t="s">
        <v>2679</v>
      </c>
      <c r="D46" s="18" t="s">
        <v>2682</v>
      </c>
      <c r="E46" s="18" t="str">
        <f t="shared" si="10"/>
        <v>Value Missing</v>
      </c>
      <c r="F46" s="18" t="str">
        <f t="shared" si="11"/>
        <v>Value Missing</v>
      </c>
      <c r="G46" s="18" t="str">
        <f t="shared" si="12"/>
        <v>Value Missing</v>
      </c>
      <c r="H46" s="18" t="str">
        <f t="shared" si="13"/>
        <v>Value Missing</v>
      </c>
      <c r="I46" s="18" t="str">
        <f t="shared" si="14"/>
        <v>Value Missing</v>
      </c>
    </row>
    <row r="47" spans="2:9" ht="20" customHeight="1">
      <c r="B47" s="18" t="s">
        <v>2683</v>
      </c>
      <c r="C47" s="18" t="s">
        <v>2684</v>
      </c>
      <c r="D47" s="18" t="s">
        <v>2685</v>
      </c>
      <c r="E47" s="18" t="str">
        <f t="shared" si="10"/>
        <v>Value Missing</v>
      </c>
      <c r="F47" s="18" t="str">
        <f t="shared" si="11"/>
        <v>Value Missing</v>
      </c>
      <c r="G47" s="18" t="str">
        <f t="shared" si="12"/>
        <v>Value Missing</v>
      </c>
      <c r="H47" s="18" t="str">
        <f t="shared" si="13"/>
        <v>Value Missing</v>
      </c>
      <c r="I47" s="18" t="str">
        <f t="shared" si="14"/>
        <v>Value Missing</v>
      </c>
    </row>
    <row r="48" spans="2:9" ht="20" customHeight="1">
      <c r="B48" s="18" t="s">
        <v>2686</v>
      </c>
      <c r="C48" s="18" t="s">
        <v>2684</v>
      </c>
      <c r="D48" s="18" t="s">
        <v>2687</v>
      </c>
      <c r="E48" s="18" t="str">
        <f t="shared" si="10"/>
        <v>Value Missing</v>
      </c>
      <c r="F48" s="18" t="str">
        <f t="shared" si="11"/>
        <v>Value Missing</v>
      </c>
      <c r="G48" s="18" t="str">
        <f t="shared" si="12"/>
        <v>Value Missing</v>
      </c>
      <c r="H48" s="18" t="str">
        <f t="shared" si="13"/>
        <v>Value Missing</v>
      </c>
      <c r="I48" s="18" t="str">
        <f t="shared" si="14"/>
        <v>Value Missing</v>
      </c>
    </row>
    <row r="49" spans="2:9" ht="20" customHeight="1">
      <c r="B49" s="18" t="s">
        <v>2688</v>
      </c>
      <c r="C49" s="18" t="s">
        <v>2689</v>
      </c>
      <c r="D49" s="18" t="s">
        <v>2690</v>
      </c>
      <c r="E49" s="18" t="str">
        <f t="shared" si="10"/>
        <v>Value Missing</v>
      </c>
      <c r="F49" s="18" t="str">
        <f t="shared" si="11"/>
        <v>Value Missing</v>
      </c>
      <c r="G49" s="18" t="str">
        <f t="shared" si="12"/>
        <v>Value Missing</v>
      </c>
      <c r="H49" s="18" t="str">
        <f t="shared" si="13"/>
        <v>Value Missing</v>
      </c>
      <c r="I49" s="18" t="str">
        <f t="shared" si="14"/>
        <v>Value Missing</v>
      </c>
    </row>
    <row r="50" spans="2:9" ht="20" customHeight="1">
      <c r="B50" s="18" t="s">
        <v>2691</v>
      </c>
      <c r="C50" s="18" t="s">
        <v>2692</v>
      </c>
      <c r="D50" s="18" t="s">
        <v>2691</v>
      </c>
      <c r="E50" s="18" t="str">
        <f t="shared" si="10"/>
        <v>Value Missing</v>
      </c>
      <c r="F50" s="18" t="str">
        <f t="shared" si="11"/>
        <v>Value Missing</v>
      </c>
      <c r="G50" s="18" t="str">
        <f t="shared" si="12"/>
        <v>Value Missing</v>
      </c>
      <c r="H50" s="18" t="str">
        <f t="shared" si="13"/>
        <v>Value Missing</v>
      </c>
      <c r="I50" s="18" t="str">
        <f t="shared" si="14"/>
        <v>Value Missing</v>
      </c>
    </row>
    <row r="51" spans="2:9" ht="20" customHeight="1">
      <c r="B51" s="18" t="s">
        <v>2693</v>
      </c>
      <c r="C51" s="18" t="s">
        <v>2692</v>
      </c>
      <c r="D51" s="18" t="s">
        <v>2693</v>
      </c>
      <c r="E51" s="18" t="str">
        <f t="shared" si="10"/>
        <v>Value Missing</v>
      </c>
      <c r="F51" s="18" t="str">
        <f t="shared" si="11"/>
        <v>Value Missing</v>
      </c>
      <c r="G51" s="18" t="str">
        <f t="shared" si="12"/>
        <v>Value Missing</v>
      </c>
      <c r="H51" s="18" t="str">
        <f t="shared" si="13"/>
        <v>Value Missing</v>
      </c>
      <c r="I51" s="18" t="str">
        <f t="shared" si="14"/>
        <v>Value Missing</v>
      </c>
    </row>
    <row r="52" spans="2:9" ht="20" customHeight="1">
      <c r="B52" s="18" t="s">
        <v>2694</v>
      </c>
      <c r="C52" s="18" t="s">
        <v>2695</v>
      </c>
      <c r="D52" s="18" t="s">
        <v>2696</v>
      </c>
      <c r="E52" s="18" t="str">
        <f t="shared" si="10"/>
        <v>Value Missing</v>
      </c>
      <c r="F52" s="18" t="str">
        <f t="shared" si="11"/>
        <v>Value Missing</v>
      </c>
      <c r="G52" s="18" t="str">
        <f t="shared" si="12"/>
        <v>Value Missing</v>
      </c>
      <c r="H52" s="18" t="str">
        <f t="shared" si="13"/>
        <v>Value Missing</v>
      </c>
      <c r="I52" s="18" t="str">
        <f t="shared" si="14"/>
        <v>Value Missing</v>
      </c>
    </row>
    <row r="54" spans="2:9" ht="34" customHeight="1">
      <c r="B54" s="344" t="s">
        <v>2697</v>
      </c>
      <c r="C54" s="344"/>
      <c r="D54" s="344"/>
      <c r="E54" s="344"/>
      <c r="F54" s="344"/>
      <c r="G54" s="344"/>
      <c r="H54" s="344"/>
      <c r="I54" s="344"/>
    </row>
    <row r="55" spans="2:9" ht="20" customHeight="1">
      <c r="B55" s="8" t="s">
        <v>735</v>
      </c>
      <c r="C55" s="8" t="s">
        <v>2631</v>
      </c>
      <c r="D55" s="8" t="s">
        <v>2632</v>
      </c>
      <c r="E55" s="8" t="s">
        <v>2633</v>
      </c>
      <c r="F55" s="8" t="str">
        <f>CONCATENATE("Standard Email Plugin ",UPPER(this_instance))</f>
        <v>Standard Email Plugin SFO</v>
      </c>
      <c r="G55" s="8" t="s">
        <v>2634</v>
      </c>
      <c r="H55" s="8" t="s">
        <v>2635</v>
      </c>
      <c r="I55" s="8" t="s">
        <v>2636</v>
      </c>
    </row>
    <row r="56" spans="2:9" ht="20" customHeight="1">
      <c r="B56" s="18" t="s">
        <v>2698</v>
      </c>
      <c r="C56" s="18" t="s">
        <v>2699</v>
      </c>
      <c r="D56" s="18" t="str">
        <f>B56</f>
        <v>Protection Group is Not Configured Affecting the Risk for the System</v>
      </c>
      <c r="E56" s="18" t="str">
        <f t="shared" ref="E56:E71" si="15">xreg_vrops_smtp_receiver_email_address</f>
        <v>Value Missing</v>
      </c>
      <c r="F56" s="18" t="str">
        <f t="shared" ref="F56:F71" si="16">smtp_server</f>
        <v>Value Missing</v>
      </c>
      <c r="G56" s="18" t="str">
        <f t="shared" ref="G56:G71" si="17">xreg_vrops_notification_interval</f>
        <v>Value Missing</v>
      </c>
      <c r="H56" s="18" t="str">
        <f t="shared" ref="H56:H71" si="18">xreg_vrops_notification_max</f>
        <v>Value Missing</v>
      </c>
      <c r="I56" s="18" t="str">
        <f t="shared" ref="I56:I71" si="19">xreg_vrops_notification_delay</f>
        <v>Value Missing</v>
      </c>
    </row>
    <row r="57" spans="2:9" ht="20" customHeight="1">
      <c r="B57" s="18" t="s">
        <v>2700</v>
      </c>
      <c r="C57" s="18" t="s">
        <v>2699</v>
      </c>
      <c r="D57" s="18" t="str">
        <f t="shared" ref="D57:D63" si="20">B57</f>
        <v>Protection Group is Not Configured Affecting the Health Status of the System</v>
      </c>
      <c r="E57" s="18" t="str">
        <f t="shared" si="15"/>
        <v>Value Missing</v>
      </c>
      <c r="F57" s="18" t="str">
        <f t="shared" si="16"/>
        <v>Value Missing</v>
      </c>
      <c r="G57" s="18" t="str">
        <f t="shared" si="17"/>
        <v>Value Missing</v>
      </c>
      <c r="H57" s="18" t="str">
        <f t="shared" si="18"/>
        <v>Value Missing</v>
      </c>
      <c r="I57" s="18" t="str">
        <f t="shared" si="19"/>
        <v>Value Missing</v>
      </c>
    </row>
    <row r="58" spans="2:9" ht="20" customHeight="1">
      <c r="B58" s="18" t="s">
        <v>2701</v>
      </c>
      <c r="C58" s="18" t="s">
        <v>2699</v>
      </c>
      <c r="D58" s="18" t="str">
        <f t="shared" si="20"/>
        <v>Protection Group Is Partially Recovered Affecting the Risk for the System</v>
      </c>
      <c r="E58" s="18" t="str">
        <f t="shared" si="15"/>
        <v>Value Missing</v>
      </c>
      <c r="F58" s="18" t="str">
        <f t="shared" si="16"/>
        <v>Value Missing</v>
      </c>
      <c r="G58" s="18" t="str">
        <f t="shared" si="17"/>
        <v>Value Missing</v>
      </c>
      <c r="H58" s="18" t="str">
        <f t="shared" si="18"/>
        <v>Value Missing</v>
      </c>
      <c r="I58" s="18" t="str">
        <f t="shared" si="19"/>
        <v>Value Missing</v>
      </c>
    </row>
    <row r="59" spans="2:9" ht="20" customHeight="1">
      <c r="B59" s="18" t="s">
        <v>2702</v>
      </c>
      <c r="C59" s="18" t="s">
        <v>2699</v>
      </c>
      <c r="D59" s="18" t="str">
        <f t="shared" si="20"/>
        <v>Protection Group Is Partially Recovered Affecting the Health Status of the System</v>
      </c>
      <c r="E59" s="18" t="str">
        <f t="shared" si="15"/>
        <v>Value Missing</v>
      </c>
      <c r="F59" s="18" t="str">
        <f t="shared" si="16"/>
        <v>Value Missing</v>
      </c>
      <c r="G59" s="18" t="str">
        <f t="shared" si="17"/>
        <v>Value Missing</v>
      </c>
      <c r="H59" s="18" t="str">
        <f t="shared" si="18"/>
        <v>Value Missing</v>
      </c>
      <c r="I59" s="18" t="str">
        <f t="shared" si="19"/>
        <v>Value Missing</v>
      </c>
    </row>
    <row r="60" spans="2:9" ht="20" customHeight="1">
      <c r="B60" s="18" t="s">
        <v>2703</v>
      </c>
      <c r="C60" s="18" t="s">
        <v>2699</v>
      </c>
      <c r="D60" s="18" t="str">
        <f t="shared" si="20"/>
        <v>Protection Group Is Recovering Affecting the Risk for the System</v>
      </c>
      <c r="E60" s="18" t="str">
        <f t="shared" si="15"/>
        <v>Value Missing</v>
      </c>
      <c r="F60" s="18" t="str">
        <f t="shared" si="16"/>
        <v>Value Missing</v>
      </c>
      <c r="G60" s="18" t="str">
        <f t="shared" si="17"/>
        <v>Value Missing</v>
      </c>
      <c r="H60" s="18" t="str">
        <f t="shared" si="18"/>
        <v>Value Missing</v>
      </c>
      <c r="I60" s="18" t="str">
        <f t="shared" si="19"/>
        <v>Value Missing</v>
      </c>
    </row>
    <row r="61" spans="2:9" ht="20" customHeight="1">
      <c r="B61" s="18" t="s">
        <v>2704</v>
      </c>
      <c r="C61" s="18" t="s">
        <v>2699</v>
      </c>
      <c r="D61" s="18" t="str">
        <f t="shared" si="20"/>
        <v>Protection Group Is Recovering Affecting the Health Status of the System</v>
      </c>
      <c r="E61" s="18" t="str">
        <f t="shared" si="15"/>
        <v>Value Missing</v>
      </c>
      <c r="F61" s="18" t="str">
        <f t="shared" si="16"/>
        <v>Value Missing</v>
      </c>
      <c r="G61" s="18" t="str">
        <f t="shared" si="17"/>
        <v>Value Missing</v>
      </c>
      <c r="H61" s="18" t="str">
        <f t="shared" si="18"/>
        <v>Value Missing</v>
      </c>
      <c r="I61" s="18" t="str">
        <f t="shared" si="19"/>
        <v>Value Missing</v>
      </c>
    </row>
    <row r="62" spans="2:9" ht="20" customHeight="1">
      <c r="B62" s="18" t="s">
        <v>2705</v>
      </c>
      <c r="C62" s="18" t="s">
        <v>2699</v>
      </c>
      <c r="D62" s="18" t="str">
        <f t="shared" si="20"/>
        <v>Protection Group Is Testing Affecting the Risk for the System</v>
      </c>
      <c r="E62" s="18" t="str">
        <f t="shared" si="15"/>
        <v>Value Missing</v>
      </c>
      <c r="F62" s="18" t="str">
        <f t="shared" si="16"/>
        <v>Value Missing</v>
      </c>
      <c r="G62" s="18" t="str">
        <f t="shared" si="17"/>
        <v>Value Missing</v>
      </c>
      <c r="H62" s="18" t="str">
        <f t="shared" si="18"/>
        <v>Value Missing</v>
      </c>
      <c r="I62" s="18" t="str">
        <f t="shared" si="19"/>
        <v>Value Missing</v>
      </c>
    </row>
    <row r="63" spans="2:9" ht="20" customHeight="1">
      <c r="B63" s="18" t="s">
        <v>2706</v>
      </c>
      <c r="C63" s="18" t="s">
        <v>2699</v>
      </c>
      <c r="D63" s="18" t="str">
        <f t="shared" si="20"/>
        <v>Protection Group Is Testing Affecting the Health Status of the System</v>
      </c>
      <c r="E63" s="18" t="str">
        <f t="shared" si="15"/>
        <v>Value Missing</v>
      </c>
      <c r="F63" s="18" t="str">
        <f t="shared" si="16"/>
        <v>Value Missing</v>
      </c>
      <c r="G63" s="18" t="str">
        <f t="shared" si="17"/>
        <v>Value Missing</v>
      </c>
      <c r="H63" s="18" t="str">
        <f t="shared" si="18"/>
        <v>Value Missing</v>
      </c>
      <c r="I63" s="18" t="str">
        <f t="shared" si="19"/>
        <v>Value Missing</v>
      </c>
    </row>
    <row r="64" spans="2:9" ht="20" customHeight="1">
      <c r="B64" s="18" t="s">
        <v>2707</v>
      </c>
      <c r="C64" s="18" t="s">
        <v>2708</v>
      </c>
      <c r="D64" s="18" t="str">
        <f t="shared" ref="D64:D71" si="21">B64</f>
        <v>Recovery Plan Has Errors Affecting the Risk for the System</v>
      </c>
      <c r="E64" s="18" t="str">
        <f t="shared" si="15"/>
        <v>Value Missing</v>
      </c>
      <c r="F64" s="18" t="str">
        <f t="shared" si="16"/>
        <v>Value Missing</v>
      </c>
      <c r="G64" s="18" t="str">
        <f t="shared" si="17"/>
        <v>Value Missing</v>
      </c>
      <c r="H64" s="18" t="str">
        <f t="shared" si="18"/>
        <v>Value Missing</v>
      </c>
      <c r="I64" s="18" t="str">
        <f t="shared" si="19"/>
        <v>Value Missing</v>
      </c>
    </row>
    <row r="65" spans="2:9" ht="20" customHeight="1">
      <c r="B65" s="18" t="s">
        <v>2709</v>
      </c>
      <c r="C65" s="18" t="s">
        <v>2708</v>
      </c>
      <c r="D65" s="18" t="str">
        <f t="shared" si="21"/>
        <v>Recovery Plan Has Errors Affecting the Health Status of the System</v>
      </c>
      <c r="E65" s="18" t="str">
        <f t="shared" si="15"/>
        <v>Value Missing</v>
      </c>
      <c r="F65" s="18" t="str">
        <f t="shared" si="16"/>
        <v>Value Missing</v>
      </c>
      <c r="G65" s="18" t="str">
        <f t="shared" si="17"/>
        <v>Value Missing</v>
      </c>
      <c r="H65" s="18" t="str">
        <f t="shared" si="18"/>
        <v>Value Missing</v>
      </c>
      <c r="I65" s="18" t="str">
        <f t="shared" si="19"/>
        <v>Value Missing</v>
      </c>
    </row>
    <row r="66" spans="2:9" ht="20" customHeight="1">
      <c r="B66" s="18" t="s">
        <v>2710</v>
      </c>
      <c r="C66" s="18" t="s">
        <v>2708</v>
      </c>
      <c r="D66" s="18" t="str">
        <f t="shared" si="21"/>
        <v>Recovery Plan Has Warnings Affecting the Risk for the System</v>
      </c>
      <c r="E66" s="18" t="str">
        <f t="shared" si="15"/>
        <v>Value Missing</v>
      </c>
      <c r="F66" s="18" t="str">
        <f t="shared" si="16"/>
        <v>Value Missing</v>
      </c>
      <c r="G66" s="18" t="str">
        <f t="shared" si="17"/>
        <v>Value Missing</v>
      </c>
      <c r="H66" s="18" t="str">
        <f t="shared" si="18"/>
        <v>Value Missing</v>
      </c>
      <c r="I66" s="18" t="str">
        <f t="shared" si="19"/>
        <v>Value Missing</v>
      </c>
    </row>
    <row r="67" spans="2:9" ht="20" customHeight="1">
      <c r="B67" s="18" t="s">
        <v>2711</v>
      </c>
      <c r="C67" s="18" t="s">
        <v>2708</v>
      </c>
      <c r="D67" s="18" t="str">
        <f t="shared" si="21"/>
        <v>Recovery Plan Has Warnings Affecting the Health Status of the System</v>
      </c>
      <c r="E67" s="18" t="str">
        <f t="shared" si="15"/>
        <v>Value Missing</v>
      </c>
      <c r="F67" s="18" t="str">
        <f t="shared" si="16"/>
        <v>Value Missing</v>
      </c>
      <c r="G67" s="18" t="str">
        <f t="shared" si="17"/>
        <v>Value Missing</v>
      </c>
      <c r="H67" s="18" t="str">
        <f t="shared" si="18"/>
        <v>Value Missing</v>
      </c>
      <c r="I67" s="18" t="str">
        <f t="shared" si="19"/>
        <v>Value Missing</v>
      </c>
    </row>
    <row r="68" spans="2:9" ht="20" customHeight="1">
      <c r="B68" s="18" t="s">
        <v>2712</v>
      </c>
      <c r="C68" s="18" t="s">
        <v>2713</v>
      </c>
      <c r="D68" s="18" t="str">
        <f t="shared" si="21"/>
        <v>Is Pair Site Not Connected</v>
      </c>
      <c r="E68" s="18" t="str">
        <f t="shared" si="15"/>
        <v>Value Missing</v>
      </c>
      <c r="F68" s="18" t="str">
        <f t="shared" si="16"/>
        <v>Value Missing</v>
      </c>
      <c r="G68" s="18" t="str">
        <f t="shared" si="17"/>
        <v>Value Missing</v>
      </c>
      <c r="H68" s="18" t="str">
        <f t="shared" si="18"/>
        <v>Value Missing</v>
      </c>
      <c r="I68" s="18" t="str">
        <f t="shared" si="19"/>
        <v>Value Missing</v>
      </c>
    </row>
    <row r="69" spans="2:9" ht="20" customHeight="1">
      <c r="B69" s="18" t="s">
        <v>2714</v>
      </c>
      <c r="C69" s="18" t="s">
        <v>2713</v>
      </c>
      <c r="D69" s="18" t="str">
        <f t="shared" si="21"/>
        <v>Site Not Paired</v>
      </c>
      <c r="E69" s="18" t="str">
        <f t="shared" si="15"/>
        <v>Value Missing</v>
      </c>
      <c r="F69" s="18" t="str">
        <f t="shared" si="16"/>
        <v>Value Missing</v>
      </c>
      <c r="G69" s="18" t="str">
        <f t="shared" si="17"/>
        <v>Value Missing</v>
      </c>
      <c r="H69" s="18" t="str">
        <f t="shared" si="18"/>
        <v>Value Missing</v>
      </c>
      <c r="I69" s="18" t="str">
        <f t="shared" si="19"/>
        <v>Value Missing</v>
      </c>
    </row>
    <row r="70" spans="2:9" ht="20" customHeight="1">
      <c r="B70" s="18" t="s">
        <v>2715</v>
      </c>
      <c r="C70" s="18" t="s">
        <v>2713</v>
      </c>
      <c r="D70" s="18" t="str">
        <f t="shared" si="21"/>
        <v>Site recovery Manager Site Has Object(s) With Issues Affecting the Risk for the System</v>
      </c>
      <c r="E70" s="18" t="str">
        <f t="shared" si="15"/>
        <v>Value Missing</v>
      </c>
      <c r="F70" s="18" t="str">
        <f t="shared" si="16"/>
        <v>Value Missing</v>
      </c>
      <c r="G70" s="18" t="str">
        <f t="shared" si="17"/>
        <v>Value Missing</v>
      </c>
      <c r="H70" s="18" t="str">
        <f t="shared" si="18"/>
        <v>Value Missing</v>
      </c>
      <c r="I70" s="18" t="str">
        <f t="shared" si="19"/>
        <v>Value Missing</v>
      </c>
    </row>
    <row r="71" spans="2:9" ht="20" customHeight="1">
      <c r="B71" s="18" t="s">
        <v>2716</v>
      </c>
      <c r="C71" s="18" t="s">
        <v>2713</v>
      </c>
      <c r="D71" s="18" t="str">
        <f t="shared" si="21"/>
        <v>Site recovery Manager Site Has Object(s) With Issues Affecting the Health Status of the System</v>
      </c>
      <c r="E71" s="18" t="str">
        <f t="shared" si="15"/>
        <v>Value Missing</v>
      </c>
      <c r="F71" s="18" t="str">
        <f t="shared" si="16"/>
        <v>Value Missing</v>
      </c>
      <c r="G71" s="18" t="str">
        <f t="shared" si="17"/>
        <v>Value Missing</v>
      </c>
      <c r="H71" s="18" t="str">
        <f t="shared" si="18"/>
        <v>Value Missing</v>
      </c>
      <c r="I71" s="18" t="str">
        <f t="shared" si="19"/>
        <v>Value Missing</v>
      </c>
    </row>
  </sheetData>
  <sheetProtection algorithmName="SHA-512" hashValue="w3gMtLKrgkQXT+gJtJlyZ0qf3Q60KvIVcjdBglBVyhhKjQnecsl+QzOEoEoylzAXyE9BRIJa3T2a7NIvAVenSQ==" saltValue="TR1IwNEE5PSonh9ZWrVsbA==" spinCount="100000" sheet="1" objects="1" scenarios="1"/>
  <mergeCells count="7">
    <mergeCell ref="B54:I54"/>
    <mergeCell ref="C2:I2"/>
    <mergeCell ref="B34:I34"/>
    <mergeCell ref="B42:I42"/>
    <mergeCell ref="B6:I6"/>
    <mergeCell ref="B3:I3"/>
    <mergeCell ref="B24:I24"/>
  </mergeCells>
  <conditionalFormatting sqref="B54:I71">
    <cfRule type="expression" dxfId="835" priority="1">
      <formula>(spr_result="Excluded")</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013E-CE57-0842-8B31-91A07BE56E23}">
  <sheetPr codeName="Sheet30">
    <tabColor theme="4" tint="0.39997558519241921"/>
  </sheetPr>
  <dimension ref="A1:BJ999"/>
  <sheetViews>
    <sheetView workbookViewId="0">
      <pane ySplit="6" topLeftCell="A7" activePane="bottomLeft" state="frozen"/>
      <selection pane="bottomLeft"/>
    </sheetView>
  </sheetViews>
  <sheetFormatPr baseColWidth="10" defaultColWidth="11" defaultRowHeight="16"/>
  <cols>
    <col min="1" max="1" width="2.83203125" style="103" customWidth="1"/>
    <col min="2" max="2" width="60.83203125" customWidth="1"/>
    <col min="3" max="3" width="78.83203125" customWidth="1"/>
    <col min="4" max="4" width="84.83203125" customWidth="1"/>
    <col min="5" max="5" width="60.83203125" customWidth="1"/>
    <col min="6" max="62" width="11" style="103"/>
  </cols>
  <sheetData>
    <row r="1" spans="1:6" s="103" customFormat="1">
      <c r="A1" s="120"/>
      <c r="B1" s="121"/>
      <c r="C1" s="121"/>
      <c r="D1" s="121"/>
      <c r="E1" s="121"/>
      <c r="F1" s="121"/>
    </row>
    <row r="2" spans="1:6" ht="54" customHeight="1">
      <c r="A2" s="121"/>
      <c r="B2" s="565"/>
      <c r="C2" s="565"/>
      <c r="D2" s="566" t="s">
        <v>3637</v>
      </c>
      <c r="E2" s="566"/>
      <c r="F2" s="121"/>
    </row>
    <row r="3" spans="1:6">
      <c r="A3" s="121"/>
      <c r="B3" s="567" t="s">
        <v>3638</v>
      </c>
      <c r="C3" s="567"/>
      <c r="D3" s="567"/>
      <c r="E3" s="567"/>
      <c r="F3" s="121"/>
    </row>
    <row r="4" spans="1:6">
      <c r="A4" s="122"/>
      <c r="B4" s="122"/>
      <c r="C4" s="122"/>
      <c r="D4" s="122"/>
      <c r="E4" s="122"/>
      <c r="F4" s="122"/>
    </row>
    <row r="5" spans="1:6" ht="34" customHeight="1">
      <c r="A5" s="122"/>
      <c r="B5" s="179" t="s">
        <v>2273</v>
      </c>
      <c r="C5" s="178" t="s">
        <v>32</v>
      </c>
      <c r="D5" s="294" t="s">
        <v>2275</v>
      </c>
      <c r="E5" s="127"/>
      <c r="F5" s="127"/>
    </row>
    <row r="6" spans="1:6">
      <c r="A6" s="121"/>
      <c r="B6" s="121"/>
      <c r="C6" s="121"/>
      <c r="D6" s="123"/>
      <c r="E6" s="124"/>
      <c r="F6" s="124"/>
    </row>
    <row r="7" spans="1:6">
      <c r="A7" s="122"/>
      <c r="B7" s="122"/>
      <c r="C7" s="122"/>
      <c r="D7" s="122"/>
      <c r="E7" s="122"/>
      <c r="F7" s="122"/>
    </row>
    <row r="8" spans="1:6" ht="34" customHeight="1">
      <c r="A8" s="122"/>
      <c r="B8" s="564" t="s">
        <v>32</v>
      </c>
      <c r="C8" s="564"/>
      <c r="D8" s="564"/>
      <c r="E8" s="564"/>
      <c r="F8" s="122"/>
    </row>
    <row r="9" spans="1:6" s="103" customFormat="1" ht="16" customHeight="1"/>
    <row r="10" spans="1:6" ht="34" customHeight="1">
      <c r="A10" s="125"/>
      <c r="B10" s="557" t="s">
        <v>3650</v>
      </c>
      <c r="C10" s="557"/>
      <c r="D10" s="557"/>
      <c r="E10" s="557"/>
    </row>
    <row r="11" spans="1:6" ht="20" customHeight="1">
      <c r="A11" s="125"/>
      <c r="B11" s="112" t="s">
        <v>735</v>
      </c>
      <c r="C11" s="112" t="s">
        <v>554</v>
      </c>
      <c r="D11" s="113" t="s">
        <v>555</v>
      </c>
      <c r="E11" s="112" t="s">
        <v>222</v>
      </c>
    </row>
    <row r="12" spans="1:6" ht="20" customHeight="1">
      <c r="A12" s="125"/>
      <c r="B12" s="114" t="s">
        <v>3525</v>
      </c>
      <c r="C12" s="115" t="str">
        <f>CONCATENATE(sample_mgmt_vc_hostname,".",sample_region_ad_child_fqdn)</f>
        <v>sfo-m01-vc01.sfo.rainpole.io</v>
      </c>
      <c r="D12" s="12" t="str">
        <f>mgmt_vc_fqdn</f>
        <v>Value Missing.Value Missing</v>
      </c>
      <c r="E12" s="116"/>
    </row>
    <row r="13" spans="1:6" ht="20" customHeight="1">
      <c r="A13" s="125"/>
      <c r="B13" s="114" t="s">
        <v>735</v>
      </c>
      <c r="C13" s="115" t="s">
        <v>3526</v>
      </c>
      <c r="D13" s="12" t="str">
        <f>vrslcm_xreg_content_library</f>
        <v>Operations</v>
      </c>
      <c r="E13" s="116"/>
    </row>
    <row r="14" spans="1:6" ht="20" customHeight="1">
      <c r="A14" s="125"/>
      <c r="B14" s="114" t="s">
        <v>637</v>
      </c>
      <c r="C14" s="115" t="str">
        <f>CONCATENATE(sample_mgmt_vc_hostname,".",sample_region_ad_child_fqdn)</f>
        <v>sfo-m01-vc01.sfo.rainpole.io</v>
      </c>
      <c r="D14" s="12" t="str">
        <f>mgmt_vc_fqdn</f>
        <v>Value Missing.Value Missing</v>
      </c>
      <c r="E14" s="116"/>
    </row>
    <row r="15" spans="1:6" ht="20" customHeight="1">
      <c r="A15" s="125"/>
      <c r="B15" s="114" t="s">
        <v>931</v>
      </c>
      <c r="C15" s="115" t="str">
        <f>sample_mgmt_cl01_vsan_datastore</f>
        <v>sfo-m01-cl01-ds-vsan01</v>
      </c>
      <c r="D15" s="12" t="str">
        <f>mgmt_cl01_vsan_datastore</f>
        <v>Value Missing</v>
      </c>
      <c r="E15" s="116"/>
    </row>
    <row r="16" spans="1:6" s="103" customFormat="1" ht="16" customHeight="1"/>
    <row r="17" spans="1:5" ht="34" customHeight="1">
      <c r="A17" s="125"/>
      <c r="B17" s="557" t="s">
        <v>3651</v>
      </c>
      <c r="C17" s="557"/>
      <c r="D17" s="557"/>
      <c r="E17" s="557"/>
    </row>
    <row r="18" spans="1:5" ht="20" customHeight="1">
      <c r="A18" s="125"/>
      <c r="B18" s="112" t="s">
        <v>735</v>
      </c>
      <c r="C18" s="112" t="s">
        <v>554</v>
      </c>
      <c r="D18" s="113" t="s">
        <v>555</v>
      </c>
      <c r="E18" s="112" t="s">
        <v>222</v>
      </c>
    </row>
    <row r="19" spans="1:5" ht="20" customHeight="1">
      <c r="A19" s="125"/>
      <c r="B19" s="114" t="s">
        <v>3525</v>
      </c>
      <c r="C19" s="115" t="str">
        <f>CONCATENATE(sample_mgmt_vc_hostname,".",sample_region_ad_child_fqdn)</f>
        <v>sfo-m01-vc01.sfo.rainpole.io</v>
      </c>
      <c r="D19" s="12" t="str">
        <f>mgmt_vc_fqdn</f>
        <v>Value Missing.Value Missing</v>
      </c>
      <c r="E19" s="116"/>
    </row>
    <row r="20" spans="1:5" ht="20" customHeight="1">
      <c r="A20" s="125"/>
      <c r="B20" s="114" t="s">
        <v>2358</v>
      </c>
      <c r="C20" s="115" t="s">
        <v>3526</v>
      </c>
      <c r="D20" s="12" t="str">
        <f>vrslcm_xreg_content_library</f>
        <v>Operations</v>
      </c>
      <c r="E20" s="116"/>
    </row>
    <row r="21" spans="1:5" s="103" customFormat="1" ht="16" customHeight="1"/>
    <row r="22" spans="1:5" ht="34" customHeight="1">
      <c r="A22" s="125"/>
      <c r="B22" s="557" t="s">
        <v>3652</v>
      </c>
      <c r="C22" s="557"/>
      <c r="D22" s="557"/>
      <c r="E22" s="557"/>
    </row>
    <row r="23" spans="1:5" ht="20" customHeight="1">
      <c r="A23" s="125"/>
      <c r="B23" s="112" t="s">
        <v>735</v>
      </c>
      <c r="C23" s="112" t="s">
        <v>554</v>
      </c>
      <c r="D23" s="113" t="s">
        <v>555</v>
      </c>
      <c r="E23" s="112" t="s">
        <v>222</v>
      </c>
    </row>
    <row r="24" spans="1:5" ht="20" customHeight="1">
      <c r="A24" s="125"/>
      <c r="B24" s="114" t="s">
        <v>3525</v>
      </c>
      <c r="C24" s="115" t="str">
        <f>CONCATENATE(sample_mgmt_vc_hostname,".",sample_region_ad_child_fqdn)</f>
        <v>sfo-m01-vc01.sfo.rainpole.io</v>
      </c>
      <c r="D24" s="12" t="str">
        <f>mgmt_vc_fqdn</f>
        <v>Value Missing.Value Missing</v>
      </c>
      <c r="E24" s="116"/>
    </row>
    <row r="25" spans="1:5" ht="20" customHeight="1">
      <c r="A25" s="125"/>
      <c r="B25" s="114" t="s">
        <v>2358</v>
      </c>
      <c r="C25" s="115" t="s">
        <v>3526</v>
      </c>
      <c r="D25" s="12" t="str">
        <f>vrslcm_xreg_content_library</f>
        <v>Operations</v>
      </c>
      <c r="E25" s="116"/>
    </row>
    <row r="26" spans="1:5" s="103" customFormat="1" ht="20" customHeight="1">
      <c r="A26" s="125"/>
      <c r="B26" s="117" t="s">
        <v>2615</v>
      </c>
      <c r="C26" s="115" t="str">
        <f>sample_xreg_vrslcm_hostname</f>
        <v>xint-lcm01</v>
      </c>
      <c r="D26" s="12" t="str">
        <f>xreg_vrslcm_hostname</f>
        <v>Value Missing</v>
      </c>
      <c r="E26" s="116"/>
    </row>
    <row r="27" spans="1:5" s="103" customFormat="1" ht="20" customHeight="1">
      <c r="A27" s="125"/>
      <c r="B27" s="117" t="s">
        <v>3368</v>
      </c>
      <c r="C27" s="115" t="str">
        <f>CONCATENATE(sample_xreg_vrslcm_hostname,".",sample_parent_dns_zone)</f>
        <v>xint-lcm01.rainpole.io</v>
      </c>
      <c r="D27" s="12" t="str">
        <f>xreg_vrslcm_fqdn</f>
        <v>Value Missing.Value Missing</v>
      </c>
      <c r="E27" s="116"/>
    </row>
    <row r="28" spans="1:5" s="103" customFormat="1" ht="20" customHeight="1">
      <c r="A28" s="125"/>
      <c r="B28" s="117" t="s">
        <v>3523</v>
      </c>
      <c r="C28" s="115" t="str">
        <f>CONCATENATE(sample_mgmt_vc_hostname,".",sample_region_ad_child_fqdn)</f>
        <v>sfo-m01-vc01.sfo.rainpole.io</v>
      </c>
      <c r="D28" s="12" t="str">
        <f>mgmt_vc_fqdn</f>
        <v>Value Missing.Value Missing</v>
      </c>
      <c r="E28" s="116"/>
    </row>
    <row r="29" spans="1:5" s="103" customFormat="1" ht="20" customHeight="1">
      <c r="A29" s="125"/>
      <c r="B29" s="117" t="s">
        <v>2570</v>
      </c>
      <c r="C29" s="115" t="str">
        <f>CONCATENATE(sample_mgmt_vc_hostname,"-&lt;guid&gt;")</f>
        <v>sfo-m01-vc01-&lt;guid&gt;</v>
      </c>
      <c r="D29" s="12" t="str">
        <f>CONCATENATE(mgmt_vc_hostname,"-&lt;guid&gt;")</f>
        <v>Value Missing-&lt;guid&gt;</v>
      </c>
      <c r="E29" s="116"/>
    </row>
    <row r="30" spans="1:5" s="103" customFormat="1" ht="16" customHeight="1"/>
    <row r="31" spans="1:5" ht="34" customHeight="1">
      <c r="A31" s="125"/>
      <c r="B31" s="557" t="s">
        <v>3653</v>
      </c>
      <c r="C31" s="557"/>
      <c r="D31" s="557"/>
      <c r="E31" s="557"/>
    </row>
    <row r="32" spans="1:5" ht="20" customHeight="1">
      <c r="A32" s="125"/>
      <c r="B32" s="112" t="s">
        <v>735</v>
      </c>
      <c r="C32" s="112" t="s">
        <v>554</v>
      </c>
      <c r="D32" s="113" t="s">
        <v>555</v>
      </c>
      <c r="E32" s="112" t="s">
        <v>222</v>
      </c>
    </row>
    <row r="33" spans="1:5" ht="20" customHeight="1">
      <c r="A33" s="125"/>
      <c r="B33" s="114" t="s">
        <v>3525</v>
      </c>
      <c r="C33" s="115" t="str">
        <f>CONCATENATE(sample_mgmt_vc_hostname,".",sample_region_ad_child_fqdn)</f>
        <v>sfo-m01-vc01.sfo.rainpole.io</v>
      </c>
      <c r="D33" s="12" t="str">
        <f>mgmt_vc_fqdn</f>
        <v>Value Missing.Value Missing</v>
      </c>
      <c r="E33" s="116"/>
    </row>
    <row r="34" spans="1:5" ht="20" customHeight="1">
      <c r="A34" s="125"/>
      <c r="B34" s="114" t="s">
        <v>2615</v>
      </c>
      <c r="C34" s="115" t="str">
        <f>sample_xreg_vrslcm_hostname</f>
        <v>xint-lcm01</v>
      </c>
      <c r="D34" s="12" t="str">
        <f>xreg_vrslcm_hostname</f>
        <v>Value Missing</v>
      </c>
      <c r="E34" s="116"/>
    </row>
    <row r="35" spans="1:5" s="103" customFormat="1" ht="16" customHeight="1"/>
    <row r="36" spans="1:5" ht="34" customHeight="1">
      <c r="A36" s="125"/>
      <c r="B36" s="557" t="s">
        <v>3654</v>
      </c>
      <c r="C36" s="557"/>
      <c r="D36" s="557"/>
      <c r="E36" s="557"/>
    </row>
    <row r="37" spans="1:5" ht="20" customHeight="1">
      <c r="A37" s="125"/>
      <c r="B37" s="112" t="s">
        <v>735</v>
      </c>
      <c r="C37" s="112" t="s">
        <v>554</v>
      </c>
      <c r="D37" s="113" t="s">
        <v>555</v>
      </c>
      <c r="E37" s="112" t="s">
        <v>222</v>
      </c>
    </row>
    <row r="38" spans="1:5" ht="20" customHeight="1">
      <c r="A38" s="125"/>
      <c r="B38" s="114" t="s">
        <v>2286</v>
      </c>
      <c r="C38" s="115" t="str">
        <f>_xlfn.CONCAT(sample_mgmt_vc_hostname,".",sample_child_dns_zone)</f>
        <v>sfo-m01-vc01.sfo.rainpole.io</v>
      </c>
      <c r="D38" s="12" t="str">
        <f>mgmt_vc_fqdn</f>
        <v>Value Missing.Value Missing</v>
      </c>
      <c r="E38" s="116"/>
    </row>
    <row r="39" spans="1:5" ht="20" customHeight="1">
      <c r="A39" s="125"/>
      <c r="B39" s="114" t="s">
        <v>3655</v>
      </c>
      <c r="C39" s="115" t="str">
        <f>sample_inv_vsphere_role</f>
        <v>VMware Aria Operations for Networks to vSphere Integration</v>
      </c>
      <c r="D39" s="12" t="str">
        <f>inv_vsphere_role</f>
        <v>Value Missing</v>
      </c>
      <c r="E39" s="116"/>
    </row>
    <row r="40" spans="1:5" s="103" customFormat="1" ht="16" customHeight="1"/>
    <row r="41" spans="1:5" s="103" customFormat="1" ht="34" customHeight="1">
      <c r="B41" s="557" t="s">
        <v>3657</v>
      </c>
      <c r="C41" s="557"/>
      <c r="D41" s="557"/>
      <c r="E41" s="557"/>
    </row>
    <row r="42" spans="1:5" s="103" customFormat="1" ht="20" customHeight="1">
      <c r="B42" s="112" t="s">
        <v>735</v>
      </c>
      <c r="C42" s="112" t="s">
        <v>554</v>
      </c>
      <c r="D42" s="113" t="s">
        <v>555</v>
      </c>
      <c r="E42" s="112" t="s">
        <v>222</v>
      </c>
    </row>
    <row r="43" spans="1:5" s="103" customFormat="1" ht="20" customHeight="1">
      <c r="B43" s="114" t="s">
        <v>2286</v>
      </c>
      <c r="C43" s="115" t="str">
        <f>_xlfn.CONCAT(sample_mgmt_vc_hostname,".",sample_child_dns_zone)</f>
        <v>sfo-m01-vc01.sfo.rainpole.io</v>
      </c>
      <c r="D43" s="12" t="str">
        <f>mgmt_vc_fqdn</f>
        <v>Value Missing.Value Missing</v>
      </c>
      <c r="E43" s="116"/>
    </row>
    <row r="44" spans="1:5" s="103" customFormat="1" ht="20" customHeight="1">
      <c r="B44" s="114" t="s">
        <v>489</v>
      </c>
      <c r="C44" s="115" t="str">
        <f>sample_child_dns_zone</f>
        <v>sfo.rainpole.io</v>
      </c>
      <c r="D44" s="12" t="str">
        <f>child_dns_zone</f>
        <v>Value Missing</v>
      </c>
      <c r="E44" s="116"/>
    </row>
    <row r="45" spans="1:5" s="103" customFormat="1" ht="20" customHeight="1">
      <c r="B45" s="114" t="s">
        <v>2502</v>
      </c>
      <c r="C45" s="115" t="str">
        <f>sample_svc_inv_vsphere_user</f>
        <v>svc-net-vsphere</v>
      </c>
      <c r="D45" s="12" t="str" cm="1">
        <f t="array" ref="D45">inv_vsphere_svc_user</f>
        <v>Value Missing</v>
      </c>
      <c r="E45" s="116"/>
    </row>
    <row r="46" spans="1:5" s="103" customFormat="1" ht="20" customHeight="1">
      <c r="B46" s="117" t="s">
        <v>2505</v>
      </c>
      <c r="C46" s="115" t="str">
        <f>sample_inv_vsphere_role</f>
        <v>VMware Aria Operations for Networks to vSphere Integration</v>
      </c>
      <c r="D46" s="12" t="str">
        <f>inv_vsphere_role</f>
        <v>Value Missing</v>
      </c>
      <c r="E46" s="116"/>
    </row>
    <row r="47" spans="1:5" s="103" customFormat="1" ht="20" customHeight="1"/>
    <row r="48" spans="1:5" s="103" customFormat="1" ht="34" customHeight="1">
      <c r="A48" s="125"/>
      <c r="B48" s="557" t="s">
        <v>4915</v>
      </c>
      <c r="C48" s="557"/>
      <c r="D48" s="557"/>
      <c r="E48" s="557"/>
    </row>
    <row r="49" spans="1:5" s="103" customFormat="1" ht="20" customHeight="1">
      <c r="A49" s="125"/>
      <c r="B49" s="112" t="s">
        <v>735</v>
      </c>
      <c r="C49" s="112" t="s">
        <v>554</v>
      </c>
      <c r="D49" s="113" t="s">
        <v>555</v>
      </c>
      <c r="E49" s="112" t="s">
        <v>222</v>
      </c>
    </row>
    <row r="50" spans="1:5" s="103" customFormat="1" ht="20" customHeight="1">
      <c r="A50" s="125"/>
      <c r="B50" s="114" t="s">
        <v>2286</v>
      </c>
      <c r="C50" s="115" t="str">
        <f>_xlfn.CONCAT(sample_mgmt_vc_hostname,".",sample_child_dns_zone)</f>
        <v>sfo-m01-vc01.sfo.rainpole.io</v>
      </c>
      <c r="D50" s="12" t="str">
        <f>mgmt_vc_fqdn</f>
        <v>Value Missing.Value Missing</v>
      </c>
      <c r="E50" s="116"/>
    </row>
    <row r="51" spans="1:5" s="103" customFormat="1" ht="20" customHeight="1">
      <c r="A51" s="125"/>
      <c r="B51" s="114" t="s">
        <v>841</v>
      </c>
      <c r="C51" s="115" t="str">
        <f>sample_mgmt_datacenter</f>
        <v>sfo-m01-dc01</v>
      </c>
      <c r="D51" s="12" t="str">
        <f>mgmt_datacenter</f>
        <v>Value Missing</v>
      </c>
      <c r="E51" s="116"/>
    </row>
    <row r="52" spans="1:5" s="103" customFormat="1" ht="20" customHeight="1">
      <c r="A52" s="125"/>
      <c r="B52" s="118" t="s">
        <v>4913</v>
      </c>
      <c r="C52" s="115" t="str" cm="1">
        <f t="array" ref="C52">sample_inv_vm_folder</f>
        <v>xint-m01-fd-networks</v>
      </c>
      <c r="D52" s="12" t="str" cm="1">
        <f t="array" ref="D52">inv_vm_folder</f>
        <v>Value Missing</v>
      </c>
      <c r="E52" s="116"/>
    </row>
    <row r="53" spans="1:5" s="103" customFormat="1" ht="20" customHeight="1">
      <c r="A53" s="125"/>
      <c r="B53" s="118" t="s">
        <v>4914</v>
      </c>
      <c r="C53" s="115" t="str">
        <f>inv_dc_folder</f>
        <v>Value Missing-fd-networks</v>
      </c>
      <c r="D53" s="12" t="str">
        <f>inv_dc_folder</f>
        <v>Value Missing-fd-networks</v>
      </c>
      <c r="E53" s="116"/>
    </row>
    <row r="54" spans="1:5" s="103" customFormat="1" ht="20" customHeight="1"/>
    <row r="55" spans="1:5" ht="34" customHeight="1">
      <c r="B55" s="557" t="s">
        <v>3658</v>
      </c>
      <c r="C55" s="557"/>
      <c r="D55" s="557"/>
      <c r="E55" s="557"/>
    </row>
    <row r="56" spans="1:5" ht="20" customHeight="1">
      <c r="B56" s="112" t="s">
        <v>735</v>
      </c>
      <c r="C56" s="112" t="s">
        <v>554</v>
      </c>
      <c r="D56" s="113" t="s">
        <v>555</v>
      </c>
      <c r="E56" s="112" t="s">
        <v>222</v>
      </c>
    </row>
    <row r="57" spans="1:5" ht="20" customHeight="1">
      <c r="B57" s="558" t="s">
        <v>2508</v>
      </c>
      <c r="C57" s="559"/>
      <c r="D57" s="559"/>
      <c r="E57" s="560"/>
    </row>
    <row r="58" spans="1:5" ht="20" customHeight="1">
      <c r="B58" s="114" t="s">
        <v>2306</v>
      </c>
      <c r="C58" s="115" t="str">
        <f>CONCATENATE(sample_mgmt_nsxt_hostname,".",sample_child_dns_zone)</f>
        <v>sfo-m01-nsx01.sfo.rainpole.io</v>
      </c>
      <c r="D58" s="12" t="str">
        <f>mgmt_vc_fqdn</f>
        <v>Value Missing.Value Missing</v>
      </c>
      <c r="E58" s="116"/>
    </row>
    <row r="59" spans="1:5" ht="20" customHeight="1">
      <c r="B59" s="114" t="s">
        <v>2509</v>
      </c>
      <c r="C59" s="115" t="str" cm="1">
        <f t="array" ref="C59">sample_inv_mgmt_nsxt_piuser</f>
        <v>svc-xint-ops01-sfo-m01-nsx01</v>
      </c>
      <c r="D59" s="12" t="str" cm="1">
        <f t="array" ref="D59">inv_mgmt_nsxt_piuser</f>
        <v>Value Missing</v>
      </c>
      <c r="E59" s="116"/>
    </row>
    <row r="60" spans="1:5" ht="20" customHeight="1">
      <c r="B60" s="117" t="s">
        <v>2505</v>
      </c>
      <c r="C60" s="115" t="s">
        <v>2510</v>
      </c>
      <c r="D60" s="12" t="str">
        <f>C60</f>
        <v>Enterprise Admin</v>
      </c>
      <c r="E60" s="116"/>
    </row>
    <row r="61" spans="1:5" ht="20" customHeight="1">
      <c r="B61" s="114" t="s">
        <v>2511</v>
      </c>
      <c r="C61" s="115" t="str">
        <f>sample_mgmt_nsxt_hostname</f>
        <v>sfo-m01-nsx01</v>
      </c>
      <c r="D61" s="12" t="str">
        <f>mgmt_nsxt_hostname</f>
        <v>Value Missing</v>
      </c>
      <c r="E61" s="116"/>
    </row>
    <row r="62" spans="1:5" ht="20" customHeight="1">
      <c r="B62" s="558" t="s">
        <v>2512</v>
      </c>
      <c r="C62" s="559"/>
      <c r="D62" s="559"/>
      <c r="E62" s="560"/>
    </row>
    <row r="63" spans="1:5" ht="20" customHeight="1">
      <c r="B63" s="114" t="s">
        <v>2306</v>
      </c>
      <c r="C63" s="115" t="str">
        <f>CONCATENATE(sample_wld_nsxt_hostname,".",sample_child_dns_zone)</f>
        <v>sfo-w01-nsx01.sfo.rainpole.io</v>
      </c>
      <c r="D63" s="12" t="str">
        <f>mgmt_vc_fqdn</f>
        <v>Value Missing.Value Missing</v>
      </c>
      <c r="E63" s="116"/>
    </row>
    <row r="64" spans="1:5" ht="20" customHeight="1">
      <c r="B64" s="114" t="s">
        <v>2509</v>
      </c>
      <c r="C64" s="115" t="str" cm="1">
        <f t="array" ref="C64">sample_inv_wld_nsxt_piuser</f>
        <v>svc-xint-ops01-sfo-w01-nsx01</v>
      </c>
      <c r="D64" s="12" t="str" cm="1">
        <f t="array" ref="D64">inv_wld_nsxt_piuser</f>
        <v>Value Missing</v>
      </c>
      <c r="E64" s="116"/>
    </row>
    <row r="65" spans="1:5" ht="20" customHeight="1">
      <c r="B65" s="117" t="s">
        <v>2505</v>
      </c>
      <c r="C65" s="115" t="s">
        <v>2510</v>
      </c>
      <c r="D65" s="12" t="str">
        <f>C65</f>
        <v>Enterprise Admin</v>
      </c>
      <c r="E65" s="116"/>
    </row>
    <row r="66" spans="1:5" ht="20" customHeight="1">
      <c r="B66" s="114" t="s">
        <v>2511</v>
      </c>
      <c r="C66" s="115" t="str">
        <f>sample_wld_nsxt_hostname</f>
        <v>sfo-w01-nsx01</v>
      </c>
      <c r="D66" s="12" t="str">
        <f>wld_nsxt_hostname</f>
        <v>Value Missing</v>
      </c>
      <c r="E66" s="116"/>
    </row>
    <row r="67" spans="1:5" s="103" customFormat="1" ht="20" customHeight="1"/>
    <row r="68" spans="1:5" ht="34" customHeight="1">
      <c r="A68" s="125"/>
      <c r="B68" s="557" t="s">
        <v>4583</v>
      </c>
      <c r="C68" s="557"/>
      <c r="D68" s="557"/>
      <c r="E68" s="557"/>
    </row>
    <row r="69" spans="1:5" ht="20" customHeight="1">
      <c r="A69" s="125"/>
      <c r="B69" s="112" t="s">
        <v>735</v>
      </c>
      <c r="C69" s="112" t="s">
        <v>554</v>
      </c>
      <c r="D69" s="113" t="s">
        <v>555</v>
      </c>
      <c r="E69" s="112" t="s">
        <v>222</v>
      </c>
    </row>
    <row r="70" spans="1:5" ht="20" customHeight="1">
      <c r="A70" s="125"/>
      <c r="B70" s="114" t="s">
        <v>3525</v>
      </c>
      <c r="C70" s="115" t="str">
        <f>CONCATENATE(sample_mgmt_vc_hostname,".",sample_region_ad_child_fqdn)</f>
        <v>sfo-m01-vc01.sfo.rainpole.io</v>
      </c>
      <c r="D70" s="12" t="str">
        <f>mgmt_vc_fqdn</f>
        <v>Value Missing.Value Missing</v>
      </c>
      <c r="E70" s="116"/>
    </row>
    <row r="71" spans="1:5" ht="20" customHeight="1">
      <c r="A71" s="125"/>
      <c r="B71" s="114" t="s">
        <v>735</v>
      </c>
      <c r="C71" s="115" t="s">
        <v>3526</v>
      </c>
      <c r="D71" s="12" t="str">
        <f>vrslcm_xreg_content_library</f>
        <v>Operations</v>
      </c>
      <c r="E71" s="116"/>
    </row>
    <row r="72" spans="1:5" ht="20" customHeight="1">
      <c r="A72" s="125"/>
      <c r="B72" s="114" t="s">
        <v>637</v>
      </c>
      <c r="C72" s="115" t="str">
        <f>CONCATENATE(sample_mgmt_vc_hostname,".",sample_region_ad_child_fqdn)</f>
        <v>sfo-m01-vc01.sfo.rainpole.io</v>
      </c>
      <c r="D72" s="12" t="str">
        <f>mgmt_vc_fqdn</f>
        <v>Value Missing.Value Missing</v>
      </c>
      <c r="E72" s="116"/>
    </row>
    <row r="73" spans="1:5" ht="20" customHeight="1">
      <c r="A73" s="125"/>
      <c r="B73" s="114" t="s">
        <v>931</v>
      </c>
      <c r="C73" s="115" t="str">
        <f>sample_mgmt_cl01_vsan_datastore</f>
        <v>sfo-m01-cl01-ds-vsan01</v>
      </c>
      <c r="D73" s="12" t="str">
        <f>mgmt_cl01_vsan_datastore</f>
        <v>Value Missing</v>
      </c>
      <c r="E73" s="116"/>
    </row>
    <row r="74" spans="1:5" s="103" customFormat="1" ht="16" customHeight="1"/>
    <row r="75" spans="1:5" ht="34" customHeight="1">
      <c r="B75" s="344" t="s">
        <v>3659</v>
      </c>
      <c r="C75" s="344"/>
      <c r="D75" s="344"/>
      <c r="E75" s="344"/>
    </row>
    <row r="76" spans="1:5" ht="20" customHeight="1">
      <c r="B76" s="8" t="s">
        <v>735</v>
      </c>
      <c r="C76" s="8" t="s">
        <v>554</v>
      </c>
      <c r="D76" s="20" t="s">
        <v>555</v>
      </c>
      <c r="E76" s="8" t="s">
        <v>222</v>
      </c>
    </row>
    <row r="77" spans="1:5" ht="20" customHeight="1">
      <c r="B77" s="21" t="s">
        <v>3368</v>
      </c>
      <c r="C77" s="22" t="str">
        <f>CONCATENATE(sample_xreg_vrslcm_hostname,".",sample_parent_dns_zone)</f>
        <v>xint-lcm01.rainpole.io</v>
      </c>
      <c r="D77" s="18" t="str">
        <f>xreg_vrslcm_fqdn</f>
        <v>Value Missing.Value Missing</v>
      </c>
      <c r="E77" s="53"/>
    </row>
    <row r="78" spans="1:5" ht="20" customHeight="1">
      <c r="B78" s="21" t="s">
        <v>2387</v>
      </c>
      <c r="C78" s="22" t="str">
        <f>IF(NOT(ISBLANK(input_vrs_license)),"VMware Aria Suite 2019","VMware Aria Operations for Networks")</f>
        <v>VMware Aria Operations for Networks</v>
      </c>
      <c r="D78" s="18" t="str" cm="1">
        <f t="array" ref="D78">vrni_license_alias</f>
        <v>Value Missing</v>
      </c>
      <c r="E78" s="53"/>
    </row>
    <row r="79" spans="1:5" ht="20" customHeight="1">
      <c r="B79" s="21" t="s">
        <v>2388</v>
      </c>
      <c r="C79" s="22" t="str" cm="1">
        <f t="array" ref="C79">sample_vrni_license</f>
        <v>xxxxx-xxxxx-xxxxx-xxxxx-xxxxx</v>
      </c>
      <c r="D79" s="18" t="str" cm="1">
        <f t="array" ref="D79">vrni_license</f>
        <v>Value Missing</v>
      </c>
      <c r="E79" s="53"/>
    </row>
    <row r="80" spans="1:5" ht="16" customHeight="1">
      <c r="B80" s="103"/>
      <c r="C80" s="103"/>
      <c r="D80" s="103"/>
      <c r="E80" s="103"/>
    </row>
    <row r="81" spans="2:5" ht="34" customHeight="1">
      <c r="B81" s="344" t="s">
        <v>3663</v>
      </c>
      <c r="C81" s="344"/>
      <c r="D81" s="344"/>
      <c r="E81" s="344"/>
    </row>
    <row r="82" spans="2:5" ht="20" customHeight="1">
      <c r="B82" s="8" t="s">
        <v>735</v>
      </c>
      <c r="C82" s="8" t="s">
        <v>554</v>
      </c>
      <c r="D82" s="20" t="s">
        <v>555</v>
      </c>
      <c r="E82" s="8" t="s">
        <v>222</v>
      </c>
    </row>
    <row r="83" spans="2:5" ht="20" customHeight="1">
      <c r="B83" s="21" t="s">
        <v>3368</v>
      </c>
      <c r="C83" s="22" t="str">
        <f>CONCATENATE(sample_xreg_vrslcm_hostname,".",sample_parent_dns_zone)</f>
        <v>xint-lcm01.rainpole.io</v>
      </c>
      <c r="D83" s="18" t="str">
        <f>xreg_vrslcm_fqdn</f>
        <v>Value Missing.Value Missing</v>
      </c>
      <c r="E83" s="53"/>
    </row>
    <row r="84" spans="2:5" ht="20" customHeight="1">
      <c r="B84" s="21" t="s">
        <v>735</v>
      </c>
      <c r="C84" s="22" t="str">
        <f>sample_xreg_vrni_nodea_hostname</f>
        <v>xint-net01a</v>
      </c>
      <c r="D84" s="18" t="str">
        <f>xreg_vrni_nodea_fqdn</f>
        <v>Value Missing.Value Missing</v>
      </c>
      <c r="E84" s="53"/>
    </row>
    <row r="85" spans="2:5" ht="16" customHeight="1">
      <c r="B85" s="103"/>
      <c r="C85" s="103"/>
      <c r="D85" s="103"/>
      <c r="E85" s="103"/>
    </row>
    <row r="86" spans="2:5" ht="34" customHeight="1">
      <c r="B86" s="344" t="s">
        <v>3353</v>
      </c>
      <c r="C86" s="344"/>
      <c r="D86" s="344"/>
      <c r="E86" s="344"/>
    </row>
    <row r="87" spans="2:5" ht="20" customHeight="1">
      <c r="B87" s="8" t="s">
        <v>735</v>
      </c>
      <c r="C87" s="8" t="s">
        <v>554</v>
      </c>
      <c r="D87" s="20" t="s">
        <v>555</v>
      </c>
      <c r="E87" s="8" t="s">
        <v>222</v>
      </c>
    </row>
    <row r="88" spans="2:5" ht="20" customHeight="1">
      <c r="B88" s="21" t="s">
        <v>3368</v>
      </c>
      <c r="C88" s="22" t="str">
        <f>CONCATENATE(sample_xreg_vrslcm_hostname,".",sample_parent_dns_zone)</f>
        <v>xint-lcm01.rainpole.io</v>
      </c>
      <c r="D88" s="18" t="str">
        <f>xreg_vrslcm_fqdn</f>
        <v>Value Missing.Value Missing</v>
      </c>
      <c r="E88" s="53"/>
    </row>
    <row r="89" spans="2:5" ht="20" customHeight="1">
      <c r="B89" s="21" t="s">
        <v>1019</v>
      </c>
      <c r="C89" s="22" t="str">
        <f>sample_xreg_vrni_root_password_alias</f>
        <v>xint-net-admin</v>
      </c>
      <c r="D89" s="18" t="str">
        <f>xreg_vrni_root_password_alias</f>
        <v>Value Missing</v>
      </c>
      <c r="E89" s="53"/>
    </row>
    <row r="90" spans="2:5" ht="20" customHeight="1">
      <c r="B90" s="21" t="s">
        <v>1020</v>
      </c>
      <c r="C90" s="22" t="str">
        <f>sample_xreg_vrni_root_password</f>
        <v>VMw@re1!</v>
      </c>
      <c r="D90" s="18" t="str">
        <f>xreg_vrni_root_password</f>
        <v>Value Missing</v>
      </c>
      <c r="E90" s="53"/>
    </row>
    <row r="91" spans="2:5" ht="20" customHeight="1">
      <c r="B91" s="21" t="s">
        <v>3673</v>
      </c>
      <c r="C91" s="22" t="s">
        <v>746</v>
      </c>
      <c r="D91" s="18" t="str">
        <f>C91</f>
        <v>admin</v>
      </c>
      <c r="E91" s="53"/>
    </row>
    <row r="92" spans="2:5" ht="20" customHeight="1">
      <c r="B92" s="21" t="s">
        <v>3674</v>
      </c>
      <c r="C92" s="22" t="str">
        <f>sample_xreg_vrni_support_password_alias</f>
        <v>xint-net-support</v>
      </c>
      <c r="D92" s="18" t="str">
        <f>xreg_vrni_support_password_alias</f>
        <v>Value Missing</v>
      </c>
      <c r="E92" s="53"/>
    </row>
    <row r="93" spans="2:5" ht="20" customHeight="1">
      <c r="B93" s="21" t="s">
        <v>3665</v>
      </c>
      <c r="C93" s="22" t="str">
        <f>sample_xreg_vrni_support_password</f>
        <v>VMw@re1!</v>
      </c>
      <c r="D93" s="18" t="str">
        <f>xreg_vrni_support_password</f>
        <v>Value Missing</v>
      </c>
      <c r="E93" s="53"/>
    </row>
    <row r="94" spans="2:5" ht="20" customHeight="1">
      <c r="B94" s="21" t="s">
        <v>3675</v>
      </c>
      <c r="C94" s="22" t="s">
        <v>3677</v>
      </c>
      <c r="D94" s="18" t="str">
        <f>C94</f>
        <v>support</v>
      </c>
      <c r="E94" s="53"/>
    </row>
    <row r="95" spans="2:5" ht="20" customHeight="1">
      <c r="B95" s="21" t="s">
        <v>3676</v>
      </c>
      <c r="C95" s="22" t="str">
        <f>sample_xreg_vrni_consoleuser_password_alias</f>
        <v>xint-net-consoleuser</v>
      </c>
      <c r="D95" s="18" t="str">
        <f>xreg_vrni_consoleuser_password_alias</f>
        <v>Value Missing</v>
      </c>
      <c r="E95" s="53"/>
    </row>
    <row r="96" spans="2:5" ht="20" customHeight="1">
      <c r="B96" s="21" t="s">
        <v>3667</v>
      </c>
      <c r="C96" s="22" t="str">
        <f>sample_xreg_vrni_consoleuser_password</f>
        <v>VMw@re1!</v>
      </c>
      <c r="D96" s="18" t="str">
        <f>xreg_vrni_consoleuser_password</f>
        <v>Value Missing</v>
      </c>
      <c r="E96" s="53"/>
    </row>
    <row r="97" spans="2:5" ht="20" customHeight="1">
      <c r="B97" s="21" t="s">
        <v>3678</v>
      </c>
      <c r="C97" s="22" t="s">
        <v>2967</v>
      </c>
      <c r="D97" s="18" t="str">
        <f>C97</f>
        <v>consoleuser</v>
      </c>
      <c r="E97" s="53"/>
    </row>
    <row r="98" spans="2:5" ht="20" customHeight="1">
      <c r="B98" s="21" t="s">
        <v>2389</v>
      </c>
      <c r="C98" s="22" t="str">
        <f>sample_vrslcm_xreg_env_password_alias</f>
        <v>xint-env-admin</v>
      </c>
      <c r="D98" s="18" t="str">
        <f>vrslcm_xreg_env_password_alias</f>
        <v>Value Missing</v>
      </c>
      <c r="E98" s="53"/>
    </row>
    <row r="99" spans="2:5" ht="20" customHeight="1">
      <c r="B99" s="26" t="s">
        <v>2390</v>
      </c>
      <c r="C99" s="22" t="str">
        <f>sample_vrslcm_xreg_env_password</f>
        <v>VMw@re1!</v>
      </c>
      <c r="D99" s="18" t="str">
        <f>vrslcm_xreg_env_password</f>
        <v>Value Missing</v>
      </c>
      <c r="E99" s="53"/>
    </row>
    <row r="100" spans="2:5" ht="20" customHeight="1">
      <c r="B100" s="26" t="s">
        <v>2514</v>
      </c>
      <c r="C100" s="22" t="str">
        <f>sample_vrslcm_xreg_admin_username</f>
        <v>admin</v>
      </c>
      <c r="D100" s="18" t="str">
        <f>vrslcm_xreg_admin_username</f>
        <v>Value Missing</v>
      </c>
      <c r="E100" s="53"/>
    </row>
    <row r="101" spans="2:5" ht="20" customHeight="1">
      <c r="B101" s="103"/>
      <c r="C101" s="103"/>
      <c r="D101" s="103"/>
      <c r="E101" s="103"/>
    </row>
    <row r="102" spans="2:5" s="103" customFormat="1" ht="34" customHeight="1">
      <c r="B102" s="557" t="s">
        <v>3679</v>
      </c>
      <c r="C102" s="557"/>
      <c r="D102" s="557"/>
      <c r="E102" s="557"/>
    </row>
    <row r="103" spans="2:5" s="103" customFormat="1" ht="20" customHeight="1">
      <c r="B103" s="112" t="s">
        <v>735</v>
      </c>
      <c r="C103" s="112" t="s">
        <v>554</v>
      </c>
      <c r="D103" s="113" t="s">
        <v>555</v>
      </c>
      <c r="E103" s="112" t="s">
        <v>222</v>
      </c>
    </row>
    <row r="104" spans="2:5" s="103" customFormat="1" ht="20" customHeight="1">
      <c r="B104" s="114" t="s">
        <v>3368</v>
      </c>
      <c r="C104" s="115" t="str">
        <f>CONCATENATE(sample_xreg_vrslcm_hostname,".",sample_parent_dns_zone)</f>
        <v>xint-lcm01.rainpole.io</v>
      </c>
      <c r="D104" s="12" t="str">
        <f>xreg_vrslcm_fqdn</f>
        <v>Value Missing.Value Missing</v>
      </c>
      <c r="E104" s="116"/>
    </row>
    <row r="105" spans="2:5" s="103" customFormat="1" ht="20" customHeight="1">
      <c r="B105" s="114" t="s">
        <v>2392</v>
      </c>
      <c r="C105" s="115" t="str">
        <f>sample_vrslcm_xreg_env</f>
        <v>xint-env</v>
      </c>
      <c r="D105" s="12" t="str">
        <f>vrslcm_xreg_env</f>
        <v>Value Missing</v>
      </c>
      <c r="E105" s="116"/>
    </row>
    <row r="106" spans="2:5" s="103" customFormat="1" ht="20" customHeight="1">
      <c r="B106" s="114" t="s">
        <v>2393</v>
      </c>
      <c r="C106" s="115" t="str">
        <f>sample_vrslcm_xreg_env_password_alias</f>
        <v>xint-env-admin</v>
      </c>
      <c r="D106" s="12" t="str">
        <f>vrslcm_xreg_env_password_alias</f>
        <v>Value Missing</v>
      </c>
      <c r="E106" s="116"/>
    </row>
    <row r="107" spans="2:5" s="103" customFormat="1" ht="20" customHeight="1">
      <c r="B107" s="114" t="s">
        <v>841</v>
      </c>
      <c r="C107" s="115" t="str">
        <f>sample_vrslcm_xreg_dc</f>
        <v>xint-m01-dc01</v>
      </c>
      <c r="D107" s="12" t="str">
        <f>vrslcm_xreg_dc</f>
        <v>Value Missing</v>
      </c>
      <c r="E107" s="116"/>
    </row>
    <row r="108" spans="2:5" s="103" customFormat="1" ht="20" customHeight="1">
      <c r="B108" s="114" t="s">
        <v>3680</v>
      </c>
      <c r="C108" s="115" t="str">
        <f>sample_xreg_vrni_deployment_type</f>
        <v>Standard</v>
      </c>
      <c r="D108" s="12" t="str">
        <f>xreg_vrni_deployment_type</f>
        <v>Value Missing</v>
      </c>
      <c r="E108" s="116"/>
    </row>
    <row r="109" spans="2:5" s="103" customFormat="1" ht="20" customHeight="1">
      <c r="B109" s="114" t="s">
        <v>2364</v>
      </c>
      <c r="C109" s="115" t="str">
        <f>sample_vrni_license_alias</f>
        <v>VMware Aria Operations for Networks</v>
      </c>
      <c r="D109" s="12" t="str">
        <f>vrni_license_alias</f>
        <v>Value Missing</v>
      </c>
      <c r="E109" s="116"/>
    </row>
    <row r="110" spans="2:5" s="103" customFormat="1" ht="20" customHeight="1">
      <c r="B110" s="114" t="s">
        <v>2109</v>
      </c>
      <c r="C110" s="115" t="str">
        <f>sample_xreg_vrni_nodea_hostname</f>
        <v>xint-net01a</v>
      </c>
      <c r="D110" s="12" t="str">
        <f>xreg_vrni_nodea_hostname</f>
        <v>Value Missing</v>
      </c>
      <c r="E110" s="116"/>
    </row>
    <row r="111" spans="2:5" s="103" customFormat="1" ht="20" customHeight="1">
      <c r="B111" s="114" t="s">
        <v>2455</v>
      </c>
      <c r="C111" s="115" t="str">
        <f>_xlfn.CONCAT(sample_mgmt_vc_hostname,".",sample_child_dns_zone)</f>
        <v>sfo-m01-vc01.sfo.rainpole.io</v>
      </c>
      <c r="D111" s="12" t="str">
        <f>mgmt_vc_fqdn</f>
        <v>Value Missing.Value Missing</v>
      </c>
      <c r="E111" s="116"/>
    </row>
    <row r="112" spans="2:5" s="103" customFormat="1" ht="20" customHeight="1">
      <c r="B112" s="114" t="s">
        <v>2110</v>
      </c>
      <c r="C112" s="115" t="str">
        <f>CONCATENATE(sample_mgmt_datacenter,"#",sample_mgmt_cl01_cluster)</f>
        <v>sfo-m01-dc01#sfo-m01-cl01</v>
      </c>
      <c r="D112" s="12" t="str">
        <f>CONCATENATE(mgmt_datacenter,"#",mgmt_cl01_cluster)</f>
        <v>Value Missing#Value Missing</v>
      </c>
      <c r="E112" s="116"/>
    </row>
    <row r="113" spans="2:5" s="103" customFormat="1" ht="20" customHeight="1">
      <c r="B113" s="114" t="s">
        <v>2456</v>
      </c>
      <c r="C113" s="115" t="str">
        <f>sample_xreg_seg01_name</f>
        <v>xint-m01-seg01</v>
      </c>
      <c r="D113" s="12" t="str">
        <f>xreg_seg01_name</f>
        <v>Value Missing</v>
      </c>
      <c r="E113" s="116"/>
    </row>
    <row r="114" spans="2:5" s="103" customFormat="1" ht="20" customHeight="1">
      <c r="B114" s="114" t="s">
        <v>2457</v>
      </c>
      <c r="C114" s="115" t="str">
        <f>sample_mgmt_cl01_vsan_datastore</f>
        <v>sfo-m01-cl01-ds-vsan01</v>
      </c>
      <c r="D114" s="12" t="str">
        <f>mgmt_cl01_vsan_datastore</f>
        <v>Value Missing</v>
      </c>
      <c r="E114" s="116"/>
    </row>
    <row r="115" spans="2:5" s="103" customFormat="1" ht="20" customHeight="1">
      <c r="B115" s="558" t="s">
        <v>3688</v>
      </c>
      <c r="C115" s="558"/>
      <c r="D115" s="558"/>
      <c r="E115" s="437"/>
    </row>
    <row r="116" spans="2:5" s="103" customFormat="1" ht="20" customHeight="1">
      <c r="B116" s="114" t="s">
        <v>2395</v>
      </c>
      <c r="C116" s="115" t="str">
        <f>sample_xreg_vrni_root_password_alias</f>
        <v>xint-net-admin</v>
      </c>
      <c r="D116" s="12" t="str">
        <f>xreg_vrni_root_password_alias</f>
        <v>Value Missing</v>
      </c>
      <c r="E116" s="116"/>
    </row>
    <row r="117" spans="2:5" s="103" customFormat="1" ht="20" customHeight="1">
      <c r="B117" s="114" t="s">
        <v>2109</v>
      </c>
      <c r="C117" s="115" t="str">
        <f>sample_xreg_vrni_nodea_hostname</f>
        <v>xint-net01a</v>
      </c>
      <c r="D117" s="12" t="str">
        <f>xreg_vrni_nodea_hostname</f>
        <v>Value Missing</v>
      </c>
      <c r="E117" s="116"/>
    </row>
    <row r="118" spans="2:5" s="103" customFormat="1" ht="20" customHeight="1">
      <c r="B118" s="558" t="s">
        <v>3681</v>
      </c>
      <c r="C118" s="558"/>
      <c r="D118" s="558"/>
      <c r="E118" s="437"/>
    </row>
    <row r="119" spans="2:5" s="103" customFormat="1" ht="20" customHeight="1">
      <c r="B119" s="114" t="s">
        <v>2720</v>
      </c>
      <c r="C119" s="115" t="str">
        <f>sample_xreg_vrni_nodea_hostname</f>
        <v>xint-net01a</v>
      </c>
      <c r="D119" s="12" t="str">
        <f>xreg_vrni_nodea_hostname</f>
        <v>Value Missing</v>
      </c>
      <c r="E119" s="116"/>
    </row>
    <row r="120" spans="2:5" s="103" customFormat="1" ht="20" customHeight="1">
      <c r="B120" s="114" t="s">
        <v>1800</v>
      </c>
      <c r="C120" s="115" t="str">
        <f>sample_xreg_vrni_nodea_ip</f>
        <v>192.168.11.41</v>
      </c>
      <c r="D120" s="12" t="str" cm="1">
        <f t="array" ref="D120">xreg_vrni_nodea_ip</f>
        <v>Value Missing</v>
      </c>
      <c r="E120" s="116"/>
    </row>
    <row r="121" spans="2:5" s="103" customFormat="1" ht="20" customHeight="1">
      <c r="B121" s="114" t="s">
        <v>2394</v>
      </c>
      <c r="C121" s="115" t="str">
        <f>sample_xreg_vrni_platform_node_size</f>
        <v>Extra_Large</v>
      </c>
      <c r="D121" s="12" t="str">
        <f>xreg_vrni_platform_node_size</f>
        <v>Extra_Large</v>
      </c>
      <c r="E121" s="116"/>
    </row>
    <row r="122" spans="2:5" s="103" customFormat="1" ht="20" customHeight="1">
      <c r="B122" s="114" t="s">
        <v>3690</v>
      </c>
      <c r="C122" s="115" t="str">
        <f>sample_xreg_seg01_name</f>
        <v>xint-m01-seg01</v>
      </c>
      <c r="D122" s="12" t="str">
        <f>xreg_seg01_name</f>
        <v>Value Missing</v>
      </c>
      <c r="E122" s="116"/>
    </row>
    <row r="123" spans="2:5" s="103" customFormat="1" ht="20" customHeight="1">
      <c r="B123" s="114" t="s">
        <v>3691</v>
      </c>
      <c r="C123" s="115" t="str">
        <f>sample_xreg_seg01_gateway_ip</f>
        <v>N/A</v>
      </c>
      <c r="D123" s="12" t="str">
        <f>xreg_seg01_gateway_ip</f>
        <v>Value Missing</v>
      </c>
      <c r="E123" s="116"/>
    </row>
    <row r="124" spans="2:5" s="103" customFormat="1" ht="20" customHeight="1">
      <c r="B124" s="114" t="s">
        <v>3692</v>
      </c>
      <c r="C124" s="115" t="str">
        <f>sample_parent_dns_zone</f>
        <v>rainpole.io</v>
      </c>
      <c r="D124" s="12" t="str">
        <f>parent_dns_zone</f>
        <v>Value Missing</v>
      </c>
      <c r="E124" s="116"/>
    </row>
    <row r="125" spans="2:5" s="103" customFormat="1" ht="20" customHeight="1">
      <c r="B125" s="114" t="s">
        <v>3693</v>
      </c>
      <c r="C125" s="115" t="str">
        <f>sample_parent_dns_zone</f>
        <v>rainpole.io</v>
      </c>
      <c r="D125" s="12" t="str">
        <f>parent_dns_zone</f>
        <v>Value Missing</v>
      </c>
      <c r="E125" s="116"/>
    </row>
    <row r="126" spans="2:5" s="103" customFormat="1" ht="20" customHeight="1">
      <c r="B126" s="114" t="s">
        <v>3694</v>
      </c>
      <c r="C126" s="115" t="str">
        <f>CONCATENATE(sample_region_dns1_ip,",",sample_region_dns2_ip)</f>
        <v>10.11.10.4,10.11.10.5</v>
      </c>
      <c r="D126" s="12" t="str">
        <f>CONCATENATE(region_dns1_ip," ",region_dns2_ip)</f>
        <v>Value Missing Value Missing</v>
      </c>
      <c r="E126" s="116"/>
    </row>
    <row r="127" spans="2:5" s="103" customFormat="1" ht="20" customHeight="1">
      <c r="B127" s="114" t="s">
        <v>3695</v>
      </c>
      <c r="C127" s="115" t="str">
        <f>IF(mgmt_vns_chosen="Exclude","N/A",VLOOKUP(INT(RIGHT(sample_xreg_seg01_cidr,LEN(sample_xreg_seg01_cidr)-FIND("/",sample_xreg_seg01_cidr))),table_cidr_to_mask,2,FALSE))</f>
        <v>N/A</v>
      </c>
      <c r="D127" s="12" t="str">
        <f>xreg_seg01_mask</f>
        <v>Value Missing</v>
      </c>
      <c r="E127" s="116"/>
    </row>
    <row r="128" spans="2:5" s="103" customFormat="1" ht="20" customHeight="1">
      <c r="B128" s="114" t="s">
        <v>3696</v>
      </c>
      <c r="C128" s="115" t="str">
        <f>sample_xreg_vrni_consoleuser_password_alias</f>
        <v>xint-net-consoleuser</v>
      </c>
      <c r="D128" s="12" t="str">
        <f>xreg_vrni_consoleuser_password_alias</f>
        <v>Value Missing</v>
      </c>
      <c r="E128" s="116"/>
    </row>
    <row r="129" spans="2:5" s="103" customFormat="1" ht="20" customHeight="1">
      <c r="B129" s="114" t="s">
        <v>3697</v>
      </c>
      <c r="C129" s="115" t="str">
        <f>sample_xreg_vrni_support_password_alias</f>
        <v>xint-net-support</v>
      </c>
      <c r="D129" s="12" t="str">
        <f>xreg_vrni_support_password_alias</f>
        <v>Value Missing</v>
      </c>
      <c r="E129" s="116"/>
    </row>
    <row r="130" spans="2:5" s="103" customFormat="1" ht="20" customHeight="1">
      <c r="B130" s="558" t="s">
        <v>3689</v>
      </c>
      <c r="C130" s="558"/>
      <c r="D130" s="558"/>
      <c r="E130" s="437"/>
    </row>
    <row r="131" spans="2:5" s="103" customFormat="1" ht="20" customHeight="1">
      <c r="B131" s="114" t="s">
        <v>2720</v>
      </c>
      <c r="C131" s="115" t="str">
        <f>sample_region_vrni_nodea_hostname</f>
        <v>sfo-net-pxy01a</v>
      </c>
      <c r="D131" s="12" t="str">
        <f>region_vrni_nodea_hostname</f>
        <v>Value Missing</v>
      </c>
      <c r="E131" s="116"/>
    </row>
    <row r="132" spans="2:5" s="103" customFormat="1" ht="20" customHeight="1">
      <c r="B132" s="114" t="s">
        <v>1800</v>
      </c>
      <c r="C132" s="115" t="str">
        <f>sample_region_vrni_nodea_ip</f>
        <v>192.168.31.41</v>
      </c>
      <c r="D132" s="12" t="str">
        <f>region_vrni_nodea_ip</f>
        <v>Value Missing</v>
      </c>
      <c r="E132" s="116"/>
    </row>
    <row r="133" spans="2:5" s="103" customFormat="1" ht="20" customHeight="1">
      <c r="B133" s="114" t="s">
        <v>2394</v>
      </c>
      <c r="C133" s="115" t="str">
        <f>sample_region_vrni_collector_node_size</f>
        <v>Large</v>
      </c>
      <c r="D133" s="12" t="str">
        <f>region_vrni_collector_node_size</f>
        <v>Large</v>
      </c>
      <c r="E133" s="116"/>
    </row>
    <row r="134" spans="2:5" s="103" customFormat="1" ht="20" customHeight="1">
      <c r="B134" s="114" t="s">
        <v>3699</v>
      </c>
      <c r="C134" s="115" t="str">
        <f>sample_reg_seg01_name</f>
        <v>sfo-m01-seg01</v>
      </c>
      <c r="D134" s="12" t="str">
        <f>reg_seg01_name</f>
        <v>Value Missing</v>
      </c>
      <c r="E134" s="116"/>
    </row>
    <row r="135" spans="2:5" s="103" customFormat="1" ht="20" customHeight="1">
      <c r="B135" s="114" t="s">
        <v>3698</v>
      </c>
      <c r="C135" s="115" t="str">
        <f>sample_reg_seg01_gateway_ip</f>
        <v>N/A</v>
      </c>
      <c r="D135" s="12" t="str">
        <f>reg_seg01_gateway_ip</f>
        <v>Value Missing</v>
      </c>
      <c r="E135" s="116"/>
    </row>
    <row r="136" spans="2:5" s="103" customFormat="1" ht="20" customHeight="1">
      <c r="B136" s="114" t="s">
        <v>3692</v>
      </c>
      <c r="C136" s="115" t="str">
        <f>sample_child_dns_zone</f>
        <v>sfo.rainpole.io</v>
      </c>
      <c r="D136" s="12" t="str">
        <f>child_dns_zone</f>
        <v>Value Missing</v>
      </c>
      <c r="E136" s="116"/>
    </row>
    <row r="137" spans="2:5" s="103" customFormat="1" ht="20" customHeight="1">
      <c r="B137" s="114" t="s">
        <v>3700</v>
      </c>
      <c r="C137" s="115" t="str">
        <f>sample_child_dns_zone</f>
        <v>sfo.rainpole.io</v>
      </c>
      <c r="D137" s="12" t="str">
        <f>child_dns_zone</f>
        <v>Value Missing</v>
      </c>
      <c r="E137" s="116"/>
    </row>
    <row r="138" spans="2:5" s="103" customFormat="1" ht="20" customHeight="1">
      <c r="B138" s="114" t="s">
        <v>3694</v>
      </c>
      <c r="C138" s="115" t="str">
        <f>CONCATENATE(sample_region_dns1_ip,",",sample_region_dns2_ip)</f>
        <v>10.11.10.4,10.11.10.5</v>
      </c>
      <c r="D138" s="12" t="str">
        <f>CONCATENATE(region_dns1_ip," ",region_dns2_ip)</f>
        <v>Value Missing Value Missing</v>
      </c>
      <c r="E138" s="116"/>
    </row>
    <row r="139" spans="2:5" s="103" customFormat="1" ht="20" customHeight="1">
      <c r="B139" s="114" t="s">
        <v>3701</v>
      </c>
      <c r="C139" s="22" t="str">
        <f>IF(mgmt_vns_chosen="Exclude","N/A",VLOOKUP(INT(RIGHT(sample_reg_seg01_cidr,LEN(sample_reg_seg01_cidr)-FIND("/",sample_reg_seg01_cidr))),table_cidr_to_mask,2,FALSE))</f>
        <v>N/A</v>
      </c>
      <c r="D139" s="18" t="str">
        <f>reg_seg01_mask_overlay_backed</f>
        <v>Value Missing</v>
      </c>
      <c r="E139" s="116"/>
    </row>
    <row r="140" spans="2:5" s="103" customFormat="1" ht="20" customHeight="1">
      <c r="B140" s="114" t="s">
        <v>3702</v>
      </c>
      <c r="C140" s="115" t="str">
        <f>sample_xreg_vrni_consoleuser_password_alias</f>
        <v>xint-net-consoleuser</v>
      </c>
      <c r="D140" s="12" t="str">
        <f>xreg_vrni_consoleuser_password_alias</f>
        <v>Value Missing</v>
      </c>
      <c r="E140" s="116"/>
    </row>
    <row r="141" spans="2:5" s="103" customFormat="1" ht="20" customHeight="1">
      <c r="B141" s="114" t="s">
        <v>3697</v>
      </c>
      <c r="C141" s="115" t="str">
        <f>sample_xreg_vrni_support_password_alias</f>
        <v>xint-net-support</v>
      </c>
      <c r="D141" s="12" t="str">
        <f>xreg_vrni_support_password_alias</f>
        <v>Value Missing</v>
      </c>
      <c r="E141" s="116"/>
    </row>
    <row r="142" spans="2:5" s="103" customFormat="1" ht="20" customHeight="1"/>
    <row r="143" spans="2:5" ht="34" customHeight="1">
      <c r="B143" s="486" t="s">
        <v>3703</v>
      </c>
      <c r="C143" s="344"/>
      <c r="D143" s="344"/>
      <c r="E143" s="344"/>
    </row>
    <row r="144" spans="2:5" ht="20" customHeight="1">
      <c r="B144" s="8" t="s">
        <v>735</v>
      </c>
      <c r="C144" s="8" t="s">
        <v>554</v>
      </c>
      <c r="D144" s="20" t="s">
        <v>555</v>
      </c>
      <c r="E144" s="8" t="s">
        <v>222</v>
      </c>
    </row>
    <row r="145" spans="2:5" ht="20" customHeight="1">
      <c r="B145" s="21" t="s">
        <v>2286</v>
      </c>
      <c r="C145" s="22" t="str">
        <f>CONCATENATE(sample_mgmt_vc_hostname,".",sample_child_dns_zone)</f>
        <v>sfo-m01-vc01.sfo.rainpole.io</v>
      </c>
      <c r="D145" s="18" t="str">
        <f>mgmt_vc_fqdn</f>
        <v>Value Missing.Value Missing</v>
      </c>
      <c r="E145" s="53"/>
    </row>
    <row r="146" spans="2:5" ht="20" customHeight="1">
      <c r="B146" s="21" t="s">
        <v>841</v>
      </c>
      <c r="C146" s="22" t="str">
        <f>sample_mgmt_datacenter</f>
        <v>sfo-m01-dc01</v>
      </c>
      <c r="D146" s="18" t="str">
        <f>mgmt_datacenter</f>
        <v>Value Missing</v>
      </c>
      <c r="E146" s="53"/>
    </row>
    <row r="147" spans="2:5" ht="20" customHeight="1">
      <c r="B147" s="26" t="s">
        <v>3704</v>
      </c>
      <c r="C147" s="22" t="str">
        <f>sample_xreg_vrni_nodea_hostname</f>
        <v>xint-net01a</v>
      </c>
      <c r="D147" s="18" t="str">
        <f>xreg_vrni_nodea_hostname</f>
        <v>Value Missing</v>
      </c>
      <c r="E147" s="53"/>
    </row>
    <row r="148" spans="2:5" ht="20" customHeight="1">
      <c r="B148" s="26" t="s">
        <v>3705</v>
      </c>
      <c r="C148" s="22" t="str">
        <f>sample_region_vrni_nodea_hostname</f>
        <v>sfo-net-pxy01a</v>
      </c>
      <c r="D148" s="18" t="str">
        <f>region_vrni_nodea_hostname</f>
        <v>Value Missing</v>
      </c>
      <c r="E148" s="53"/>
    </row>
    <row r="149" spans="2:5" ht="20" customHeight="1">
      <c r="B149" s="26" t="s">
        <v>2296</v>
      </c>
      <c r="C149" s="22" t="str">
        <f>sample_inv_vm_folder</f>
        <v>xint-m01-fd-networks</v>
      </c>
      <c r="D149" s="18" t="str">
        <f>inv_vm_folder</f>
        <v>Value Missing</v>
      </c>
      <c r="E149" s="53"/>
    </row>
    <row r="150" spans="2:5" ht="16" customHeight="1">
      <c r="B150" s="103"/>
      <c r="C150" s="103"/>
      <c r="D150" s="103"/>
      <c r="E150" s="103"/>
    </row>
    <row r="151" spans="2:5" s="103" customFormat="1" ht="34" customHeight="1">
      <c r="B151" s="557" t="s">
        <v>3710</v>
      </c>
      <c r="C151" s="557"/>
      <c r="D151" s="557"/>
      <c r="E151" s="557"/>
    </row>
    <row r="152" spans="2:5" s="103" customFormat="1" ht="20" customHeight="1">
      <c r="B152" s="112" t="s">
        <v>735</v>
      </c>
      <c r="C152" s="112" t="s">
        <v>554</v>
      </c>
      <c r="D152" s="113" t="s">
        <v>555</v>
      </c>
      <c r="E152" s="112" t="s">
        <v>222</v>
      </c>
    </row>
    <row r="153" spans="2:5" s="103" customFormat="1" ht="20" customHeight="1">
      <c r="B153" s="114" t="s">
        <v>2286</v>
      </c>
      <c r="C153" s="115" t="str">
        <f>_xlfn.CONCAT(sample_mgmt_vc_hostname,".",sample_child_dns_zone)</f>
        <v>sfo-m01-vc01.sfo.rainpole.io</v>
      </c>
      <c r="D153" s="12" t="str">
        <f>mgmt_vc_fqdn</f>
        <v>Value Missing.Value Missing</v>
      </c>
      <c r="E153" s="116"/>
    </row>
    <row r="154" spans="2:5" s="103" customFormat="1" ht="20" customHeight="1">
      <c r="B154" s="114" t="s">
        <v>735</v>
      </c>
      <c r="C154" s="115" t="str">
        <f>_xlfn.CONCAT(sample_mgmt_cl01_cluster,"_primary-az-vmgroup")</f>
        <v>sfo-m01-cl01_primary-az-vmgroup</v>
      </c>
      <c r="D154" s="12" t="str">
        <f>_xlfn.CONCAT(mgmt_cl01_cluster,"_primary-az-vmgroup")</f>
        <v>Value Missing_primary-az-vmgroup</v>
      </c>
      <c r="E154" s="116"/>
    </row>
    <row r="155" spans="2:5" s="103" customFormat="1" ht="20" customHeight="1">
      <c r="B155" s="114" t="s">
        <v>2410</v>
      </c>
      <c r="C155" s="115" t="str">
        <f>sample_xreg_vrni_nodea_hostname</f>
        <v>xint-net01a</v>
      </c>
      <c r="D155" s="12" t="str">
        <f>xreg_vrni_nodea_hostname</f>
        <v>Value Missing</v>
      </c>
      <c r="E155" s="116"/>
    </row>
    <row r="156" spans="2:5" s="103" customFormat="1" ht="20" customHeight="1">
      <c r="B156" s="114" t="s">
        <v>2410</v>
      </c>
      <c r="C156" s="115" t="str">
        <f>sample_region_vrni_nodea_hostname</f>
        <v>sfo-net-pxy01a</v>
      </c>
      <c r="D156" s="12" t="str">
        <f>inv_cdp_hostname</f>
        <v>Value Missing</v>
      </c>
      <c r="E156" s="116"/>
    </row>
    <row r="157" spans="2:5" s="103" customFormat="1" ht="16" customHeight="1"/>
    <row r="158" spans="2:5" s="103" customFormat="1" ht="34" customHeight="1">
      <c r="B158" s="557" t="s">
        <v>3723</v>
      </c>
      <c r="C158" s="557"/>
      <c r="D158" s="557"/>
      <c r="E158" s="557"/>
    </row>
    <row r="159" spans="2:5" s="103" customFormat="1" ht="20" customHeight="1">
      <c r="B159" s="112" t="s">
        <v>735</v>
      </c>
      <c r="C159" s="112" t="s">
        <v>554</v>
      </c>
      <c r="D159" s="113" t="s">
        <v>555</v>
      </c>
      <c r="E159" s="112" t="s">
        <v>222</v>
      </c>
    </row>
    <row r="160" spans="2:5" s="103" customFormat="1" ht="20" customHeight="1">
      <c r="B160" s="114" t="s">
        <v>3711</v>
      </c>
      <c r="C160" s="115" t="str">
        <f>CONCATENATE(sample_xreg_vrni_nodea_hostname,".",sample_parent_dns_zone)</f>
        <v>xint-net01a.rainpole.io</v>
      </c>
      <c r="D160" s="12" t="str">
        <f>xreg_vrni_nodea_fqdn</f>
        <v>Value Missing.Value Missing</v>
      </c>
      <c r="E160" s="116"/>
    </row>
    <row r="161" spans="2:5" s="103" customFormat="1" ht="20" customHeight="1">
      <c r="B161" s="114" t="s">
        <v>489</v>
      </c>
      <c r="C161" s="115" t="str">
        <f>sample_child_dns_zone</f>
        <v>sfo.rainpole.io</v>
      </c>
      <c r="D161" s="12" t="str">
        <f>child_dns_zone</f>
        <v>Value Missing</v>
      </c>
      <c r="E161" s="116"/>
    </row>
    <row r="162" spans="2:5" s="103" customFormat="1" ht="20" customHeight="1">
      <c r="B162" s="114" t="s">
        <v>3712</v>
      </c>
      <c r="C162" s="115" t="str">
        <f>CONCATENATE("ldaps://",sample_domain_controller_hostname,".",sample_child_dns_zone,":636")</f>
        <v>ldaps://sfo-ad01.sfo.rainpole.io:636</v>
      </c>
      <c r="D162" s="12" t="str">
        <f>inv_ldap_url</f>
        <v>Value Missing</v>
      </c>
      <c r="E162" s="116"/>
    </row>
    <row r="163" spans="2:5" s="103" customFormat="1" ht="20" customHeight="1">
      <c r="B163" s="114" t="s">
        <v>2304</v>
      </c>
      <c r="C163" s="115" t="str">
        <f>RIGHT(sample_child_ad_users_ou,LEN(sample_child_ad_users_ou)-SEARCH(",",sample_child_ad_users_ou))</f>
        <v>dc=sfo,dc=rainpole,dc=io</v>
      </c>
      <c r="D163" s="12" t="str">
        <f>inv_ad_base_dn</f>
        <v>Value Missing</v>
      </c>
      <c r="E163" s="116"/>
    </row>
    <row r="164" spans="2:5" s="103" customFormat="1" ht="20" customHeight="1">
      <c r="B164" s="114" t="s">
        <v>3713</v>
      </c>
      <c r="C164" s="115" t="s">
        <v>3714</v>
      </c>
      <c r="D164" s="12" t="str">
        <f>C164</f>
        <v>sAMAccountName</v>
      </c>
      <c r="E164" s="116"/>
    </row>
    <row r="165" spans="2:5" s="103" customFormat="1" ht="20" customHeight="1">
      <c r="B165" s="114" t="s">
        <v>3715</v>
      </c>
      <c r="C165" s="115" t="s">
        <v>3716</v>
      </c>
      <c r="D165" s="12" t="str">
        <f>gg_vrni_admin_group_dn</f>
        <v>Value Missing</v>
      </c>
      <c r="E165" s="116"/>
    </row>
    <row r="166" spans="2:5" s="103" customFormat="1" ht="20" customHeight="1">
      <c r="B166" s="114" t="s">
        <v>3717</v>
      </c>
      <c r="C166" s="115" t="s">
        <v>3718</v>
      </c>
      <c r="D166" s="12" t="str">
        <f>gg_vrni_member_group_dn</f>
        <v>Value Missing</v>
      </c>
      <c r="E166" s="116"/>
    </row>
    <row r="167" spans="2:5" s="103" customFormat="1" ht="20" customHeight="1">
      <c r="B167" s="114" t="s">
        <v>3719</v>
      </c>
      <c r="C167" s="115" t="s">
        <v>3720</v>
      </c>
      <c r="D167" s="12" t="str">
        <f>gg_vrni_auditor_group_dn</f>
        <v>Value Missing</v>
      </c>
      <c r="E167" s="116"/>
    </row>
    <row r="168" spans="2:5" s="103" customFormat="1" ht="20" customHeight="1">
      <c r="B168" s="114" t="s">
        <v>3721</v>
      </c>
      <c r="C168" s="115" t="str">
        <f>CONCATENATE(sample_svc_inv_ad_user,"@",sample_child_dns_zone)</f>
        <v>svc-net-ad@sfo.rainpole.io</v>
      </c>
      <c r="D168" s="12" t="str">
        <f>svc_inv_ad_user_email</f>
        <v>Value Missing</v>
      </c>
      <c r="E168" s="116"/>
    </row>
    <row r="169" spans="2:5" s="103" customFormat="1" ht="20" customHeight="1">
      <c r="B169" s="114" t="s">
        <v>3722</v>
      </c>
      <c r="C169" s="115" t="str">
        <f>sample_svc_inv_ad_password</f>
        <v>VMw@re1!</v>
      </c>
      <c r="D169" s="12" t="str">
        <f>svc_inv_ad_password</f>
        <v>Value Missing</v>
      </c>
      <c r="E169" s="116"/>
    </row>
    <row r="170" spans="2:5" s="103" customFormat="1" ht="20" customHeight="1"/>
    <row r="171" spans="2:5" s="103" customFormat="1" ht="34" customHeight="1">
      <c r="B171" s="557" t="s">
        <v>3724</v>
      </c>
      <c r="C171" s="557"/>
      <c r="D171" s="557"/>
      <c r="E171" s="557"/>
    </row>
    <row r="172" spans="2:5" s="103" customFormat="1" ht="20" customHeight="1">
      <c r="B172" s="112" t="s">
        <v>735</v>
      </c>
      <c r="C172" s="112" t="s">
        <v>554</v>
      </c>
      <c r="D172" s="113" t="s">
        <v>555</v>
      </c>
      <c r="E172" s="112" t="s">
        <v>222</v>
      </c>
    </row>
    <row r="173" spans="2:5" s="103" customFormat="1" ht="20" customHeight="1">
      <c r="B173" s="114" t="s">
        <v>3711</v>
      </c>
      <c r="C173" s="115" t="str">
        <f>CONCATENATE(sample_xreg_vrni_nodea_hostname,".",sample_parent_dns_zone)</f>
        <v>xint-net01a.rainpole.io</v>
      </c>
      <c r="D173" s="12" t="str">
        <f>xreg_vrni_nodea_fqdn</f>
        <v>Value Missing.Value Missing</v>
      </c>
      <c r="E173" s="116"/>
    </row>
    <row r="174" spans="2:5" s="103" customFormat="1" ht="20" customHeight="1">
      <c r="B174" s="558" t="s">
        <v>36</v>
      </c>
      <c r="C174" s="558"/>
      <c r="D174" s="558"/>
      <c r="E174" s="437"/>
    </row>
    <row r="175" spans="2:5" s="103" customFormat="1" ht="20" customHeight="1">
      <c r="B175" s="114" t="s">
        <v>2968</v>
      </c>
      <c r="C175" s="115" t="str">
        <f>_xlfn.CONCAT("Collector_",sample_region_vrni_nodea_ip)</f>
        <v>Collector_192.168.31.41</v>
      </c>
      <c r="D175" s="12" t="str">
        <f>_xlfn.CONCAT("Collector_",inv_cdp_ip)</f>
        <v>Collector_Value Missing</v>
      </c>
      <c r="E175" s="116"/>
    </row>
    <row r="176" spans="2:5" s="103" customFormat="1" ht="20" customHeight="1">
      <c r="B176" s="114" t="s">
        <v>2969</v>
      </c>
      <c r="C176" s="115" t="str">
        <f>_xlfn.CONCAT(sample_mgmt_vc_hostname,".",sample_child_dns_zone)</f>
        <v>sfo-m01-vc01.sfo.rainpole.io</v>
      </c>
      <c r="D176" s="12" t="str">
        <f>_xlfn.CONCAT(mgmt_vc_hostname,".",child_dns_zone)</f>
        <v>Value Missing.Value Missing</v>
      </c>
      <c r="E176" s="116"/>
    </row>
    <row r="177" spans="2:5" s="103" customFormat="1" ht="20" customHeight="1">
      <c r="B177" s="114" t="s">
        <v>1806</v>
      </c>
      <c r="C177" s="115" t="str">
        <f>sample_svc_inv_vsphere_user</f>
        <v>svc-net-vsphere</v>
      </c>
      <c r="D177" s="12" t="str" cm="1">
        <f t="array" ref="D177">inv_vsphere_svc_user</f>
        <v>Value Missing</v>
      </c>
      <c r="E177" s="116"/>
    </row>
    <row r="178" spans="2:5" s="103" customFormat="1" ht="20" customHeight="1">
      <c r="B178" s="114" t="s">
        <v>1796</v>
      </c>
      <c r="C178" s="115" t="str">
        <f>sample_svc_inv_vsphere_password</f>
        <v>VMw@re1!</v>
      </c>
      <c r="D178" s="12" t="str">
        <f>inv_vsphere_svc_password</f>
        <v>Value Missing</v>
      </c>
      <c r="E178" s="116"/>
    </row>
    <row r="179" spans="2:5" s="103" customFormat="1" ht="20" customHeight="1">
      <c r="B179" s="114" t="s">
        <v>2970</v>
      </c>
      <c r="C179" s="115" t="str">
        <f>_xlfn.CONCAT(sample_mgmt_vc_hostname,"  - Management Domain vCenter Server")</f>
        <v>sfo-m01-vc01  - Management Domain vCenter Server</v>
      </c>
      <c r="D179" s="12" t="str">
        <f>_xlfn.CONCAT(mgmt_vc_hostname,"  - Management Domain vCenter Server")</f>
        <v>Value Missing  - Management Domain vCenter Server</v>
      </c>
      <c r="E179" s="116"/>
    </row>
    <row r="180" spans="2:5" s="103" customFormat="1" ht="20" customHeight="1">
      <c r="B180" s="558" t="s">
        <v>39</v>
      </c>
      <c r="C180" s="558"/>
      <c r="D180" s="558"/>
      <c r="E180" s="437"/>
    </row>
    <row r="181" spans="2:5" s="103" customFormat="1" ht="20" customHeight="1">
      <c r="B181" s="114" t="s">
        <v>2968</v>
      </c>
      <c r="C181" s="115" t="str">
        <f>_xlfn.CONCAT("Collector_",sample_region_vrni_nodea_ip)</f>
        <v>Collector_192.168.31.41</v>
      </c>
      <c r="D181" s="12" t="str">
        <f>_xlfn.CONCAT("Collector_",inv_cdp_ip)</f>
        <v>Collector_Value Missing</v>
      </c>
      <c r="E181" s="116"/>
    </row>
    <row r="182" spans="2:5" s="103" customFormat="1" ht="20" customHeight="1">
      <c r="B182" s="114" t="s">
        <v>2969</v>
      </c>
      <c r="C182" s="115" t="str">
        <f>_xlfn.CONCAT(sample_wld_vc_hostname,".",sample_child_dns_zone)</f>
        <v>sfo-w01-vc01.sfo.rainpole.io</v>
      </c>
      <c r="D182" s="12" t="str">
        <f>_xlfn.CONCAT(wld_vc_hostname,".",child_dns_zone)</f>
        <v>Value Missing.Value Missing</v>
      </c>
      <c r="E182" s="116"/>
    </row>
    <row r="183" spans="2:5" s="103" customFormat="1" ht="20" customHeight="1">
      <c r="B183" s="114" t="s">
        <v>1806</v>
      </c>
      <c r="C183" s="115" t="str">
        <f>sample_svc_inv_vsphere_user</f>
        <v>svc-net-vsphere</v>
      </c>
      <c r="D183" s="12" t="str" cm="1">
        <f t="array" ref="D183">inv_vsphere_svc_user</f>
        <v>Value Missing</v>
      </c>
      <c r="E183" s="116"/>
    </row>
    <row r="184" spans="2:5" s="103" customFormat="1" ht="20" customHeight="1">
      <c r="B184" s="114" t="s">
        <v>1796</v>
      </c>
      <c r="C184" s="115" t="str">
        <f>sample_svc_inv_vsphere_password</f>
        <v>VMw@re1!</v>
      </c>
      <c r="D184" s="12" t="str">
        <f>inv_vsphere_svc_password</f>
        <v>Value Missing</v>
      </c>
      <c r="E184" s="116"/>
    </row>
    <row r="185" spans="2:5" s="103" customFormat="1" ht="20" customHeight="1">
      <c r="B185" s="114" t="s">
        <v>2970</v>
      </c>
      <c r="C185" s="115" t="str">
        <f>_xlfn.CONCAT(sample_wld_vc_hostname," - VI Workload Domain vCenter Server")</f>
        <v>sfo-w01-vc01 - VI Workload Domain vCenter Server</v>
      </c>
      <c r="D185" s="12" t="str">
        <f>_xlfn.CONCAT(wld_vc_hostname," - VI Workload Domain vCenter Server")</f>
        <v>Value Missing - VI Workload Domain vCenter Server</v>
      </c>
      <c r="E185" s="116"/>
    </row>
    <row r="186" spans="2:5" s="103" customFormat="1" ht="20" customHeight="1"/>
    <row r="187" spans="2:5" s="103" customFormat="1" ht="34" customHeight="1">
      <c r="B187" s="557" t="s">
        <v>3725</v>
      </c>
      <c r="C187" s="557"/>
      <c r="D187" s="557"/>
      <c r="E187" s="557"/>
    </row>
    <row r="188" spans="2:5" s="103" customFormat="1" ht="20" customHeight="1">
      <c r="B188" s="112" t="s">
        <v>735</v>
      </c>
      <c r="C188" s="112" t="s">
        <v>554</v>
      </c>
      <c r="D188" s="113" t="s">
        <v>555</v>
      </c>
      <c r="E188" s="112" t="s">
        <v>222</v>
      </c>
    </row>
    <row r="189" spans="2:5" s="103" customFormat="1" ht="20" customHeight="1">
      <c r="B189" s="114" t="s">
        <v>3711</v>
      </c>
      <c r="C189" s="115" t="str">
        <f>CONCATENATE(sample_xreg_vrni_nodea_hostname,".",sample_parent_dns_zone)</f>
        <v>xint-net01a.rainpole.io</v>
      </c>
      <c r="D189" s="12" t="str">
        <f>xreg_vrni_nodea_fqdn</f>
        <v>Value Missing.Value Missing</v>
      </c>
      <c r="E189" s="116"/>
    </row>
    <row r="190" spans="2:5" s="103" customFormat="1" ht="20" customHeight="1">
      <c r="B190" s="558" t="s">
        <v>36</v>
      </c>
      <c r="C190" s="558"/>
      <c r="D190" s="558"/>
      <c r="E190" s="437"/>
    </row>
    <row r="191" spans="2:5" s="103" customFormat="1" ht="20" customHeight="1">
      <c r="B191" s="114" t="s">
        <v>2968</v>
      </c>
      <c r="C191" s="115" t="str">
        <f>CONCATENATE("Collector_",sample_region_vrni_nodea_ip)</f>
        <v>Collector_192.168.31.41</v>
      </c>
      <c r="D191" s="12" t="str">
        <f>CONCATENATE("Collector_",inv_cdp_ip)</f>
        <v>Collector_Value Missing</v>
      </c>
      <c r="E191" s="116"/>
    </row>
    <row r="192" spans="2:5" s="103" customFormat="1" ht="20" customHeight="1">
      <c r="B192" s="114" t="s">
        <v>2969</v>
      </c>
      <c r="C192" s="115" t="str">
        <f>CONCATENATE(sample_mgmt_nsxt_hostname,".",sample_child_dns_zone)</f>
        <v>sfo-m01-nsx01.sfo.rainpole.io</v>
      </c>
      <c r="D192" s="12" t="str">
        <f>CONCATENATE(mgmt_nsxt_hostname,".",child_dns_zone)</f>
        <v>Value Missing.Value Missing</v>
      </c>
      <c r="E192" s="116"/>
    </row>
    <row r="193" spans="2:5" s="103" customFormat="1" ht="20" customHeight="1">
      <c r="B193" s="114" t="s">
        <v>3741</v>
      </c>
      <c r="C193" s="115" t="str">
        <f>CONCATENATE(sample_mgmt_nsxt_hostname,".cer")</f>
        <v>sfo-m01-nsx01.cer</v>
      </c>
      <c r="D193" s="12" t="str">
        <f>CONCATENATE(mgmt_nsxt_hostname,".cer")</f>
        <v>Value Missing.cer</v>
      </c>
      <c r="E193" s="116"/>
    </row>
    <row r="194" spans="2:5" s="103" customFormat="1" ht="20" customHeight="1">
      <c r="B194" s="114" t="s">
        <v>3742</v>
      </c>
      <c r="C194" s="115" t="str">
        <f>CONCATENATE(sample_mgmt_nsxt_hostname,".key")</f>
        <v>sfo-m01-nsx01.key</v>
      </c>
      <c r="D194" s="12" t="str">
        <f>CONCATENATE(mgmt_nsxt_hostname,".key")</f>
        <v>Value Missing.key</v>
      </c>
      <c r="E194" s="116"/>
    </row>
    <row r="195" spans="2:5" s="103" customFormat="1" ht="20" customHeight="1">
      <c r="B195" s="114" t="s">
        <v>2970</v>
      </c>
      <c r="C195" s="115" t="str">
        <f>CONCATENATE(sample_mgmt_nsxt_hostname,"  - Management Domain NSX Manager")</f>
        <v>sfo-m01-nsx01  - Management Domain NSX Manager</v>
      </c>
      <c r="D195" s="12" t="str">
        <f>CONCATENATE(mgmt_nsxt_hostname,"  - Management Domain NSX Manager")</f>
        <v>Value Missing  - Management Domain NSX Manager</v>
      </c>
      <c r="E195" s="116"/>
    </row>
    <row r="196" spans="2:5" s="103" customFormat="1" ht="20" customHeight="1">
      <c r="B196" s="558" t="s">
        <v>39</v>
      </c>
      <c r="C196" s="558"/>
      <c r="D196" s="558"/>
      <c r="E196" s="437"/>
    </row>
    <row r="197" spans="2:5" s="103" customFormat="1" ht="20" customHeight="1">
      <c r="B197" s="114" t="s">
        <v>2968</v>
      </c>
      <c r="C197" s="115" t="str">
        <f>CONCATENATE("Collector_",sample_region_vrni_nodea_ip)</f>
        <v>Collector_192.168.31.41</v>
      </c>
      <c r="D197" s="12" t="str">
        <f>CONCATENATE("Collector_",inv_cdp_ip)</f>
        <v>Collector_Value Missing</v>
      </c>
      <c r="E197" s="116"/>
    </row>
    <row r="198" spans="2:5" s="103" customFormat="1" ht="20" customHeight="1">
      <c r="B198" s="114" t="s">
        <v>3741</v>
      </c>
      <c r="C198" s="115" t="str">
        <f>CONCATENATE(sample_wld_nsxt_hostname,".cer")</f>
        <v>sfo-w01-nsx01.cer</v>
      </c>
      <c r="D198" s="12" t="str">
        <f>CONCATENATE(wld_nsxt_hostname,".cer")</f>
        <v>Value Missing.cer</v>
      </c>
      <c r="E198" s="116"/>
    </row>
    <row r="199" spans="2:5" s="103" customFormat="1" ht="20" customHeight="1">
      <c r="B199" s="114" t="s">
        <v>3742</v>
      </c>
      <c r="C199" s="115" t="str">
        <f>CONCATENATE(sample_wld_nsxt_hostname,".key")</f>
        <v>sfo-w01-nsx01.key</v>
      </c>
      <c r="D199" s="12" t="str">
        <f>CONCATENATE(wld_nsxt_hostname,".key")</f>
        <v>Value Missing.key</v>
      </c>
      <c r="E199" s="116"/>
    </row>
    <row r="200" spans="2:5" s="103" customFormat="1" ht="20" customHeight="1">
      <c r="B200" s="114" t="s">
        <v>2969</v>
      </c>
      <c r="C200" s="115" t="str">
        <f>CONCATENATE(sample_wld_nsxt_hostname,".",sample_child_dns_zone)</f>
        <v>sfo-w01-nsx01.sfo.rainpole.io</v>
      </c>
      <c r="D200" s="12" t="str">
        <f>CONCATENATE(wld_nsxt_hostname,".",child_dns_zone)</f>
        <v>Value Missing.Value Missing</v>
      </c>
      <c r="E200" s="116"/>
    </row>
    <row r="201" spans="2:5" s="103" customFormat="1" ht="20" customHeight="1">
      <c r="B201" s="114" t="s">
        <v>2970</v>
      </c>
      <c r="C201" s="115" t="str">
        <f>CONCATENATE(sample_wld_nsxt_hostname,"  - VI Workload Domain NSX Manager")</f>
        <v>sfo-w01-nsx01  - VI Workload Domain NSX Manager</v>
      </c>
      <c r="D201" s="12" t="str">
        <f>CONCATENATE(wld_nsxt_hostname,"  - VI Workload Domain NSX Manager")</f>
        <v>Value Missing  - VI Workload Domain NSX Manager</v>
      </c>
      <c r="E201" s="116"/>
    </row>
    <row r="202" spans="2:5" s="103" customFormat="1" ht="20" customHeight="1"/>
    <row r="203" spans="2:5" s="103" customFormat="1" ht="36" customHeight="1">
      <c r="B203" s="564" t="s">
        <v>2275</v>
      </c>
      <c r="C203" s="564"/>
      <c r="D203" s="564"/>
      <c r="E203" s="564"/>
    </row>
    <row r="204" spans="2:5" s="103" customFormat="1"/>
    <row r="205" spans="2:5" s="103" customFormat="1" ht="34" customHeight="1">
      <c r="B205" s="562" t="s">
        <v>3033</v>
      </c>
      <c r="C205" s="563"/>
      <c r="D205" s="563"/>
      <c r="E205" s="563"/>
    </row>
    <row r="206" spans="2:5" s="103" customFormat="1" ht="16" customHeight="1"/>
    <row r="207" spans="2:5" s="103" customFormat="1" ht="34" customHeight="1">
      <c r="B207" s="557" t="s">
        <v>3726</v>
      </c>
      <c r="C207" s="557"/>
      <c r="D207" s="557"/>
      <c r="E207" s="557"/>
    </row>
    <row r="208" spans="2:5" s="103" customFormat="1" ht="20" customHeight="1">
      <c r="B208" s="112" t="s">
        <v>735</v>
      </c>
      <c r="C208" s="112" t="s">
        <v>554</v>
      </c>
      <c r="D208" s="113" t="s">
        <v>555</v>
      </c>
      <c r="E208" s="112" t="s">
        <v>222</v>
      </c>
    </row>
    <row r="209" spans="2:5" s="103" customFormat="1" ht="20" customHeight="1">
      <c r="B209" s="114" t="s">
        <v>3369</v>
      </c>
      <c r="C209" s="115" t="str">
        <f>CONCATENATE(sample_xreg_vrops_virtual_hostname,".",sample_parent_dns_zone)</f>
        <v>xint-ops01.rainpole.io</v>
      </c>
      <c r="D209" s="12" t="str">
        <f>xreg_vrops_virtual_fqdn</f>
        <v>Value Missing.Value Missing</v>
      </c>
      <c r="E209" s="116"/>
    </row>
    <row r="210" spans="2:5" s="103" customFormat="1" ht="20" customHeight="1">
      <c r="B210" s="114" t="s">
        <v>735</v>
      </c>
      <c r="C210" s="115" t="str">
        <f>"network-visibility-nodes"</f>
        <v>network-visibility-nodes</v>
      </c>
      <c r="D210" s="12" t="str">
        <f>C210</f>
        <v>network-visibility-nodes</v>
      </c>
      <c r="E210" s="116"/>
    </row>
    <row r="211" spans="2:5" s="103" customFormat="1" ht="20" customHeight="1">
      <c r="B211" s="114" t="s">
        <v>2323</v>
      </c>
      <c r="C211" s="115" t="str">
        <f>C210</f>
        <v>network-visibility-nodes</v>
      </c>
      <c r="D211" s="12" t="str">
        <f>C211</f>
        <v>network-visibility-nodes</v>
      </c>
      <c r="E211" s="116"/>
    </row>
    <row r="212" spans="2:5" s="103" customFormat="1" ht="20" customHeight="1">
      <c r="B212" s="114" t="s">
        <v>4919</v>
      </c>
      <c r="C212" s="115" t="str">
        <f>CONCATENATE(sample_xreg_vrni_nodea_ip)</f>
        <v>192.168.11.41</v>
      </c>
      <c r="D212" s="12" t="str">
        <f>CONCATENATE(xreg_vrni_nodea_ip)</f>
        <v>Value Missing</v>
      </c>
      <c r="E212" s="116"/>
    </row>
    <row r="213" spans="2:5" s="103" customFormat="1" ht="20" customHeight="1">
      <c r="B213" s="114" t="s">
        <v>2322</v>
      </c>
      <c r="C213" s="283" t="s">
        <v>1463</v>
      </c>
      <c r="D213" s="12" t="str">
        <f>C213</f>
        <v>Default collector group</v>
      </c>
      <c r="E213" s="116"/>
    </row>
    <row r="214" spans="2:5" s="103" customFormat="1" ht="20" customHeight="1">
      <c r="B214" s="114" t="s">
        <v>4920</v>
      </c>
      <c r="C214" s="115" t="str">
        <f>CONCATENATE(sample_region_vrni_nodea_ip)</f>
        <v>192.168.31.41</v>
      </c>
      <c r="D214" s="12" t="str">
        <f>CONCATENATE(region_vrni_nodea_ip)</f>
        <v>Value Missing</v>
      </c>
      <c r="E214" s="116"/>
    </row>
    <row r="215" spans="2:5" s="103" customFormat="1" ht="20" customHeight="1">
      <c r="B215" s="114" t="s">
        <v>2322</v>
      </c>
      <c r="C215" s="283" t="str">
        <f>CONCATENATE(sample_mgmt_sddc_domain,"-collector-group")</f>
        <v>sfo-m01-collector-group</v>
      </c>
      <c r="D215" s="12" t="str">
        <f>CONCATENATE(mgmt_sddc_domain,"-collector-group")</f>
        <v>Value Missing-collector-group</v>
      </c>
      <c r="E215" s="116"/>
    </row>
    <row r="216" spans="2:5" s="103" customFormat="1" ht="16" customHeight="1"/>
    <row r="217" spans="2:5" s="103" customFormat="1" ht="34" customHeight="1">
      <c r="B217" s="557" t="s">
        <v>4921</v>
      </c>
      <c r="C217" s="557"/>
      <c r="D217" s="557"/>
      <c r="E217" s="557"/>
    </row>
    <row r="218" spans="2:5" s="103" customFormat="1" ht="20" customHeight="1">
      <c r="B218" s="112" t="s">
        <v>735</v>
      </c>
      <c r="C218" s="112" t="s">
        <v>554</v>
      </c>
      <c r="D218" s="113" t="s">
        <v>555</v>
      </c>
      <c r="E218" s="112" t="s">
        <v>222</v>
      </c>
    </row>
    <row r="219" spans="2:5" s="103" customFormat="1" ht="20" customHeight="1">
      <c r="B219" s="114" t="s">
        <v>3369</v>
      </c>
      <c r="C219" s="115" t="str">
        <f>CONCATENATE(sample_xreg_vrops_virtual_hostname,".",sample_parent_dns_zone)</f>
        <v>xint-ops01.rainpole.io</v>
      </c>
      <c r="D219" s="12" t="str">
        <f>xreg_vrops_virtual_fqdn</f>
        <v>Value Missing.Value Missing</v>
      </c>
      <c r="E219" s="116"/>
    </row>
    <row r="220" spans="2:5" s="103" customFormat="1"/>
    <row r="221" spans="2:5" s="103" customFormat="1" ht="34" customHeight="1">
      <c r="B221" s="557" t="s">
        <v>4922</v>
      </c>
      <c r="C221" s="557"/>
      <c r="D221" s="557"/>
      <c r="E221" s="557"/>
    </row>
    <row r="222" spans="2:5" s="103" customFormat="1" ht="20" customHeight="1">
      <c r="B222" s="112" t="s">
        <v>735</v>
      </c>
      <c r="C222" s="112" t="s">
        <v>554</v>
      </c>
      <c r="D222" s="113" t="s">
        <v>555</v>
      </c>
      <c r="E222" s="112" t="s">
        <v>222</v>
      </c>
    </row>
    <row r="223" spans="2:5" s="103" customFormat="1" ht="20" customHeight="1">
      <c r="B223" s="114" t="s">
        <v>3369</v>
      </c>
      <c r="C223" s="115" t="str">
        <f>CONCATENATE(sample_xreg_vrops_virtual_hostname,".",sample_parent_dns_zone)</f>
        <v>xint-ops01.rainpole.io</v>
      </c>
      <c r="D223" s="12" t="str">
        <f>xreg_vrops_virtual_fqdn</f>
        <v>Value Missing.Value Missing</v>
      </c>
      <c r="E223" s="116"/>
    </row>
    <row r="224" spans="2:5" s="103" customFormat="1" ht="20" customHeight="1">
      <c r="B224" s="114" t="s">
        <v>735</v>
      </c>
      <c r="C224" s="115" t="str">
        <f>CONCATENATE(sample_xreg_vrni_nodea_hostname,".",sample_parent_dns_zone)</f>
        <v>xint-net01a.rainpole.io</v>
      </c>
      <c r="D224" s="12" t="str">
        <f>xreg_vrni_nodea_fqdn</f>
        <v>Value Missing.Value Missing</v>
      </c>
      <c r="E224" s="116"/>
    </row>
    <row r="225" spans="2:5" s="103" customFormat="1" ht="20" customHeight="1">
      <c r="B225" s="114" t="s">
        <v>4923</v>
      </c>
      <c r="C225" s="115" t="str">
        <f>CONCATENATE(sample_xreg_vrni_nodea_hostname,".",sample_parent_dns_zone)</f>
        <v>xint-net01a.rainpole.io</v>
      </c>
      <c r="D225" s="12" t="str">
        <f>xreg_vrni_nodea_fqdn</f>
        <v>Value Missing.Value Missing</v>
      </c>
      <c r="E225" s="116"/>
    </row>
    <row r="226" spans="2:5" s="103" customFormat="1" ht="20" customHeight="1">
      <c r="B226" s="114" t="s">
        <v>2568</v>
      </c>
      <c r="C226" s="115" t="s">
        <v>4927</v>
      </c>
      <c r="D226" s="12" t="str">
        <f>C226</f>
        <v>LDAP - Networks Credentials</v>
      </c>
      <c r="E226" s="116"/>
    </row>
    <row r="227" spans="2:5" s="103" customFormat="1" ht="20" customHeight="1">
      <c r="B227" s="114" t="s">
        <v>2445</v>
      </c>
      <c r="C227" s="283" t="str">
        <f>CONCATENATE("Aria Operations for Networks Credential - ",sample_xreg_vrni_nodea_hostname,".",sample_parent_dns_zone)</f>
        <v>Aria Operations for Networks Credential - xint-net01a.rainpole.io</v>
      </c>
      <c r="D227" s="12" t="str">
        <f>CONCATENATE("Aria Operations for Networks Credential - ",xreg_vrni_nodea_fqdn)</f>
        <v>Aria Operations for Networks Credential - Value Missing.Value Missing</v>
      </c>
      <c r="E227" s="116"/>
    </row>
    <row r="228" spans="2:5" s="103" customFormat="1" ht="20" customHeight="1">
      <c r="B228" s="114" t="s">
        <v>4924</v>
      </c>
      <c r="C228" s="283" t="str">
        <f>sample_child_dns_zone</f>
        <v>sfo.rainpole.io</v>
      </c>
      <c r="D228" s="12" t="str">
        <f>child_dns_zone</f>
        <v>Value Missing</v>
      </c>
      <c r="E228" s="116"/>
    </row>
    <row r="229" spans="2:5" s="103" customFormat="1" ht="20" customHeight="1">
      <c r="B229" s="114" t="s">
        <v>4925</v>
      </c>
      <c r="C229" s="115" t="str">
        <f>CONCATENATE(sample_svc_inv_vrops_user,"@",sample_child_dns_zone)</f>
        <v>svc-net-ops@sfo.rainpole.io</v>
      </c>
      <c r="D229" s="12" t="str">
        <f>svc_inv_vrops_user</f>
        <v>test@</v>
      </c>
      <c r="E229" s="116"/>
    </row>
    <row r="230" spans="2:5" s="103" customFormat="1" ht="20" customHeight="1">
      <c r="B230" s="114" t="s">
        <v>4926</v>
      </c>
      <c r="C230" s="115" t="str">
        <f>sample_svc_inv_vrops_password</f>
        <v>VMw@re1!</v>
      </c>
      <c r="D230" s="12" t="str">
        <f>input_svc_inv_vrops_password</f>
        <v>etst</v>
      </c>
      <c r="E230" s="116"/>
    </row>
    <row r="231" spans="2:5" s="103" customFormat="1" ht="20" customHeight="1">
      <c r="B231" s="114" t="s">
        <v>2322</v>
      </c>
      <c r="C231" s="283" t="s">
        <v>1463</v>
      </c>
      <c r="D231" s="12" t="str">
        <f>C231</f>
        <v>Default collector group</v>
      </c>
      <c r="E231" s="116"/>
    </row>
    <row r="232" spans="2:5" s="103" customFormat="1"/>
    <row r="233" spans="2:5" s="103" customFormat="1" ht="34" customHeight="1">
      <c r="B233" s="562" t="s">
        <v>4934</v>
      </c>
      <c r="C233" s="563"/>
      <c r="D233" s="563"/>
      <c r="E233" s="563"/>
    </row>
    <row r="234" spans="2:5" s="103" customFormat="1"/>
    <row r="235" spans="2:5" s="103" customFormat="1" ht="34" customHeight="1">
      <c r="B235" s="557" t="s">
        <v>4935</v>
      </c>
      <c r="C235" s="557"/>
      <c r="D235" s="557"/>
      <c r="E235" s="557"/>
    </row>
    <row r="236" spans="2:5" s="103" customFormat="1" ht="20" customHeight="1">
      <c r="B236" s="112" t="s">
        <v>735</v>
      </c>
      <c r="C236" s="112" t="s">
        <v>554</v>
      </c>
      <c r="D236" s="113" t="s">
        <v>555</v>
      </c>
      <c r="E236" s="112" t="s">
        <v>222</v>
      </c>
    </row>
    <row r="237" spans="2:5" s="103" customFormat="1" ht="20" customHeight="1">
      <c r="B237" s="114" t="s">
        <v>3711</v>
      </c>
      <c r="C237" s="115" t="str">
        <f>CONCATENATE(sample_xreg_vrni_nodea_hostname,".",sample_parent_dns_zone)</f>
        <v>xint-net01a.rainpole.io</v>
      </c>
      <c r="D237" s="12" t="str">
        <f>xreg_vrni_nodea_fqdn</f>
        <v>Value Missing.Value Missing</v>
      </c>
      <c r="E237" s="116"/>
    </row>
    <row r="238" spans="2:5" s="103" customFormat="1" ht="20" customHeight="1">
      <c r="B238" s="114" t="s">
        <v>2969</v>
      </c>
      <c r="C238" s="115" t="str">
        <f>CONCATENATE(sample_region_vrli_virtual_hostname,".",sample_child_dns_zone)</f>
        <v>sfo-logs01.sfo.rainpole.io</v>
      </c>
      <c r="D238" s="12" t="str">
        <f>region_vrli_virtual_fqdn</f>
        <v>Value Missing.Value Missing</v>
      </c>
      <c r="E238" s="116"/>
    </row>
    <row r="239" spans="2:5" s="103" customFormat="1" ht="20" customHeight="1">
      <c r="B239" s="114" t="s">
        <v>4936</v>
      </c>
      <c r="C239" s="115" t="str">
        <f>CONCATENATE("Aria Operations for Logs - ",sample_region_vrli_virtual_hostname,".",sample_child_dns_zone)</f>
        <v>Aria Operations for Logs - sfo-logs01.sfo.rainpole.io</v>
      </c>
      <c r="D239" s="12" t="str">
        <f>CONCATENATE("Aria Operations for Logs - ",region_vrli_virtual_fqdn)</f>
        <v>Aria Operations for Logs - Value Missing.Value Missing</v>
      </c>
      <c r="E239" s="116"/>
    </row>
    <row r="240" spans="2:5" s="103" customFormat="1" ht="20" customHeight="1">
      <c r="B240" s="114" t="s">
        <v>883</v>
      </c>
      <c r="C240" s="115">
        <v>514</v>
      </c>
      <c r="D240" s="12">
        <f>C240</f>
        <v>514</v>
      </c>
      <c r="E240" s="116"/>
    </row>
    <row r="241" s="103" customFormat="1"/>
    <row r="242" s="103" customFormat="1"/>
    <row r="243" s="103" customFormat="1"/>
    <row r="244" s="103" customFormat="1"/>
    <row r="245" s="103" customFormat="1"/>
    <row r="246" s="103" customFormat="1"/>
    <row r="247" s="103" customFormat="1"/>
    <row r="248" s="103" customFormat="1"/>
    <row r="249" s="103" customFormat="1"/>
    <row r="250" s="103" customFormat="1"/>
    <row r="251" s="103" customFormat="1"/>
    <row r="252" s="103" customFormat="1"/>
    <row r="253" s="103" customFormat="1"/>
    <row r="254" s="103" customFormat="1"/>
    <row r="255" s="103" customFormat="1"/>
    <row r="256" s="103" customFormat="1"/>
    <row r="257" s="103" customFormat="1"/>
    <row r="258" s="103" customFormat="1"/>
    <row r="259" s="103" customFormat="1"/>
    <row r="260" s="103" customFormat="1"/>
    <row r="261" s="103" customFormat="1"/>
    <row r="262" s="103" customFormat="1"/>
    <row r="263" s="103" customFormat="1"/>
    <row r="264" s="103" customFormat="1"/>
    <row r="265" s="103" customFormat="1"/>
    <row r="266" s="103" customFormat="1"/>
    <row r="267" s="103" customFormat="1"/>
    <row r="268" s="103" customFormat="1"/>
    <row r="269" s="103" customFormat="1"/>
    <row r="270" s="103" customFormat="1"/>
    <row r="271" s="103" customFormat="1"/>
    <row r="272" s="103" customFormat="1"/>
    <row r="273" s="103" customFormat="1"/>
    <row r="274" s="103" customFormat="1"/>
    <row r="275" s="103" customForma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row r="573" s="103" customFormat="1"/>
    <row r="574" s="103" customFormat="1"/>
    <row r="575" s="103" customFormat="1"/>
    <row r="576" s="103" customFormat="1"/>
    <row r="577" s="103" customFormat="1"/>
    <row r="578" s="103" customFormat="1"/>
    <row r="579" s="103" customFormat="1"/>
    <row r="580" s="103" customFormat="1"/>
    <row r="581" s="103" customFormat="1"/>
    <row r="582" s="103" customFormat="1"/>
    <row r="583" s="103" customFormat="1"/>
    <row r="584" s="103" customFormat="1"/>
    <row r="585" s="103" customFormat="1"/>
    <row r="586" s="103" customFormat="1"/>
    <row r="587" s="103" customFormat="1"/>
    <row r="588" s="103" customFormat="1"/>
    <row r="589" s="103" customFormat="1"/>
    <row r="590" s="103" customFormat="1"/>
    <row r="591" s="103" customFormat="1"/>
    <row r="592" s="103" customFormat="1"/>
    <row r="593" s="103" customFormat="1"/>
    <row r="594" s="103" customFormat="1"/>
    <row r="595" s="103" customFormat="1"/>
    <row r="596" s="103" customFormat="1"/>
    <row r="597" s="103" customFormat="1"/>
    <row r="598" s="103" customFormat="1"/>
    <row r="599" s="103" customFormat="1"/>
    <row r="600" s="103" customFormat="1"/>
    <row r="601" s="103" customFormat="1"/>
    <row r="602" s="103" customFormat="1"/>
    <row r="603" s="103" customFormat="1"/>
    <row r="604" s="103" customFormat="1"/>
    <row r="605" s="103" customFormat="1"/>
    <row r="606" s="103" customFormat="1"/>
    <row r="607" s="103" customFormat="1"/>
    <row r="608" s="103" customFormat="1"/>
    <row r="609" s="103" customFormat="1"/>
    <row r="610" s="103" customFormat="1"/>
    <row r="611" s="103" customFormat="1"/>
    <row r="612" s="103" customFormat="1"/>
    <row r="613" s="103" customFormat="1"/>
    <row r="614" s="103" customFormat="1"/>
    <row r="615" s="103" customFormat="1"/>
    <row r="616" s="103" customFormat="1"/>
    <row r="617" s="103" customFormat="1"/>
    <row r="618" s="103" customFormat="1"/>
    <row r="619" s="103" customFormat="1"/>
    <row r="620" s="103" customFormat="1"/>
    <row r="621" s="103" customFormat="1"/>
    <row r="622" s="103" customFormat="1"/>
    <row r="623" s="103" customFormat="1"/>
    <row r="624" s="103" customFormat="1"/>
    <row r="625" s="103" customFormat="1"/>
    <row r="626" s="103" customFormat="1"/>
    <row r="627" s="103" customFormat="1"/>
    <row r="628" s="103" customFormat="1"/>
    <row r="629" s="103" customFormat="1"/>
    <row r="630" s="103" customFormat="1"/>
    <row r="631" s="103" customFormat="1"/>
    <row r="632" s="103" customFormat="1"/>
    <row r="633" s="103" customFormat="1"/>
    <row r="634" s="103" customFormat="1"/>
    <row r="635" s="103" customFormat="1"/>
    <row r="636" s="103" customFormat="1"/>
    <row r="637" s="103" customFormat="1"/>
    <row r="638" s="103" customFormat="1"/>
    <row r="639" s="103" customFormat="1"/>
    <row r="640" s="103" customFormat="1"/>
    <row r="641" s="103" customFormat="1"/>
    <row r="642" s="103" customFormat="1"/>
    <row r="643" s="103" customFormat="1"/>
    <row r="644" s="103" customFormat="1"/>
    <row r="645" s="103" customFormat="1"/>
    <row r="646" s="103" customFormat="1"/>
    <row r="647" s="103" customFormat="1"/>
    <row r="648" s="103" customFormat="1"/>
    <row r="649" s="103" customFormat="1"/>
    <row r="650" s="103" customFormat="1"/>
    <row r="651" s="103" customFormat="1"/>
    <row r="652" s="103" customFormat="1"/>
    <row r="653" s="103" customFormat="1"/>
    <row r="654" s="103" customFormat="1"/>
    <row r="655" s="103" customFormat="1"/>
    <row r="656" s="103" customFormat="1"/>
    <row r="657" s="103" customFormat="1"/>
    <row r="658" s="103" customFormat="1"/>
    <row r="659" s="103" customFormat="1"/>
    <row r="660" s="103" customFormat="1"/>
    <row r="661" s="103" customFormat="1"/>
    <row r="662" s="103" customFormat="1"/>
    <row r="663" s="103" customFormat="1"/>
    <row r="664" s="103" customFormat="1"/>
    <row r="665" s="103" customFormat="1"/>
    <row r="666" s="103" customFormat="1"/>
    <row r="667" s="103" customFormat="1"/>
    <row r="668" s="103" customFormat="1"/>
    <row r="669" s="103" customFormat="1"/>
    <row r="670" s="103" customFormat="1"/>
    <row r="671" s="103" customFormat="1"/>
    <row r="672" s="103" customFormat="1"/>
    <row r="673" s="103" customFormat="1"/>
    <row r="674" s="103" customFormat="1"/>
    <row r="675" s="103" customFormat="1"/>
    <row r="676" s="103" customFormat="1"/>
    <row r="677" s="103" customFormat="1"/>
    <row r="678" s="103" customFormat="1"/>
    <row r="679" s="103" customFormat="1"/>
    <row r="680" s="103" customFormat="1"/>
    <row r="681" s="103" customFormat="1"/>
    <row r="682" s="103" customFormat="1"/>
    <row r="683" s="103" customFormat="1"/>
    <row r="684" s="103" customFormat="1"/>
    <row r="685" s="103" customFormat="1"/>
    <row r="686" s="103" customFormat="1"/>
    <row r="687" s="103" customFormat="1"/>
    <row r="688" s="103" customFormat="1"/>
    <row r="689" s="103" customFormat="1"/>
    <row r="690" s="103" customFormat="1"/>
    <row r="691" s="103" customFormat="1"/>
    <row r="692" s="103" customFormat="1"/>
    <row r="693" s="103" customFormat="1"/>
    <row r="694" s="103" customFormat="1"/>
    <row r="695" s="103" customFormat="1"/>
    <row r="696" s="103" customFormat="1"/>
    <row r="697" s="103" customFormat="1"/>
    <row r="698" s="103" customFormat="1"/>
    <row r="699" s="103" customFormat="1"/>
    <row r="700" s="103" customFormat="1"/>
    <row r="701" s="103" customFormat="1"/>
    <row r="702" s="103" customFormat="1"/>
    <row r="703" s="103" customFormat="1"/>
    <row r="704" s="103" customFormat="1"/>
    <row r="705" s="103" customFormat="1"/>
    <row r="706" s="103" customFormat="1"/>
    <row r="707" s="103" customFormat="1"/>
    <row r="708" s="103" customFormat="1"/>
    <row r="709" s="103" customFormat="1"/>
    <row r="710" s="103" customFormat="1"/>
    <row r="711" s="103" customFormat="1"/>
    <row r="712" s="103" customFormat="1"/>
    <row r="713" s="103" customFormat="1"/>
    <row r="714" s="103" customFormat="1"/>
    <row r="715" s="103" customFormat="1"/>
    <row r="716" s="103" customFormat="1"/>
    <row r="717" s="103" customFormat="1"/>
    <row r="718" s="103" customFormat="1"/>
    <row r="719" s="103" customFormat="1"/>
    <row r="720" s="103" customFormat="1"/>
    <row r="721" s="103" customFormat="1"/>
    <row r="722" s="103" customFormat="1"/>
    <row r="723" s="103" customFormat="1"/>
    <row r="724" s="103" customFormat="1"/>
    <row r="725" s="103" customFormat="1"/>
    <row r="726" s="103" customFormat="1"/>
    <row r="727" s="103" customFormat="1"/>
    <row r="728" s="103" customFormat="1"/>
    <row r="729" s="103" customFormat="1"/>
    <row r="730" s="103" customFormat="1"/>
    <row r="731" s="103" customFormat="1"/>
    <row r="732" s="103" customFormat="1"/>
    <row r="733" s="103" customFormat="1"/>
    <row r="734" s="103" customFormat="1"/>
    <row r="735" s="103" customFormat="1"/>
    <row r="736" s="103" customFormat="1"/>
    <row r="737" s="103" customFormat="1"/>
    <row r="738" s="103" customFormat="1"/>
    <row r="739" s="103" customFormat="1"/>
    <row r="740" s="103" customFormat="1"/>
    <row r="741" s="103" customFormat="1"/>
    <row r="742" s="103" customFormat="1"/>
    <row r="743" s="103" customFormat="1"/>
    <row r="744" s="103" customFormat="1"/>
    <row r="745" s="103" customFormat="1"/>
    <row r="746" s="103" customFormat="1"/>
    <row r="747" s="103" customFormat="1"/>
    <row r="748" s="103" customFormat="1"/>
    <row r="749" s="103" customFormat="1"/>
    <row r="750" s="103" customFormat="1"/>
    <row r="751" s="103" customFormat="1"/>
    <row r="752" s="103" customFormat="1"/>
    <row r="753" s="103" customFormat="1"/>
    <row r="754" s="103" customFormat="1"/>
    <row r="755" s="103" customFormat="1"/>
    <row r="756" s="103" customFormat="1"/>
    <row r="757" s="103" customFormat="1"/>
    <row r="758" s="103" customFormat="1"/>
    <row r="759" s="103" customFormat="1"/>
    <row r="760" s="103" customFormat="1"/>
    <row r="761" s="103" customFormat="1"/>
    <row r="762" s="103" customFormat="1"/>
    <row r="763" s="103" customFormat="1"/>
    <row r="764" s="103" customFormat="1"/>
    <row r="765" s="103" customFormat="1"/>
    <row r="766" s="103" customFormat="1"/>
    <row r="767" s="103" customFormat="1"/>
    <row r="768" s="103" customFormat="1"/>
    <row r="769" s="103" customFormat="1"/>
    <row r="770" s="103" customFormat="1"/>
    <row r="771" s="103" customFormat="1"/>
    <row r="772" s="103" customFormat="1"/>
    <row r="773" s="103" customFormat="1"/>
    <row r="774" s="103" customFormat="1"/>
    <row r="775" s="103" customFormat="1"/>
    <row r="776" s="103" customFormat="1"/>
    <row r="777" s="103" customFormat="1"/>
    <row r="778" s="103" customFormat="1"/>
    <row r="779" s="103" customFormat="1"/>
    <row r="780" s="103" customFormat="1"/>
    <row r="781" s="103" customFormat="1"/>
    <row r="782" s="103" customFormat="1"/>
    <row r="783" s="103" customFormat="1"/>
    <row r="784" s="103" customFormat="1"/>
    <row r="785" s="103" customFormat="1"/>
    <row r="786" s="103" customFormat="1"/>
    <row r="787" s="103" customFormat="1"/>
    <row r="788" s="103" customFormat="1"/>
    <row r="789" s="103" customFormat="1"/>
    <row r="790" s="103" customFormat="1"/>
    <row r="791" s="103" customFormat="1"/>
    <row r="792" s="103" customFormat="1"/>
    <row r="793" s="103" customFormat="1"/>
    <row r="794" s="103" customFormat="1"/>
    <row r="795" s="103" customFormat="1"/>
    <row r="796" s="103" customFormat="1"/>
    <row r="797" s="103" customFormat="1"/>
    <row r="798" s="103" customFormat="1"/>
    <row r="799" s="103" customFormat="1"/>
    <row r="800" s="103" customFormat="1"/>
    <row r="801" s="103" customFormat="1"/>
    <row r="802" s="103" customFormat="1"/>
    <row r="803" s="103" customFormat="1"/>
    <row r="804" s="103" customFormat="1"/>
    <row r="805" s="103" customFormat="1"/>
    <row r="806" s="103" customFormat="1"/>
    <row r="807" s="103" customFormat="1"/>
    <row r="808" s="103" customFormat="1"/>
    <row r="809" s="103" customFormat="1"/>
    <row r="810" s="103" customFormat="1"/>
    <row r="811" s="103" customFormat="1"/>
    <row r="812" s="103" customFormat="1"/>
    <row r="813" s="103" customFormat="1"/>
    <row r="814" s="103" customFormat="1"/>
    <row r="815" s="103" customFormat="1"/>
    <row r="816" s="103" customFormat="1"/>
    <row r="817" s="103" customFormat="1"/>
    <row r="818" s="103" customFormat="1"/>
    <row r="819" s="103" customFormat="1"/>
    <row r="820" s="103" customFormat="1"/>
    <row r="821" s="103" customFormat="1"/>
    <row r="822" s="103" customFormat="1"/>
    <row r="823" s="103" customFormat="1"/>
    <row r="824" s="103" customFormat="1"/>
    <row r="825" s="103" customFormat="1"/>
    <row r="826" s="103" customFormat="1"/>
    <row r="827" s="103" customFormat="1"/>
    <row r="828" s="103" customFormat="1"/>
    <row r="829" s="103" customFormat="1"/>
    <row r="830" s="103" customFormat="1"/>
    <row r="831" s="103" customFormat="1"/>
    <row r="832" s="103" customFormat="1"/>
    <row r="833" s="103" customFormat="1"/>
    <row r="834" s="103" customFormat="1"/>
    <row r="835" s="103" customFormat="1"/>
    <row r="836" s="103" customFormat="1"/>
    <row r="837" s="103" customFormat="1"/>
    <row r="838" s="103" customFormat="1"/>
    <row r="839" s="103" customFormat="1"/>
    <row r="840" s="103" customFormat="1"/>
    <row r="841" s="103" customFormat="1"/>
    <row r="842" s="103" customFormat="1"/>
    <row r="843" s="103" customFormat="1"/>
    <row r="844" s="103" customFormat="1"/>
    <row r="845" s="103" customFormat="1"/>
    <row r="846" s="103" customFormat="1"/>
    <row r="847" s="103" customFormat="1"/>
    <row r="848" s="103" customFormat="1"/>
    <row r="849" s="103" customFormat="1"/>
    <row r="850" s="103" customFormat="1"/>
    <row r="851" s="103" customFormat="1"/>
    <row r="852" s="103" customFormat="1"/>
    <row r="853" s="103" customFormat="1"/>
    <row r="854" s="103" customFormat="1"/>
    <row r="855" s="103" customFormat="1"/>
    <row r="856" s="103" customFormat="1"/>
    <row r="857" s="103" customFormat="1"/>
    <row r="858" s="103" customFormat="1"/>
    <row r="859" s="103" customFormat="1"/>
    <row r="860" s="103" customFormat="1"/>
    <row r="861" s="103" customFormat="1"/>
    <row r="862" s="103" customFormat="1"/>
    <row r="863" s="103" customFormat="1"/>
    <row r="864" s="103" customFormat="1"/>
    <row r="865" s="103" customFormat="1"/>
    <row r="866" s="103" customFormat="1"/>
    <row r="867" s="103" customFormat="1"/>
    <row r="868" s="103" customFormat="1"/>
    <row r="869" s="103" customFormat="1"/>
    <row r="870" s="103" customFormat="1"/>
    <row r="871" s="103" customFormat="1"/>
    <row r="872" s="103" customFormat="1"/>
    <row r="873" s="103" customFormat="1"/>
    <row r="874" s="103" customFormat="1"/>
    <row r="875" s="103" customFormat="1"/>
    <row r="876" s="103" customFormat="1"/>
    <row r="877" s="103" customFormat="1"/>
    <row r="878" s="103" customFormat="1"/>
    <row r="879" s="103" customFormat="1"/>
    <row r="880" s="103" customFormat="1"/>
    <row r="881" s="103" customFormat="1"/>
    <row r="882" s="103" customFormat="1"/>
    <row r="883" s="103" customFormat="1"/>
    <row r="884" s="103" customFormat="1"/>
    <row r="885" s="103" customFormat="1"/>
    <row r="886" s="103" customFormat="1"/>
    <row r="887" s="103" customFormat="1"/>
    <row r="888" s="103" customFormat="1"/>
    <row r="889" s="103" customFormat="1"/>
    <row r="890" s="103" customFormat="1"/>
    <row r="891" s="103" customFormat="1"/>
    <row r="892" s="103" customFormat="1"/>
    <row r="893" s="103" customFormat="1"/>
    <row r="894" s="103" customFormat="1"/>
    <row r="895" s="103" customFormat="1"/>
    <row r="896" s="103" customFormat="1"/>
    <row r="897" s="103" customFormat="1"/>
    <row r="898" s="103" customFormat="1"/>
    <row r="899" s="103" customFormat="1"/>
    <row r="900" s="103" customFormat="1"/>
    <row r="901" s="103" customFormat="1"/>
    <row r="902" s="103" customFormat="1"/>
    <row r="903" s="103" customFormat="1"/>
    <row r="904" s="103" customFormat="1"/>
    <row r="905" s="103" customFormat="1"/>
    <row r="906" s="103" customFormat="1"/>
    <row r="907" s="103" customFormat="1"/>
    <row r="908" s="103" customFormat="1"/>
    <row r="909" s="103" customFormat="1"/>
    <row r="910" s="103" customFormat="1"/>
    <row r="911" s="103" customFormat="1"/>
    <row r="912" s="103" customFormat="1"/>
    <row r="913" s="103" customFormat="1"/>
    <row r="914" s="103" customFormat="1"/>
    <row r="915" s="103" customFormat="1"/>
    <row r="916" s="103" customFormat="1"/>
    <row r="917" s="103" customFormat="1"/>
    <row r="918" s="103" customFormat="1"/>
    <row r="919" s="103" customFormat="1"/>
    <row r="920" s="103" customFormat="1"/>
    <row r="921" s="103" customFormat="1"/>
    <row r="922" s="103" customFormat="1"/>
    <row r="923" s="103" customFormat="1"/>
    <row r="924" s="103" customFormat="1"/>
    <row r="925" s="103" customFormat="1"/>
    <row r="926" s="103" customFormat="1"/>
    <row r="927" s="103" customFormat="1"/>
    <row r="928" s="103" customFormat="1"/>
    <row r="929" s="103" customFormat="1"/>
    <row r="930" s="103" customFormat="1"/>
    <row r="931" s="103" customFormat="1"/>
    <row r="932" s="103" customFormat="1"/>
    <row r="933" s="103" customFormat="1"/>
    <row r="934" s="103" customFormat="1"/>
    <row r="935" s="103" customFormat="1"/>
    <row r="936" s="103" customFormat="1"/>
    <row r="937" s="103" customFormat="1"/>
    <row r="938" s="103" customFormat="1"/>
    <row r="939" s="103" customFormat="1"/>
    <row r="940" s="103" customFormat="1"/>
    <row r="941" s="103" customFormat="1"/>
    <row r="942" s="103" customFormat="1"/>
    <row r="943" s="103" customFormat="1"/>
    <row r="944" s="103" customFormat="1"/>
    <row r="945" s="103" customFormat="1"/>
    <row r="946" s="103" customFormat="1"/>
    <row r="947" s="103" customFormat="1"/>
    <row r="948" s="103" customFormat="1"/>
    <row r="949" s="103" customFormat="1"/>
    <row r="950" s="103" customFormat="1"/>
    <row r="951" s="103" customFormat="1"/>
    <row r="952" s="103" customFormat="1"/>
    <row r="953" s="103" customFormat="1"/>
    <row r="954" s="103" customFormat="1"/>
    <row r="955" s="103" customFormat="1"/>
    <row r="956" s="103" customFormat="1"/>
    <row r="957" s="103" customFormat="1"/>
    <row r="958" s="103" customFormat="1"/>
    <row r="959" s="103" customFormat="1"/>
    <row r="960" s="103" customFormat="1"/>
    <row r="961" s="103" customFormat="1"/>
    <row r="962" s="103" customFormat="1"/>
    <row r="963" s="103" customFormat="1"/>
    <row r="964" s="103" customFormat="1"/>
    <row r="965" s="103" customFormat="1"/>
    <row r="966" s="103" customFormat="1"/>
    <row r="967" s="103" customFormat="1"/>
    <row r="968" s="103" customFormat="1"/>
    <row r="969" s="103" customFormat="1"/>
    <row r="970" s="103" customFormat="1"/>
    <row r="971" s="103" customFormat="1"/>
    <row r="972" s="103" customFormat="1"/>
    <row r="973" s="103" customFormat="1"/>
    <row r="974" s="103" customFormat="1"/>
    <row r="975" s="103" customFormat="1"/>
    <row r="976" s="103" customFormat="1"/>
    <row r="977" s="103" customFormat="1"/>
    <row r="978" s="103" customFormat="1"/>
    <row r="979" s="103" customFormat="1"/>
    <row r="980" s="103" customFormat="1"/>
    <row r="981" s="103" customFormat="1"/>
    <row r="982" s="103" customFormat="1"/>
    <row r="983" s="103" customFormat="1"/>
    <row r="984" s="103" customFormat="1"/>
    <row r="985" s="103" customFormat="1"/>
    <row r="986" s="103" customFormat="1"/>
    <row r="987" s="103" customFormat="1"/>
    <row r="988" s="103" customFormat="1"/>
    <row r="989" s="103" customFormat="1"/>
    <row r="990" s="103" customFormat="1"/>
    <row r="991" s="103" customFormat="1"/>
    <row r="992" s="103" customFormat="1"/>
    <row r="993" s="103" customFormat="1"/>
    <row r="994" s="103" customFormat="1"/>
    <row r="995" s="103" customFormat="1"/>
    <row r="996" s="103" customFormat="1"/>
    <row r="997" s="103" customFormat="1"/>
    <row r="998" s="103" customFormat="1"/>
    <row r="999" s="103" customFormat="1"/>
  </sheetData>
  <sheetProtection algorithmName="SHA-512" hashValue="Nmaf/hfx3dM2Abpo01ROCyOG0inhFYM5SMemkpVcI9PaTnAIIntmSa08aLiy49moi7QK6g3Ibcf+OIUfKhZ5yQ==" saltValue="01qMnnFPwDx9brUmqdTtgw==" spinCount="100000" sheet="1" objects="1" scenarios="1"/>
  <mergeCells count="38">
    <mergeCell ref="B22:E22"/>
    <mergeCell ref="B41:E41"/>
    <mergeCell ref="B2:C2"/>
    <mergeCell ref="D2:E2"/>
    <mergeCell ref="B3:E3"/>
    <mergeCell ref="B8:E8"/>
    <mergeCell ref="B36:E36"/>
    <mergeCell ref="B10:E10"/>
    <mergeCell ref="B17:E17"/>
    <mergeCell ref="B62:E62"/>
    <mergeCell ref="B31:E31"/>
    <mergeCell ref="B75:E75"/>
    <mergeCell ref="B151:E151"/>
    <mergeCell ref="B171:E171"/>
    <mergeCell ref="B57:E57"/>
    <mergeCell ref="B55:E55"/>
    <mergeCell ref="B48:E48"/>
    <mergeCell ref="B68:E68"/>
    <mergeCell ref="B143:E143"/>
    <mergeCell ref="B86:E86"/>
    <mergeCell ref="B115:E115"/>
    <mergeCell ref="B118:E118"/>
    <mergeCell ref="B130:E130"/>
    <mergeCell ref="B102:E102"/>
    <mergeCell ref="B81:E81"/>
    <mergeCell ref="B158:E158"/>
    <mergeCell ref="B207:E207"/>
    <mergeCell ref="B203:E203"/>
    <mergeCell ref="B205:E205"/>
    <mergeCell ref="B180:E180"/>
    <mergeCell ref="B196:E196"/>
    <mergeCell ref="B174:E174"/>
    <mergeCell ref="B190:E190"/>
    <mergeCell ref="B217:E217"/>
    <mergeCell ref="B221:E221"/>
    <mergeCell ref="B233:E233"/>
    <mergeCell ref="B235:E235"/>
    <mergeCell ref="B187:E187"/>
  </mergeCells>
  <conditionalFormatting sqref="B10:E15">
    <cfRule type="expression" dxfId="834" priority="29" stopIfTrue="1">
      <formula>inv_result="Excluded"</formula>
    </cfRule>
  </conditionalFormatting>
  <conditionalFormatting sqref="B17:E20">
    <cfRule type="expression" dxfId="833" priority="26" stopIfTrue="1">
      <formula>inv_result="Excluded"</formula>
    </cfRule>
  </conditionalFormatting>
  <conditionalFormatting sqref="B22:E29">
    <cfRule type="expression" dxfId="832" priority="34" stopIfTrue="1">
      <formula>inv_result="Excluded"</formula>
    </cfRule>
  </conditionalFormatting>
  <conditionalFormatting sqref="B31:E34">
    <cfRule type="expression" dxfId="831" priority="24" stopIfTrue="1">
      <formula>inv_result="Excluded"</formula>
    </cfRule>
  </conditionalFormatting>
  <conditionalFormatting sqref="B36:E39">
    <cfRule type="expression" dxfId="830" priority="23" stopIfTrue="1">
      <formula>inv_result="Excluded"</formula>
    </cfRule>
  </conditionalFormatting>
  <conditionalFormatting sqref="B41:E46">
    <cfRule type="expression" dxfId="829" priority="22" stopIfTrue="1">
      <formula>inv_result="Excluded"</formula>
    </cfRule>
  </conditionalFormatting>
  <conditionalFormatting sqref="B48:E53">
    <cfRule type="expression" dxfId="828" priority="25" stopIfTrue="1">
      <formula>inv_result="Excluded"</formula>
    </cfRule>
  </conditionalFormatting>
  <conditionalFormatting sqref="B55:E66">
    <cfRule type="expression" dxfId="827" priority="30" stopIfTrue="1">
      <formula>inv_result="Excluded"</formula>
    </cfRule>
  </conditionalFormatting>
  <conditionalFormatting sqref="B68:E73">
    <cfRule type="expression" dxfId="826" priority="11" stopIfTrue="1">
      <formula>inv_result="Excluded"</formula>
    </cfRule>
  </conditionalFormatting>
  <conditionalFormatting sqref="B75:E79">
    <cfRule type="expression" dxfId="825" priority="21" stopIfTrue="1">
      <formula>inv_result="Excluded"</formula>
    </cfRule>
  </conditionalFormatting>
  <conditionalFormatting sqref="B81:E84">
    <cfRule type="expression" dxfId="824" priority="19" stopIfTrue="1">
      <formula>inv_result="Excluded"</formula>
    </cfRule>
  </conditionalFormatting>
  <conditionalFormatting sqref="B86:E100">
    <cfRule type="expression" dxfId="823" priority="20" stopIfTrue="1">
      <formula>inv_result="Excluded"</formula>
    </cfRule>
  </conditionalFormatting>
  <conditionalFormatting sqref="B102:E141">
    <cfRule type="expression" dxfId="822" priority="37">
      <formula>inv_result="Excluded"</formula>
    </cfRule>
  </conditionalFormatting>
  <conditionalFormatting sqref="B143:E149">
    <cfRule type="expression" dxfId="821" priority="17">
      <formula>inv_result="Excluded"</formula>
    </cfRule>
  </conditionalFormatting>
  <conditionalFormatting sqref="B151:E156">
    <cfRule type="expression" dxfId="820" priority="16">
      <formula>inv_result="Excluded"</formula>
    </cfRule>
  </conditionalFormatting>
  <conditionalFormatting sqref="B158:E169">
    <cfRule type="expression" dxfId="819" priority="18">
      <formula>inv_result="Excluded"</formula>
    </cfRule>
  </conditionalFormatting>
  <conditionalFormatting sqref="B171:E185">
    <cfRule type="expression" dxfId="818" priority="15">
      <formula>inv_result="Excluded"</formula>
    </cfRule>
  </conditionalFormatting>
  <conditionalFormatting sqref="B187:E201">
    <cfRule type="expression" dxfId="817" priority="14">
      <formula>inv_result="Excluded"</formula>
    </cfRule>
  </conditionalFormatting>
  <conditionalFormatting sqref="B203:E203">
    <cfRule type="expression" dxfId="816" priority="173">
      <formula>OR((inv_result="Excluded"),AND((intelligent_operations_chosen&lt;&gt;"Initial Deployment"),(cbn_result="Excluded")))</formula>
    </cfRule>
  </conditionalFormatting>
  <conditionalFormatting sqref="B205:E205 B207:E215 B221:E231">
    <cfRule type="expression" dxfId="815" priority="136" stopIfTrue="1">
      <formula>OR((inv_result="Excluded"),AND((intelligent_operations_result="Excluded")))</formula>
    </cfRule>
  </conditionalFormatting>
  <conditionalFormatting sqref="B217:E219">
    <cfRule type="expression" dxfId="814" priority="8" stopIfTrue="1">
      <formula>OR((inv_result="Excluded"),AND((intelligent_operations_result="Excluded")))</formula>
    </cfRule>
  </conditionalFormatting>
  <conditionalFormatting sqref="B233:E233">
    <cfRule type="expression" dxfId="813" priority="4" stopIfTrue="1">
      <formula>OR((inv_result="Excluded"),AND((intelligent_logging_result="Excluded")))</formula>
    </cfRule>
  </conditionalFormatting>
  <conditionalFormatting sqref="B235:E240">
    <cfRule type="expression" dxfId="812" priority="1">
      <formula>OR((inv_result="Excluded"),AND((intelligent_logging_result="Excluded")))</formula>
    </cfRule>
  </conditionalFormatting>
  <conditionalFormatting sqref="C5 B8:E8">
    <cfRule type="expression" dxfId="811" priority="35">
      <formula>OR((inv_result="Excluded"))</formula>
    </cfRule>
  </conditionalFormatting>
  <conditionalFormatting sqref="D5 B203:E203">
    <cfRule type="expression" dxfId="810" priority="218">
      <formula>OR((inv_result="Excluded"),AND((intelligent_operations_result="Excluded")))</formula>
    </cfRule>
  </conditionalFormatting>
  <hyperlinks>
    <hyperlink ref="C45" r:id="rId1" display="svc-cbo-vsphere@sfo.rainpole.io" xr:uid="{088A4DEE-67B4-6545-81C4-09517B55AF30}"/>
    <hyperlink ref="C5" location="'Intelligent Network Visibility'!B8" display="Deployment" xr:uid="{29F5692B-0789-8E40-838D-51B7C8C7C77C}"/>
    <hyperlink ref="D5" location="'Intelligent Network Visibility'!B204" display="Solution Interoperability" xr:uid="{928768A4-F527-D64B-8604-D6FFECAE976C}"/>
    <hyperlink ref="B5" location="'Deployment Options'!H50" display="Section Navigation (Click to Navigate)" xr:uid="{C170BB5D-D27C-AE46-9DE6-7B6961D135F4}"/>
  </hyperlinks>
  <pageMargins left="0.7" right="0.7" top="0.75" bottom="0.75" header="0.3" footer="0.3"/>
  <pageSetup paperSize="9" orientation="portrait" horizontalDpi="0" verticalDpi="0"/>
  <drawing r:id="rId2"/>
  <extLst>
    <ext xmlns:x14="http://schemas.microsoft.com/office/spreadsheetml/2009/9/main" uri="{78C0D931-6437-407d-A8EE-F0AAD7539E65}">
      <x14:conditionalFormattings>
        <x14:conditionalFormatting xmlns:xm="http://schemas.microsoft.com/office/excel/2006/main">
          <x14:cfRule type="containsText" priority="141" operator="containsText" id="{B35A4C52-E6F3-AE4C-AC44-01DB15629EC8}">
            <xm:f>NOT(ISERROR(SEARCH("Value Missing",D12)))</xm:f>
            <xm:f>"Value Missing"</xm:f>
            <x14:dxf>
              <font>
                <color rgb="FF9C0006"/>
              </font>
              <fill>
                <patternFill>
                  <bgColor rgb="FFFFC7CE"/>
                </patternFill>
              </fill>
            </x14:dxf>
          </x14:cfRule>
          <xm:sqref>D12:D15 D88:D100</xm:sqref>
        </x14:conditionalFormatting>
        <x14:conditionalFormatting xmlns:xm="http://schemas.microsoft.com/office/excel/2006/main">
          <x14:cfRule type="containsText" priority="161" operator="containsText" id="{3BD8CDE3-518B-484B-B80B-18A3459D79DE}">
            <xm:f>NOT(ISERROR(SEARCH("Value Missing",D19)))</xm:f>
            <xm:f>"Value Missing"</xm:f>
            <x14:dxf>
              <font>
                <color rgb="FF9C0006"/>
              </font>
              <fill>
                <patternFill>
                  <bgColor rgb="FFFFC7CE"/>
                </patternFill>
              </fill>
            </x14:dxf>
          </x14:cfRule>
          <xm:sqref>D19:D20 D223:D231</xm:sqref>
        </x14:conditionalFormatting>
        <x14:conditionalFormatting xmlns:xm="http://schemas.microsoft.com/office/excel/2006/main">
          <x14:cfRule type="containsText" priority="135" operator="containsText" id="{2225E085-56B9-EE44-90C1-2C3302025A30}">
            <xm:f>NOT(ISERROR(SEARCH("Value Missing",D24)))</xm:f>
            <xm:f>"Value Missing"</xm:f>
            <x14:dxf>
              <font>
                <color rgb="FF9C0006"/>
              </font>
              <fill>
                <patternFill>
                  <bgColor rgb="FFFFC7CE"/>
                </patternFill>
              </fill>
            </x14:dxf>
          </x14:cfRule>
          <x14:cfRule type="notContainsText" priority="132" operator="notContains" id="{FCDD20C8-B65A-1045-8238-7CAC4A30B421}">
            <xm:f>ISERROR(SEARCH("Value Missing",D24))</xm:f>
            <xm:f>"Value Missing"</xm:f>
            <x14:dxf>
              <font>
                <color rgb="FF006100"/>
              </font>
              <fill>
                <patternFill>
                  <bgColor rgb="FFC6EFCE"/>
                </patternFill>
              </fill>
            </x14:dxf>
          </x14:cfRule>
          <xm:sqref>D24:D29</xm:sqref>
        </x14:conditionalFormatting>
        <x14:conditionalFormatting xmlns:xm="http://schemas.microsoft.com/office/excel/2006/main">
          <x14:cfRule type="notContainsText" priority="126" operator="notContains" id="{B48CC7E6-28EC-8746-B3EC-413632B33233}">
            <xm:f>ISERROR(SEARCH("Value Missing",D33))</xm:f>
            <xm:f>"Value Missing"</xm:f>
            <x14:dxf>
              <font>
                <color rgb="FF006100"/>
              </font>
              <fill>
                <patternFill>
                  <bgColor rgb="FFC6EFCE"/>
                </patternFill>
              </fill>
            </x14:dxf>
          </x14:cfRule>
          <x14:cfRule type="containsText" priority="131" operator="containsText" id="{AEB1837B-F130-B641-A5F5-FE3A69CF7E98}">
            <xm:f>NOT(ISERROR(SEARCH("Value Missing",D33)))</xm:f>
            <xm:f>"Value Missing"</xm:f>
            <x14:dxf>
              <font>
                <color rgb="FF9C0006"/>
              </font>
              <fill>
                <patternFill>
                  <bgColor rgb="FFFFC7CE"/>
                </patternFill>
              </fill>
            </x14:dxf>
          </x14:cfRule>
          <xm:sqref>D33:D34</xm:sqref>
        </x14:conditionalFormatting>
        <x14:conditionalFormatting xmlns:xm="http://schemas.microsoft.com/office/excel/2006/main">
          <x14:cfRule type="notContainsText" priority="254" operator="notContains" id="{9C4B8E5B-9709-DB4E-9C0F-88DF341E8F80}">
            <xm:f>ISERROR(SEARCH("Value Missing",D38))</xm:f>
            <xm:f>"Value Missing"</xm:f>
            <x14:dxf>
              <font>
                <color rgb="FF006100"/>
              </font>
              <fill>
                <patternFill>
                  <bgColor rgb="FFC6EFCE"/>
                </patternFill>
              </fill>
            </x14:dxf>
          </x14:cfRule>
          <x14:cfRule type="containsText" priority="255" operator="containsText" id="{C6306EDC-93C4-4842-A3E8-FEDE0DC714AF}">
            <xm:f>NOT(ISERROR(SEARCH("Value Missing",D38)))</xm:f>
            <xm:f>"Value Missing"</xm:f>
            <x14:dxf>
              <font>
                <color rgb="FF9C0006"/>
              </font>
              <fill>
                <patternFill>
                  <bgColor rgb="FFFFC7CE"/>
                </patternFill>
              </fill>
            </x14:dxf>
          </x14:cfRule>
          <xm:sqref>D38:D39</xm:sqref>
        </x14:conditionalFormatting>
        <x14:conditionalFormatting xmlns:xm="http://schemas.microsoft.com/office/excel/2006/main">
          <x14:cfRule type="containsText" priority="232" operator="containsText" id="{F0B07A5D-C81D-8C47-96FE-BE433A74F3F7}">
            <xm:f>NOT(ISERROR(SEARCH("Value Missing",D43)))</xm:f>
            <xm:f>"Value Missing"</xm:f>
            <x14:dxf>
              <font>
                <color rgb="FF9C0006"/>
              </font>
              <fill>
                <patternFill>
                  <bgColor rgb="FFFFC7CE"/>
                </patternFill>
              </fill>
            </x14:dxf>
          </x14:cfRule>
          <x14:cfRule type="notContainsText" priority="231" operator="notContains" id="{7BDF7F7E-0448-504D-B61A-854E0B382CC8}">
            <xm:f>ISERROR(SEARCH("Value Missing",D43))</xm:f>
            <xm:f>"Value Missing"</xm:f>
            <x14:dxf>
              <font>
                <color rgb="FF006100"/>
              </font>
              <fill>
                <patternFill>
                  <bgColor rgb="FFC6EFCE"/>
                </patternFill>
              </fill>
            </x14:dxf>
          </x14:cfRule>
          <xm:sqref>D43:D46</xm:sqref>
        </x14:conditionalFormatting>
        <x14:conditionalFormatting xmlns:xm="http://schemas.microsoft.com/office/excel/2006/main">
          <x14:cfRule type="notContainsText" priority="248" operator="notContains" id="{E7CF8671-8D7D-D546-8F1E-D7D8CBB0AFAF}">
            <xm:f>ISERROR(SEARCH("Value Missing",D50))</xm:f>
            <xm:f>"Value Missing"</xm:f>
            <x14:dxf>
              <font>
                <color rgb="FF006100"/>
              </font>
              <fill>
                <patternFill>
                  <bgColor rgb="FFC6EFCE"/>
                </patternFill>
              </fill>
            </x14:dxf>
          </x14:cfRule>
          <x14:cfRule type="containsText" priority="249" operator="containsText" id="{DFE566B8-EC31-DA4D-AE97-D49C82A77040}">
            <xm:f>NOT(ISERROR(SEARCH("Value Missing",D50)))</xm:f>
            <xm:f>"Value Missing"</xm:f>
            <x14:dxf>
              <font>
                <color rgb="FF9C0006"/>
              </font>
              <fill>
                <patternFill>
                  <bgColor rgb="FFFFC7CE"/>
                </patternFill>
              </fill>
            </x14:dxf>
          </x14:cfRule>
          <xm:sqref>D50:D53</xm:sqref>
        </x14:conditionalFormatting>
        <x14:conditionalFormatting xmlns:xm="http://schemas.microsoft.com/office/excel/2006/main">
          <x14:cfRule type="containsText" priority="155" operator="containsText" id="{417071DB-FB21-E344-898A-96B2717F8870}">
            <xm:f>NOT(ISERROR(SEARCH("Value Missing",D58)))</xm:f>
            <xm:f>"Value Missing"</xm:f>
            <x14:dxf>
              <font>
                <color rgb="FF9C0006"/>
              </font>
              <fill>
                <patternFill>
                  <bgColor rgb="FFFFC7CE"/>
                </patternFill>
              </fill>
            </x14:dxf>
          </x14:cfRule>
          <x14:cfRule type="notContainsText" priority="154" operator="notContains" id="{B53CDC14-17C6-BD4E-BE23-0F4E0D5C3B06}">
            <xm:f>ISERROR(SEARCH("Value Missing",D58))</xm:f>
            <xm:f>"Value Missing"</xm:f>
            <x14:dxf>
              <font>
                <color rgb="FF006100"/>
              </font>
              <fill>
                <patternFill>
                  <bgColor rgb="FFC6EFCE"/>
                </patternFill>
              </fill>
            </x14:dxf>
          </x14:cfRule>
          <xm:sqref>D58:D61</xm:sqref>
        </x14:conditionalFormatting>
        <x14:conditionalFormatting xmlns:xm="http://schemas.microsoft.com/office/excel/2006/main">
          <x14:cfRule type="containsText" priority="159" operator="containsText" id="{62C78741-CF8E-E740-AD39-6843D1557D67}">
            <xm:f>NOT(ISERROR(SEARCH("Value Missing",D60)))</xm:f>
            <xm:f>"Value Missing"</xm:f>
            <x14:dxf>
              <font>
                <color rgb="FF9C0006"/>
              </font>
              <fill>
                <patternFill>
                  <bgColor rgb="FFFFC7CE"/>
                </patternFill>
              </fill>
            </x14:dxf>
          </x14:cfRule>
          <x14:cfRule type="notContainsText" priority="158" operator="notContains" id="{8B12AB99-965F-394B-94E6-FFE99FAB81DB}">
            <xm:f>ISERROR(SEARCH("Value Missing",D60))</xm:f>
            <xm:f>"Value Missing"</xm:f>
            <x14:dxf>
              <font>
                <color rgb="FF006100"/>
              </font>
              <fill>
                <patternFill>
                  <bgColor rgb="FFC6EFCE"/>
                </patternFill>
              </fill>
            </x14:dxf>
          </x14:cfRule>
          <xm:sqref>D60 D65</xm:sqref>
        </x14:conditionalFormatting>
        <x14:conditionalFormatting xmlns:xm="http://schemas.microsoft.com/office/excel/2006/main">
          <x14:cfRule type="containsText" priority="151" operator="containsText" id="{75509698-86A6-E64D-A8A6-EC431A4B1DE6}">
            <xm:f>NOT(ISERROR(SEARCH("Value Missing",D63)))</xm:f>
            <xm:f>"Value Missing"</xm:f>
            <x14:dxf>
              <font>
                <color rgb="FF9C0006"/>
              </font>
              <fill>
                <patternFill>
                  <bgColor rgb="FFFFC7CE"/>
                </patternFill>
              </fill>
            </x14:dxf>
          </x14:cfRule>
          <x14:cfRule type="notContainsText" priority="150" operator="notContains" id="{5233ACB9-88F6-D241-9777-0C222FA0613C}">
            <xm:f>ISERROR(SEARCH("Value Missing",D63))</xm:f>
            <xm:f>"Value Missing"</xm:f>
            <x14:dxf>
              <font>
                <color rgb="FF006100"/>
              </font>
              <fill>
                <patternFill>
                  <bgColor rgb="FFC6EFCE"/>
                </patternFill>
              </fill>
            </x14:dxf>
          </x14:cfRule>
          <xm:sqref>D63:D66</xm:sqref>
        </x14:conditionalFormatting>
        <x14:conditionalFormatting xmlns:xm="http://schemas.microsoft.com/office/excel/2006/main">
          <x14:cfRule type="containsText" priority="13" operator="containsText" id="{5A4AC04E-F04E-7144-B5A6-531C9251D56A}">
            <xm:f>NOT(ISERROR(SEARCH("Value Missing",D70)))</xm:f>
            <xm:f>"Value Missing"</xm:f>
            <x14:dxf>
              <font>
                <color rgb="FF9C0006"/>
              </font>
              <fill>
                <patternFill>
                  <bgColor rgb="FFFFC7CE"/>
                </patternFill>
              </fill>
            </x14:dxf>
          </x14:cfRule>
          <x14:cfRule type="notContainsText" priority="12" operator="notContains" id="{B83247E5-1F4A-104A-BB9A-8C5BBDD8AAAB}">
            <xm:f>ISERROR(SEARCH("Value Missing",D70))</xm:f>
            <xm:f>"Value Missing"</xm:f>
            <x14:dxf>
              <font>
                <color rgb="FF006100"/>
              </font>
              <fill>
                <patternFill>
                  <bgColor rgb="FFC6EFCE"/>
                </patternFill>
              </fill>
            </x14:dxf>
          </x14:cfRule>
          <xm:sqref>D70:D73</xm:sqref>
        </x14:conditionalFormatting>
        <x14:conditionalFormatting xmlns:xm="http://schemas.microsoft.com/office/excel/2006/main">
          <x14:cfRule type="containsText" priority="104" operator="containsText" id="{4566A63F-AF15-7A46-87AF-BD14823FA2E5}">
            <xm:f>NOT(ISERROR(SEARCH("Value Missing",D77)))</xm:f>
            <xm:f>"Value Missing"</xm:f>
            <x14:dxf>
              <font>
                <color rgb="FF9C0006"/>
              </font>
              <fill>
                <patternFill>
                  <bgColor rgb="FFFFC7CE"/>
                </patternFill>
              </fill>
            </x14:dxf>
          </x14:cfRule>
          <xm:sqref>D77:D79 D81 D83:D84 D86 D88:D100 D145:D149</xm:sqref>
        </x14:conditionalFormatting>
        <x14:conditionalFormatting xmlns:xm="http://schemas.microsoft.com/office/excel/2006/main">
          <x14:cfRule type="notContainsText" priority="101" operator="notContains" id="{E069156E-4107-AF44-87F3-60D03C46E05D}">
            <xm:f>ISERROR(SEARCH("Value Missing",D77))</xm:f>
            <xm:f>"Value Missing"</xm:f>
            <x14:dxf>
              <font>
                <color rgb="FF006100"/>
              </font>
              <fill>
                <patternFill>
                  <bgColor rgb="FFC6EFCE"/>
                </patternFill>
              </fill>
            </x14:dxf>
          </x14:cfRule>
          <xm:sqref>D86 D77:D79 D88:D100 D81 D83:D84 D145:D149</xm:sqref>
        </x14:conditionalFormatting>
        <x14:conditionalFormatting xmlns:xm="http://schemas.microsoft.com/office/excel/2006/main">
          <x14:cfRule type="notContainsText" priority="96" operator="notContains" id="{B5C811D5-4B08-7449-AE70-6F6526F23F70}">
            <xm:f>ISERROR(SEARCH("Value Missing",D86))</xm:f>
            <xm:f>"Value Missing"</xm:f>
            <x14:dxf>
              <font>
                <color rgb="FF006100"/>
              </font>
              <fill>
                <patternFill>
                  <bgColor rgb="FFC6EFCE"/>
                </patternFill>
              </fill>
            </x14:dxf>
          </x14:cfRule>
          <x14:cfRule type="containsText" priority="97" operator="containsText" id="{9F1780F1-1B3B-5145-9AA3-CD4959A446E5}">
            <xm:f>NOT(ISERROR(SEARCH("Value Missing",D86)))</xm:f>
            <xm:f>"Value Missing"</xm:f>
            <x14:dxf>
              <font>
                <color rgb="FF9C0006"/>
              </font>
              <fill>
                <patternFill>
                  <bgColor rgb="FFFFC7CE"/>
                </patternFill>
              </fill>
            </x14:dxf>
          </x14:cfRule>
          <xm:sqref>D86</xm:sqref>
        </x14:conditionalFormatting>
        <x14:conditionalFormatting xmlns:xm="http://schemas.microsoft.com/office/excel/2006/main">
          <x14:cfRule type="notContainsText" priority="140" operator="notContains" id="{72089D3C-F8F8-3C4D-AC05-9E480A7E49D1}">
            <xm:f>ISERROR(SEARCH("Value Missing",D12))</xm:f>
            <xm:f>"Value Missing"</xm:f>
            <x14:dxf>
              <font>
                <color rgb="FF006100"/>
              </font>
              <fill>
                <patternFill>
                  <bgColor rgb="FFC6EFCE"/>
                </patternFill>
              </fill>
            </x14:dxf>
          </x14:cfRule>
          <xm:sqref>D88:D100 D12:D15</xm:sqref>
        </x14:conditionalFormatting>
        <x14:conditionalFormatting xmlns:xm="http://schemas.microsoft.com/office/excel/2006/main">
          <x14:cfRule type="containsText" priority="257" operator="containsText" id="{90CE81FD-18B8-F74D-B11A-6ECE060A18A6}">
            <xm:f>NOT(ISERROR(SEARCH("Value Missing",D104)))</xm:f>
            <xm:f>"Value Missing"</xm:f>
            <x14:dxf>
              <font>
                <color rgb="FF9C0006"/>
              </font>
              <fill>
                <patternFill>
                  <bgColor rgb="FFFFC7CE"/>
                </patternFill>
              </fill>
            </x14:dxf>
          </x14:cfRule>
          <x14:cfRule type="notContainsText" priority="256" operator="notContains" id="{FBC50B53-174D-C04F-8B70-6926E3A3D84C}">
            <xm:f>ISERROR(SEARCH("Value Missing",D104))</xm:f>
            <xm:f>"Value Missing"</xm:f>
            <x14:dxf>
              <font>
                <color rgb="FF006100"/>
              </font>
              <fill>
                <patternFill>
                  <bgColor rgb="FFC6EFCE"/>
                </patternFill>
              </fill>
            </x14:dxf>
          </x14:cfRule>
          <xm:sqref>D104:D114 D116:D117 D119:D129 D191:D195 D197:D201</xm:sqref>
        </x14:conditionalFormatting>
        <x14:conditionalFormatting xmlns:xm="http://schemas.microsoft.com/office/excel/2006/main">
          <x14:cfRule type="containsText" priority="125" operator="containsText" id="{66BFB0B3-05FA-7F42-8133-37F1A2B15B02}">
            <xm:f>NOT(ISERROR(SEARCH("Value Missing",D131)))</xm:f>
            <xm:f>"Value Missing"</xm:f>
            <x14:dxf>
              <font>
                <color rgb="FF9C0006"/>
              </font>
              <fill>
                <patternFill>
                  <bgColor rgb="FFFFC7CE"/>
                </patternFill>
              </fill>
            </x14:dxf>
          </x14:cfRule>
          <x14:cfRule type="notContainsText" priority="76" operator="notContains" id="{B9ACDC3A-027B-4747-95BA-99EFDF55FADB}">
            <xm:f>ISERROR(SEARCH("Value Missing",D131))</xm:f>
            <xm:f>"Value Missing"</xm:f>
            <x14:dxf>
              <font>
                <color rgb="FF006100"/>
              </font>
              <fill>
                <patternFill>
                  <bgColor rgb="FFC6EFCE"/>
                </patternFill>
              </fill>
            </x14:dxf>
          </x14:cfRule>
          <xm:sqref>D131:D141</xm:sqref>
        </x14:conditionalFormatting>
        <x14:conditionalFormatting xmlns:xm="http://schemas.microsoft.com/office/excel/2006/main">
          <x14:cfRule type="containsText" priority="75" operator="containsText" id="{E4298E8B-3A7A-294C-B35D-B613C2E93BF2}">
            <xm:f>NOT(ISERROR(SEARCH("Value Missing",D139)))</xm:f>
            <xm:f>"Value Missing"</xm:f>
            <x14:dxf>
              <font>
                <color rgb="FF9C0006"/>
              </font>
              <fill>
                <patternFill>
                  <bgColor rgb="FFFFC7CE"/>
                </patternFill>
              </fill>
            </x14:dxf>
          </x14:cfRule>
          <x14:cfRule type="notContainsText" priority="74" operator="notContains" id="{B8A3C1AF-FD4D-C24F-A48D-5DFC8CEEC13F}">
            <xm:f>ISERROR(SEARCH("Value Missing",D139))</xm:f>
            <xm:f>"Value Missing"</xm:f>
            <x14:dxf>
              <font>
                <color rgb="FF006100"/>
              </font>
              <fill>
                <patternFill>
                  <bgColor rgb="FFC6EFCE"/>
                </patternFill>
              </fill>
            </x14:dxf>
          </x14:cfRule>
          <xm:sqref>D139</xm:sqref>
        </x14:conditionalFormatting>
        <x14:conditionalFormatting xmlns:xm="http://schemas.microsoft.com/office/excel/2006/main">
          <x14:cfRule type="containsText" priority="71" operator="containsText" id="{5A5E3968-8A2C-E44C-99E8-DA334DA85956}">
            <xm:f>NOT(ISERROR(SEARCH("Value Missing",D143)))</xm:f>
            <xm:f>"Value Missing"</xm:f>
            <x14:dxf>
              <font>
                <color rgb="FF9C0006"/>
              </font>
              <fill>
                <patternFill>
                  <bgColor rgb="FFFFC7CE"/>
                </patternFill>
              </fill>
            </x14:dxf>
          </x14:cfRule>
          <x14:cfRule type="notContainsText" priority="70" operator="notContains" id="{5900150E-5C73-1C41-8BFF-4C54D94740E1}">
            <xm:f>ISERROR(SEARCH("Value Missing",D143))</xm:f>
            <xm:f>"Value Missing"</xm:f>
            <x14:dxf>
              <font>
                <color rgb="FF006100"/>
              </font>
              <fill>
                <patternFill>
                  <bgColor rgb="FFC6EFCE"/>
                </patternFill>
              </fill>
            </x14:dxf>
          </x14:cfRule>
          <x14:cfRule type="containsText" priority="65" operator="containsText" id="{28CCD11D-F544-FE4D-86E0-56F50C3C7CB0}">
            <xm:f>NOT(ISERROR(SEARCH("Value Missing",D143)))</xm:f>
            <xm:f>"Value Missing"</xm:f>
            <x14:dxf>
              <font>
                <color rgb="FF9C0006"/>
              </font>
              <fill>
                <patternFill>
                  <bgColor rgb="FFFFC7CE"/>
                </patternFill>
              </fill>
            </x14:dxf>
          </x14:cfRule>
          <x14:cfRule type="notContainsText" priority="64" operator="notContains" id="{195E3D12-E3AD-0245-912A-C4DD0CBBF388}">
            <xm:f>ISERROR(SEARCH("Value Missing",D143))</xm:f>
            <xm:f>"Value Missing"</xm:f>
            <x14:dxf>
              <font>
                <color rgb="FF006100"/>
              </font>
              <fill>
                <patternFill>
                  <bgColor rgb="FFC6EFCE"/>
                </patternFill>
              </fill>
            </x14:dxf>
          </x14:cfRule>
          <x14:cfRule type="containsText" priority="63" operator="containsText" id="{F53C6967-9032-1941-9A27-D4A7693CC4FA}">
            <xm:f>NOT(ISERROR(SEARCH("Value Missing",D143)))</xm:f>
            <xm:f>"Value Missing"</xm:f>
            <x14:dxf>
              <font>
                <color rgb="FF9C0006"/>
              </font>
              <fill>
                <patternFill>
                  <bgColor rgb="FFFFC7CE"/>
                </patternFill>
              </fill>
            </x14:dxf>
          </x14:cfRule>
          <x14:cfRule type="notContainsText" priority="59" operator="notContains" id="{B07262AC-9D3C-574E-A1D1-D423A190AEAA}">
            <xm:f>ISERROR(SEARCH("Value Missing",D143))</xm:f>
            <xm:f>"Value Missing"</xm:f>
            <x14:dxf>
              <font>
                <color rgb="FF006100"/>
              </font>
              <fill>
                <patternFill>
                  <bgColor rgb="FFC6EFCE"/>
                </patternFill>
              </fill>
            </x14:dxf>
          </x14:cfRule>
          <xm:sqref>D143</xm:sqref>
        </x14:conditionalFormatting>
        <x14:conditionalFormatting xmlns:xm="http://schemas.microsoft.com/office/excel/2006/main">
          <x14:cfRule type="containsText" priority="208" operator="containsText" id="{C70301C7-970A-7E4D-80E9-48A83D21696B}">
            <xm:f>NOT(ISERROR(SEARCH("Value Missing",D153)))</xm:f>
            <xm:f>"Value Missing"</xm:f>
            <x14:dxf>
              <font>
                <color rgb="FF9C0006"/>
              </font>
              <fill>
                <patternFill>
                  <bgColor rgb="FFFFC7CE"/>
                </patternFill>
              </fill>
            </x14:dxf>
          </x14:cfRule>
          <x14:cfRule type="notContainsText" priority="207" operator="notContains" id="{AF3CB047-A149-774E-AE22-9D166B83E3B0}">
            <xm:f>ISERROR(SEARCH("Value Missing",D153))</xm:f>
            <xm:f>"Value Missing"</xm:f>
            <x14:dxf>
              <font>
                <color rgb="FF006100"/>
              </font>
              <fill>
                <patternFill>
                  <bgColor rgb="FFC6EFCE"/>
                </patternFill>
              </fill>
            </x14:dxf>
          </x14:cfRule>
          <xm:sqref>D153:D156</xm:sqref>
        </x14:conditionalFormatting>
        <x14:conditionalFormatting xmlns:xm="http://schemas.microsoft.com/office/excel/2006/main">
          <x14:cfRule type="notContainsText" priority="38" operator="notContains" id="{AEC5398E-87FE-F940-AED7-52281705D631}">
            <xm:f>ISERROR(SEARCH("Value Missing",D160))</xm:f>
            <xm:f>"Value Missing"</xm:f>
            <x14:dxf>
              <font>
                <color rgb="FF006100"/>
              </font>
              <fill>
                <patternFill>
                  <bgColor rgb="FFC6EFCE"/>
                </patternFill>
              </fill>
            </x14:dxf>
          </x14:cfRule>
          <x14:cfRule type="containsText" priority="39" operator="containsText" id="{01272337-8ED7-E14D-87A6-34F8F2FF9CDD}">
            <xm:f>NOT(ISERROR(SEARCH("Value Missing",D160)))</xm:f>
            <xm:f>"Value Missing"</xm:f>
            <x14:dxf>
              <font>
                <color rgb="FF9C0006"/>
              </font>
              <fill>
                <patternFill>
                  <bgColor rgb="FFFFC7CE"/>
                </patternFill>
              </fill>
            </x14:dxf>
          </x14:cfRule>
          <xm:sqref>D160:D169</xm:sqref>
        </x14:conditionalFormatting>
        <x14:conditionalFormatting xmlns:xm="http://schemas.microsoft.com/office/excel/2006/main">
          <x14:cfRule type="notContainsText" priority="205" operator="notContains" id="{D802BE08-5B8D-CF4D-B9B4-A6034733D53C}">
            <xm:f>ISERROR(SEARCH("Value Missing",D173))</xm:f>
            <xm:f>"Value Missing"</xm:f>
            <x14:dxf>
              <font>
                <color rgb="FF006100"/>
              </font>
              <fill>
                <patternFill>
                  <bgColor rgb="FFC6EFCE"/>
                </patternFill>
              </fill>
            </x14:dxf>
          </x14:cfRule>
          <x14:cfRule type="containsText" priority="206" operator="containsText" id="{6F398089-5138-AC41-B16F-A74C3891AE29}">
            <xm:f>NOT(ISERROR(SEARCH("Value Missing",D173)))</xm:f>
            <xm:f>"Value Missing"</xm:f>
            <x14:dxf>
              <font>
                <color rgb="FF9C0006"/>
              </font>
              <fill>
                <patternFill>
                  <bgColor rgb="FFFFC7CE"/>
                </patternFill>
              </fill>
            </x14:dxf>
          </x14:cfRule>
          <xm:sqref>D173 D175:D179</xm:sqref>
        </x14:conditionalFormatting>
        <x14:conditionalFormatting xmlns:xm="http://schemas.microsoft.com/office/excel/2006/main">
          <x14:cfRule type="notContainsText" priority="175" operator="notContains" id="{1604D3E3-8FC8-114C-8BBB-CA8F584B272C}">
            <xm:f>ISERROR(SEARCH("Value Missing",D181))</xm:f>
            <xm:f>"Value Missing"</xm:f>
            <x14:dxf>
              <font>
                <color rgb="FF006100"/>
              </font>
              <fill>
                <patternFill>
                  <bgColor rgb="FFC6EFCE"/>
                </patternFill>
              </fill>
            </x14:dxf>
          </x14:cfRule>
          <x14:cfRule type="containsText" priority="192" operator="containsText" id="{B8B961B7-38C7-BB40-935D-23DBC7E68CAA}">
            <xm:f>NOT(ISERROR(SEARCH("Value Missing",D181)))</xm:f>
            <xm:f>"Value Missing"</xm:f>
            <x14:dxf>
              <font>
                <color rgb="FF9C0006"/>
              </font>
              <fill>
                <patternFill>
                  <bgColor rgb="FFFFC7CE"/>
                </patternFill>
              </fill>
            </x14:dxf>
          </x14:cfRule>
          <xm:sqref>D181:D185</xm:sqref>
        </x14:conditionalFormatting>
        <x14:conditionalFormatting xmlns:xm="http://schemas.microsoft.com/office/excel/2006/main">
          <x14:cfRule type="containsText" priority="204" operator="containsText" id="{98466617-486D-F545-8CF7-C5A32CEEFE3E}">
            <xm:f>NOT(ISERROR(SEARCH("Value Missing",D189)))</xm:f>
            <xm:f>"Value Missing"</xm:f>
            <x14:dxf>
              <font>
                <color rgb="FF9C0006"/>
              </font>
              <fill>
                <patternFill>
                  <bgColor rgb="FFFFC7CE"/>
                </patternFill>
              </fill>
            </x14:dxf>
          </x14:cfRule>
          <x14:cfRule type="notContainsText" priority="202" operator="notContains" id="{34435AC2-059F-6341-8941-D3478EF3E153}">
            <xm:f>ISERROR(SEARCH("Value Missing",D189))</xm:f>
            <xm:f>"Value Missing"</xm:f>
            <x14:dxf>
              <font>
                <color rgb="FF006100"/>
              </font>
              <fill>
                <patternFill>
                  <bgColor rgb="FFC6EFCE"/>
                </patternFill>
              </fill>
            </x14:dxf>
          </x14:cfRule>
          <xm:sqref>D189</xm:sqref>
        </x14:conditionalFormatting>
        <x14:conditionalFormatting xmlns:xm="http://schemas.microsoft.com/office/excel/2006/main">
          <x14:cfRule type="containsText" priority="163" operator="containsText" id="{A965A4F4-6092-444F-8A55-42F41E518126}">
            <xm:f>NOT(ISERROR(SEARCH("Value Missing",D209)))</xm:f>
            <xm:f>"Value Missing"</xm:f>
            <x14:dxf>
              <font>
                <color rgb="FF9C0006"/>
              </font>
              <fill>
                <patternFill>
                  <bgColor rgb="FFFFC7CE"/>
                </patternFill>
              </fill>
            </x14:dxf>
          </x14:cfRule>
          <x14:cfRule type="notContainsText" priority="162" operator="notContains" id="{96DA2D61-43E5-3E4D-9FA6-29F9BE3A92EE}">
            <xm:f>ISERROR(SEARCH("Value Missing",D209))</xm:f>
            <xm:f>"Value Missing"</xm:f>
            <x14:dxf>
              <font>
                <color rgb="FF006100"/>
              </font>
              <fill>
                <patternFill>
                  <bgColor rgb="FFC6EFCE"/>
                </patternFill>
              </fill>
            </x14:dxf>
          </x14:cfRule>
          <xm:sqref>D209:D215</xm:sqref>
        </x14:conditionalFormatting>
        <x14:conditionalFormatting xmlns:xm="http://schemas.microsoft.com/office/excel/2006/main">
          <x14:cfRule type="containsText" priority="10" operator="containsText" id="{A7775E0E-81CF-0E48-B5F8-F6B5410E9FB0}">
            <xm:f>NOT(ISERROR(SEARCH("Value Missing",D219)))</xm:f>
            <xm:f>"Value Missing"</xm:f>
            <x14:dxf>
              <font>
                <color rgb="FF9C0006"/>
              </font>
              <fill>
                <patternFill>
                  <bgColor rgb="FFFFC7CE"/>
                </patternFill>
              </fill>
            </x14:dxf>
          </x14:cfRule>
          <x14:cfRule type="notContainsText" priority="9" operator="notContains" id="{E24FCF16-B27A-DE46-82B6-9FEF66E63B22}">
            <xm:f>ISERROR(SEARCH("Value Missing",D219))</xm:f>
            <xm:f>"Value Missing"</xm:f>
            <x14:dxf>
              <font>
                <color rgb="FF006100"/>
              </font>
              <fill>
                <patternFill>
                  <bgColor rgb="FFC6EFCE"/>
                </patternFill>
              </fill>
            </x14:dxf>
          </x14:cfRule>
          <xm:sqref>D219</xm:sqref>
        </x14:conditionalFormatting>
        <x14:conditionalFormatting xmlns:xm="http://schemas.microsoft.com/office/excel/2006/main">
          <x14:cfRule type="notContainsText" priority="139" operator="notContains" id="{D4932812-1B65-0E43-928A-0A0154BFFA28}">
            <xm:f>ISERROR(SEARCH("Value Missing",D19))</xm:f>
            <xm:f>"Value Missing"</xm:f>
            <x14:dxf>
              <font>
                <color rgb="FF006100"/>
              </font>
              <fill>
                <patternFill>
                  <bgColor rgb="FFC6EFCE"/>
                </patternFill>
              </fill>
            </x14:dxf>
          </x14:cfRule>
          <xm:sqref>D223:D231 D19:D20</xm:sqref>
        </x14:conditionalFormatting>
        <x14:conditionalFormatting xmlns:xm="http://schemas.microsoft.com/office/excel/2006/main">
          <x14:cfRule type="containsText" priority="3" operator="containsText" id="{C20EE0BA-097E-8143-97BC-B01E97FC64C9}">
            <xm:f>NOT(ISERROR(SEARCH("Value Missing",D237)))</xm:f>
            <xm:f>"Value Missing"</xm:f>
            <x14:dxf>
              <font>
                <color rgb="FF9C0006"/>
              </font>
              <fill>
                <patternFill>
                  <bgColor rgb="FFFFC7CE"/>
                </patternFill>
              </fill>
            </x14:dxf>
          </x14:cfRule>
          <x14:cfRule type="notContainsText" priority="2" operator="notContains" id="{AA312B8D-8551-0F48-B51E-005DB83C0F7A}">
            <xm:f>ISERROR(SEARCH("Value Missing",D237))</xm:f>
            <xm:f>"Value Missing"</xm:f>
            <x14:dxf>
              <font>
                <color rgb="FF006100"/>
              </font>
              <fill>
                <patternFill>
                  <bgColor rgb="FFC6EFCE"/>
                </patternFill>
              </fill>
            </x14:dxf>
          </x14:cfRule>
          <xm:sqref>D237:D240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32D75-520F-B94C-B684-4DBD0A786D84}">
  <sheetPr codeName="Sheet19">
    <tabColor theme="4" tint="0.39997558519241921"/>
  </sheetPr>
  <dimension ref="A1:F386"/>
  <sheetViews>
    <sheetView showGridLines="0" zoomScaleNormal="100" workbookViewId="0">
      <pane ySplit="6" topLeftCell="A12" activePane="bottomLeft" state="frozen"/>
      <selection pane="bottomLeft"/>
    </sheetView>
  </sheetViews>
  <sheetFormatPr baseColWidth="10" defaultColWidth="11" defaultRowHeight="16"/>
  <cols>
    <col min="1" max="1" width="2.83203125" customWidth="1"/>
    <col min="2" max="2" width="60.83203125" customWidth="1"/>
    <col min="3" max="4" width="70.83203125" customWidth="1"/>
    <col min="5" max="5" width="82.5" bestFit="1" customWidth="1"/>
    <col min="6" max="6" width="2.83203125" customWidth="1"/>
  </cols>
  <sheetData>
    <row r="1" spans="1:6" s="3" customFormat="1" ht="16" customHeight="1">
      <c r="A1" s="6"/>
    </row>
    <row r="2" spans="1:6" s="3" customFormat="1" ht="54" customHeight="1">
      <c r="B2" s="533"/>
      <c r="C2" s="534"/>
      <c r="D2" s="495" t="s">
        <v>2384</v>
      </c>
      <c r="E2" s="496"/>
    </row>
    <row r="3" spans="1:6" s="3" customFormat="1" ht="20" customHeight="1">
      <c r="B3" s="341" t="s">
        <v>2385</v>
      </c>
      <c r="C3" s="342"/>
      <c r="D3" s="342"/>
      <c r="E3" s="343"/>
    </row>
    <row r="5" spans="1:6" ht="34" customHeight="1">
      <c r="B5" s="179" t="s">
        <v>2273</v>
      </c>
      <c r="C5" s="169" t="s">
        <v>68</v>
      </c>
      <c r="D5" s="169" t="s">
        <v>2386</v>
      </c>
      <c r="E5" s="169" t="s">
        <v>2275</v>
      </c>
    </row>
    <row r="6" spans="1:6" s="3" customFormat="1">
      <c r="D6" s="7"/>
      <c r="E6" s="5"/>
      <c r="F6" s="5"/>
    </row>
    <row r="7" spans="1:6" ht="16" customHeight="1"/>
    <row r="8" spans="1:6" ht="34" customHeight="1">
      <c r="B8" s="552" t="s">
        <v>68</v>
      </c>
      <c r="C8" s="505"/>
      <c r="D8" s="505"/>
      <c r="E8" s="505"/>
    </row>
    <row r="9" spans="1:6" ht="16" customHeight="1"/>
    <row r="10" spans="1:6" ht="34" customHeight="1">
      <c r="B10" s="344" t="s">
        <v>3524</v>
      </c>
      <c r="C10" s="344"/>
      <c r="D10" s="344"/>
      <c r="E10" s="344"/>
    </row>
    <row r="11" spans="1:6" ht="20" customHeight="1">
      <c r="B11" s="8" t="s">
        <v>735</v>
      </c>
      <c r="C11" s="8" t="s">
        <v>554</v>
      </c>
      <c r="D11" s="20" t="s">
        <v>555</v>
      </c>
      <c r="E11" s="8" t="s">
        <v>222</v>
      </c>
    </row>
    <row r="12" spans="1:6" ht="20" customHeight="1">
      <c r="B12" s="21" t="s">
        <v>3525</v>
      </c>
      <c r="C12" s="22" t="str">
        <f>CONCATENATE(sample_mgmt_vc_hostname,".",sample_region_ad_child_fqdn)</f>
        <v>sfo-m01-vc01.sfo.rainpole.io</v>
      </c>
      <c r="D12" s="18" t="str">
        <f>mgmt_vc_fqdn</f>
        <v>Value Missing.Value Missing</v>
      </c>
      <c r="E12" s="53"/>
    </row>
    <row r="13" spans="1:6" ht="20" customHeight="1">
      <c r="B13" s="21" t="s">
        <v>735</v>
      </c>
      <c r="C13" s="22" t="s">
        <v>3526</v>
      </c>
      <c r="D13" s="18" t="str">
        <f>vrslcm_xreg_content_library</f>
        <v>Operations</v>
      </c>
      <c r="E13" s="53"/>
    </row>
    <row r="14" spans="1:6" ht="20" customHeight="1">
      <c r="B14" s="21" t="s">
        <v>637</v>
      </c>
      <c r="C14" s="22" t="str">
        <f>CONCATENATE(sample_mgmt_vc_hostname,".",sample_region_ad_child_fqdn)</f>
        <v>sfo-m01-vc01.sfo.rainpole.io</v>
      </c>
      <c r="D14" s="18" t="str">
        <f>mgmt_vc_fqdn</f>
        <v>Value Missing.Value Missing</v>
      </c>
      <c r="E14" s="53"/>
    </row>
    <row r="15" spans="1:6" ht="20" customHeight="1">
      <c r="B15" s="21" t="s">
        <v>931</v>
      </c>
      <c r="C15" s="22" t="str">
        <f>sample_mgmt_cl01_vsan_datastore</f>
        <v>sfo-m01-cl01-ds-vsan01</v>
      </c>
      <c r="D15" s="18" t="str">
        <f>mgmt_cl01_vsan_datastore</f>
        <v>Value Missing</v>
      </c>
      <c r="E15" s="53"/>
    </row>
    <row r="16" spans="1:6" ht="16" customHeight="1"/>
    <row r="17" spans="2:5" ht="34" customHeight="1">
      <c r="B17" s="344" t="s">
        <v>3527</v>
      </c>
      <c r="C17" s="344"/>
      <c r="D17" s="344"/>
      <c r="E17" s="344"/>
    </row>
    <row r="18" spans="2:5" ht="20" customHeight="1">
      <c r="B18" s="8" t="s">
        <v>735</v>
      </c>
      <c r="C18" s="8" t="s">
        <v>554</v>
      </c>
      <c r="D18" s="20" t="s">
        <v>555</v>
      </c>
      <c r="E18" s="8" t="s">
        <v>222</v>
      </c>
    </row>
    <row r="19" spans="2:5" ht="20" customHeight="1">
      <c r="B19" s="21" t="s">
        <v>3525</v>
      </c>
      <c r="C19" s="22" t="str">
        <f>CONCATENATE(sample_mgmt_vc_hostname,".",sample_region_ad_child_fqdn)</f>
        <v>sfo-m01-vc01.sfo.rainpole.io</v>
      </c>
      <c r="D19" s="18" t="str">
        <f>mgmt_vc_fqdn</f>
        <v>Value Missing.Value Missing</v>
      </c>
      <c r="E19" s="53"/>
    </row>
    <row r="20" spans="2:5" ht="20" customHeight="1">
      <c r="B20" s="21" t="s">
        <v>2358</v>
      </c>
      <c r="C20" s="22" t="s">
        <v>3526</v>
      </c>
      <c r="D20" s="18" t="str">
        <f>vrslcm_xreg_content_library</f>
        <v>Operations</v>
      </c>
      <c r="E20" s="53"/>
    </row>
    <row r="21" spans="2:5" ht="16" customHeight="1"/>
    <row r="22" spans="2:5" ht="34" customHeight="1">
      <c r="B22" s="344" t="s">
        <v>3528</v>
      </c>
      <c r="C22" s="344"/>
      <c r="D22" s="344"/>
      <c r="E22" s="344"/>
    </row>
    <row r="23" spans="2:5" ht="20" customHeight="1">
      <c r="B23" s="8" t="s">
        <v>735</v>
      </c>
      <c r="C23" s="8" t="s">
        <v>554</v>
      </c>
      <c r="D23" s="20" t="s">
        <v>555</v>
      </c>
      <c r="E23" s="8" t="s">
        <v>222</v>
      </c>
    </row>
    <row r="24" spans="2:5" ht="20" customHeight="1">
      <c r="B24" s="21" t="s">
        <v>3525</v>
      </c>
      <c r="C24" s="22" t="str">
        <f>CONCATENATE(sample_mgmt_vc_hostname,".",sample_region_ad_child_fqdn)</f>
        <v>sfo-m01-vc01.sfo.rainpole.io</v>
      </c>
      <c r="D24" s="18" t="str">
        <f>mgmt_vc_fqdn</f>
        <v>Value Missing.Value Missing</v>
      </c>
      <c r="E24" s="53"/>
    </row>
    <row r="25" spans="2:5" ht="20" customHeight="1">
      <c r="B25" s="21" t="s">
        <v>2358</v>
      </c>
      <c r="C25" s="22" t="s">
        <v>3526</v>
      </c>
      <c r="D25" s="18" t="str">
        <f>vrslcm_xreg_content_library</f>
        <v>Operations</v>
      </c>
      <c r="E25" s="53"/>
    </row>
    <row r="26" spans="2:5" ht="20" customHeight="1">
      <c r="B26" s="21" t="s">
        <v>2615</v>
      </c>
      <c r="C26" s="22" t="str">
        <f>sample_xreg_vrslcm_hostname</f>
        <v>xint-lcm01</v>
      </c>
      <c r="D26" s="18" t="str">
        <f>xreg_vrslcm_hostname</f>
        <v>Value Missing</v>
      </c>
      <c r="E26" s="53"/>
    </row>
    <row r="27" spans="2:5" ht="20" customHeight="1">
      <c r="B27" s="21" t="s">
        <v>3368</v>
      </c>
      <c r="C27" s="22" t="str">
        <f>CONCATENATE(sample_xreg_vrslcm_hostname,".",sample_parent_dns_zone)</f>
        <v>xint-lcm01.rainpole.io</v>
      </c>
      <c r="D27" s="18" t="str">
        <f>xreg_vrslcm_fqdn</f>
        <v>Value Missing.Value Missing</v>
      </c>
      <c r="E27" s="53"/>
    </row>
    <row r="28" spans="2:5" ht="20" customHeight="1">
      <c r="B28" s="21" t="s">
        <v>3523</v>
      </c>
      <c r="C28" s="22" t="str">
        <f>CONCATENATE(sample_mgmt_vc_hostname,".",sample_region_ad_child_fqdn)</f>
        <v>sfo-m01-vc01.sfo.rainpole.io</v>
      </c>
      <c r="D28" s="18" t="str">
        <f>mgmt_vc_fqdn</f>
        <v>Value Missing.Value Missing</v>
      </c>
      <c r="E28" s="53"/>
    </row>
    <row r="29" spans="2:5" ht="20" customHeight="1">
      <c r="B29" s="21" t="s">
        <v>2570</v>
      </c>
      <c r="C29" s="22" t="str">
        <f>CONCATENATE(sample_mgmt_vc_hostname,"-&lt;guid&gt;")</f>
        <v>sfo-m01-vc01-&lt;guid&gt;</v>
      </c>
      <c r="D29" s="18" t="str">
        <f>CONCATENATE(mgmt_vc_hostname,"-&lt;guid&gt;")</f>
        <v>Value Missing-&lt;guid&gt;</v>
      </c>
      <c r="E29" s="53"/>
    </row>
    <row r="30" spans="2:5" ht="16" customHeight="1"/>
    <row r="31" spans="2:5" ht="34" customHeight="1">
      <c r="B31" s="344" t="s">
        <v>3529</v>
      </c>
      <c r="C31" s="344"/>
      <c r="D31" s="344"/>
      <c r="E31" s="344"/>
    </row>
    <row r="32" spans="2:5" ht="20" customHeight="1">
      <c r="B32" s="8" t="s">
        <v>735</v>
      </c>
      <c r="C32" s="8" t="s">
        <v>554</v>
      </c>
      <c r="D32" s="20" t="s">
        <v>555</v>
      </c>
      <c r="E32" s="8" t="s">
        <v>222</v>
      </c>
    </row>
    <row r="33" spans="2:5" ht="20" customHeight="1">
      <c r="B33" s="21" t="s">
        <v>3525</v>
      </c>
      <c r="C33" s="22" t="str">
        <f>CONCATENATE(sample_mgmt_vc_hostname,".",sample_region_ad_child_fqdn)</f>
        <v>sfo-m01-vc01.sfo.rainpole.io</v>
      </c>
      <c r="D33" s="18" t="str">
        <f>mgmt_vc_fqdn</f>
        <v>Value Missing.Value Missing</v>
      </c>
      <c r="E33" s="53"/>
    </row>
    <row r="34" spans="2:5" ht="20" customHeight="1">
      <c r="B34" s="21" t="s">
        <v>2615</v>
      </c>
      <c r="C34" s="22" t="str">
        <f>sample_xreg_vrslcm_hostname</f>
        <v>xint-lcm01</v>
      </c>
      <c r="D34" s="18" t="str">
        <f>xreg_vrslcm_hostname</f>
        <v>Value Missing</v>
      </c>
      <c r="E34" s="53"/>
    </row>
    <row r="35" spans="2:5" ht="16" customHeight="1"/>
    <row r="36" spans="2:5" ht="34" customHeight="1">
      <c r="B36" s="344" t="s">
        <v>4580</v>
      </c>
      <c r="C36" s="344"/>
      <c r="D36" s="344"/>
      <c r="E36" s="344"/>
    </row>
    <row r="37" spans="2:5" ht="20" customHeight="1">
      <c r="B37" s="8" t="s">
        <v>735</v>
      </c>
      <c r="C37" s="8" t="s">
        <v>554</v>
      </c>
      <c r="D37" s="20" t="s">
        <v>555</v>
      </c>
      <c r="E37" s="8" t="s">
        <v>222</v>
      </c>
    </row>
    <row r="38" spans="2:5" ht="20" customHeight="1">
      <c r="B38" s="21" t="s">
        <v>3525</v>
      </c>
      <c r="C38" s="22" t="str">
        <f>CONCATENATE(sample_mgmt_vc_hostname,".",sample_region_ad_child_fqdn)</f>
        <v>sfo-m01-vc01.sfo.rainpole.io</v>
      </c>
      <c r="D38" s="18" t="str">
        <f>mgmt_vc_fqdn</f>
        <v>Value Missing.Value Missing</v>
      </c>
      <c r="E38" s="53"/>
    </row>
    <row r="39" spans="2:5" ht="20" customHeight="1">
      <c r="B39" s="21" t="s">
        <v>735</v>
      </c>
      <c r="C39" s="22" t="s">
        <v>3526</v>
      </c>
      <c r="D39" s="18" t="str">
        <f>vrslcm_xreg_content_library</f>
        <v>Operations</v>
      </c>
      <c r="E39" s="53"/>
    </row>
    <row r="40" spans="2:5" ht="20" customHeight="1">
      <c r="B40" s="21" t="s">
        <v>637</v>
      </c>
      <c r="C40" s="22" t="str">
        <f>CONCATENATE(sample_mgmt_vc_hostname,".",sample_region_ad_child_fqdn)</f>
        <v>sfo-m01-vc01.sfo.rainpole.io</v>
      </c>
      <c r="D40" s="18" t="str">
        <f>mgmt_vc_fqdn</f>
        <v>Value Missing.Value Missing</v>
      </c>
      <c r="E40" s="53"/>
    </row>
    <row r="41" spans="2:5" ht="20" customHeight="1">
      <c r="B41" s="21" t="s">
        <v>931</v>
      </c>
      <c r="C41" s="22" t="str">
        <f>sample_mgmt_cl01_vsan_datastore</f>
        <v>sfo-m01-cl01-ds-vsan01</v>
      </c>
      <c r="D41" s="18" t="str">
        <f>mgmt_cl01_vsan_datastore</f>
        <v>Value Missing</v>
      </c>
      <c r="E41" s="53"/>
    </row>
    <row r="42" spans="2:5" ht="16" customHeight="1"/>
    <row r="43" spans="2:5" ht="34" customHeight="1">
      <c r="B43" s="344" t="s">
        <v>3343</v>
      </c>
      <c r="C43" s="344"/>
      <c r="D43" s="344"/>
      <c r="E43" s="344"/>
    </row>
    <row r="44" spans="2:5" ht="20" customHeight="1">
      <c r="B44" s="8" t="s">
        <v>735</v>
      </c>
      <c r="C44" s="8" t="s">
        <v>554</v>
      </c>
      <c r="D44" s="20" t="s">
        <v>555</v>
      </c>
      <c r="E44" s="8" t="s">
        <v>222</v>
      </c>
    </row>
    <row r="45" spans="2:5" ht="20" customHeight="1">
      <c r="B45" s="21" t="s">
        <v>3368</v>
      </c>
      <c r="C45" s="22" t="str">
        <f>CONCATENATE(sample_xreg_vrslcm_hostname,".",sample_parent_dns_zone)</f>
        <v>xint-lcm01.rainpole.io</v>
      </c>
      <c r="D45" s="18" t="str">
        <f>xreg_vrslcm_fqdn</f>
        <v>Value Missing.Value Missing</v>
      </c>
      <c r="E45" s="53"/>
    </row>
    <row r="46" spans="2:5" ht="20" customHeight="1">
      <c r="B46" s="21" t="s">
        <v>2387</v>
      </c>
      <c r="C46" s="22" t="str">
        <f>sample_vra_license_alias</f>
        <v>VMware Aria Automation</v>
      </c>
      <c r="D46" s="18" t="str">
        <f>vra_license_alias</f>
        <v>Value Missing</v>
      </c>
      <c r="E46" s="53"/>
    </row>
    <row r="47" spans="2:5" ht="20" customHeight="1">
      <c r="B47" s="21" t="s">
        <v>2388</v>
      </c>
      <c r="C47" s="22" t="str">
        <f>sample_vra_license</f>
        <v>xxxxx-xxxxx-xxxxx-xxxxx-xxxxx</v>
      </c>
      <c r="D47" s="18" t="str">
        <f>IF(NOT(ISBLANK(input_vrs_license)),vrs_license,vra_license)</f>
        <v>Value Missing</v>
      </c>
      <c r="E47" s="53"/>
    </row>
    <row r="48" spans="2:5" ht="16" customHeight="1"/>
    <row r="49" spans="2:5" ht="34" customHeight="1">
      <c r="B49" s="344" t="s">
        <v>3344</v>
      </c>
      <c r="C49" s="344"/>
      <c r="D49" s="344"/>
      <c r="E49" s="344"/>
    </row>
    <row r="50" spans="2:5" ht="20" customHeight="1">
      <c r="B50" s="8" t="s">
        <v>735</v>
      </c>
      <c r="C50" s="8" t="s">
        <v>554</v>
      </c>
      <c r="D50" s="20" t="s">
        <v>555</v>
      </c>
      <c r="E50" s="8" t="s">
        <v>222</v>
      </c>
    </row>
    <row r="51" spans="2:5" ht="20" customHeight="1">
      <c r="B51" s="21" t="s">
        <v>3368</v>
      </c>
      <c r="C51" s="22" t="str">
        <f>CONCATENATE(sample_xreg_vrslcm_hostname,".",sample_parent_dns_zone)</f>
        <v>xint-lcm01.rainpole.io</v>
      </c>
      <c r="D51" s="18" t="str">
        <f>xreg_vrslcm_fqdn</f>
        <v>Value Missing.Value Missing</v>
      </c>
      <c r="E51" s="53"/>
    </row>
    <row r="52" spans="2:5" ht="20" customHeight="1">
      <c r="B52" s="21" t="s">
        <v>735</v>
      </c>
      <c r="C52" s="22" t="str">
        <f>CONCATENATE(sample_xreg_vra_virtual_hostname,".",sample_parent_dns_zone)</f>
        <v>xint-cmp01.rainpole.io</v>
      </c>
      <c r="D52" s="18" t="str">
        <f>xreg_vra_virtual_fqdn</f>
        <v>Value Missing.Value Missing</v>
      </c>
      <c r="E52" s="53"/>
    </row>
    <row r="53" spans="2:5" ht="16" customHeight="1"/>
    <row r="54" spans="2:5" ht="34" customHeight="1">
      <c r="B54" s="344" t="s">
        <v>3345</v>
      </c>
      <c r="C54" s="344"/>
      <c r="D54" s="344"/>
      <c r="E54" s="344"/>
    </row>
    <row r="55" spans="2:5" ht="20" customHeight="1">
      <c r="B55" s="8" t="s">
        <v>735</v>
      </c>
      <c r="C55" s="8" t="s">
        <v>554</v>
      </c>
      <c r="D55" s="20" t="s">
        <v>555</v>
      </c>
      <c r="E55" s="8" t="s">
        <v>222</v>
      </c>
    </row>
    <row r="56" spans="2:5" ht="20" customHeight="1">
      <c r="B56" s="21" t="s">
        <v>3368</v>
      </c>
      <c r="C56" s="22" t="str">
        <f>CONCATENATE(sample_xreg_vrslcm_hostname,".",sample_parent_dns_zone)</f>
        <v>xint-lcm01.rainpole.io</v>
      </c>
      <c r="D56" s="18" t="str">
        <f>xreg_vrslcm_fqdn</f>
        <v>Value Missing.Value Missing</v>
      </c>
      <c r="E56" s="53"/>
    </row>
    <row r="57" spans="2:5" ht="20" customHeight="1">
      <c r="B57" s="26" t="s">
        <v>3291</v>
      </c>
      <c r="C57" s="22" t="str">
        <f>sample_xreg_vra_root_password_alias</f>
        <v>xint-cmp-root</v>
      </c>
      <c r="D57" s="18" t="str">
        <f>xreg_vra_root_password_alias</f>
        <v>Value Missing</v>
      </c>
      <c r="E57" s="53"/>
    </row>
    <row r="58" spans="2:5" ht="20" customHeight="1">
      <c r="B58" s="26" t="s">
        <v>3290</v>
      </c>
      <c r="C58" s="22" t="str">
        <f>sample_xreg_vra_root_password</f>
        <v>VMw@re1!</v>
      </c>
      <c r="D58" s="18" t="str">
        <f>xreg_vra_root_password</f>
        <v>Value Missing</v>
      </c>
      <c r="E58" s="53"/>
    </row>
    <row r="59" spans="2:5" ht="20" customHeight="1">
      <c r="B59" s="26" t="s">
        <v>3289</v>
      </c>
      <c r="C59" s="22" t="str">
        <f>xreg_vra_root_username</f>
        <v>root</v>
      </c>
      <c r="D59" s="18" t="str">
        <f>xreg_vra_root_username</f>
        <v>root</v>
      </c>
      <c r="E59" s="53"/>
    </row>
    <row r="60" spans="2:5" ht="20" customHeight="1">
      <c r="B60" s="21" t="s">
        <v>2389</v>
      </c>
      <c r="C60" s="22" t="str">
        <f>sample_vrslcm_xreg_env_password_alias</f>
        <v>xint-env-admin</v>
      </c>
      <c r="D60" s="18" t="str">
        <f>vrslcm_xreg_env_password_alias</f>
        <v>Value Missing</v>
      </c>
      <c r="E60" s="53"/>
    </row>
    <row r="61" spans="2:5" ht="20" customHeight="1">
      <c r="B61" s="26" t="s">
        <v>2390</v>
      </c>
      <c r="C61" s="22" t="str">
        <f>sample_vrslcm_xreg_env_password</f>
        <v>VMw@re1!</v>
      </c>
      <c r="D61" s="18" t="str">
        <f>vrslcm_xreg_env_password</f>
        <v>Value Missing</v>
      </c>
      <c r="E61" s="53"/>
    </row>
    <row r="62" spans="2:5" ht="20" customHeight="1">
      <c r="B62" s="26" t="s">
        <v>2391</v>
      </c>
      <c r="C62" s="22" t="str">
        <f>sample_vrslcm_xreg_admin_username</f>
        <v>admin</v>
      </c>
      <c r="D62" s="18" t="str">
        <f>vrslcm_xreg_admin_username</f>
        <v>Value Missing</v>
      </c>
      <c r="E62" s="53"/>
    </row>
    <row r="63" spans="2:5" ht="16" customHeight="1"/>
    <row r="64" spans="2:5" ht="34" customHeight="1">
      <c r="B64" s="344" t="s">
        <v>3346</v>
      </c>
      <c r="C64" s="344"/>
      <c r="D64" s="344"/>
      <c r="E64" s="344"/>
    </row>
    <row r="65" spans="2:5" ht="20" customHeight="1">
      <c r="B65" s="8" t="s">
        <v>735</v>
      </c>
      <c r="C65" s="8" t="s">
        <v>554</v>
      </c>
      <c r="D65" s="20" t="s">
        <v>555</v>
      </c>
      <c r="E65" s="8" t="s">
        <v>222</v>
      </c>
    </row>
    <row r="66" spans="2:5" ht="20" customHeight="1">
      <c r="B66" s="21" t="s">
        <v>3368</v>
      </c>
      <c r="C66" s="22" t="str">
        <f>CONCATENATE(sample_xreg_vrslcm_hostname,".",sample_parent_dns_zone)</f>
        <v>xint-lcm01.rainpole.io</v>
      </c>
      <c r="D66" s="18" t="str">
        <f>xreg_vrslcm_fqdn</f>
        <v>Value Missing.Value Missing</v>
      </c>
      <c r="E66" s="53"/>
    </row>
    <row r="67" spans="2:5" ht="20" customHeight="1">
      <c r="B67" s="419" t="s">
        <v>3620</v>
      </c>
      <c r="C67" s="420"/>
      <c r="D67" s="420"/>
      <c r="E67" s="421"/>
    </row>
    <row r="68" spans="2:5" ht="20" customHeight="1">
      <c r="B68" s="21" t="s">
        <v>3461</v>
      </c>
      <c r="C68" s="22" t="str">
        <f>sample_xreg_vra_virtual_ip</f>
        <v>192.168.11.50</v>
      </c>
      <c r="D68" s="18" t="str">
        <f>xreg_vra_virtual_ip</f>
        <v>Value Missing</v>
      </c>
      <c r="E68" s="53"/>
    </row>
    <row r="69" spans="2:5" ht="20" customHeight="1">
      <c r="B69" s="21" t="s">
        <v>3462</v>
      </c>
      <c r="C69" s="22" t="str">
        <f>CONCATENATE(sample_xreg_vra_virtual_hostname,".",sample_parent_dns_zone)</f>
        <v>xint-cmp01.rainpole.io</v>
      </c>
      <c r="D69" s="18" t="str">
        <f>xreg_vra_virtual_fqdn</f>
        <v>Value Missing.Value Missing</v>
      </c>
      <c r="E69" s="53"/>
    </row>
    <row r="70" spans="2:5" ht="20" customHeight="1">
      <c r="B70" s="419" t="s">
        <v>3625</v>
      </c>
      <c r="C70" s="420"/>
      <c r="D70" s="420"/>
      <c r="E70" s="421"/>
    </row>
    <row r="71" spans="2:5" ht="20" customHeight="1">
      <c r="B71" s="21" t="s">
        <v>2392</v>
      </c>
      <c r="C71" s="22" t="str">
        <f>sample_vrslcm_xreg_env</f>
        <v>xint-env</v>
      </c>
      <c r="D71" s="18" t="str">
        <f>vrslcm_xreg_env</f>
        <v>Value Missing</v>
      </c>
      <c r="E71" s="176" t="s">
        <v>3626</v>
      </c>
    </row>
    <row r="72" spans="2:5" ht="20" customHeight="1">
      <c r="B72" s="26" t="s">
        <v>2393</v>
      </c>
      <c r="C72" s="22" t="str">
        <f>sample_vrslcm_xreg_env_password_alias</f>
        <v>xint-env-admin</v>
      </c>
      <c r="D72" s="18" t="str">
        <f>vrslcm_xreg_env_password_alias</f>
        <v>Value Missing</v>
      </c>
      <c r="E72" s="176" t="s">
        <v>3626</v>
      </c>
    </row>
    <row r="73" spans="2:5" ht="20" customHeight="1">
      <c r="B73" s="26" t="s">
        <v>841</v>
      </c>
      <c r="C73" s="22" t="str">
        <f>sample_vrslcm_xreg_dc</f>
        <v>xint-m01-dc01</v>
      </c>
      <c r="D73" s="18" t="str">
        <f>vrslcm_xreg_dc</f>
        <v>Value Missing</v>
      </c>
      <c r="E73" s="176" t="s">
        <v>3626</v>
      </c>
    </row>
    <row r="74" spans="2:5" ht="20" customHeight="1">
      <c r="B74" s="26" t="s">
        <v>2364</v>
      </c>
      <c r="C74" s="22" t="str">
        <f>sample_vra_license_alias</f>
        <v>VMware Aria Automation</v>
      </c>
      <c r="D74" s="18" t="str">
        <f>vra_license_alias</f>
        <v>Value Missing</v>
      </c>
      <c r="E74" s="53"/>
    </row>
    <row r="75" spans="2:5" ht="20" customHeight="1">
      <c r="B75" s="26" t="s">
        <v>2109</v>
      </c>
      <c r="C75" s="22" t="str">
        <f>CONCATENATE(sample_xreg_vra_virtual_hostname,".",sample_parent_dns_zone)</f>
        <v>xint-cmp01.rainpole.io</v>
      </c>
      <c r="D75" s="18" t="str">
        <f>xreg_vra_virtual_fqdn</f>
        <v>Value Missing.Value Missing</v>
      </c>
      <c r="E75" s="53"/>
    </row>
    <row r="76" spans="2:5" ht="20" customHeight="1">
      <c r="B76" s="21" t="s">
        <v>2110</v>
      </c>
      <c r="C76" s="22" t="str">
        <f>CONCATENATE(sample_mgmt_datacenter,"#",sample_mgmt_cl01_cluster)</f>
        <v>sfo-m01-dc01#sfo-m01-cl01</v>
      </c>
      <c r="D76" s="18" t="str">
        <f>CONCATENATE(mgmt_datacenter,"#",mgmt_cl01_cluster)</f>
        <v>Value Missing#Value Missing</v>
      </c>
      <c r="E76" s="53"/>
    </row>
    <row r="77" spans="2:5" ht="20" customHeight="1">
      <c r="B77" s="26" t="s">
        <v>2394</v>
      </c>
      <c r="C77" s="22" t="str">
        <f>sample_xreg_vra_appliance_size</f>
        <v>Medium</v>
      </c>
      <c r="D77" s="18" t="str">
        <f>xreg_vra_appliance_size</f>
        <v>Medium</v>
      </c>
      <c r="E77" s="53"/>
    </row>
    <row r="78" spans="2:5" ht="20" customHeight="1">
      <c r="B78" s="26" t="s">
        <v>2109</v>
      </c>
      <c r="C78" s="22" t="str">
        <f>sample_xreg_vra_virtual_hostname</f>
        <v>xint-cmp01</v>
      </c>
      <c r="D78" s="18" t="str">
        <f>xreg_vra_virtual_hostname</f>
        <v>Value Missing</v>
      </c>
      <c r="E78" s="53"/>
    </row>
    <row r="79" spans="2:5" ht="20" customHeight="1">
      <c r="B79" s="26" t="s">
        <v>2395</v>
      </c>
      <c r="C79" s="22" t="str">
        <f>sample_xreg_vra_root_password_alias</f>
        <v>xint-cmp-root</v>
      </c>
      <c r="D79" s="18" t="str">
        <f>xreg_vra_root_password_alias</f>
        <v>Value Missing</v>
      </c>
      <c r="E79" s="53"/>
    </row>
    <row r="80" spans="2:5" ht="20" customHeight="1">
      <c r="B80" s="26" t="s">
        <v>2396</v>
      </c>
      <c r="C80" s="22" t="str">
        <f>sample_xreg_vra_k8s_cluster_cidr</f>
        <v>10.244.0.0/22</v>
      </c>
      <c r="D80" s="18" t="str">
        <f>xreg_vra_k8s_cluster_cidr</f>
        <v>Value Missing</v>
      </c>
      <c r="E80" s="53"/>
    </row>
    <row r="81" spans="2:5" ht="20" customHeight="1">
      <c r="B81" s="26" t="s">
        <v>2397</v>
      </c>
      <c r="C81" s="22" t="str">
        <f>sample_xreg_vra_k8s_service_cidr</f>
        <v>10.244.4.0/22</v>
      </c>
      <c r="D81" s="18" t="str">
        <f>xreg_vra_k8s_service_cidr</f>
        <v>Value Missing</v>
      </c>
      <c r="E81" s="53"/>
    </row>
    <row r="82" spans="2:5" ht="20" customHeight="1">
      <c r="B82" s="26" t="s">
        <v>2398</v>
      </c>
      <c r="C82" s="22" t="str">
        <f>CONCATENATE(sample_xreg_vra_virtual_hostname,".",sample_parent_dns_zone)</f>
        <v>xint-cmp01.rainpole.io</v>
      </c>
      <c r="D82" s="18" t="str">
        <f>xreg_vra_virtual_fqdn</f>
        <v>Value Missing.Value Missing</v>
      </c>
      <c r="E82" s="53"/>
    </row>
    <row r="83" spans="2:5" ht="20" customHeight="1">
      <c r="B83" s="26" t="s">
        <v>2399</v>
      </c>
      <c r="C83" s="22" t="str">
        <f>sample_xreg_vra_nodea_hostname</f>
        <v>xint-cmp01a</v>
      </c>
      <c r="D83" s="18" t="str">
        <f>xreg_vra_nodea_hostname</f>
        <v>Value Missing</v>
      </c>
      <c r="E83" s="53"/>
    </row>
    <row r="84" spans="2:5" ht="20" customHeight="1">
      <c r="B84" s="26" t="s">
        <v>2400</v>
      </c>
      <c r="C84" s="22" t="str">
        <f>CONCATENATE(sample_xreg_vra_nodea_hostname,".",sample_parent_dns_zone)</f>
        <v>xint-cmp01a.rainpole.io</v>
      </c>
      <c r="D84" s="18" t="str">
        <f>xreg_vra_nodea_fqdn</f>
        <v>Value Missing.Value Missing</v>
      </c>
      <c r="E84" s="53"/>
    </row>
    <row r="85" spans="2:5" ht="20" customHeight="1">
      <c r="B85" s="26" t="s">
        <v>2401</v>
      </c>
      <c r="C85" s="22" t="str">
        <f>sample_xreg_vra_nodea_ip</f>
        <v>192.168.11.51</v>
      </c>
      <c r="D85" s="18" t="str">
        <f>xreg_vra_nodea_ip</f>
        <v>Value Missing</v>
      </c>
      <c r="E85" s="53"/>
    </row>
    <row r="86" spans="2:5" ht="20" customHeight="1">
      <c r="B86" s="26" t="s">
        <v>2402</v>
      </c>
      <c r="C86" s="22" t="str">
        <f>sample_xreg_vra_nodeb_hostname</f>
        <v>xint-cmp01b</v>
      </c>
      <c r="D86" s="18" t="str">
        <f>xreg_vra_nodeb_hostname</f>
        <v>Value Missing</v>
      </c>
      <c r="E86" s="53"/>
    </row>
    <row r="87" spans="2:5" ht="20" customHeight="1">
      <c r="B87" s="26" t="s">
        <v>2403</v>
      </c>
      <c r="C87" s="22" t="str">
        <f>CONCATENATE(sample_xreg_vra_nodeb_hostname,".",sample_parent_dns_zone)</f>
        <v>xint-cmp01b.rainpole.io</v>
      </c>
      <c r="D87" s="18" t="str">
        <f>xreg_vra_nodeb_fqdn</f>
        <v>Value Missing.Value Missing</v>
      </c>
      <c r="E87" s="53"/>
    </row>
    <row r="88" spans="2:5" ht="20" customHeight="1">
      <c r="B88" s="26" t="s">
        <v>2404</v>
      </c>
      <c r="C88" s="22" t="str">
        <f>sample_xreg_vra_nodeb_ip</f>
        <v>192.168.11.52</v>
      </c>
      <c r="D88" s="18" t="str">
        <f>xreg_vra_nodeb_ip</f>
        <v>Value Missing</v>
      </c>
      <c r="E88" s="53"/>
    </row>
    <row r="89" spans="2:5" ht="20" customHeight="1">
      <c r="B89" s="26" t="s">
        <v>2405</v>
      </c>
      <c r="C89" s="22" t="str">
        <f>sample_xreg_vra_nodec_hostname</f>
        <v>xint-cmp01c</v>
      </c>
      <c r="D89" s="18" t="str">
        <f>xreg_vra_nodec_hostname</f>
        <v>Value Missing</v>
      </c>
      <c r="E89" s="53"/>
    </row>
    <row r="90" spans="2:5" ht="20" customHeight="1">
      <c r="B90" s="26" t="s">
        <v>2406</v>
      </c>
      <c r="C90" s="22" t="str">
        <f>CONCATENATE(sample_xreg_vra_nodec_hostname,".",sample_parent_dns_zone)</f>
        <v>xint-cmp01c.rainpole.io</v>
      </c>
      <c r="D90" s="18" t="str">
        <f>xreg_vra_nodec_fqdn</f>
        <v>Value Missing.Value Missing</v>
      </c>
      <c r="E90" s="53"/>
    </row>
    <row r="91" spans="2:5" ht="20" customHeight="1">
      <c r="B91" s="26" t="s">
        <v>2407</v>
      </c>
      <c r="C91" s="22" t="str">
        <f>sample_xreg_vra_nodec_ip</f>
        <v>192.168.11.53</v>
      </c>
      <c r="D91" s="18" t="str">
        <f>xreg_vra_nodec_ip</f>
        <v>Value Missing</v>
      </c>
      <c r="E91" s="53"/>
    </row>
    <row r="92" spans="2:5" ht="16" customHeight="1"/>
    <row r="93" spans="2:5" ht="34" customHeight="1">
      <c r="B93" s="344" t="s">
        <v>3254</v>
      </c>
      <c r="C93" s="344"/>
      <c r="D93" s="344"/>
      <c r="E93" s="344"/>
    </row>
    <row r="94" spans="2:5" ht="20" customHeight="1">
      <c r="B94" s="8" t="s">
        <v>735</v>
      </c>
      <c r="C94" s="8" t="s">
        <v>554</v>
      </c>
      <c r="D94" s="20" t="s">
        <v>555</v>
      </c>
      <c r="E94" s="8" t="s">
        <v>222</v>
      </c>
    </row>
    <row r="95" spans="2:5" ht="20" customHeight="1">
      <c r="B95" s="21" t="s">
        <v>2286</v>
      </c>
      <c r="C95" s="22" t="str">
        <f>CONCATENATE(sample_mgmt_vc_hostname,".",sample_child_dns_zone)</f>
        <v>sfo-m01-vc01.sfo.rainpole.io</v>
      </c>
      <c r="D95" s="18" t="str">
        <f>mgmt_vc_fqdn</f>
        <v>Value Missing.Value Missing</v>
      </c>
      <c r="E95" s="53"/>
    </row>
    <row r="96" spans="2:5" ht="20" customHeight="1">
      <c r="B96" s="21" t="s">
        <v>841</v>
      </c>
      <c r="C96" s="22" t="str">
        <f>sample_mgmt_datacenter</f>
        <v>sfo-m01-dc01</v>
      </c>
      <c r="D96" s="18" t="str">
        <f>mgmt_datacenter</f>
        <v>Value Missing</v>
      </c>
      <c r="E96" s="53"/>
    </row>
    <row r="97" spans="2:5" ht="20" customHeight="1">
      <c r="B97" s="26" t="s">
        <v>2296</v>
      </c>
      <c r="C97" s="22" t="str">
        <f>sample_xreg_vra_vm_folder</f>
        <v>xint-m01-fd-automation</v>
      </c>
      <c r="D97" s="18" t="str">
        <f>xreg_vra_vm_folder</f>
        <v>Value Missing</v>
      </c>
      <c r="E97" s="53"/>
    </row>
    <row r="98" spans="2:5" ht="16" customHeight="1"/>
    <row r="99" spans="2:5" ht="34" customHeight="1">
      <c r="B99" s="486" t="s">
        <v>3255</v>
      </c>
      <c r="C99" s="344"/>
      <c r="D99" s="344"/>
      <c r="E99" s="344"/>
    </row>
    <row r="100" spans="2:5" ht="20" customHeight="1">
      <c r="B100" s="8" t="s">
        <v>735</v>
      </c>
      <c r="C100" s="8" t="s">
        <v>554</v>
      </c>
      <c r="D100" s="20" t="s">
        <v>555</v>
      </c>
      <c r="E100" s="8" t="s">
        <v>222</v>
      </c>
    </row>
    <row r="101" spans="2:5" ht="20" customHeight="1">
      <c r="B101" s="21" t="s">
        <v>2286</v>
      </c>
      <c r="C101" s="22" t="str">
        <f>CONCATENATE(sample_mgmt_vc_hostname,".",sample_child_dns_zone)</f>
        <v>sfo-m01-vc01.sfo.rainpole.io</v>
      </c>
      <c r="D101" s="18" t="str">
        <f>mgmt_vc_fqdn</f>
        <v>Value Missing.Value Missing</v>
      </c>
      <c r="E101" s="53"/>
    </row>
    <row r="102" spans="2:5" ht="20" customHeight="1">
      <c r="B102" s="21" t="s">
        <v>841</v>
      </c>
      <c r="C102" s="22" t="str">
        <f>sample_mgmt_datacenter</f>
        <v>sfo-m01-dc01</v>
      </c>
      <c r="D102" s="18" t="str">
        <f>mgmt_datacenter</f>
        <v>Value Missing</v>
      </c>
      <c r="E102" s="53"/>
    </row>
    <row r="103" spans="2:5" ht="20" customHeight="1">
      <c r="B103" s="26" t="s">
        <v>3286</v>
      </c>
      <c r="C103" s="22" t="str">
        <f>sample_xreg_vra_nodea_hostname</f>
        <v>xint-cmp01a</v>
      </c>
      <c r="D103" s="18" t="str">
        <f>xreg_vra_nodea_hostname</f>
        <v>Value Missing</v>
      </c>
      <c r="E103" s="53"/>
    </row>
    <row r="104" spans="2:5" ht="20" customHeight="1">
      <c r="B104" s="26" t="s">
        <v>3287</v>
      </c>
      <c r="C104" s="22" t="str">
        <f>sample_xreg_vra_nodeb_hostname</f>
        <v>xint-cmp01b</v>
      </c>
      <c r="D104" s="18" t="str">
        <f>xreg_vra_nodeb_hostname</f>
        <v>Value Missing</v>
      </c>
      <c r="E104" s="53"/>
    </row>
    <row r="105" spans="2:5" ht="20" customHeight="1">
      <c r="B105" s="26" t="s">
        <v>3288</v>
      </c>
      <c r="C105" s="22" t="str">
        <f>sample_xreg_vra_nodec_hostname</f>
        <v>xint-cmp01c</v>
      </c>
      <c r="D105" s="18" t="str">
        <f>xreg_vra_nodec_hostname</f>
        <v>Value Missing</v>
      </c>
      <c r="E105" s="53"/>
    </row>
    <row r="106" spans="2:5" ht="20" customHeight="1">
      <c r="B106" s="26" t="s">
        <v>2296</v>
      </c>
      <c r="C106" s="22" t="str">
        <f>sample_xreg_vra_vm_folder</f>
        <v>xint-m01-fd-automation</v>
      </c>
      <c r="D106" s="18" t="str">
        <f>xreg_vra_vm_folder</f>
        <v>Value Missing</v>
      </c>
      <c r="E106" s="53"/>
    </row>
    <row r="107" spans="2:5" ht="16" customHeight="1"/>
    <row r="108" spans="2:5" ht="34" customHeight="1">
      <c r="B108" s="344" t="s">
        <v>3256</v>
      </c>
      <c r="C108" s="344"/>
      <c r="D108" s="344"/>
      <c r="E108" s="344"/>
    </row>
    <row r="109" spans="2:5" ht="20" customHeight="1">
      <c r="B109" s="8" t="s">
        <v>735</v>
      </c>
      <c r="C109" s="8" t="s">
        <v>554</v>
      </c>
      <c r="D109" s="20" t="s">
        <v>555</v>
      </c>
      <c r="E109" s="8" t="s">
        <v>222</v>
      </c>
    </row>
    <row r="110" spans="2:5" ht="20" customHeight="1">
      <c r="B110" s="21" t="s">
        <v>2408</v>
      </c>
      <c r="C110" s="22" t="str">
        <f>IF(mgmt_consolidated_result="Included",CONCATENATE(sample_mgmt_vc_hostname,".",sample_child_dns_zone),CONCATENATE(sample_wld_vc_hostname,".",sample_child_dns_zone))</f>
        <v>sfo-w01-vc01.sfo.rainpole.io</v>
      </c>
      <c r="D110" s="18" t="str">
        <f>IF(mgmt_consolidated_result="Included",mgmt_vc_fqdn,wld_vc_fqdn)</f>
        <v>Value Missing.Value Missing</v>
      </c>
      <c r="E110" s="53"/>
    </row>
    <row r="111" spans="2:5" ht="20" customHeight="1">
      <c r="B111" s="21" t="s">
        <v>637</v>
      </c>
      <c r="C111" s="22" t="str">
        <f>IF(mgmt_consolidated_result="Included",CONCATENATE(sample_mgmt_vc_hostname,".",sample_child_dns_zone),CONCATENATE(sample_wld_vc_hostname,".",sample_child_dns_zone))</f>
        <v>sfo-w01-vc01.sfo.rainpole.io</v>
      </c>
      <c r="D111" s="18" t="str">
        <f>IF(mgmt_consolidated_result="Included",mgmt_vc_fqdn,wld_vc_fqdn)</f>
        <v>Value Missing.Value Missing</v>
      </c>
      <c r="E111" s="53"/>
    </row>
    <row r="112" spans="2:5" ht="20" customHeight="1">
      <c r="B112" s="21" t="s">
        <v>841</v>
      </c>
      <c r="C112" s="22" t="str">
        <f>sample_wld_datacenter</f>
        <v>sfo-w01-DC</v>
      </c>
      <c r="D112" s="18" t="str">
        <f>wld_datacenter</f>
        <v>Value Missing</v>
      </c>
      <c r="E112" s="53"/>
    </row>
    <row r="113" spans="2:5" ht="20" customHeight="1">
      <c r="B113" s="26" t="s">
        <v>2296</v>
      </c>
      <c r="C113" s="22" t="str">
        <f>sample_wld_vra_vm_folder</f>
        <v>sfo-w01-fd-workload</v>
      </c>
      <c r="D113" s="18" t="str">
        <f>wld_vra_vm_folder</f>
        <v>Value Missing</v>
      </c>
      <c r="E113" s="53"/>
    </row>
    <row r="114" spans="2:5" ht="20" customHeight="1">
      <c r="B114" s="26" t="s">
        <v>843</v>
      </c>
      <c r="C114" s="22" t="str">
        <f>IF(mgmt_consolidated_result="Included",sample_mgmt_cl01_cluster,sample_wld_cl01_cluster)</f>
        <v>sfo-w01-cl01</v>
      </c>
      <c r="D114" s="18" t="str">
        <f>IF(mgmt_consolidated_result="Included",mgmt_cl01_cluster,wld_cl01_cluster)</f>
        <v>Value Missing</v>
      </c>
      <c r="E114" s="53"/>
    </row>
    <row r="115" spans="2:5" ht="20" customHeight="1">
      <c r="B115" s="26" t="s">
        <v>2409</v>
      </c>
      <c r="C115" s="22" t="str">
        <f>sample_wld_vra_vm_rp</f>
        <v>sfo-w01-cl01-rp-workload</v>
      </c>
      <c r="D115" s="18" t="str">
        <f>wld_vra_vm_rp</f>
        <v>Value Missing</v>
      </c>
      <c r="E115" s="53"/>
    </row>
    <row r="116" spans="2:5" ht="16" customHeight="1"/>
    <row r="117" spans="2:5" ht="34" customHeight="1">
      <c r="B117" s="344" t="s">
        <v>3257</v>
      </c>
      <c r="C117" s="344"/>
      <c r="D117" s="344"/>
      <c r="E117" s="344"/>
    </row>
    <row r="118" spans="2:5" ht="20" customHeight="1">
      <c r="B118" s="8" t="s">
        <v>735</v>
      </c>
      <c r="C118" s="8" t="s">
        <v>554</v>
      </c>
      <c r="D118" s="20" t="s">
        <v>555</v>
      </c>
      <c r="E118" s="8" t="s">
        <v>222</v>
      </c>
    </row>
    <row r="119" spans="2:5" ht="20" customHeight="1">
      <c r="B119" s="21" t="s">
        <v>2286</v>
      </c>
      <c r="C119" s="22" t="str">
        <f>CONCATENATE(sample_mgmt_vc_hostname,".",sample_child_dns_zone)</f>
        <v>sfo-m01-vc01.sfo.rainpole.io</v>
      </c>
      <c r="D119" s="18" t="str">
        <f>mgmt_vc_fqdn</f>
        <v>Value Missing.Value Missing</v>
      </c>
      <c r="E119" s="53"/>
    </row>
    <row r="120" spans="2:5" ht="20" customHeight="1">
      <c r="B120" s="21" t="s">
        <v>841</v>
      </c>
      <c r="C120" s="22" t="str">
        <f>sample_mgmt_datacenter</f>
        <v>sfo-m01-dc01</v>
      </c>
      <c r="D120" s="18" t="str">
        <f>mgmt_datacenter</f>
        <v>Value Missing</v>
      </c>
      <c r="E120" s="53"/>
    </row>
    <row r="121" spans="2:5" ht="20" customHeight="1">
      <c r="B121" s="26" t="s">
        <v>843</v>
      </c>
      <c r="C121" s="22" t="str">
        <f>sample_mgmt_cl01_cluster</f>
        <v>sfo-m01-cl01</v>
      </c>
      <c r="D121" s="18" t="str">
        <f>mgmt_cl01_cluster</f>
        <v>Value Missing</v>
      </c>
      <c r="E121" s="53"/>
    </row>
    <row r="122" spans="2:5" ht="20" customHeight="1">
      <c r="B122" s="26" t="s">
        <v>735</v>
      </c>
      <c r="C122" s="22" t="str">
        <f>sample_xreg_vra_anti_affinity_rule</f>
        <v>anti-affinity-rule-automation</v>
      </c>
      <c r="D122" s="18" t="str">
        <f>xreg_vra_anti_affinity_rule</f>
        <v>Value Missing</v>
      </c>
      <c r="E122" s="53"/>
    </row>
    <row r="123" spans="2:5" ht="20" customHeight="1">
      <c r="B123" s="26" t="s">
        <v>2410</v>
      </c>
      <c r="C123" s="22" t="str">
        <f>sample_xreg_vra_nodea_hostname</f>
        <v>xint-cmp01a</v>
      </c>
      <c r="D123" s="18" t="str">
        <f>xreg_vra_nodea_hostname</f>
        <v>Value Missing</v>
      </c>
      <c r="E123" s="53"/>
    </row>
    <row r="124" spans="2:5" ht="20" customHeight="1">
      <c r="B124" s="21" t="s">
        <v>2410</v>
      </c>
      <c r="C124" s="22" t="str">
        <f>sample_xreg_vra_nodeb_hostname</f>
        <v>xint-cmp01b</v>
      </c>
      <c r="D124" s="18" t="str">
        <f>xreg_vra_nodeb_hostname</f>
        <v>Value Missing</v>
      </c>
      <c r="E124" s="53"/>
    </row>
    <row r="125" spans="2:5" ht="20" customHeight="1">
      <c r="B125" s="21" t="s">
        <v>2410</v>
      </c>
      <c r="C125" s="22" t="str">
        <f>sample_xreg_vra_nodec_hostname</f>
        <v>xint-cmp01c</v>
      </c>
      <c r="D125" s="18" t="str">
        <f>xreg_vra_nodec_hostname</f>
        <v>Value Missing</v>
      </c>
      <c r="E125" s="53"/>
    </row>
    <row r="126" spans="2:5" ht="16" customHeight="1"/>
    <row r="127" spans="2:5" ht="34" customHeight="1">
      <c r="B127" s="344" t="s">
        <v>3258</v>
      </c>
      <c r="C127" s="344"/>
      <c r="D127" s="344"/>
      <c r="E127" s="344"/>
    </row>
    <row r="128" spans="2:5" ht="20" customHeight="1">
      <c r="B128" s="8" t="s">
        <v>735</v>
      </c>
      <c r="C128" s="8" t="s">
        <v>554</v>
      </c>
      <c r="D128" s="20" t="s">
        <v>555</v>
      </c>
      <c r="E128" s="8" t="s">
        <v>222</v>
      </c>
    </row>
    <row r="129" spans="2:5" ht="20" customHeight="1">
      <c r="B129" s="21" t="s">
        <v>2286</v>
      </c>
      <c r="C129" s="22" t="str">
        <f>CONCATENATE(sample_mgmt_vc_hostname,".",sample_child_dns_zone)</f>
        <v>sfo-m01-vc01.sfo.rainpole.io</v>
      </c>
      <c r="D129" s="18" t="str">
        <f>mgmt_vc_fqdn</f>
        <v>Value Missing.Value Missing</v>
      </c>
      <c r="E129" s="53"/>
    </row>
    <row r="130" spans="2:5" ht="20" customHeight="1">
      <c r="B130" s="21" t="s">
        <v>841</v>
      </c>
      <c r="C130" s="22" t="str">
        <f>sample_mgmt_datacenter</f>
        <v>sfo-m01-dc01</v>
      </c>
      <c r="D130" s="18" t="str">
        <f>mgmt_datacenter</f>
        <v>Value Missing</v>
      </c>
      <c r="E130" s="53"/>
    </row>
    <row r="131" spans="2:5" ht="20" customHeight="1">
      <c r="B131" s="26" t="s">
        <v>843</v>
      </c>
      <c r="C131" s="22" t="str">
        <f>sample_mgmt_cl01_cluster</f>
        <v>sfo-m01-cl01</v>
      </c>
      <c r="D131" s="18" t="str">
        <f>mgmt_cl01_cluster</f>
        <v>Value Missing</v>
      </c>
      <c r="E131" s="53"/>
    </row>
    <row r="132" spans="2:5" ht="20" customHeight="1">
      <c r="B132" s="26" t="s">
        <v>735</v>
      </c>
      <c r="C132" s="22" t="str">
        <f>xreg_vra_vm_group_name</f>
        <v>xint-vm-group-automation</v>
      </c>
      <c r="D132" s="18" t="str">
        <f>xreg_vra_vm_group_name</f>
        <v>xint-vm-group-automation</v>
      </c>
      <c r="E132" s="53"/>
    </row>
    <row r="133" spans="2:5" ht="20" customHeight="1">
      <c r="B133" s="26" t="s">
        <v>2410</v>
      </c>
      <c r="C133" s="22" t="str">
        <f>sample_xreg_vra_nodea_hostname</f>
        <v>xint-cmp01a</v>
      </c>
      <c r="D133" s="18" t="str">
        <f>xreg_vra_nodea_hostname</f>
        <v>Value Missing</v>
      </c>
      <c r="E133" s="53"/>
    </row>
    <row r="134" spans="2:5" ht="20" customHeight="1">
      <c r="B134" s="21" t="s">
        <v>2410</v>
      </c>
      <c r="C134" s="22" t="str">
        <f>sample_xreg_vra_nodeb_hostname</f>
        <v>xint-cmp01b</v>
      </c>
      <c r="D134" s="18" t="str">
        <f>xreg_vra_nodeb_hostname</f>
        <v>Value Missing</v>
      </c>
      <c r="E134" s="53"/>
    </row>
    <row r="135" spans="2:5" ht="20" customHeight="1">
      <c r="B135" s="21" t="s">
        <v>2410</v>
      </c>
      <c r="C135" s="22" t="str">
        <f>sample_xreg_vra_nodec_hostname</f>
        <v>xint-cmp01c</v>
      </c>
      <c r="D135" s="18" t="str">
        <f>xreg_vra_nodec_hostname</f>
        <v>Value Missing</v>
      </c>
      <c r="E135" s="53"/>
    </row>
    <row r="136" spans="2:5" ht="20" customHeight="1">
      <c r="B136" s="21" t="s">
        <v>735</v>
      </c>
      <c r="C136" s="22" t="str">
        <f>sample_xreg_vra_vm_vm_rule</f>
        <v>vm-vm-rule-idm-automation</v>
      </c>
      <c r="D136" s="18" t="str">
        <f>xreg_vra_vm_vm_rule</f>
        <v>Value Missing</v>
      </c>
      <c r="E136" s="53"/>
    </row>
    <row r="137" spans="2:5" ht="20" customHeight="1">
      <c r="B137" s="26" t="s">
        <v>2411</v>
      </c>
      <c r="C137" s="22" t="str">
        <f>xreg_wsa_vm_group_name</f>
        <v>xint-vm-group-idm</v>
      </c>
      <c r="D137" s="18" t="str">
        <f>xreg_wsa_vm_group_name</f>
        <v>xint-vm-group-idm</v>
      </c>
      <c r="E137" s="53"/>
    </row>
    <row r="138" spans="2:5" ht="20" customHeight="1">
      <c r="B138" s="26" t="s">
        <v>2412</v>
      </c>
      <c r="C138" s="22" t="str">
        <f>xreg_vra_vm_group_name</f>
        <v>xint-vm-group-automation</v>
      </c>
      <c r="D138" s="18" t="str">
        <f>xreg_vra_vm_group_name</f>
        <v>xint-vm-group-automation</v>
      </c>
      <c r="E138" s="53"/>
    </row>
    <row r="139" spans="2:5" ht="16" customHeight="1"/>
    <row r="140" spans="2:5" ht="34" customHeight="1">
      <c r="B140" s="344" t="s">
        <v>3259</v>
      </c>
      <c r="C140" s="344"/>
      <c r="D140" s="344"/>
      <c r="E140" s="344"/>
    </row>
    <row r="141" spans="2:5" ht="20" customHeight="1">
      <c r="B141" s="8" t="s">
        <v>735</v>
      </c>
      <c r="C141" s="8" t="s">
        <v>554</v>
      </c>
      <c r="D141" s="20" t="s">
        <v>555</v>
      </c>
      <c r="E141" s="8" t="s">
        <v>222</v>
      </c>
    </row>
    <row r="142" spans="2:5" ht="20" customHeight="1">
      <c r="B142" s="21" t="s">
        <v>2286</v>
      </c>
      <c r="C142" s="22" t="str">
        <f>CONCATENATE(sample_mgmt_vc_hostname,".",sample_child_dns_zone)</f>
        <v>sfo-m01-vc01.sfo.rainpole.io</v>
      </c>
      <c r="D142" s="18" t="str">
        <f>mgmt_vc_fqdn</f>
        <v>Value Missing.Value Missing</v>
      </c>
      <c r="E142" s="53"/>
    </row>
    <row r="143" spans="2:5" ht="20" customHeight="1">
      <c r="B143" s="21" t="s">
        <v>841</v>
      </c>
      <c r="C143" s="22" t="str">
        <f>sample_mgmt_datacenter</f>
        <v>sfo-m01-dc01</v>
      </c>
      <c r="D143" s="18" t="str">
        <f>mgmt_datacenter</f>
        <v>Value Missing</v>
      </c>
      <c r="E143" s="53"/>
    </row>
    <row r="144" spans="2:5" ht="20" customHeight="1">
      <c r="B144" s="26" t="s">
        <v>843</v>
      </c>
      <c r="C144" s="22" t="str">
        <f>sample_mgmt_cl01_cluster</f>
        <v>sfo-m01-cl01</v>
      </c>
      <c r="D144" s="18" t="str">
        <f>mgmt_cl01_cluster</f>
        <v>Value Missing</v>
      </c>
      <c r="E144" s="53"/>
    </row>
    <row r="145" spans="2:5" ht="20" customHeight="1">
      <c r="B145" s="21" t="s">
        <v>735</v>
      </c>
      <c r="C145" s="22" t="str">
        <f>CONCATENATE(sample_mgmt_cl01_cluster,"_primary-az-vmgroup")</f>
        <v>sfo-m01-cl01_primary-az-vmgroup</v>
      </c>
      <c r="D145" s="18" t="str">
        <f>mgmt_az1_vm_group_name</f>
        <v>Value Missing</v>
      </c>
      <c r="E145" s="71"/>
    </row>
    <row r="146" spans="2:5" ht="20" customHeight="1">
      <c r="B146" s="26" t="s">
        <v>2410</v>
      </c>
      <c r="C146" s="22" t="str">
        <f>sample_xreg_vra_nodea_hostname</f>
        <v>xint-cmp01a</v>
      </c>
      <c r="D146" s="18" t="str">
        <f>xreg_vra_nodea_hostname</f>
        <v>Value Missing</v>
      </c>
      <c r="E146" s="53"/>
    </row>
    <row r="147" spans="2:5" ht="20" customHeight="1">
      <c r="B147" s="21" t="s">
        <v>2410</v>
      </c>
      <c r="C147" s="22" t="str">
        <f>sample_xreg_vra_nodeb_hostname</f>
        <v>xint-cmp01b</v>
      </c>
      <c r="D147" s="18" t="str">
        <f>xreg_vra_nodeb_hostname</f>
        <v>Value Missing</v>
      </c>
      <c r="E147" s="53"/>
    </row>
    <row r="148" spans="2:5" ht="20" customHeight="1">
      <c r="B148" s="21" t="s">
        <v>2410</v>
      </c>
      <c r="C148" s="22" t="str">
        <f>sample_xreg_vra_nodec_hostname</f>
        <v>xint-cmp01c</v>
      </c>
      <c r="D148" s="18" t="str">
        <f>xreg_vra_nodec_hostname</f>
        <v>Value Missing</v>
      </c>
      <c r="E148" s="53"/>
    </row>
    <row r="149" spans="2:5" ht="16" customHeight="1"/>
    <row r="150" spans="2:5" ht="34" customHeight="1">
      <c r="B150" s="344" t="s">
        <v>3260</v>
      </c>
      <c r="C150" s="344"/>
      <c r="D150" s="344"/>
      <c r="E150" s="344"/>
    </row>
    <row r="151" spans="2:5" ht="20" customHeight="1">
      <c r="B151" s="8" t="s">
        <v>735</v>
      </c>
      <c r="C151" s="8" t="s">
        <v>554</v>
      </c>
      <c r="D151" s="20" t="s">
        <v>555</v>
      </c>
      <c r="E151" s="8" t="s">
        <v>222</v>
      </c>
    </row>
    <row r="152" spans="2:5" ht="20" customHeight="1">
      <c r="B152" s="21" t="s">
        <v>3374</v>
      </c>
      <c r="C152" s="22" t="str">
        <f>CONCATENATE(sample_xreg_vra_virtual_hostname,".",sample_parent_dns_zone)</f>
        <v>xint-cmp01.rainpole.io</v>
      </c>
      <c r="D152" s="18" t="str">
        <f>xreg_vra_virtual_fqdn</f>
        <v>Value Missing.Value Missing</v>
      </c>
      <c r="E152" s="53"/>
    </row>
    <row r="153" spans="2:5" ht="20" customHeight="1">
      <c r="B153" s="21" t="s">
        <v>2413</v>
      </c>
      <c r="C153" s="22" t="str">
        <f>sample_xreg_vra_org_name</f>
        <v>Rainpole</v>
      </c>
      <c r="D153" s="18" t="str">
        <f>xreg_vra_org_name</f>
        <v>Value Missing</v>
      </c>
      <c r="E153" s="53"/>
    </row>
    <row r="154" spans="2:5" ht="16" customHeight="1"/>
    <row r="155" spans="2:5" ht="34" customHeight="1">
      <c r="B155" s="344" t="s">
        <v>3261</v>
      </c>
      <c r="C155" s="344"/>
      <c r="D155" s="344"/>
      <c r="E155" s="344"/>
    </row>
    <row r="156" spans="2:5" ht="20" customHeight="1">
      <c r="B156" s="8" t="s">
        <v>735</v>
      </c>
      <c r="C156" s="8" t="s">
        <v>554</v>
      </c>
      <c r="D156" s="20" t="s">
        <v>555</v>
      </c>
      <c r="E156" s="8" t="s">
        <v>222</v>
      </c>
    </row>
    <row r="157" spans="2:5" ht="20" customHeight="1">
      <c r="B157" s="21" t="s">
        <v>2414</v>
      </c>
      <c r="C157" s="22" t="str">
        <f>CONCATENATE(sample_xreg_wsa_virtual_hostname,".",sample_parent_dns_zone)</f>
        <v>xint-idm01.rainpole.io</v>
      </c>
      <c r="D157" s="18" t="str">
        <f>xreg_wsa_virtual_fqdn</f>
        <v>Value Missing.Value Missing</v>
      </c>
      <c r="E157" s="53"/>
    </row>
    <row r="158" spans="2:5" ht="20" customHeight="1">
      <c r="B158" s="21" t="s">
        <v>2415</v>
      </c>
      <c r="C158" s="22" t="str">
        <f>sample_gg_vra_org_owners_group</f>
        <v>gg-cmp-org-owners</v>
      </c>
      <c r="D158" s="18" t="str">
        <f>group_gg_vra_org_owners</f>
        <v>Value Missing</v>
      </c>
      <c r="E158" s="53"/>
    </row>
    <row r="159" spans="2:5" ht="20" customHeight="1">
      <c r="B159" s="21" t="s">
        <v>3518</v>
      </c>
      <c r="C159" s="22" t="str">
        <f>sample_gg_vra_cloud_assembly_admins_group</f>
        <v>gg-cmp-cloud-assembly-admins</v>
      </c>
      <c r="D159" s="18" t="str">
        <f>group_gg_vra_cloud_assembly_admins</f>
        <v>Value Missing</v>
      </c>
      <c r="E159" s="53"/>
    </row>
    <row r="160" spans="2:5" ht="20" customHeight="1">
      <c r="B160" s="21" t="s">
        <v>3519</v>
      </c>
      <c r="C160" s="22" t="str">
        <f>sample_gg_vra_cloud_assembly_users_group</f>
        <v>gg-cmp-cloud-assembly-users</v>
      </c>
      <c r="D160" s="18" t="str">
        <f>group_gg_vra_cloud_assembly_users</f>
        <v>Value Missing</v>
      </c>
      <c r="E160" s="53"/>
    </row>
    <row r="161" spans="2:5" ht="20" customHeight="1">
      <c r="B161" s="21" t="s">
        <v>3520</v>
      </c>
      <c r="C161" s="22" t="str">
        <f>sample_gg_vra_cloud_assembly_viewers_group</f>
        <v>gg-cmp-cloud-assembly-viewers</v>
      </c>
      <c r="D161" s="18" t="str">
        <f>group_gg_vra_cloud_assembly_viewers</f>
        <v>Value Missing</v>
      </c>
      <c r="E161" s="53"/>
    </row>
    <row r="162" spans="2:5" ht="20" customHeight="1">
      <c r="B162" s="21" t="s">
        <v>2416</v>
      </c>
      <c r="C162" s="22" t="str">
        <f>sample_gg_vra_service_broker_admins_group</f>
        <v>gg-cmp-service-broker-admins</v>
      </c>
      <c r="D162" s="18" t="str">
        <f>group_gg_vra_service_broker_admins</f>
        <v>Value Missing</v>
      </c>
      <c r="E162" s="53"/>
    </row>
    <row r="163" spans="2:5" ht="20" customHeight="1">
      <c r="B163" s="21" t="s">
        <v>2417</v>
      </c>
      <c r="C163" s="22" t="str">
        <f>sample_gg_vra_service_broker_users_group</f>
        <v>gg-cmp-service-broker-users</v>
      </c>
      <c r="D163" s="18" t="str">
        <f>group_gg_vra_service_broker_users</f>
        <v>Value Missing</v>
      </c>
      <c r="E163" s="53"/>
    </row>
    <row r="164" spans="2:5" ht="20" customHeight="1">
      <c r="B164" s="21" t="s">
        <v>2418</v>
      </c>
      <c r="C164" s="49" t="str">
        <f>sample_gg_vra_service_broker_viewers_group</f>
        <v>gg-cmp-service-broker-viewers</v>
      </c>
      <c r="D164" s="18" t="str">
        <f>group_gg_vra_service_broker_viewers</f>
        <v>Value Missing</v>
      </c>
      <c r="E164" s="53"/>
    </row>
    <row r="165" spans="2:5" ht="20" customHeight="1">
      <c r="B165" s="21" t="s">
        <v>2419</v>
      </c>
      <c r="C165" s="22" t="str">
        <f>sample_gg_vra_orchestrator_admins_group</f>
        <v>gg-cmp-orchestrator-admins</v>
      </c>
      <c r="D165" s="18" t="str">
        <f>group_gg_vra_orchestrator_admins</f>
        <v>Value Missing</v>
      </c>
      <c r="E165" s="53"/>
    </row>
    <row r="166" spans="2:5" ht="20" customHeight="1">
      <c r="B166" s="21" t="s">
        <v>2420</v>
      </c>
      <c r="C166" s="22" t="str">
        <f>sample_gg_vra_orchestrator_designers_group</f>
        <v>gg-cmp-orchestrator-designers</v>
      </c>
      <c r="D166" s="18" t="str">
        <f>group_gg_vra_orchestrator_designers</f>
        <v>Value Missing</v>
      </c>
      <c r="E166" s="53"/>
    </row>
    <row r="167" spans="2:5" ht="20" customHeight="1">
      <c r="B167" s="21" t="s">
        <v>2421</v>
      </c>
      <c r="C167" s="22" t="str">
        <f>sample_gg_vra_orchestrator_viewers_group</f>
        <v>gg-cmp-orchestrator-viewers</v>
      </c>
      <c r="D167" s="18" t="str">
        <f>group_gg_vra_orchestrator_viewers</f>
        <v>Value Missing</v>
      </c>
      <c r="E167" s="53"/>
    </row>
    <row r="168" spans="2:5" ht="16" customHeight="1"/>
    <row r="169" spans="2:5" ht="34" customHeight="1">
      <c r="B169" s="344" t="s">
        <v>3262</v>
      </c>
      <c r="C169" s="344"/>
      <c r="D169" s="344"/>
      <c r="E169" s="344"/>
    </row>
    <row r="170" spans="2:5" ht="20" customHeight="1">
      <c r="B170" s="8" t="s">
        <v>735</v>
      </c>
      <c r="C170" s="8" t="s">
        <v>554</v>
      </c>
      <c r="D170" s="20" t="s">
        <v>555</v>
      </c>
      <c r="E170" s="8" t="s">
        <v>222</v>
      </c>
    </row>
    <row r="171" spans="2:5" ht="20" customHeight="1">
      <c r="B171" s="21" t="s">
        <v>3374</v>
      </c>
      <c r="C171" s="22" t="str">
        <f>CONCATENATE(sample_xreg_vra_virtual_hostname,".",sample_parent_dns_zone)</f>
        <v>xint-cmp01.rainpole.io</v>
      </c>
      <c r="D171" s="18" t="str">
        <f>xreg_vra_virtual_fqdn</f>
        <v>Value Missing.Value Missing</v>
      </c>
      <c r="E171" s="53"/>
    </row>
    <row r="172" spans="2:5" ht="20" customHeight="1">
      <c r="B172" s="21" t="s">
        <v>2415</v>
      </c>
      <c r="C172" s="22" t="str">
        <f>sample_gg_vra_org_owners_group</f>
        <v>gg-cmp-org-owners</v>
      </c>
      <c r="D172" s="18" t="str">
        <f>group_gg_vra_org_owners</f>
        <v>Value Missing</v>
      </c>
      <c r="E172" s="53"/>
    </row>
    <row r="173" spans="2:5" ht="20" customHeight="1">
      <c r="B173" s="21" t="s">
        <v>3518</v>
      </c>
      <c r="C173" s="22" t="str">
        <f>sample_gg_vra_cloud_assembly_admins_group</f>
        <v>gg-cmp-cloud-assembly-admins</v>
      </c>
      <c r="D173" s="18" t="str">
        <f>group_gg_vra_cloud_assembly_admins</f>
        <v>Value Missing</v>
      </c>
      <c r="E173" s="53"/>
    </row>
    <row r="174" spans="2:5" ht="20" customHeight="1">
      <c r="B174" s="21" t="s">
        <v>3519</v>
      </c>
      <c r="C174" s="22" t="str">
        <f>sample_gg_vra_cloud_assembly_users_group</f>
        <v>gg-cmp-cloud-assembly-users</v>
      </c>
      <c r="D174" s="18" t="str">
        <f>group_gg_vra_cloud_assembly_users</f>
        <v>Value Missing</v>
      </c>
      <c r="E174" s="53"/>
    </row>
    <row r="175" spans="2:5" ht="20" customHeight="1">
      <c r="B175" s="21" t="s">
        <v>3520</v>
      </c>
      <c r="C175" s="22" t="str">
        <f>sample_gg_vra_cloud_assembly_viewers_group</f>
        <v>gg-cmp-cloud-assembly-viewers</v>
      </c>
      <c r="D175" s="18" t="str">
        <f>group_gg_vra_cloud_assembly_viewers</f>
        <v>Value Missing</v>
      </c>
      <c r="E175" s="53"/>
    </row>
    <row r="176" spans="2:5" ht="20" customHeight="1">
      <c r="B176" s="21" t="s">
        <v>2416</v>
      </c>
      <c r="C176" s="22" t="str">
        <f>sample_gg_vra_service_broker_admins_group</f>
        <v>gg-cmp-service-broker-admins</v>
      </c>
      <c r="D176" s="18" t="str">
        <f>group_gg_vra_service_broker_admins</f>
        <v>Value Missing</v>
      </c>
      <c r="E176" s="53"/>
    </row>
    <row r="177" spans="2:5" ht="20" customHeight="1">
      <c r="B177" s="21" t="s">
        <v>2417</v>
      </c>
      <c r="C177" s="22" t="str">
        <f>sample_gg_vra_service_broker_users_group</f>
        <v>gg-cmp-service-broker-users</v>
      </c>
      <c r="D177" s="18" t="str">
        <f>group_gg_vra_service_broker_users</f>
        <v>Value Missing</v>
      </c>
      <c r="E177" s="53"/>
    </row>
    <row r="178" spans="2:5" ht="20" customHeight="1">
      <c r="B178" s="21" t="s">
        <v>2418</v>
      </c>
      <c r="C178" s="49" t="str">
        <f>sample_gg_vra_service_broker_viewers_group</f>
        <v>gg-cmp-service-broker-viewers</v>
      </c>
      <c r="D178" s="18" t="str">
        <f>group_gg_vra_service_broker_viewers</f>
        <v>Value Missing</v>
      </c>
      <c r="E178" s="53"/>
    </row>
    <row r="179" spans="2:5" ht="20" customHeight="1">
      <c r="B179" s="21" t="s">
        <v>2419</v>
      </c>
      <c r="C179" s="22" t="str">
        <f>sample_gg_vra_orchestrator_admins_group</f>
        <v>gg-cmp-orchestrator-admins</v>
      </c>
      <c r="D179" s="18" t="str">
        <f>group_gg_vra_orchestrator_admins</f>
        <v>Value Missing</v>
      </c>
      <c r="E179" s="53"/>
    </row>
    <row r="180" spans="2:5" ht="20" customHeight="1">
      <c r="B180" s="21" t="s">
        <v>2420</v>
      </c>
      <c r="C180" s="22" t="str">
        <f>sample_gg_vra_orchestrator_designers_group</f>
        <v>gg-cmp-orchestrator-designers</v>
      </c>
      <c r="D180" s="18" t="str">
        <f>group_gg_vra_orchestrator_designers</f>
        <v>Value Missing</v>
      </c>
      <c r="E180" s="53"/>
    </row>
    <row r="181" spans="2:5" ht="20" customHeight="1">
      <c r="B181" s="21" t="s">
        <v>2421</v>
      </c>
      <c r="C181" s="22" t="str">
        <f>sample_gg_vra_orchestrator_viewers_group</f>
        <v>gg-cmp-orchestrator-viewers</v>
      </c>
      <c r="D181" s="18" t="str">
        <f>group_gg_vra_orchestrator_viewers</f>
        <v>Value Missing</v>
      </c>
      <c r="E181" s="53"/>
    </row>
    <row r="182" spans="2:5" ht="16" customHeight="1"/>
    <row r="183" spans="2:5" ht="34" customHeight="1">
      <c r="B183" s="344" t="s">
        <v>3310</v>
      </c>
      <c r="C183" s="344"/>
      <c r="D183" s="344"/>
      <c r="E183" s="344"/>
    </row>
    <row r="184" spans="2:5" ht="20" customHeight="1">
      <c r="B184" s="8" t="s">
        <v>735</v>
      </c>
      <c r="C184" s="8" t="s">
        <v>554</v>
      </c>
      <c r="D184" s="20" t="s">
        <v>555</v>
      </c>
      <c r="E184" s="8" t="s">
        <v>222</v>
      </c>
    </row>
    <row r="185" spans="2:5" ht="20" customHeight="1">
      <c r="B185" s="21" t="s">
        <v>2408</v>
      </c>
      <c r="C185" s="22" t="str">
        <f>CONCATENATE(sample_wld_vc_hostname,".",sample_child_dns_zone)</f>
        <v>sfo-w01-vc01.sfo.rainpole.io</v>
      </c>
      <c r="D185" s="18" t="str">
        <f>wld_vc_fqdn</f>
        <v>Value Missing.Value Missing</v>
      </c>
      <c r="E185" s="53"/>
    </row>
    <row r="186" spans="2:5" ht="20" customHeight="1">
      <c r="B186" s="21" t="s">
        <v>3285</v>
      </c>
      <c r="C186" s="22" t="str">
        <f>xreg_vra_vsphere_role_name</f>
        <v>VMware Aria Automation to vSphere Integration</v>
      </c>
      <c r="D186" s="18" t="str">
        <f>xreg_vra_vsphere_role_name</f>
        <v>VMware Aria Automation to vSphere Integration</v>
      </c>
      <c r="E186" s="53"/>
    </row>
    <row r="187" spans="2:5" ht="20" customHeight="1">
      <c r="B187" s="21" t="s">
        <v>3315</v>
      </c>
      <c r="C187" s="22" t="str">
        <f>xreg_vro_vsphere_role_name</f>
        <v>VMware Aria Automation Orchestrator to vSphere Integration</v>
      </c>
      <c r="D187" s="18" t="str">
        <f>xreg_vro_vsphere_role_name</f>
        <v>VMware Aria Automation Orchestrator to vSphere Integration</v>
      </c>
      <c r="E187" s="53"/>
    </row>
    <row r="188" spans="2:5" ht="16" customHeight="1"/>
    <row r="189" spans="2:5" ht="34" customHeight="1">
      <c r="B189" s="344" t="s">
        <v>3311</v>
      </c>
      <c r="C189" s="344"/>
      <c r="D189" s="344"/>
      <c r="E189" s="344"/>
    </row>
    <row r="190" spans="2:5" ht="20" customHeight="1">
      <c r="B190" s="8" t="s">
        <v>735</v>
      </c>
      <c r="C190" s="8" t="s">
        <v>554</v>
      </c>
      <c r="D190" s="20" t="s">
        <v>555</v>
      </c>
      <c r="E190" s="8" t="s">
        <v>222</v>
      </c>
    </row>
    <row r="191" spans="2:5" ht="20" customHeight="1">
      <c r="B191" s="21" t="s">
        <v>2408</v>
      </c>
      <c r="C191" s="22" t="str">
        <f>CONCATENATE(sample_wld_vc_hostname,".",sample_child_dns_zone)</f>
        <v>sfo-w01-vc01.sfo.rainpole.io</v>
      </c>
      <c r="D191" s="18" t="str">
        <f>wld_vc_fqdn</f>
        <v>Value Missing.Value Missing</v>
      </c>
      <c r="E191" s="53"/>
    </row>
    <row r="192" spans="2:5" ht="20" customHeight="1">
      <c r="B192" s="21" t="s">
        <v>3284</v>
      </c>
      <c r="C192" s="22" t="str">
        <f>sample_child_dns_zone</f>
        <v>sfo.rainpole.io</v>
      </c>
      <c r="D192" s="18" t="str">
        <f>child_dns_zone</f>
        <v>Value Missing</v>
      </c>
      <c r="E192" s="53"/>
    </row>
    <row r="193" spans="2:5" ht="20" customHeight="1">
      <c r="B193" s="26" t="s">
        <v>3283</v>
      </c>
      <c r="C193" s="22" t="str">
        <f>sample_svc_vra_vsphere_user</f>
        <v>svc-cmp-vsphere</v>
      </c>
      <c r="D193" s="18" t="str">
        <f>user_svc_vra_vsphere</f>
        <v>Value Missing</v>
      </c>
      <c r="E193" s="53"/>
    </row>
    <row r="194" spans="2:5" ht="20" customHeight="1">
      <c r="B194" s="26" t="s">
        <v>3282</v>
      </c>
      <c r="C194" s="22" t="str">
        <f>xreg_vra_vsphere_role_name</f>
        <v>VMware Aria Automation to vSphere Integration</v>
      </c>
      <c r="D194" s="18" t="str">
        <f>xreg_vra_vsphere_role_name</f>
        <v>VMware Aria Automation to vSphere Integration</v>
      </c>
      <c r="E194" s="53"/>
    </row>
    <row r="195" spans="2:5" ht="20" customHeight="1">
      <c r="B195" s="21" t="s">
        <v>3316</v>
      </c>
      <c r="C195" s="22" t="str">
        <f>sample_child_dns_zone</f>
        <v>sfo.rainpole.io</v>
      </c>
      <c r="D195" s="18" t="str">
        <f>child_dns_zone</f>
        <v>Value Missing</v>
      </c>
      <c r="E195" s="53"/>
    </row>
    <row r="196" spans="2:5" ht="20" customHeight="1">
      <c r="B196" s="26" t="s">
        <v>3317</v>
      </c>
      <c r="C196" s="22" t="str">
        <f>sample_svc_vro_vsphere_user</f>
        <v>svc-orch-vsphere</v>
      </c>
      <c r="D196" s="18" t="str">
        <f>user_svc_vro_vsphere</f>
        <v>Value Missing</v>
      </c>
      <c r="E196" s="53"/>
    </row>
    <row r="197" spans="2:5" ht="20" customHeight="1">
      <c r="B197" s="26" t="s">
        <v>3318</v>
      </c>
      <c r="C197" s="22" t="str">
        <f>xreg_vro_vsphere_role_name</f>
        <v>VMware Aria Automation Orchestrator to vSphere Integration</v>
      </c>
      <c r="D197" s="18" t="str">
        <f>xreg_vro_vsphere_role_name</f>
        <v>VMware Aria Automation Orchestrator to vSphere Integration</v>
      </c>
      <c r="E197" s="53"/>
    </row>
    <row r="198" spans="2:5" ht="16" customHeight="1"/>
    <row r="199" spans="2:5" ht="34" customHeight="1">
      <c r="B199" s="344" t="s">
        <v>3312</v>
      </c>
      <c r="C199" s="344"/>
      <c r="D199" s="344"/>
      <c r="E199" s="344"/>
    </row>
    <row r="200" spans="2:5" ht="20" customHeight="1">
      <c r="B200" s="8" t="s">
        <v>735</v>
      </c>
      <c r="C200" s="8" t="s">
        <v>554</v>
      </c>
      <c r="D200" s="20" t="s">
        <v>555</v>
      </c>
      <c r="E200" s="8" t="s">
        <v>222</v>
      </c>
    </row>
    <row r="201" spans="2:5" ht="20" customHeight="1">
      <c r="B201" s="21" t="s">
        <v>2286</v>
      </c>
      <c r="C201" s="22" t="str">
        <f>CONCATENATE(sample_mgmt_vc_hostname,".",sample_child_dns_zone)</f>
        <v>sfo-m01-vc01.sfo.rainpole.io</v>
      </c>
      <c r="D201" s="18" t="str">
        <f>mgmt_vc_fqdn</f>
        <v>Value Missing.Value Missing</v>
      </c>
      <c r="E201" s="53"/>
    </row>
    <row r="202" spans="2:5" ht="20" customHeight="1">
      <c r="B202" s="26" t="s">
        <v>3283</v>
      </c>
      <c r="C202" s="22" t="str">
        <f>sample_svc_vra_vsphere_user</f>
        <v>svc-cmp-vsphere</v>
      </c>
      <c r="D202" s="18" t="str">
        <f>user_svc_vra_vsphere</f>
        <v>Value Missing</v>
      </c>
      <c r="E202" s="53"/>
    </row>
    <row r="203" spans="2:5" ht="20" customHeight="1">
      <c r="B203" s="26" t="s">
        <v>3317</v>
      </c>
      <c r="C203" s="22" t="str">
        <f>sample_svc_vro_vsphere_user</f>
        <v>svc-orch-vsphere</v>
      </c>
      <c r="D203" s="18" t="str">
        <f>user_svc_vro_vsphere</f>
        <v>Value Missing</v>
      </c>
      <c r="E203" s="53"/>
    </row>
    <row r="204" spans="2:5" ht="16" customHeight="1"/>
    <row r="205" spans="2:5" ht="34" customHeight="1">
      <c r="B205" s="344" t="s">
        <v>4638</v>
      </c>
      <c r="C205" s="344"/>
      <c r="D205" s="344"/>
      <c r="E205" s="344"/>
    </row>
    <row r="206" spans="2:5" ht="20" customHeight="1">
      <c r="B206" s="8" t="s">
        <v>735</v>
      </c>
      <c r="C206" s="8" t="s">
        <v>554</v>
      </c>
      <c r="D206" s="20" t="s">
        <v>555</v>
      </c>
      <c r="E206" s="8" t="s">
        <v>222</v>
      </c>
    </row>
    <row r="207" spans="2:5" ht="20" customHeight="1">
      <c r="B207" s="21" t="s">
        <v>2422</v>
      </c>
      <c r="C207" s="22" t="str">
        <f>CONCATENATE(sample_wld_nsxt_hostname,".",sample_child_dns_zone)</f>
        <v>sfo-w01-nsx01.sfo.rainpole.io</v>
      </c>
      <c r="D207" s="18" t="str">
        <f>wld_nsxt_vip_fqdn</f>
        <v>Value Missing.Value Missing</v>
      </c>
      <c r="E207" s="53"/>
    </row>
    <row r="208" spans="2:5" ht="20" customHeight="1">
      <c r="B208" s="21" t="s">
        <v>2423</v>
      </c>
      <c r="C208" s="22" t="str">
        <f>CONCATENATE(sample_svc_vra_nsx_user,"@",sample_child_dns_zone)</f>
        <v>svc-cmp-nsx@sfo.rainpole.io</v>
      </c>
      <c r="D208" s="18" t="str">
        <f>CONCATENATE(user_svc_vra_nsx,"@",child_dns_zone)</f>
        <v>Value Missing@Value Missing</v>
      </c>
      <c r="E208" s="53"/>
    </row>
    <row r="209" spans="2:5" ht="16" customHeight="1"/>
    <row r="210" spans="2:5" ht="34" customHeight="1">
      <c r="B210" s="344" t="s">
        <v>3264</v>
      </c>
      <c r="C210" s="344"/>
      <c r="D210" s="344"/>
      <c r="E210" s="344"/>
    </row>
    <row r="211" spans="2:5" ht="20" customHeight="1">
      <c r="B211" s="8" t="s">
        <v>735</v>
      </c>
      <c r="C211" s="8" t="s">
        <v>554</v>
      </c>
      <c r="D211" s="20" t="s">
        <v>555</v>
      </c>
      <c r="E211" s="8" t="s">
        <v>222</v>
      </c>
    </row>
    <row r="212" spans="2:5" ht="20" customHeight="1">
      <c r="B212" s="21" t="s">
        <v>3374</v>
      </c>
      <c r="C212" s="22" t="str">
        <f>CONCATENATE(sample_xreg_vra_virtual_hostname,".",sample_parent_dns_zone)</f>
        <v>xint-cmp01.rainpole.io</v>
      </c>
      <c r="D212" s="18" t="str">
        <f>xreg_vra_virtual_fqdn</f>
        <v>Value Missing.Value Missing</v>
      </c>
      <c r="E212" s="53"/>
    </row>
    <row r="213" spans="2:5" ht="20" customHeight="1">
      <c r="B213" s="21" t="s">
        <v>2424</v>
      </c>
      <c r="C213" s="22" t="str">
        <f>IF(mgmt_consolidated_result="Included",sample_mgmt_vc_hostname,sample_wld_vc_hostname)</f>
        <v>sfo-w01-vc01</v>
      </c>
      <c r="D213" s="18" t="str">
        <f>IF(mgmt_consolidated_result="Included",mgmt_vc_hostname,wld_vc_hostname)</f>
        <v>Value Missing</v>
      </c>
      <c r="E213" s="53"/>
    </row>
    <row r="214" spans="2:5" ht="20" customHeight="1">
      <c r="B214" s="26" t="s">
        <v>2425</v>
      </c>
      <c r="C214" s="22" t="str">
        <f>IF(mgmt_consolidated_result="Included",CONCATENATE(sample_mgmt_vc_hostname,".",sample_child_dns_zone),CONCATENATE(sample_wld_vc_hostname,".",sample_child_dns_zone))</f>
        <v>sfo-w01-vc01.sfo.rainpole.io</v>
      </c>
      <c r="D214" s="18" t="str">
        <f>IF(mgmt_consolidated_result="Included",mgmt_vc_fqdn,wld_vc_fqdn)</f>
        <v>Value Missing.Value Missing</v>
      </c>
      <c r="E214" s="53"/>
    </row>
    <row r="215" spans="2:5" ht="20" customHeight="1">
      <c r="B215" s="26" t="s">
        <v>2426</v>
      </c>
      <c r="C215" s="22" t="str">
        <f>CONCATENATE(sample_svc_vra_vsphere_user,"@",sample_child_dns_zone)</f>
        <v>svc-cmp-vsphere@sfo.rainpole.io</v>
      </c>
      <c r="D215" s="18" t="str">
        <f>CONCATENATE(user_svc_vra_vsphere,"@",child_dns_zone)</f>
        <v>Value Missing@Value Missing</v>
      </c>
      <c r="E215" s="53"/>
    </row>
    <row r="216" spans="2:5" ht="20" customHeight="1">
      <c r="B216" s="26" t="s">
        <v>2427</v>
      </c>
      <c r="C216" s="22" t="str">
        <f>sample_svc_vra_vsphere_password</f>
        <v>VMw@re1!</v>
      </c>
      <c r="D216" s="18" t="str">
        <f>svc_vra_vsphere_password</f>
        <v>Value Missing</v>
      </c>
      <c r="E216" s="53"/>
    </row>
    <row r="217" spans="2:5" ht="20" customHeight="1">
      <c r="B217" s="21" t="s">
        <v>2428</v>
      </c>
      <c r="C217" s="22" t="str">
        <f>IF(mgmt_consolidated_result="Included",sample_mgmt_datacenter,sample_wld_datacenter)</f>
        <v>sfo-w01-DC</v>
      </c>
      <c r="D217" s="18" t="str">
        <f>IF(mgmt_consolidated_result="Included",mgmt_datacenter,wld_datacenter)</f>
        <v>Value Missing</v>
      </c>
      <c r="E217" s="53"/>
    </row>
    <row r="218" spans="2:5" ht="20" customHeight="1">
      <c r="B218" s="26" t="s">
        <v>2429</v>
      </c>
      <c r="C218" s="22" t="str">
        <f>sample_xreg_vra_cloud_account_cloud_capability_tag</f>
        <v>private</v>
      </c>
      <c r="D218" s="18" t="str">
        <f>xreg_vra_cloud_account_cloud_capability_tag</f>
        <v>Value Missing</v>
      </c>
      <c r="E218" s="53"/>
    </row>
    <row r="219" spans="2:5" ht="20" customHeight="1">
      <c r="B219" s="21" t="s">
        <v>2430</v>
      </c>
      <c r="C219" s="22" t="str">
        <f>IF(mgmt_consolidated_result="Included",sample_mgmt_nsxt_hostname,sample_wld_nsxt_hostname)</f>
        <v>sfo-w01-nsx01</v>
      </c>
      <c r="D219" s="18" t="str">
        <f>IF(mgmt_consolidated_result="Included",mgmt_nsxt_hostname,wld_nsxt_hostname)</f>
        <v>Value Missing</v>
      </c>
      <c r="E219" s="53"/>
    </row>
    <row r="220" spans="2:5" ht="20" customHeight="1">
      <c r="B220" s="26" t="s">
        <v>2431</v>
      </c>
      <c r="C220" s="22" t="str">
        <f>IF(mgmt_consolidated_result="Included",CONCATENATE(sample_mgmt_nsxt_hostname,".",sample_child_dns_zone),CONCATENATE(sample_wld_nsxt_hostname,".",sample_child_dns_zone))</f>
        <v>sfo-w01-nsx01.sfo.rainpole.io</v>
      </c>
      <c r="D220" s="18" t="str">
        <f>IF(mgmt_consolidated_result="Included",mgmt_nsxt_vip_fqdn,wld_nsxt_vip_fqdn)</f>
        <v>Value Missing.Value Missing</v>
      </c>
      <c r="E220" s="53"/>
    </row>
    <row r="221" spans="2:5" ht="20" customHeight="1">
      <c r="B221" s="26" t="s">
        <v>2432</v>
      </c>
      <c r="C221" s="22" t="str">
        <f>CONCATENATE(sample_svc_vra_nsx_user,"@",sample_child_dns_zone)</f>
        <v>svc-cmp-nsx@sfo.rainpole.io</v>
      </c>
      <c r="D221" s="18" t="str">
        <f>CONCATENATE(user_svc_vra_nsx,"@",child_dns_zone)</f>
        <v>Value Missing@Value Missing</v>
      </c>
      <c r="E221" s="53"/>
    </row>
    <row r="222" spans="2:5" ht="20" customHeight="1">
      <c r="B222" s="26" t="s">
        <v>2433</v>
      </c>
      <c r="C222" s="22" t="str">
        <f>sample_svc_vra_nsx_password</f>
        <v>VMw@re1!</v>
      </c>
      <c r="D222" s="18" t="str">
        <f>svc_vra_nsx_password</f>
        <v>Value Missing</v>
      </c>
      <c r="E222" s="53"/>
    </row>
    <row r="223" spans="2:5" ht="20" customHeight="1">
      <c r="B223" s="26" t="s">
        <v>735</v>
      </c>
      <c r="C223" s="22" t="str">
        <f>IF(mgmt_consolidated_result="Included",sample_mgmt_vc_hostname,sample_wld_vc_hostname)</f>
        <v>sfo-w01-vc01</v>
      </c>
      <c r="D223" s="18" t="str">
        <f>IF(mgmt_consolidated_result="Included",mgmt_vc_hostname,wld_vc_hostname)</f>
        <v>Value Missing</v>
      </c>
      <c r="E223" s="53"/>
    </row>
    <row r="224" spans="2:5" ht="20" customHeight="1">
      <c r="B224" s="26" t="s">
        <v>2429</v>
      </c>
      <c r="C224" s="22" t="str">
        <f>sample_xreg_vra_cloud_account_cloud_capability_tag</f>
        <v>private</v>
      </c>
      <c r="D224" s="18" t="str">
        <f>xreg_vra_cloud_account_cloud_capability_tag</f>
        <v>Value Missing</v>
      </c>
      <c r="E224" s="53"/>
    </row>
    <row r="225" spans="2:5" ht="16" customHeight="1"/>
    <row r="226" spans="2:5" ht="34" customHeight="1">
      <c r="B226" s="344" t="s">
        <v>3265</v>
      </c>
      <c r="C226" s="344"/>
      <c r="D226" s="344"/>
      <c r="E226" s="344"/>
    </row>
    <row r="227" spans="2:5" ht="20" customHeight="1">
      <c r="B227" s="8" t="s">
        <v>735</v>
      </c>
      <c r="C227" s="8" t="s">
        <v>554</v>
      </c>
      <c r="D227" s="20" t="s">
        <v>555</v>
      </c>
      <c r="E227" s="8" t="s">
        <v>222</v>
      </c>
    </row>
    <row r="228" spans="2:5" ht="20" customHeight="1">
      <c r="B228" s="21" t="s">
        <v>3374</v>
      </c>
      <c r="C228" s="22" t="str">
        <f>CONCATENATE(sample_xreg_vra_virtual_hostname,".",sample_parent_dns_zone)</f>
        <v>xint-cmp01.rainpole.io</v>
      </c>
      <c r="D228" s="18" t="str">
        <f>xreg_vra_virtual_fqdn</f>
        <v>Value Missing.Value Missing</v>
      </c>
      <c r="E228" s="53"/>
    </row>
    <row r="229" spans="2:5" ht="20" customHeight="1">
      <c r="B229" s="21" t="s">
        <v>2434</v>
      </c>
      <c r="C229" s="22" t="str">
        <f>IF(mgmt_consolidated_result="Included",CONCATENATE(sample_mgmt_vc_hostname," / ",sample_mgmt_datacenter),CONCATENATE(sample_wld_vc_hostname," / ",sample_wld_datacenter))</f>
        <v>sfo-w01-vc01 / sfo-w01-DC</v>
      </c>
      <c r="D229" s="18" t="str">
        <f>IF(mgmt_consolidated_result="Included",CONCATENATE(mgmt_vc_hostname," / ",mgmt_datacenter),CONCATENATE(wld_vc_hostname," / ",wld_datacenter))</f>
        <v>Value Missing / Value Missing</v>
      </c>
      <c r="E229" s="53"/>
    </row>
    <row r="230" spans="2:5" ht="20" customHeight="1">
      <c r="B230" s="26" t="s">
        <v>1797</v>
      </c>
      <c r="C230" s="22" t="str">
        <f>sample_wld_vra_vm_folder</f>
        <v>sfo-w01-fd-workload</v>
      </c>
      <c r="D230" s="18" t="str">
        <f>wld_vra_vm_folder</f>
        <v>Value Missing</v>
      </c>
      <c r="E230" s="53"/>
    </row>
    <row r="231" spans="2:5" ht="20" customHeight="1">
      <c r="B231" s="26" t="s">
        <v>2429</v>
      </c>
      <c r="C231" s="22" t="str">
        <f>sample_xreg_vra_cloud_account_region_capability_tag</f>
        <v>enabled:true</v>
      </c>
      <c r="D231" s="18" t="str">
        <f>xreg_vra_cloud_account_region_capability_tag</f>
        <v>Value Missing</v>
      </c>
      <c r="E231" s="53"/>
    </row>
    <row r="232" spans="2:5" ht="20" customHeight="1">
      <c r="B232" s="26" t="s">
        <v>2435</v>
      </c>
      <c r="C232" s="22" t="str">
        <f>IF(mgmt_consolidated_result="Included",CONCATENATE(sample_mgmt_cl01_cluster," / ",sample_wld_vra_vm_folder),CONCATENATE(sample_wld_cl01_cluster," / ",sample_wld_vra_vm_folder))</f>
        <v>sfo-w01-cl01 / sfo-w01-fd-workload</v>
      </c>
      <c r="D232" s="18" t="str">
        <f>IF(mgmt_consolidated_result="Included",CONCATENATE(mgmt_cl01_cluster," / ",wld_vra_vm_folder),CONCATENATE(wld_cl01_cluster," / ",wld_vra_vm_folder))</f>
        <v>Value Missing / Value Missing</v>
      </c>
      <c r="E232" s="53"/>
    </row>
    <row r="233" spans="2:5" ht="16" customHeight="1"/>
    <row r="234" spans="2:5" ht="34" customHeight="1">
      <c r="B234" s="344" t="s">
        <v>2436</v>
      </c>
      <c r="C234" s="344"/>
      <c r="D234" s="344"/>
      <c r="E234" s="344"/>
    </row>
    <row r="235" spans="2:5" ht="20" customHeight="1">
      <c r="B235" s="8" t="s">
        <v>735</v>
      </c>
      <c r="C235" s="8" t="s">
        <v>554</v>
      </c>
      <c r="D235" s="20" t="s">
        <v>555</v>
      </c>
      <c r="E235" s="8" t="s">
        <v>222</v>
      </c>
    </row>
    <row r="236" spans="2:5" ht="20" customHeight="1">
      <c r="B236" s="21" t="s">
        <v>3374</v>
      </c>
      <c r="C236" s="22" t="str">
        <f>CONCATENATE(sample_xreg_vra_virtual_hostname,".",sample_parent_dns_zone)</f>
        <v>xint-cmp01.rainpole.io</v>
      </c>
      <c r="D236" s="18" t="str">
        <f>xreg_vra_virtual_fqdn</f>
        <v>Value Missing.Value Missing</v>
      </c>
      <c r="E236" s="53"/>
    </row>
    <row r="237" spans="2:5" ht="20" customHeight="1">
      <c r="B237" s="21" t="s">
        <v>735</v>
      </c>
      <c r="C237" s="22" t="str">
        <f>sample_smtp_server</f>
        <v>smtp.rainpole.io</v>
      </c>
      <c r="D237" s="18" t="str">
        <f>smtp_server</f>
        <v>Value Missing</v>
      </c>
      <c r="E237" s="53"/>
    </row>
    <row r="238" spans="2:5" ht="20" customHeight="1">
      <c r="B238" s="26" t="s">
        <v>2437</v>
      </c>
      <c r="C238" s="22" t="str">
        <f>sample_smtp_server</f>
        <v>smtp.rainpole.io</v>
      </c>
      <c r="D238" s="18" t="str">
        <f>smtp_server</f>
        <v>Value Missing</v>
      </c>
      <c r="E238" s="53"/>
    </row>
    <row r="239" spans="2:5" ht="20" customHeight="1">
      <c r="B239" s="26" t="s">
        <v>1081</v>
      </c>
      <c r="C239" s="22" t="str">
        <f>sample_xreg_vra_smtp_sender_name</f>
        <v>Rainpole Cloud</v>
      </c>
      <c r="D239" s="18" t="str">
        <f>xreg_vra_smtp_sender_name</f>
        <v>Value Missing</v>
      </c>
      <c r="E239" s="53"/>
    </row>
    <row r="240" spans="2:5" ht="20" customHeight="1">
      <c r="B240" s="26" t="s">
        <v>2438</v>
      </c>
      <c r="C240" s="22" t="str">
        <f>sample_xreg_vra_smtp_sender_email_address</f>
        <v>aria-automation-no-reply@rainpole.io</v>
      </c>
      <c r="D240" s="18" t="str">
        <f>xreg_vra_smtp_sender_email_address</f>
        <v>Value Missing</v>
      </c>
      <c r="E240" s="53"/>
    </row>
    <row r="241" spans="2:5" ht="20" customHeight="1">
      <c r="B241" s="21" t="s">
        <v>2439</v>
      </c>
      <c r="C241" s="22">
        <f>sample_smtp_server_port</f>
        <v>25</v>
      </c>
      <c r="D241" s="18" t="str">
        <f>smtp_server_port</f>
        <v>Value Missing</v>
      </c>
      <c r="E241" s="53"/>
    </row>
    <row r="242" spans="2:5" ht="16" customHeight="1"/>
    <row r="243" spans="2:5" ht="34" customHeight="1">
      <c r="B243" s="344" t="s">
        <v>3313</v>
      </c>
      <c r="C243" s="344"/>
      <c r="D243" s="344"/>
      <c r="E243" s="344"/>
    </row>
    <row r="244" spans="2:5" ht="20" customHeight="1">
      <c r="B244" s="8" t="s">
        <v>735</v>
      </c>
      <c r="C244" s="8" t="s">
        <v>554</v>
      </c>
      <c r="D244" s="20" t="s">
        <v>555</v>
      </c>
      <c r="E244" s="8" t="s">
        <v>222</v>
      </c>
    </row>
    <row r="245" spans="2:5" ht="20" customHeight="1">
      <c r="B245" s="21" t="s">
        <v>3374</v>
      </c>
      <c r="C245" s="22" t="str">
        <f>CONCATENATE(sample_xreg_vra_virtual_hostname,".",sample_parent_dns_zone)</f>
        <v>xint-cmp01.rainpole.io</v>
      </c>
      <c r="D245" s="18" t="str">
        <f>xreg_vra_virtual_fqdn</f>
        <v>Value Missing.Value Missing</v>
      </c>
      <c r="E245" s="53"/>
    </row>
    <row r="246" spans="2:5" ht="16" customHeight="1"/>
    <row r="247" spans="2:5" ht="34" customHeight="1">
      <c r="B247" s="344" t="s">
        <v>3314</v>
      </c>
      <c r="C247" s="344"/>
      <c r="D247" s="344"/>
      <c r="E247" s="344"/>
    </row>
    <row r="248" spans="2:5" ht="20" customHeight="1">
      <c r="B248" s="8" t="s">
        <v>735</v>
      </c>
      <c r="C248" s="8" t="s">
        <v>554</v>
      </c>
      <c r="D248" s="20" t="s">
        <v>555</v>
      </c>
      <c r="E248" s="8" t="s">
        <v>222</v>
      </c>
    </row>
    <row r="249" spans="2:5" ht="20" customHeight="1">
      <c r="B249" s="21" t="s">
        <v>3374</v>
      </c>
      <c r="C249" s="22" t="str">
        <f>CONCATENATE(sample_xreg_vra_virtual_hostname,".",sample_parent_dns_zone)</f>
        <v>xint-cmp01.rainpole.io</v>
      </c>
      <c r="D249" s="18" t="str">
        <f>xreg_vra_virtual_fqdn</f>
        <v>Value Missing.Value Missing</v>
      </c>
      <c r="E249" s="53"/>
    </row>
    <row r="250" spans="2:5" ht="20" customHeight="1">
      <c r="B250" s="21" t="s">
        <v>2440</v>
      </c>
      <c r="C250" s="22" t="str">
        <f>IF(mgmt_consolidated_result="Included",CONCATENATE(sample_mgmt_vc_hostname,".",sample_child_dns_zone),CONCATENATE(sample_wld_vc_hostname,".",sample_child_dns_zone))</f>
        <v>sfo-w01-vc01.sfo.rainpole.io</v>
      </c>
      <c r="D250" s="18" t="str">
        <f>IF(mgmt_consolidated_result="Included",mgmt_vc_fqdn,wld_vc_fqdn)</f>
        <v>Value Missing.Value Missing</v>
      </c>
      <c r="E250" s="53"/>
    </row>
    <row r="251" spans="2:5" ht="20" customHeight="1">
      <c r="B251" s="26" t="s">
        <v>1806</v>
      </c>
      <c r="C251" s="22" t="str">
        <f>CONCATENATE(sample_svc_vro_vsphere_user,"@",sample_parent_dns_zone)</f>
        <v>svc-orch-vsphere@rainpole.io</v>
      </c>
      <c r="D251" s="18" t="str">
        <f>CONCATENATE(user_svc_vro_vsphere,"@",parent_dns_zone)</f>
        <v>Value Missing@Value Missing</v>
      </c>
      <c r="E251" s="53"/>
    </row>
    <row r="252" spans="2:5" ht="20" customHeight="1">
      <c r="B252" s="26" t="s">
        <v>1796</v>
      </c>
      <c r="C252" s="22" t="str">
        <f>sample_svc_vro_vsphere_password</f>
        <v>VMw@re1!</v>
      </c>
      <c r="D252" s="18" t="str">
        <f>svc_vro_vsphere_password</f>
        <v>Value Missing</v>
      </c>
      <c r="E252" s="53"/>
    </row>
    <row r="254" spans="2:5" ht="34" customHeight="1">
      <c r="B254" s="552" t="s">
        <v>2386</v>
      </c>
      <c r="C254" s="505"/>
      <c r="D254" s="505"/>
      <c r="E254" s="505"/>
    </row>
    <row r="255" spans="2:5" ht="16" customHeight="1"/>
    <row r="256" spans="2:5" ht="34" customHeight="1">
      <c r="B256" s="344" t="s">
        <v>3256</v>
      </c>
      <c r="C256" s="344"/>
      <c r="D256" s="344"/>
      <c r="E256" s="344"/>
    </row>
    <row r="257" spans="2:5" ht="20" customHeight="1">
      <c r="B257" s="8" t="s">
        <v>735</v>
      </c>
      <c r="C257" s="8" t="s">
        <v>554</v>
      </c>
      <c r="D257" s="20" t="s">
        <v>555</v>
      </c>
      <c r="E257" s="8" t="s">
        <v>222</v>
      </c>
    </row>
    <row r="258" spans="2:5" ht="20" customHeight="1">
      <c r="B258" s="21" t="s">
        <v>2408</v>
      </c>
      <c r="C258" s="22" t="str">
        <f>IF(mgmt_consolidated_result="Included",CONCATENATE(sample_mgmt_vc_hostname,".",sample_child_dns_zone),CONCATENATE(sample_wld_vc_hostname,".",sample_child_dns_zone))</f>
        <v>sfo-w01-vc01.sfo.rainpole.io</v>
      </c>
      <c r="D258" s="18" t="str">
        <f>IF(mgmt_consolidated_result="Included",mgmt_vc_fqdn,wld_vc_fqdn)</f>
        <v>Value Missing.Value Missing</v>
      </c>
      <c r="E258" s="53"/>
    </row>
    <row r="259" spans="2:5" ht="20" customHeight="1">
      <c r="B259" s="21" t="s">
        <v>637</v>
      </c>
      <c r="C259" s="22" t="str">
        <f>IF(mgmt_consolidated_result="Included",CONCATENATE(sample_mgmt_vc_hostname,".",sample_child_dns_zone),CONCATENATE(sample_wld_vc_hostname,".",sample_child_dns_zone))</f>
        <v>sfo-w01-vc01.sfo.rainpole.io</v>
      </c>
      <c r="D259" s="18" t="str">
        <f>IF(mgmt_consolidated_result="Included",mgmt_vc_fqdn,wld_vc_fqdn)</f>
        <v>Value Missing.Value Missing</v>
      </c>
      <c r="E259" s="53"/>
    </row>
    <row r="260" spans="2:5" ht="20" customHeight="1">
      <c r="B260" s="26" t="s">
        <v>2296</v>
      </c>
      <c r="C260" s="22" t="str">
        <f>sample_wld_vra_vm_folder</f>
        <v>sfo-w01-fd-workload</v>
      </c>
      <c r="D260" s="18" t="str">
        <f>wld_vra_vm_folder</f>
        <v>Value Missing</v>
      </c>
      <c r="E260" s="53"/>
    </row>
    <row r="261" spans="2:5" ht="20" customHeight="1">
      <c r="B261" s="26" t="s">
        <v>843</v>
      </c>
      <c r="C261" s="22" t="str">
        <f>IF(mgmt_consolidated_result="Included",sample_mgmt_cl01_cluster,sample_wld_cl01_cluster)</f>
        <v>sfo-w01-cl01</v>
      </c>
      <c r="D261" s="18" t="str">
        <f>IF(mgmt_consolidated_result="Included",mgmt_cl01_cluster,wld_cl01_cluster)</f>
        <v>Value Missing</v>
      </c>
      <c r="E261" s="53"/>
    </row>
    <row r="262" spans="2:5" ht="20" customHeight="1">
      <c r="B262" s="26" t="s">
        <v>2409</v>
      </c>
      <c r="C262" s="22" t="str">
        <f>sample_wld_vra_vm_rp</f>
        <v>sfo-w01-cl01-rp-workload</v>
      </c>
      <c r="D262" s="18" t="str">
        <f>wld_vra_vm_rp</f>
        <v>Value Missing</v>
      </c>
      <c r="E262" s="53"/>
    </row>
    <row r="263" spans="2:5" ht="16" customHeight="1"/>
    <row r="264" spans="2:5" ht="34" customHeight="1">
      <c r="B264" s="344" t="s">
        <v>3310</v>
      </c>
      <c r="C264" s="344"/>
      <c r="D264" s="344"/>
      <c r="E264" s="344"/>
    </row>
    <row r="265" spans="2:5" ht="20" customHeight="1">
      <c r="B265" s="8" t="s">
        <v>735</v>
      </c>
      <c r="C265" s="8" t="s">
        <v>554</v>
      </c>
      <c r="D265" s="20" t="s">
        <v>555</v>
      </c>
      <c r="E265" s="8" t="s">
        <v>222</v>
      </c>
    </row>
    <row r="266" spans="2:5" ht="20" customHeight="1">
      <c r="B266" s="21" t="s">
        <v>2408</v>
      </c>
      <c r="C266" s="22" t="str">
        <f>CONCATENATE(sample_wld_vc_hostname,".",sample_child_dns_zone)</f>
        <v>sfo-w01-vc01.sfo.rainpole.io</v>
      </c>
      <c r="D266" s="18" t="str">
        <f>wld_vc_fqdn</f>
        <v>Value Missing.Value Missing</v>
      </c>
      <c r="E266" s="53"/>
    </row>
    <row r="267" spans="2:5" ht="20" customHeight="1">
      <c r="B267" s="21" t="s">
        <v>3285</v>
      </c>
      <c r="C267" s="22" t="str">
        <f>xreg_vra_vsphere_role_name</f>
        <v>VMware Aria Automation to vSphere Integration</v>
      </c>
      <c r="D267" s="18" t="str">
        <f>xreg_vra_vsphere_role_name</f>
        <v>VMware Aria Automation to vSphere Integration</v>
      </c>
      <c r="E267" s="53"/>
    </row>
    <row r="268" spans="2:5" ht="20" customHeight="1">
      <c r="B268" s="21" t="s">
        <v>3315</v>
      </c>
      <c r="C268" s="22" t="str">
        <f>xreg_vro_vsphere_role_name</f>
        <v>VMware Aria Automation Orchestrator to vSphere Integration</v>
      </c>
      <c r="D268" s="18" t="str">
        <f>xreg_vro_vsphere_role_name</f>
        <v>VMware Aria Automation Orchestrator to vSphere Integration</v>
      </c>
      <c r="E268" s="53"/>
    </row>
    <row r="269" spans="2:5" ht="16" customHeight="1"/>
    <row r="270" spans="2:5" ht="34" customHeight="1">
      <c r="B270" s="427" t="s">
        <v>3311</v>
      </c>
      <c r="C270" s="428"/>
      <c r="D270" s="428"/>
      <c r="E270" s="426"/>
    </row>
    <row r="271" spans="2:5" ht="20" customHeight="1">
      <c r="B271" s="8" t="s">
        <v>735</v>
      </c>
      <c r="C271" s="8" t="s">
        <v>554</v>
      </c>
      <c r="D271" s="20" t="s">
        <v>555</v>
      </c>
      <c r="E271" s="8" t="s">
        <v>222</v>
      </c>
    </row>
    <row r="272" spans="2:5" ht="20" customHeight="1">
      <c r="B272" s="21" t="s">
        <v>2441</v>
      </c>
      <c r="C272" s="22" t="str">
        <f>CONCATENATE(sample_wld_vc_hostname,".",sample_child_dns_zone)</f>
        <v>sfo-w01-vc01.sfo.rainpole.io</v>
      </c>
      <c r="D272" s="18" t="str">
        <f>wld_vc_fqdn</f>
        <v>Value Missing.Value Missing</v>
      </c>
      <c r="E272" s="53"/>
    </row>
    <row r="273" spans="2:5" ht="20" customHeight="1">
      <c r="B273" s="21" t="s">
        <v>3284</v>
      </c>
      <c r="C273" s="22" t="str">
        <f>sample_child_dns_zone</f>
        <v>sfo.rainpole.io</v>
      </c>
      <c r="D273" s="18" t="str">
        <f>child_dns_zone</f>
        <v>Value Missing</v>
      </c>
      <c r="E273" s="53"/>
    </row>
    <row r="274" spans="2:5" ht="20" customHeight="1">
      <c r="B274" s="26" t="s">
        <v>3283</v>
      </c>
      <c r="C274" s="22" t="str">
        <f>sample_svc_vra_vsphere_user</f>
        <v>svc-cmp-vsphere</v>
      </c>
      <c r="D274" s="18" t="str">
        <f>user_svc_vra_vsphere</f>
        <v>Value Missing</v>
      </c>
      <c r="E274" s="53"/>
    </row>
    <row r="275" spans="2:5" ht="20" customHeight="1">
      <c r="B275" s="26" t="s">
        <v>3282</v>
      </c>
      <c r="C275" s="22" t="str">
        <f>xreg_vra_vsphere_role_name</f>
        <v>VMware Aria Automation to vSphere Integration</v>
      </c>
      <c r="D275" s="18" t="str">
        <f>xreg_vra_vsphere_role_name</f>
        <v>VMware Aria Automation to vSphere Integration</v>
      </c>
      <c r="E275" s="53"/>
    </row>
    <row r="276" spans="2:5" ht="20" customHeight="1">
      <c r="B276" s="21" t="s">
        <v>3316</v>
      </c>
      <c r="C276" s="22" t="str">
        <f>sample_child_dns_zone</f>
        <v>sfo.rainpole.io</v>
      </c>
      <c r="D276" s="18" t="str">
        <f>child_dns_zone</f>
        <v>Value Missing</v>
      </c>
      <c r="E276" s="53"/>
    </row>
    <row r="277" spans="2:5" ht="20" customHeight="1">
      <c r="B277" s="26" t="s">
        <v>3317</v>
      </c>
      <c r="C277" s="22" t="str">
        <f>sample_svc_vro_vsphere_user</f>
        <v>svc-orch-vsphere</v>
      </c>
      <c r="D277" s="18" t="str">
        <f>user_svc_vro_vsphere</f>
        <v>Value Missing</v>
      </c>
      <c r="E277" s="53"/>
    </row>
    <row r="278" spans="2:5" ht="20" customHeight="1">
      <c r="B278" s="26" t="s">
        <v>3318</v>
      </c>
      <c r="C278" s="22" t="str">
        <f>xreg_vro_vsphere_role_name</f>
        <v>VMware Aria Automation Orchestrator to vSphere Integration</v>
      </c>
      <c r="D278" s="18" t="str">
        <f>xreg_vro_vsphere_role_name</f>
        <v>VMware Aria Automation Orchestrator to vSphere Integration</v>
      </c>
      <c r="E278" s="53"/>
    </row>
    <row r="279" spans="2:5" ht="16" customHeight="1"/>
    <row r="280" spans="2:5" ht="34" customHeight="1">
      <c r="B280" s="344" t="s">
        <v>3312</v>
      </c>
      <c r="C280" s="344"/>
      <c r="D280" s="344"/>
      <c r="E280" s="344"/>
    </row>
    <row r="281" spans="2:5" ht="20" customHeight="1">
      <c r="B281" s="8" t="s">
        <v>735</v>
      </c>
      <c r="C281" s="8" t="s">
        <v>554</v>
      </c>
      <c r="D281" s="20" t="s">
        <v>555</v>
      </c>
      <c r="E281" s="8" t="s">
        <v>222</v>
      </c>
    </row>
    <row r="282" spans="2:5" ht="20" customHeight="1">
      <c r="B282" s="21" t="s">
        <v>2441</v>
      </c>
      <c r="C282" s="22" t="str">
        <f>CONCATENATE(sample_wld_vc_hostname,".",sample_child_dns_zone)</f>
        <v>sfo-w01-vc01.sfo.rainpole.io</v>
      </c>
      <c r="D282" s="18" t="str">
        <f>wld_vc_fqdn</f>
        <v>Value Missing.Value Missing</v>
      </c>
      <c r="E282" s="53"/>
    </row>
    <row r="283" spans="2:5" ht="20" customHeight="1">
      <c r="B283" s="26" t="s">
        <v>3281</v>
      </c>
      <c r="C283" s="22" t="str">
        <f>sample_svc_vra_vsphere_user</f>
        <v>svc-cmp-vsphere</v>
      </c>
      <c r="D283" s="18" t="str">
        <f>user_svc_vra_vsphere</f>
        <v>Value Missing</v>
      </c>
      <c r="E283" s="53"/>
    </row>
    <row r="284" spans="2:5" ht="20" customHeight="1">
      <c r="B284" s="26" t="s">
        <v>3319</v>
      </c>
      <c r="C284" s="22" t="str">
        <f>sample_svc_vro_vsphere_user</f>
        <v>svc-orch-vsphere</v>
      </c>
      <c r="D284" s="18" t="str">
        <f>user_svc_vro_vsphere</f>
        <v>Value Missing</v>
      </c>
      <c r="E284" s="53"/>
    </row>
    <row r="285" spans="2:5" ht="20" customHeight="1">
      <c r="B285" s="26" t="s">
        <v>637</v>
      </c>
      <c r="C285" s="22" t="str">
        <f>IF(mgmt_consolidated_result="Included",CONCATENATE(sample_mgmt_vc_hostname,".",sample_child_dns_zone),CONCATENATE(sample_wld_vc_hostname,".",sample_child_dns_zone))</f>
        <v>sfo-w01-vc01.sfo.rainpole.io</v>
      </c>
      <c r="D285" s="18" t="str">
        <f>IF(mgmt_consolidated_result="Included",mgmt_vc_fqdn,wld_vc_fqdn)</f>
        <v>Value Missing.Value Missing</v>
      </c>
      <c r="E285" s="53"/>
    </row>
    <row r="286" spans="2:5" ht="20" customHeight="1">
      <c r="B286" s="26" t="s">
        <v>841</v>
      </c>
      <c r="C286" s="22" t="str">
        <f>IF(mgmt_consolidated_result="Included",sample_mgmt_datacenter,sample_wld_datacenter)</f>
        <v>sfo-w01-DC</v>
      </c>
      <c r="D286" s="18" t="str">
        <f>IF(mgmt_consolidated_result="Included",mgmt_datacenter,wld_datacenter)</f>
        <v>Value Missing</v>
      </c>
      <c r="E286" s="53"/>
    </row>
    <row r="287" spans="2:5" ht="20" customHeight="1">
      <c r="B287" s="26" t="s">
        <v>3281</v>
      </c>
      <c r="C287" s="22" t="str">
        <f>sample_svc_vra_vsphere_user</f>
        <v>svc-cmp-vsphere</v>
      </c>
      <c r="D287" s="18" t="str">
        <f>user_svc_vra_vsphere</f>
        <v>Value Missing</v>
      </c>
      <c r="E287" s="53"/>
    </row>
    <row r="288" spans="2:5" ht="20" customHeight="1">
      <c r="B288" s="26" t="s">
        <v>3319</v>
      </c>
      <c r="C288" s="22" t="str">
        <f>sample_svc_vro_vsphere_user</f>
        <v>svc-orch-vsphere</v>
      </c>
      <c r="D288" s="18" t="str">
        <f>user_svc_vro_vsphere</f>
        <v>Value Missing</v>
      </c>
      <c r="E288" s="53"/>
    </row>
    <row r="289" spans="2:5" ht="16" customHeight="1"/>
    <row r="290" spans="2:5" ht="34" customHeight="1">
      <c r="B290" s="344" t="s">
        <v>3263</v>
      </c>
      <c r="C290" s="344"/>
      <c r="D290" s="344"/>
      <c r="E290" s="344"/>
    </row>
    <row r="291" spans="2:5" ht="20" customHeight="1">
      <c r="B291" s="8" t="s">
        <v>735</v>
      </c>
      <c r="C291" s="8" t="s">
        <v>554</v>
      </c>
      <c r="D291" s="20" t="s">
        <v>555</v>
      </c>
      <c r="E291" s="8" t="s">
        <v>222</v>
      </c>
    </row>
    <row r="292" spans="2:5" ht="20" customHeight="1">
      <c r="B292" s="21" t="s">
        <v>2422</v>
      </c>
      <c r="C292" s="22" t="str">
        <f>CONCATENATE(sample_wld_nsxt_hostname,".",sample_child_dns_zone)</f>
        <v>sfo-w01-nsx01.sfo.rainpole.io</v>
      </c>
      <c r="D292" s="18" t="str">
        <f>wld_nsxt_vip_fqdn</f>
        <v>Value Missing.Value Missing</v>
      </c>
      <c r="E292" s="53"/>
    </row>
    <row r="293" spans="2:5" ht="20" customHeight="1">
      <c r="B293" s="21" t="s">
        <v>2423</v>
      </c>
      <c r="C293" s="22" t="str">
        <f>CONCATENATE(sample_svc_vra_nsx_user,"@",sample_child_dns_zone)</f>
        <v>svc-cmp-nsx@sfo.rainpole.io</v>
      </c>
      <c r="D293" s="18" t="str">
        <f>CONCATENATE(user_svc_vra_nsx,"@",child_dns_zone)</f>
        <v>Value Missing@Value Missing</v>
      </c>
      <c r="E293" s="53"/>
    </row>
    <row r="294" spans="2:5" ht="16" customHeight="1"/>
    <row r="295" spans="2:5" ht="34" customHeight="1">
      <c r="B295" s="344" t="s">
        <v>3264</v>
      </c>
      <c r="C295" s="344"/>
      <c r="D295" s="344"/>
      <c r="E295" s="344"/>
    </row>
    <row r="296" spans="2:5" ht="20" customHeight="1">
      <c r="B296" s="8" t="s">
        <v>735</v>
      </c>
      <c r="C296" s="8" t="s">
        <v>554</v>
      </c>
      <c r="D296" s="20" t="s">
        <v>555</v>
      </c>
      <c r="E296" s="8" t="s">
        <v>222</v>
      </c>
    </row>
    <row r="297" spans="2:5" ht="20" customHeight="1">
      <c r="B297" s="21" t="s">
        <v>3374</v>
      </c>
      <c r="C297" s="22" t="str">
        <f>CONCATENATE(sample_xreg_vra_virtual_hostname,".",sample_parent_dns_zone)</f>
        <v>xint-cmp01.rainpole.io</v>
      </c>
      <c r="D297" s="18" t="str">
        <f>xreg_vra_virtual_fqdn</f>
        <v>Value Missing.Value Missing</v>
      </c>
      <c r="E297" s="53"/>
    </row>
    <row r="298" spans="2:5" ht="20" customHeight="1">
      <c r="B298" s="21" t="s">
        <v>2424</v>
      </c>
      <c r="C298" s="22" t="str">
        <f>IF(mgmt_consolidated_result="Included",sample_mgmt_vc_hostname,sample_wld_vc_hostname)</f>
        <v>sfo-w01-vc01</v>
      </c>
      <c r="D298" s="18" t="str">
        <f>IF(mgmt_consolidated_result="Included",mgmt_vc_hostname,wld_vc_hostname)</f>
        <v>Value Missing</v>
      </c>
      <c r="E298" s="53"/>
    </row>
    <row r="299" spans="2:5" ht="20" customHeight="1">
      <c r="B299" s="26" t="s">
        <v>2425</v>
      </c>
      <c r="C299" s="22" t="str">
        <f>IF(mgmt_consolidated_result="Included",CONCATENATE(sample_mgmt_vc_hostname,".",sample_child_dns_zone),CONCATENATE(sample_wld_vc_hostname,".",sample_child_dns_zone))</f>
        <v>sfo-w01-vc01.sfo.rainpole.io</v>
      </c>
      <c r="D299" s="18" t="str">
        <f>IF(mgmt_consolidated_result="Included",mgmt_vc_fqdn,wld_vc_fqdn)</f>
        <v>Value Missing.Value Missing</v>
      </c>
      <c r="E299" s="53"/>
    </row>
    <row r="300" spans="2:5" ht="20" customHeight="1">
      <c r="B300" s="26" t="s">
        <v>2426</v>
      </c>
      <c r="C300" s="22" t="str">
        <f>CONCATENATE(sample_svc_vra_vsphere_user,"@",sample_child_dns_zone)</f>
        <v>svc-cmp-vsphere@sfo.rainpole.io</v>
      </c>
      <c r="D300" s="18" t="str">
        <f>CONCATENATE(user_svc_vra_vsphere,"@",child_dns_zone)</f>
        <v>Value Missing@Value Missing</v>
      </c>
      <c r="E300" s="53"/>
    </row>
    <row r="301" spans="2:5" ht="20" customHeight="1">
      <c r="B301" s="26" t="s">
        <v>2427</v>
      </c>
      <c r="C301" s="22" t="str">
        <f>sample_svc_vra_vsphere_password</f>
        <v>VMw@re1!</v>
      </c>
      <c r="D301" s="18" t="str">
        <f>svc_vra_vsphere_password</f>
        <v>Value Missing</v>
      </c>
      <c r="E301" s="53"/>
    </row>
    <row r="302" spans="2:5" ht="20" customHeight="1">
      <c r="B302" s="21" t="s">
        <v>2428</v>
      </c>
      <c r="C302" s="22" t="str">
        <f>IF(mgmt_consolidated_result="Included",sample_mgmt_datacenter,sample_wld_datacenter)</f>
        <v>sfo-w01-DC</v>
      </c>
      <c r="D302" s="18" t="str">
        <f>IF(mgmt_consolidated_result="Included",mgmt_datacenter,wld_datacenter)</f>
        <v>Value Missing</v>
      </c>
      <c r="E302" s="53"/>
    </row>
    <row r="303" spans="2:5" ht="20" customHeight="1">
      <c r="B303" s="26" t="s">
        <v>2429</v>
      </c>
      <c r="C303" s="22" t="str">
        <f>sample_xreg_vra_cloud_account_cloud_capability_tag</f>
        <v>private</v>
      </c>
      <c r="D303" s="18" t="str">
        <f>xreg_vra_cloud_account_cloud_capability_tag</f>
        <v>Value Missing</v>
      </c>
      <c r="E303" s="53"/>
    </row>
    <row r="304" spans="2:5" ht="20" customHeight="1">
      <c r="B304" s="21" t="s">
        <v>2430</v>
      </c>
      <c r="C304" s="22" t="str">
        <f>IF(mgmt_consolidated_result="Included",sample_mgmt_nsxt_hostname,sample_wld_nsxt_hostname)</f>
        <v>sfo-w01-nsx01</v>
      </c>
      <c r="D304" s="18" t="str">
        <f>IF(mgmt_consolidated_result="Included",mgmt_nsxt_hostname,wld_nsxt_hostname)</f>
        <v>Value Missing</v>
      </c>
      <c r="E304" s="53"/>
    </row>
    <row r="305" spans="2:5" ht="20" customHeight="1">
      <c r="B305" s="26" t="s">
        <v>2431</v>
      </c>
      <c r="C305" s="22" t="str">
        <f>IF(mgmt_consolidated_result="Included",CONCATENATE(sample_mgmt_nsxt_hostname,".",sample_child_dns_zone),CONCATENATE(sample_wld_nsxt_hostname,".",sample_child_dns_zone))</f>
        <v>sfo-w01-nsx01.sfo.rainpole.io</v>
      </c>
      <c r="D305" s="18" t="str">
        <f>IF(mgmt_consolidated_result="Included",mgmt_nsxt_vip_fqdn,wld_nsxt_vip_fqdn)</f>
        <v>Value Missing.Value Missing</v>
      </c>
      <c r="E305" s="53"/>
    </row>
    <row r="306" spans="2:5" ht="20" customHeight="1">
      <c r="B306" s="26" t="s">
        <v>2432</v>
      </c>
      <c r="C306" s="22" t="str">
        <f>CONCATENATE(sample_svc_vra_nsx_user,"@",sample_child_dns_zone)</f>
        <v>svc-cmp-nsx@sfo.rainpole.io</v>
      </c>
      <c r="D306" s="18" t="str">
        <f>CONCATENATE(user_svc_vra_nsx,"@",child_dns_zone)</f>
        <v>Value Missing@Value Missing</v>
      </c>
      <c r="E306" s="53"/>
    </row>
    <row r="307" spans="2:5" ht="20" customHeight="1">
      <c r="B307" s="26" t="s">
        <v>2433</v>
      </c>
      <c r="C307" s="22" t="str">
        <f>sample_svc_vra_nsx_password</f>
        <v>VMw@re1!</v>
      </c>
      <c r="D307" s="18" t="str">
        <f>svc_vra_nsx_password</f>
        <v>Value Missing</v>
      </c>
      <c r="E307" s="53"/>
    </row>
    <row r="308" spans="2:5" ht="20" customHeight="1">
      <c r="B308" s="26" t="s">
        <v>735</v>
      </c>
      <c r="C308" s="22" t="str">
        <f>IF(mgmt_consolidated_result="Included",sample_mgmt_vc_hostname,sample_wld_vc_hostname)</f>
        <v>sfo-w01-vc01</v>
      </c>
      <c r="D308" s="18" t="str">
        <f>IF(mgmt_consolidated_result="Included",mgmt_vc_hostname,wld_vc_hostname)</f>
        <v>Value Missing</v>
      </c>
      <c r="E308" s="53"/>
    </row>
    <row r="309" spans="2:5" ht="20" customHeight="1">
      <c r="B309" s="26" t="s">
        <v>2429</v>
      </c>
      <c r="C309" s="22" t="str">
        <f>sample_xreg_vra_cloud_account_cloud_capability_tag</f>
        <v>private</v>
      </c>
      <c r="D309" s="18" t="str">
        <f>xreg_vra_cloud_account_cloud_capability_tag</f>
        <v>Value Missing</v>
      </c>
      <c r="E309" s="53"/>
    </row>
    <row r="310" spans="2:5" ht="16" customHeight="1"/>
    <row r="311" spans="2:5" ht="34" customHeight="1">
      <c r="B311" s="344" t="s">
        <v>3265</v>
      </c>
      <c r="C311" s="344"/>
      <c r="D311" s="344"/>
      <c r="E311" s="344"/>
    </row>
    <row r="312" spans="2:5" ht="20" customHeight="1">
      <c r="B312" s="8" t="s">
        <v>735</v>
      </c>
      <c r="C312" s="8" t="s">
        <v>554</v>
      </c>
      <c r="D312" s="20" t="s">
        <v>555</v>
      </c>
      <c r="E312" s="8" t="s">
        <v>222</v>
      </c>
    </row>
    <row r="313" spans="2:5" ht="20" customHeight="1">
      <c r="B313" s="21" t="s">
        <v>3374</v>
      </c>
      <c r="C313" s="22" t="str">
        <f>CONCATENATE(sample_xreg_vra_virtual_hostname,".",sample_parent_dns_zone)</f>
        <v>xint-cmp01.rainpole.io</v>
      </c>
      <c r="D313" s="18" t="str">
        <f>xreg_vra_virtual_fqdn</f>
        <v>Value Missing.Value Missing</v>
      </c>
      <c r="E313" s="53"/>
    </row>
    <row r="314" spans="2:5" ht="20" customHeight="1">
      <c r="B314" s="21" t="s">
        <v>2434</v>
      </c>
      <c r="C314" s="22" t="str">
        <f>IF(mgmt_consolidated_result="Included",CONCATENATE(sample_mgmt_vc_hostname," / ",sample_mgmt_datacenter),CONCATENATE(sample_wld_vc_hostname," / ",sample_wld_datacenter))</f>
        <v>sfo-w01-vc01 / sfo-w01-DC</v>
      </c>
      <c r="D314" s="18" t="str">
        <f>IF(mgmt_consolidated_result="Included",CONCATENATE(mgmt_vc_hostname," / ",mgmt_datacenter),CONCATENATE(wld_vc_hostname," / ",wld_datacenter))</f>
        <v>Value Missing / Value Missing</v>
      </c>
      <c r="E314" s="53"/>
    </row>
    <row r="315" spans="2:5" ht="20" customHeight="1">
      <c r="B315" s="26" t="s">
        <v>1797</v>
      </c>
      <c r="C315" s="22" t="str">
        <f>sample_wld_vra_vm_folder</f>
        <v>sfo-w01-fd-workload</v>
      </c>
      <c r="D315" s="18" t="str">
        <f>wld_vra_vm_folder</f>
        <v>Value Missing</v>
      </c>
      <c r="E315" s="53"/>
    </row>
    <row r="316" spans="2:5" ht="20" customHeight="1">
      <c r="B316" s="26" t="s">
        <v>2429</v>
      </c>
      <c r="C316" s="22" t="str">
        <f>sample_xreg_vra_cloud_account_region_capability_tag</f>
        <v>enabled:true</v>
      </c>
      <c r="D316" s="18" t="str">
        <f>xreg_vra_cloud_account_region_capability_tag</f>
        <v>Value Missing</v>
      </c>
      <c r="E316" s="53"/>
    </row>
    <row r="317" spans="2:5" ht="20" customHeight="1">
      <c r="B317" s="26" t="s">
        <v>2435</v>
      </c>
      <c r="C317" s="22" t="str">
        <f>IF(mgmt_consolidated_result="Included",CONCATENATE(sample_mgmt_cl01_cluster," / ",sample_wld_vra_vm_folder),CONCATENATE(sample_wld_cl01_cluster," / ",sample_wld_vra_vm_folder))</f>
        <v>sfo-w01-cl01 / sfo-w01-fd-workload</v>
      </c>
      <c r="D317" s="18" t="str">
        <f>IF(mgmt_consolidated_result="Included",CONCATENATE(mgmt_cl01_cluster," / ",wld_vra_vm_folder),CONCATENATE(wld_cl01_cluster," / ",wld_vra_vm_folder))</f>
        <v>Value Missing / Value Missing</v>
      </c>
      <c r="E317" s="53"/>
    </row>
    <row r="318" spans="2:5" ht="16" customHeight="1"/>
    <row r="319" spans="2:5" ht="34" customHeight="1">
      <c r="B319" s="344" t="s">
        <v>3313</v>
      </c>
      <c r="C319" s="344"/>
      <c r="D319" s="344"/>
      <c r="E319" s="344"/>
    </row>
    <row r="320" spans="2:5" ht="20" customHeight="1">
      <c r="B320" s="8" t="s">
        <v>735</v>
      </c>
      <c r="C320" s="8" t="s">
        <v>554</v>
      </c>
      <c r="D320" s="20" t="s">
        <v>555</v>
      </c>
      <c r="E320" s="8" t="s">
        <v>222</v>
      </c>
    </row>
    <row r="321" spans="2:5" ht="20" customHeight="1">
      <c r="B321" s="21" t="s">
        <v>3374</v>
      </c>
      <c r="C321" s="22" t="str">
        <f>CONCATENATE(sample_xreg_vra_virtual_hostname,".",sample_parent_dns_zone)</f>
        <v>xint-cmp01.rainpole.io</v>
      </c>
      <c r="D321" s="18" t="str">
        <f>xreg_vra_virtual_fqdn</f>
        <v>Value Missing.Value Missing</v>
      </c>
      <c r="E321" s="53"/>
    </row>
    <row r="322" spans="2:5" ht="16" customHeight="1"/>
    <row r="323" spans="2:5" ht="34" customHeight="1">
      <c r="B323" s="344" t="s">
        <v>3314</v>
      </c>
      <c r="C323" s="344"/>
      <c r="D323" s="344"/>
      <c r="E323" s="344"/>
    </row>
    <row r="324" spans="2:5" ht="20" customHeight="1">
      <c r="B324" s="8" t="s">
        <v>735</v>
      </c>
      <c r="C324" s="8" t="s">
        <v>554</v>
      </c>
      <c r="D324" s="20" t="s">
        <v>555</v>
      </c>
      <c r="E324" s="8" t="s">
        <v>222</v>
      </c>
    </row>
    <row r="325" spans="2:5" ht="20" customHeight="1">
      <c r="B325" s="21" t="s">
        <v>3374</v>
      </c>
      <c r="C325" s="22" t="str">
        <f>CONCATENATE(sample_xreg_vra_virtual_hostname,".",sample_parent_dns_zone)</f>
        <v>xint-cmp01.rainpole.io</v>
      </c>
      <c r="D325" s="18" t="str">
        <f>xreg_vra_virtual_fqdn</f>
        <v>Value Missing.Value Missing</v>
      </c>
      <c r="E325" s="53"/>
    </row>
    <row r="326" spans="2:5" ht="20" customHeight="1">
      <c r="B326" s="21" t="s">
        <v>2440</v>
      </c>
      <c r="C326" s="22" t="str">
        <f>IF(mgmt_consolidated_result="Included",CONCATENATE(sample_mgmt_vc_hostname,".",sample_child_dns_zone),CONCATENATE(sample_wld_vc_hostname,".",sample_child_dns_zone))</f>
        <v>sfo-w01-vc01.sfo.rainpole.io</v>
      </c>
      <c r="D326" s="18" t="str">
        <f>IF(mgmt_consolidated_result="Included",mgmt_vc_fqdn,wld_vc_fqdn)</f>
        <v>Value Missing.Value Missing</v>
      </c>
      <c r="E326" s="53"/>
    </row>
    <row r="327" spans="2:5" ht="20" customHeight="1">
      <c r="B327" s="26" t="s">
        <v>1806</v>
      </c>
      <c r="C327" s="22" t="str">
        <f>CONCATENATE(sample_svc_vro_vsphere_user,"@",sample_parent_dns_zone)</f>
        <v>svc-orch-vsphere@rainpole.io</v>
      </c>
      <c r="D327" s="18" t="str">
        <f>CONCATENATE(user_svc_vro_vsphere,"@",parent_dns_zone)</f>
        <v>Value Missing@Value Missing</v>
      </c>
      <c r="E327" s="53"/>
    </row>
    <row r="328" spans="2:5" ht="20" customHeight="1">
      <c r="B328" s="26" t="s">
        <v>1796</v>
      </c>
      <c r="C328" s="22" t="str">
        <f>sample_svc_vro_vsphere_password</f>
        <v>VMw@re1!</v>
      </c>
      <c r="D328" s="18" t="str">
        <f>svc_vro_vsphere_password</f>
        <v>Value Missing</v>
      </c>
      <c r="E328" s="53"/>
    </row>
    <row r="330" spans="2:5" ht="34" customHeight="1">
      <c r="B330" s="552" t="s">
        <v>2275</v>
      </c>
      <c r="C330" s="505"/>
      <c r="D330" s="505"/>
      <c r="E330" s="505"/>
    </row>
    <row r="332" spans="2:5" ht="34" customHeight="1">
      <c r="B332" s="386" t="s">
        <v>3459</v>
      </c>
      <c r="C332" s="387"/>
      <c r="D332" s="387"/>
      <c r="E332" s="387"/>
    </row>
    <row r="334" spans="2:5" ht="34" customHeight="1">
      <c r="B334" s="568" t="s">
        <v>3402</v>
      </c>
      <c r="C334" s="569"/>
      <c r="D334" s="569"/>
      <c r="E334" s="570"/>
    </row>
    <row r="335" spans="2:5" ht="20" customHeight="1">
      <c r="B335" s="8" t="s">
        <v>735</v>
      </c>
      <c r="C335" s="8" t="s">
        <v>554</v>
      </c>
      <c r="D335" s="20" t="s">
        <v>555</v>
      </c>
      <c r="E335" s="8" t="s">
        <v>222</v>
      </c>
    </row>
    <row r="336" spans="2:5" ht="20" customHeight="1">
      <c r="B336" s="21" t="s">
        <v>3369</v>
      </c>
      <c r="C336" s="22" t="str">
        <f>CONCATENATE(sample_xreg_vrops_virtual_hostname,".",sample_parent_dns_zone)</f>
        <v>xint-ops01.rainpole.io</v>
      </c>
      <c r="D336" s="18" t="str">
        <f>xreg_vrops_virtual_fqdn</f>
        <v>Value Missing.Value Missing</v>
      </c>
      <c r="E336" s="53"/>
    </row>
    <row r="337" spans="2:5" ht="20" customHeight="1">
      <c r="B337" s="21" t="s">
        <v>2442</v>
      </c>
      <c r="C337" s="22" t="s">
        <v>2443</v>
      </c>
      <c r="D337" s="18" t="str">
        <f>C337</f>
        <v>vIDMAuthSource</v>
      </c>
      <c r="E337" s="53"/>
    </row>
    <row r="338" spans="2:5" ht="20" customHeight="1">
      <c r="B338" s="21" t="s">
        <v>905</v>
      </c>
      <c r="C338" s="22" t="str">
        <f>sample_region_ad_child_fqdn</f>
        <v>sfo.rainpole.io</v>
      </c>
      <c r="D338" s="18" t="str">
        <f>region_ad_child_fqdn</f>
        <v>Value Missing</v>
      </c>
      <c r="E338" s="53"/>
    </row>
    <row r="339" spans="2:5" ht="20" customHeight="1">
      <c r="B339" s="21" t="s">
        <v>2444</v>
      </c>
      <c r="C339" s="22" t="str">
        <f>sample_svc_vra_vrops_user</f>
        <v>svc-cmp-ops</v>
      </c>
      <c r="D339" s="18" t="str">
        <f>user_svc_vra_vrops</f>
        <v>Value Missing</v>
      </c>
      <c r="E339" s="53"/>
    </row>
    <row r="341" spans="2:5" ht="34" customHeight="1">
      <c r="B341" s="568" t="s">
        <v>3403</v>
      </c>
      <c r="C341" s="569"/>
      <c r="D341" s="569"/>
      <c r="E341" s="570"/>
    </row>
    <row r="342" spans="2:5" ht="20" customHeight="1">
      <c r="B342" s="8" t="s">
        <v>735</v>
      </c>
      <c r="C342" s="8" t="s">
        <v>554</v>
      </c>
      <c r="D342" s="20" t="s">
        <v>555</v>
      </c>
      <c r="E342" s="8" t="s">
        <v>222</v>
      </c>
    </row>
    <row r="343" spans="2:5" ht="20" customHeight="1">
      <c r="B343" s="21" t="s">
        <v>3374</v>
      </c>
      <c r="C343" s="22" t="str">
        <f>CONCATENATE(sample_xreg_vra_virtual_hostname,".",sample_parent_dns_zone)</f>
        <v>xint-cmp01.rainpole.io</v>
      </c>
      <c r="D343" s="18" t="str">
        <f>xreg_vra_virtual_fqdn</f>
        <v>Value Missing.Value Missing</v>
      </c>
      <c r="E343" s="53"/>
    </row>
    <row r="344" spans="2:5" ht="20" customHeight="1">
      <c r="B344" s="21" t="s">
        <v>735</v>
      </c>
      <c r="C344" s="22" t="s">
        <v>3392</v>
      </c>
      <c r="D344" s="18" t="str">
        <f>C344</f>
        <v>VMware Aria Operations</v>
      </c>
      <c r="E344" s="53"/>
    </row>
    <row r="345" spans="2:5" ht="20" customHeight="1">
      <c r="B345" s="21" t="s">
        <v>3225</v>
      </c>
      <c r="C345" s="22" t="str">
        <f>CONCATENATE("https://",sample_xreg_vrops_virtual_hostname,".",sample_parent_dns_zone,"/suite-api")</f>
        <v>https://xint-ops01.rainpole.io/suite-api</v>
      </c>
      <c r="D345" s="18" t="str">
        <f>CONCATENATE("https://",xreg_vrops_virtual_fqdn,"/suite-api")</f>
        <v>https://Value Missing.Value Missing/suite-api</v>
      </c>
      <c r="E345" s="53"/>
    </row>
    <row r="346" spans="2:5" ht="20" customHeight="1">
      <c r="B346" s="21" t="s">
        <v>1806</v>
      </c>
      <c r="C346" s="22" t="str">
        <f>CONCATENATE(sample_svc_vra_vrops_user,"@",sample_child_dns_zone,"@vIDMAuthSource")</f>
        <v>svc-cmp-ops@sfo.rainpole.io@vIDMAuthSource</v>
      </c>
      <c r="D346" s="18" t="str">
        <f>CONCATENATE(user_svc_vra_vrops,"@",child_dns_zone,"@vIDMAuthSource")</f>
        <v>Value Missing@Value Missing@vIDMAuthSource</v>
      </c>
      <c r="E346" s="53"/>
    </row>
    <row r="347" spans="2:5" ht="20" customHeight="1">
      <c r="B347" s="21" t="s">
        <v>1796</v>
      </c>
      <c r="C347" s="22" t="str">
        <f>sample_svc_vra_vrops_password</f>
        <v>VMw@re1!</v>
      </c>
      <c r="D347" s="18" t="str">
        <f t="array" ref="D347">svc_vra_vrops_password</f>
        <v>Value Missing</v>
      </c>
      <c r="E347" s="53"/>
    </row>
    <row r="348" spans="2:5">
      <c r="B348" s="172"/>
      <c r="C348" s="172"/>
      <c r="D348" s="172"/>
      <c r="E348" s="172"/>
    </row>
    <row r="349" spans="2:5" ht="34" customHeight="1">
      <c r="B349" s="571" t="s">
        <v>3404</v>
      </c>
      <c r="C349" s="571"/>
      <c r="D349" s="571"/>
      <c r="E349" s="571"/>
    </row>
    <row r="350" spans="2:5" ht="20" customHeight="1">
      <c r="B350" s="8" t="s">
        <v>735</v>
      </c>
      <c r="C350" s="8" t="s">
        <v>554</v>
      </c>
      <c r="D350" s="20" t="s">
        <v>555</v>
      </c>
      <c r="E350" s="8" t="s">
        <v>222</v>
      </c>
    </row>
    <row r="351" spans="2:5" ht="20" customHeight="1">
      <c r="B351" s="21" t="s">
        <v>3374</v>
      </c>
      <c r="C351" s="22" t="str">
        <f>CONCATENATE(sample_xreg_vra_virtual_hostname,".",sample_parent_dns_zone)</f>
        <v>xint-cmp01.rainpole.io</v>
      </c>
      <c r="D351" s="18" t="str">
        <f>xreg_vra_virtual_fqdn</f>
        <v>Value Missing.Value Missing</v>
      </c>
      <c r="E351" s="53"/>
    </row>
    <row r="352" spans="2:5" ht="20" customHeight="1">
      <c r="B352" s="21" t="s">
        <v>3522</v>
      </c>
      <c r="C352" s="22" t="str">
        <f t="array" ref="C352">sample_svc_vrops_vra_user</f>
        <v>svc-ops-cmp</v>
      </c>
      <c r="D352" s="18" t="str">
        <f>user_svc_vrops_vra</f>
        <v>Value Missing</v>
      </c>
      <c r="E352" s="53"/>
    </row>
    <row r="354" spans="2:5" ht="34" customHeight="1">
      <c r="B354" s="568" t="s">
        <v>3405</v>
      </c>
      <c r="C354" s="569"/>
      <c r="D354" s="569"/>
      <c r="E354" s="570"/>
    </row>
    <row r="355" spans="2:5" ht="20" customHeight="1">
      <c r="B355" s="8" t="s">
        <v>735</v>
      </c>
      <c r="C355" s="8" t="s">
        <v>554</v>
      </c>
      <c r="D355" s="20" t="s">
        <v>555</v>
      </c>
      <c r="E355" s="8" t="s">
        <v>222</v>
      </c>
    </row>
    <row r="356" spans="2:5" ht="20" customHeight="1">
      <c r="B356" s="21" t="s">
        <v>3369</v>
      </c>
      <c r="C356" s="22" t="str">
        <f>CONCATENATE(sample_xreg_vrops_virtual_hostname,".",sample_parent_dns_zone)</f>
        <v>xint-ops01.rainpole.io</v>
      </c>
      <c r="D356" s="18" t="str">
        <f>xreg_vrops_virtual_fqdn</f>
        <v>Value Missing.Value Missing</v>
      </c>
      <c r="E356" s="53"/>
    </row>
    <row r="357" spans="2:5" ht="20" customHeight="1">
      <c r="B357" s="21" t="s">
        <v>2445</v>
      </c>
      <c r="C357" s="22" t="s">
        <v>3266</v>
      </c>
      <c r="D357" s="18" t="str">
        <f>C357</f>
        <v>VMware Aria Automation Credentials</v>
      </c>
      <c r="E357" s="53"/>
    </row>
    <row r="358" spans="2:5" ht="20" customHeight="1">
      <c r="B358" s="21" t="s">
        <v>2446</v>
      </c>
      <c r="C358" s="22" t="str">
        <f t="array" ref="C358">sample_svc_vrops_vra_user</f>
        <v>svc-ops-cmp</v>
      </c>
      <c r="D358" s="18" t="str">
        <f>user_svc_vrops_vra</f>
        <v>Value Missing</v>
      </c>
      <c r="E358" s="53"/>
    </row>
    <row r="359" spans="2:5" ht="20" customHeight="1">
      <c r="B359" s="21" t="s">
        <v>1796</v>
      </c>
      <c r="C359" s="22" t="str">
        <f t="array" ref="C359">sample_svc_vrops_vra_password</f>
        <v>VMw@re1!</v>
      </c>
      <c r="D359" s="18" t="str">
        <f>svc_vrops_vra_password</f>
        <v>Value Missing</v>
      </c>
      <c r="E359" s="53"/>
    </row>
    <row r="361" spans="2:5" ht="34" customHeight="1">
      <c r="B361" s="568" t="s">
        <v>3267</v>
      </c>
      <c r="C361" s="569"/>
      <c r="D361" s="569"/>
      <c r="E361" s="570"/>
    </row>
    <row r="362" spans="2:5" ht="20" customHeight="1">
      <c r="B362" s="8" t="s">
        <v>735</v>
      </c>
      <c r="C362" s="8" t="s">
        <v>554</v>
      </c>
      <c r="D362" s="20" t="s">
        <v>555</v>
      </c>
      <c r="E362" s="8" t="s">
        <v>222</v>
      </c>
    </row>
    <row r="363" spans="2:5" ht="20" customHeight="1">
      <c r="B363" s="21" t="s">
        <v>3374</v>
      </c>
      <c r="C363" s="22" t="str">
        <f>CONCATENATE(sample_xreg_vra_virtual_hostname,".",sample_parent_dns_zone)</f>
        <v>xint-cmp01.rainpole.io</v>
      </c>
      <c r="D363" s="18" t="str">
        <f>xreg_vra_virtual_fqdn</f>
        <v>Value Missing.Value Missing</v>
      </c>
      <c r="E363" s="53"/>
    </row>
    <row r="364" spans="2:5" ht="20" customHeight="1">
      <c r="B364" s="21" t="s">
        <v>2447</v>
      </c>
      <c r="C364" s="22" t="str">
        <f>CONCATENATE(sample_wld_vc_hostname," / ",sample_wld_datacenter)</f>
        <v>sfo-w01-vc01 / sfo-w01-DC</v>
      </c>
      <c r="D364" s="18" t="str">
        <f>CONCATENATE(wld_vc_hostname," / ",wld_datacenter)</f>
        <v>Value Missing / Value Missing</v>
      </c>
      <c r="E364" s="53"/>
    </row>
    <row r="366" spans="2:5" ht="34" customHeight="1">
      <c r="B366" s="344" t="s">
        <v>3268</v>
      </c>
      <c r="C366" s="344"/>
      <c r="D366" s="344"/>
      <c r="E366" s="344"/>
    </row>
    <row r="367" spans="2:5" ht="20" customHeight="1">
      <c r="B367" s="8" t="s">
        <v>735</v>
      </c>
      <c r="C367" s="8" t="s">
        <v>554</v>
      </c>
      <c r="D367" s="20" t="s">
        <v>555</v>
      </c>
      <c r="E367" s="8" t="s">
        <v>222</v>
      </c>
    </row>
    <row r="368" spans="2:5" ht="20" customHeight="1">
      <c r="B368" s="21" t="s">
        <v>3369</v>
      </c>
      <c r="C368" s="22" t="str">
        <f>CONCATENATE(sample_xreg_vrops_virtual_hostname,".",sample_parent_dns_zone)</f>
        <v>xint-ops01.rainpole.io</v>
      </c>
      <c r="D368" s="18" t="str">
        <f>xreg_vrops_virtual_fqdn</f>
        <v>Value Missing.Value Missing</v>
      </c>
      <c r="E368" s="53"/>
    </row>
    <row r="369" spans="2:5" ht="20" customHeight="1">
      <c r="B369" s="21" t="s">
        <v>735</v>
      </c>
      <c r="C369" s="22" t="str">
        <f>CONCATENATE(sample_xreg_vra_virtual_hostname,"-cluster")</f>
        <v>xint-cmp01-cluster</v>
      </c>
      <c r="D369" s="18" t="str">
        <f>CONCATENATE(xreg_vra_virtual_hostname,"-cluster")</f>
        <v>Value Missing-cluster</v>
      </c>
      <c r="E369" s="53"/>
    </row>
    <row r="370" spans="2:5" ht="20" customHeight="1">
      <c r="B370" s="21" t="s">
        <v>2323</v>
      </c>
      <c r="C370" s="22" t="str">
        <f>CONCATENATE(sample_xreg_vra_virtual_hostname,"-cluster")</f>
        <v>xint-cmp01-cluster</v>
      </c>
      <c r="D370" s="18" t="str">
        <f>CONCATENATE(xreg_vra_virtual_hostname,"-cluster")</f>
        <v>Value Missing-cluster</v>
      </c>
      <c r="E370" s="53"/>
    </row>
    <row r="371" spans="2:5" ht="20" customHeight="1">
      <c r="B371" s="21" t="s">
        <v>2448</v>
      </c>
      <c r="C371" s="22" t="str">
        <f>CONCATENATE(sample_xreg_vra_virtual_ip,",",sample_xreg_vra_nodea_ip,",",sample_xreg_vra_nodeb_ip,",",sample_xreg_vra_nodec_ip)</f>
        <v>192.168.11.50,192.168.11.51,192.168.11.52,192.168.11.53</v>
      </c>
      <c r="D371" s="18" t="str">
        <f>CONCATENATE(xreg_vra_virtual_ip,",",xreg_vra_nodea_ip,",",xreg_vra_nodeb_ip,",",xreg_vra_nodec_ip)</f>
        <v>Value Missing,Value Missing,Value Missing,Value Missing</v>
      </c>
      <c r="E371" s="53"/>
    </row>
    <row r="372" spans="2:5" ht="20" customHeight="1">
      <c r="B372" s="21" t="s">
        <v>2322</v>
      </c>
      <c r="C372" s="22" t="s">
        <v>1463</v>
      </c>
      <c r="D372" s="18" t="str">
        <f>C372</f>
        <v>Default collector group</v>
      </c>
      <c r="E372" s="53"/>
    </row>
    <row r="374" spans="2:5" ht="34" customHeight="1">
      <c r="B374" s="568" t="s">
        <v>4326</v>
      </c>
      <c r="C374" s="569"/>
      <c r="D374" s="569"/>
      <c r="E374" s="570"/>
    </row>
    <row r="375" spans="2:5" ht="17">
      <c r="B375" s="8" t="s">
        <v>735</v>
      </c>
      <c r="C375" s="8" t="s">
        <v>554</v>
      </c>
      <c r="D375" s="20" t="s">
        <v>555</v>
      </c>
      <c r="E375" s="8" t="s">
        <v>222</v>
      </c>
    </row>
    <row r="376" spans="2:5" ht="20" customHeight="1">
      <c r="B376" s="21" t="s">
        <v>3374</v>
      </c>
      <c r="C376" s="22" t="str">
        <f>CONCATENATE(sample_xreg_vra_virtual_hostname,".",sample_parent_dns_zone)</f>
        <v>xint-cmp01.rainpole.io</v>
      </c>
      <c r="D376" s="18" t="str">
        <f>xreg_vra_virtual_fqdn</f>
        <v>Value Missing.Value Missing</v>
      </c>
      <c r="E376" s="53"/>
    </row>
    <row r="377" spans="2:5" ht="20" customHeight="1"/>
    <row r="378" spans="2:5" ht="34" customHeight="1">
      <c r="B378" s="386" t="s">
        <v>3460</v>
      </c>
      <c r="C378" s="387"/>
      <c r="D378" s="387"/>
      <c r="E378" s="387"/>
    </row>
    <row r="379" spans="2:5" ht="20" customHeight="1"/>
    <row r="380" spans="2:5" ht="34" customHeight="1">
      <c r="B380" s="568" t="s">
        <v>3269</v>
      </c>
      <c r="C380" s="569"/>
      <c r="D380" s="569"/>
      <c r="E380" s="570"/>
    </row>
    <row r="381" spans="2:5" ht="20" customHeight="1">
      <c r="B381" s="8" t="s">
        <v>735</v>
      </c>
      <c r="C381" s="8" t="s">
        <v>554</v>
      </c>
      <c r="D381" s="20" t="s">
        <v>555</v>
      </c>
      <c r="E381" s="8" t="s">
        <v>222</v>
      </c>
    </row>
    <row r="382" spans="2:5" ht="20" customHeight="1">
      <c r="B382" s="21" t="s">
        <v>3370</v>
      </c>
      <c r="C382" s="22" t="str">
        <f>CONCATENATE(sample_region_vrli_virtual_hostname,".",sample_child_dns_zone)</f>
        <v>sfo-logs01.sfo.rainpole.io</v>
      </c>
      <c r="D382" s="18" t="str">
        <f>region_vrli_virtual_fqdn</f>
        <v>Value Missing.Value Missing</v>
      </c>
      <c r="E382" s="53"/>
    </row>
    <row r="383" spans="2:5" ht="20" customHeight="1">
      <c r="B383" s="21" t="s">
        <v>2325</v>
      </c>
      <c r="C383" s="22" t="s">
        <v>2449</v>
      </c>
      <c r="D383" s="18" t="str">
        <f>C383</f>
        <v>Photon OS (PCA) - Appliance Agent Group</v>
      </c>
      <c r="E383" s="53"/>
    </row>
    <row r="384" spans="2:5" ht="20" customHeight="1">
      <c r="B384" s="21" t="s">
        <v>3278</v>
      </c>
      <c r="C384" s="22" t="str">
        <f>CONCATENATE(sample_xreg_vra_nodea_hostname,".",sample_parent_dns_zone)</f>
        <v>xint-cmp01a.rainpole.io</v>
      </c>
      <c r="D384" s="18" t="str">
        <f>xreg_vra_nodea_fqdn</f>
        <v>Value Missing.Value Missing</v>
      </c>
      <c r="E384" s="53"/>
    </row>
    <row r="385" spans="2:5" ht="20" customHeight="1">
      <c r="B385" s="21" t="s">
        <v>3279</v>
      </c>
      <c r="C385" s="22" t="str">
        <f>CONCATENATE(sample_xreg_vra_nodeb_hostname,".",sample_parent_dns_zone)</f>
        <v>xint-cmp01b.rainpole.io</v>
      </c>
      <c r="D385" s="18" t="str">
        <f>xreg_vra_nodeb_fqdn</f>
        <v>Value Missing.Value Missing</v>
      </c>
      <c r="E385" s="53"/>
    </row>
    <row r="386" spans="2:5" ht="20" customHeight="1">
      <c r="B386" s="21" t="s">
        <v>3280</v>
      </c>
      <c r="C386" s="22" t="str">
        <f>CONCATENATE(sample_xreg_vra_nodec_hostname,".",sample_parent_dns_zone)</f>
        <v>xint-cmp01c.rainpole.io</v>
      </c>
      <c r="D386" s="18" t="str">
        <f>xreg_vra_nodec_fqdn</f>
        <v>Value Missing.Value Missing</v>
      </c>
      <c r="E386" s="53"/>
    </row>
  </sheetData>
  <sheetProtection algorithmName="SHA-512" hashValue="TXoPwM3SBfSdKN36VK+EvdBVz4C8ii0T2LkIQaw+csZ08gvwckILeakysbJCiAMrauURWYtSaMmBSerIfiW0Lg==" saltValue="lohODxZSnIqZ03wxndtCYw==" spinCount="100000" sheet="1" objects="1" scenarios="1"/>
  <mergeCells count="54">
    <mergeCell ref="B199:E199"/>
    <mergeCell ref="B64:E64"/>
    <mergeCell ref="B93:E93"/>
    <mergeCell ref="B54:E54"/>
    <mergeCell ref="B2:C2"/>
    <mergeCell ref="D2:E2"/>
    <mergeCell ref="B3:E3"/>
    <mergeCell ref="B49:E49"/>
    <mergeCell ref="B8:E8"/>
    <mergeCell ref="B43:E43"/>
    <mergeCell ref="B10:E10"/>
    <mergeCell ref="B67:E67"/>
    <mergeCell ref="B70:E70"/>
    <mergeCell ref="B17:E17"/>
    <mergeCell ref="B31:E31"/>
    <mergeCell ref="B22:E22"/>
    <mergeCell ref="B36:E36"/>
    <mergeCell ref="B380:E380"/>
    <mergeCell ref="B366:E366"/>
    <mergeCell ref="B341:E341"/>
    <mergeCell ref="B349:E349"/>
    <mergeCell ref="B226:E226"/>
    <mergeCell ref="B256:E256"/>
    <mergeCell ref="B378:E378"/>
    <mergeCell ref="B290:E290"/>
    <mergeCell ref="B332:E332"/>
    <mergeCell ref="B330:E330"/>
    <mergeCell ref="B374:E374"/>
    <mergeCell ref="B264:E264"/>
    <mergeCell ref="B247:E247"/>
    <mergeCell ref="B295:E295"/>
    <mergeCell ref="B354:E354"/>
    <mergeCell ref="B361:E361"/>
    <mergeCell ref="B319:E319"/>
    <mergeCell ref="B323:E323"/>
    <mergeCell ref="B270:E270"/>
    <mergeCell ref="B311:E311"/>
    <mergeCell ref="B280:E280"/>
    <mergeCell ref="B127:E127"/>
    <mergeCell ref="B99:E99"/>
    <mergeCell ref="B108:E108"/>
    <mergeCell ref="B117:E117"/>
    <mergeCell ref="B334:E334"/>
    <mergeCell ref="B140:E140"/>
    <mergeCell ref="B150:E150"/>
    <mergeCell ref="B183:E183"/>
    <mergeCell ref="B169:E169"/>
    <mergeCell ref="B155:E155"/>
    <mergeCell ref="B189:E189"/>
    <mergeCell ref="B210:E210"/>
    <mergeCell ref="B254:E254"/>
    <mergeCell ref="B234:E234"/>
    <mergeCell ref="B243:E243"/>
    <mergeCell ref="B205:E205"/>
  </mergeCells>
  <conditionalFormatting sqref="B332 B349:E352 B366:E372">
    <cfRule type="expression" dxfId="755" priority="69">
      <formula>OR((private_cloud_result="Excluded"),(intelligent_operations_result="Excluded"),OR((private_cloud_chosen&lt;&gt;"Initial Deployment"),(intelligent_operations_chosen&lt;&gt;"Initial Deployment")))</formula>
    </cfRule>
  </conditionalFormatting>
  <conditionalFormatting sqref="B378 B380:E386">
    <cfRule type="expression" dxfId="754" priority="86">
      <formula>OR((private_cloud_result="Excluded"),(intelligent_logging_result="Excluded"),OR((private_cloud_chosen&lt;&gt;"Initial Deployment"),(intelligent_logging_result&lt;&gt;"Included")))</formula>
    </cfRule>
  </conditionalFormatting>
  <conditionalFormatting sqref="B10:E15 B17:E20 B22:E29 B31:E34 B43:E47 B49:E52 B54:E62 B64:E91 B93:E97 B99:E106 B108:E115 B117:E125 B127:E138 B140:E148 B150:E153 B155:E167 B169:E181 B183:E187 B189:E197 B205:E208 B210:E224 B226:E232 B234:E241 B243:E245 B247:E252">
    <cfRule type="expression" dxfId="753" priority="46">
      <formula>OR((private_cloud_chosen&lt;&gt;"Initial Deployment"),(private_cloud_result="Excluded"))</formula>
    </cfRule>
  </conditionalFormatting>
  <conditionalFormatting sqref="B36:E41">
    <cfRule type="expression" dxfId="752" priority="17">
      <formula>OR((private_cloud_chosen&lt;&gt;"Initial Deployment"),(private_cloud_result="Excluded"))</formula>
    </cfRule>
  </conditionalFormatting>
  <conditionalFormatting sqref="B68:E69">
    <cfRule type="expression" dxfId="751" priority="79" stopIfTrue="1">
      <formula>OR((private_cloud_chosen&lt;&gt;"Initial Deployment"),(private_cloud_result="Excluded"))</formula>
    </cfRule>
  </conditionalFormatting>
  <conditionalFormatting sqref="B140:E148">
    <cfRule type="expression" dxfId="750" priority="39">
      <formula>OR((private_cloud_chosen&lt;&gt;"Initial Deployment"),(private_cloud_result="Excluded"),(mgmt_stretched_cluster_result="Excluded"))</formula>
    </cfRule>
  </conditionalFormatting>
  <conditionalFormatting sqref="B199:E203 B8:E8">
    <cfRule type="expression" dxfId="749" priority="57">
      <formula>OR((private_cloud_chosen&lt;&gt;"Initial Deployment"),(private_cloud_result="Excluded"))</formula>
    </cfRule>
  </conditionalFormatting>
  <conditionalFormatting sqref="B205:E205">
    <cfRule type="expression" dxfId="748" priority="646">
      <formula>OR((private_cloud_chosen&lt;&gt;"Initial Deployment"),(private_cloud_result="Excluded"))</formula>
    </cfRule>
  </conditionalFormatting>
  <conditionalFormatting sqref="B254:E254 B256:E262 B264:E268 B270:E278 B280:E288 B295:E309 B323:E328">
    <cfRule type="expression" dxfId="747" priority="60">
      <formula>OR((private_cloud_chosen&lt;&gt;"Connect Instance"),(private_cloud_result="Excluded"))</formula>
    </cfRule>
  </conditionalFormatting>
  <conditionalFormatting sqref="B290:E293">
    <cfRule type="expression" dxfId="746" priority="126">
      <formula>OR((private_cloud_chosen&lt;&gt;"Connect Instance"),(private_cloud_result="Excluded"))</formula>
    </cfRule>
  </conditionalFormatting>
  <conditionalFormatting sqref="B311:E317">
    <cfRule type="expression" dxfId="745" priority="123">
      <formula>OR((private_cloud_chosen&lt;&gt;"Connect Instance"),(private_cloud_result="Excluded"))</formula>
    </cfRule>
  </conditionalFormatting>
  <conditionalFormatting sqref="B319:E321">
    <cfRule type="expression" dxfId="744" priority="73">
      <formula>OR((private_cloud_chosen&lt;&gt;"Connect Instance"),(private_cloud_result="Excluded"))</formula>
    </cfRule>
  </conditionalFormatting>
  <conditionalFormatting sqref="B330:E330">
    <cfRule type="expression" dxfId="743" priority="532">
      <formula>OR((private_cloud_result="Excluded"),(private_cloud_chosen&lt;&gt;"Initial Deployment"),AND((intelligent_logging_result="Excluded"),(intelligent_operations_chosen&lt;&gt;"Initial Deployment")))</formula>
    </cfRule>
  </conditionalFormatting>
  <conditionalFormatting sqref="B332:E332">
    <cfRule type="expression" dxfId="742" priority="95">
      <formula>OR((private_cloud_result="Excluded"),(private_cloud_chosen&lt;&gt;"Initial Deployment"),AND((intelligent_logging_result="Excluded"),(intelligent_operations_chosen&lt;&gt;"Initial Deployment")))</formula>
    </cfRule>
  </conditionalFormatting>
  <conditionalFormatting sqref="B334:E339">
    <cfRule type="expression" dxfId="741" priority="119">
      <formula>OR((private_cloud_result="Excluded"),(intelligent_operations_result="Excluded"),OR((private_cloud_chosen&lt;&gt;"Initial Deployment"),(intelligent_operations_chosen&lt;&gt;"Initial Deployment")))</formula>
    </cfRule>
  </conditionalFormatting>
  <conditionalFormatting sqref="B341:E347">
    <cfRule type="expression" dxfId="740" priority="118">
      <formula>OR((private_cloud_result="Excluded"),(intelligent_operations_result="Excluded"),OR((private_cloud_chosen&lt;&gt;"Initial Deployment"),(intelligent_operations_chosen&lt;&gt;"Initial Deployment")))</formula>
    </cfRule>
  </conditionalFormatting>
  <conditionalFormatting sqref="B354:E359">
    <cfRule type="expression" dxfId="739" priority="538">
      <formula>OR((private_cloud_result="Excluded"),(intelligent_operations_result="Excluded"),OR((private_cloud_chosen&lt;&gt;"Initial Deployment"),(intelligent_operations_chosen&lt;&gt;"Initial Deployment")))</formula>
    </cfRule>
  </conditionalFormatting>
  <conditionalFormatting sqref="B361:E364">
    <cfRule type="expression" dxfId="738" priority="115">
      <formula>OR((private_cloud_result="Excluded"),(intelligent_operations_result="Excluded"),OR((private_cloud_chosen&lt;&gt;"Initial Deployment"),(intelligent_operations_chosen&lt;&gt;"Initial Deployment")))</formula>
    </cfRule>
  </conditionalFormatting>
  <conditionalFormatting sqref="B374:E376">
    <cfRule type="expression" dxfId="737" priority="20">
      <formula>OR((private_cloud_result="Excluded"),(intelligent_operations_result="Excluded"),OR((private_cloud_chosen&lt;&gt;"Initial Deployment"),(intelligent_operations_chosen&lt;&gt;"Initial Deployment")))</formula>
    </cfRule>
  </conditionalFormatting>
  <conditionalFormatting sqref="B378:E378">
    <cfRule type="expression" dxfId="736" priority="88">
      <formula>OR((private_cloud_result="Excluded"),(private_cloud_chosen&lt;&gt;"Initial Deployment"),AND((intelligent_logging_result="Excluded"),(intelligent_operations_chosen&lt;&gt;"Initial Deployment")))</formula>
    </cfRule>
  </conditionalFormatting>
  <conditionalFormatting sqref="C5">
    <cfRule type="expression" dxfId="735" priority="536">
      <formula>OR((private_cloud_chosen&lt;&gt;"Initial Deployment"),(private_cloud_result="Excluded"))</formula>
    </cfRule>
  </conditionalFormatting>
  <conditionalFormatting sqref="D5">
    <cfRule type="expression" dxfId="734" priority="534">
      <formula>OR((private_cloud_chosen&lt;&gt;"Connect Instance"),(private_cloud_result="Excluded"))</formula>
    </cfRule>
  </conditionalFormatting>
  <conditionalFormatting sqref="D65">
    <cfRule type="expression" dxfId="723" priority="153">
      <formula>OR((private_cloud_chosen&lt;&gt;"Initial Deployment"),(private_cloud_result="Excluded"))</formula>
    </cfRule>
  </conditionalFormatting>
  <conditionalFormatting sqref="D320">
    <cfRule type="expression" dxfId="658" priority="122">
      <formula>OR((private_cloud_chosen&lt;&gt;"Connect Instance"),(private_cloud_result="Excluded"))</formula>
    </cfRule>
  </conditionalFormatting>
  <conditionalFormatting sqref="D355">
    <cfRule type="expression" dxfId="622" priority="116">
      <formula>OR((private_cloud_result="Excluded"),(intelligent_operations_result="Excluded"),OR((private_cloud_chosen&lt;&gt;"Initial Deployment"),(intelligent_operations_chosen&lt;&gt;"Initial Deployment")))</formula>
    </cfRule>
  </conditionalFormatting>
  <conditionalFormatting sqref="E5">
    <cfRule type="expression" dxfId="587" priority="535">
      <formula>OR((private_cloud_result="Excluded"),(private_cloud_chosen&lt;&gt;"Initial Deployment"),AND((intelligent_logging_result="Excluded"),(intelligent_operations_chosen&lt;&gt;"Initial Deployment")))</formula>
    </cfRule>
  </conditionalFormatting>
  <hyperlinks>
    <hyperlink ref="C5" location="'Private Cloud Automation'!navigation_pca_initial_deployment" display="Initial Deployment" xr:uid="{00000000-0004-0000-1200-000000000000}"/>
    <hyperlink ref="D5" location="'Private Cloud Automation'!navigation_pca_connect_instance" display="Connect Instance" xr:uid="{00000000-0004-0000-1200-000001000000}"/>
    <hyperlink ref="E5" location="'Private Cloud Automation'!navigation_pca_solution_interop" display="Solution Interoperability" xr:uid="{00000000-0004-0000-1200-000002000000}"/>
    <hyperlink ref="B5" location="'Deployment Options'!H50" display="Section Navigation (Click to Navigate)" xr:uid="{BA110A8D-6096-5B4D-AF92-F6E9D791D1E0}"/>
  </hyperlinks>
  <pageMargins left="0.7" right="0.7" top="0.75" bottom="0.75" header="0.3" footer="0.3"/>
  <pageSetup paperSize="9" orientation="portrait" horizontalDpi="0" verticalDpi="0"/>
  <ignoredErrors>
    <ignoredError sqref="D137" formula="1"/>
  </ignoredErrors>
  <drawing r:id="rId1"/>
  <extLst>
    <ext xmlns:x14="http://schemas.microsoft.com/office/spreadsheetml/2009/9/main" uri="{78C0D931-6437-407d-A8EE-F0AAD7539E65}">
      <x14:conditionalFormattings>
        <x14:conditionalFormatting xmlns:xm="http://schemas.microsoft.com/office/excel/2006/main">
          <x14:cfRule type="containsText" priority="472" operator="containsText" id="{78F3E6B6-BD0E-3A4E-8949-77E785343F75}">
            <xm:f>NOT(ISERROR(SEARCH("Value Missing",D12)))</xm:f>
            <xm:f>"Value Missing"</xm:f>
            <x14:dxf>
              <font>
                <color rgb="FF9C0006"/>
              </font>
              <fill>
                <patternFill>
                  <bgColor rgb="FFFFC7CE"/>
                </patternFill>
              </fill>
            </x14:dxf>
          </x14:cfRule>
          <xm:sqref>D12:D15 D66:D71 D101:D106 D110:D115 D142:D148 D152:D153 D157:D167 D171:D181 D191:D197 D201:D203 D207:D208 D228:D232 D236:D241 D245 D249:D252 D258:D262 D272:D278 D282:D288 D382:D386 D351:D352 D368:D372</xm:sqref>
        </x14:conditionalFormatting>
        <x14:conditionalFormatting xmlns:xm="http://schemas.microsoft.com/office/excel/2006/main">
          <x14:cfRule type="containsText" priority="87" operator="containsText" id="{52629188-AF2A-104F-967F-C7D33A412049}">
            <xm:f>NOT(ISERROR(SEARCH("Value Missing",D19)))</xm:f>
            <xm:f>"Value Missing"</xm:f>
            <x14:dxf>
              <font>
                <color rgb="FF9C0006"/>
              </font>
              <fill>
                <patternFill>
                  <bgColor rgb="FFFFC7CE"/>
                </patternFill>
              </fill>
            </x14:dxf>
          </x14:cfRule>
          <xm:sqref>D19:D20 D201:D203</xm:sqref>
        </x14:conditionalFormatting>
        <x14:conditionalFormatting xmlns:xm="http://schemas.microsoft.com/office/excel/2006/main">
          <x14:cfRule type="notContainsText" priority="47" operator="notContains" id="{2981453A-DCB1-6C48-9A15-816DA7C8C516}">
            <xm:f>ISERROR(SEARCH("Value Missing",D24))</xm:f>
            <xm:f>"Value Missing"</xm:f>
            <x14:dxf>
              <font>
                <color rgb="FF006100"/>
              </font>
              <fill>
                <patternFill>
                  <bgColor rgb="FFC6EFCE"/>
                </patternFill>
              </fill>
            </x14:dxf>
          </x14:cfRule>
          <x14:cfRule type="containsText" priority="61" operator="containsText" id="{E0A51BC0-8632-A241-ADE6-6E345F177A6D}">
            <xm:f>NOT(ISERROR(SEARCH("Value Missing",D24)))</xm:f>
            <xm:f>"Value Missing"</xm:f>
            <x14:dxf>
              <font>
                <color rgb="FF9C0006"/>
              </font>
              <fill>
                <patternFill>
                  <bgColor rgb="FFFFC7CE"/>
                </patternFill>
              </fill>
            </x14:dxf>
          </x14:cfRule>
          <xm:sqref>D24:D29</xm:sqref>
        </x14:conditionalFormatting>
        <x14:conditionalFormatting xmlns:xm="http://schemas.microsoft.com/office/excel/2006/main">
          <x14:cfRule type="containsText" priority="732" operator="containsText" id="{DB5C4417-8950-B045-892C-E79537D1FBD0}">
            <xm:f>NOT(ISERROR(SEARCH("Value Missing",D33)))</xm:f>
            <xm:f>"Value Missing"</xm:f>
            <x14:dxf>
              <font>
                <color rgb="FF9C0006"/>
              </font>
              <fill>
                <patternFill>
                  <bgColor rgb="FFFFC7CE"/>
                </patternFill>
              </fill>
            </x14:dxf>
          </x14:cfRule>
          <xm:sqref>D33:D34 D45:D47 D49 D54 D64 D266:D268 D325:D328 D51:D52 D56:D62 D95:D97 D119:D125 D129:D138 D185:D187 D212:D224</xm:sqref>
        </x14:conditionalFormatting>
        <x14:conditionalFormatting xmlns:xm="http://schemas.microsoft.com/office/excel/2006/main">
          <x14:cfRule type="notContainsText" priority="18" operator="notContains" id="{13A1C4A0-08F0-8D4C-8281-601A0FC3F266}">
            <xm:f>ISERROR(SEARCH("Value Missing",D38))</xm:f>
            <xm:f>"Value Missing"</xm:f>
            <x14:dxf>
              <font>
                <color rgb="FF006100"/>
              </font>
              <fill>
                <patternFill>
                  <bgColor rgb="FFC6EFCE"/>
                </patternFill>
              </fill>
            </x14:dxf>
          </x14:cfRule>
          <x14:cfRule type="containsText" priority="19" operator="containsText" id="{B8139273-73F5-F643-A288-55D705A1B505}">
            <xm:f>NOT(ISERROR(SEARCH("Value Missing",D38)))</xm:f>
            <xm:f>"Value Missing"</xm:f>
            <x14:dxf>
              <font>
                <color rgb="FF9C0006"/>
              </font>
              <fill>
                <patternFill>
                  <bgColor rgb="FFFFC7CE"/>
                </patternFill>
              </fill>
            </x14:dxf>
          </x14:cfRule>
          <xm:sqref>D38:D41</xm:sqref>
        </x14:conditionalFormatting>
        <x14:conditionalFormatting xmlns:xm="http://schemas.microsoft.com/office/excel/2006/main">
          <x14:cfRule type="containsText" priority="2060" operator="containsText" id="{D8062852-B954-114A-88DF-0253C310AE47}">
            <xm:f>NOT(ISERROR(SEARCH("Value Missing",D56)))</xm:f>
            <xm:f>"Value Missing"</xm:f>
            <x14:dxf>
              <font>
                <color rgb="FF9C0006"/>
              </font>
              <fill>
                <patternFill>
                  <bgColor rgb="FFFFC7CE"/>
                </patternFill>
              </fill>
            </x14:dxf>
          </x14:cfRule>
          <xm:sqref>D56:D59</xm:sqref>
        </x14:conditionalFormatting>
        <x14:conditionalFormatting xmlns:xm="http://schemas.microsoft.com/office/excel/2006/main">
          <x14:cfRule type="notContainsText" priority="2091" operator="notContains" id="{CA345367-5EB7-C44A-80FB-4E75C10D07F7}">
            <xm:f>ISERROR(SEARCH("Value Missing",D57))</xm:f>
            <xm:f>"Value Missing"</xm:f>
            <x14:dxf>
              <font>
                <color rgb="FF006100"/>
              </font>
              <fill>
                <patternFill>
                  <bgColor rgb="FFC6EFCE"/>
                </patternFill>
              </fill>
            </x14:dxf>
          </x14:cfRule>
          <x14:cfRule type="containsText" priority="2092" operator="containsText" id="{54BB2E25-D5C1-F54A-B55B-B5CAB2AAF68C}">
            <xm:f>NOT(ISERROR(SEARCH("Value Missing",D57)))</xm:f>
            <xm:f>"Value Missing"</xm:f>
            <x14:dxf>
              <font>
                <color rgb="FF9C0006"/>
              </font>
              <fill>
                <patternFill>
                  <bgColor rgb="FFFFC7CE"/>
                </patternFill>
              </fill>
            </x14:dxf>
          </x14:cfRule>
          <xm:sqref>D57:D62 D64</xm:sqref>
        </x14:conditionalFormatting>
        <x14:conditionalFormatting xmlns:xm="http://schemas.microsoft.com/office/excel/2006/main">
          <x14:cfRule type="containsText" priority="664" operator="containsText" id="{3E1D725D-7C33-FD42-8D72-74848BE064DA}">
            <xm:f>NOT(ISERROR(SEARCH("Value Missing",D66)))</xm:f>
            <xm:f>"Value Missing"</xm:f>
            <x14:dxf>
              <font>
                <color rgb="FF9C0006"/>
              </font>
              <fill>
                <patternFill>
                  <bgColor rgb="FFFFC7CE"/>
                </patternFill>
              </fill>
            </x14:dxf>
          </x14:cfRule>
          <xm:sqref>D66:D91</xm:sqref>
        </x14:conditionalFormatting>
        <x14:conditionalFormatting xmlns:xm="http://schemas.microsoft.com/office/excel/2006/main">
          <x14:cfRule type="notContainsText" priority="503" operator="notContains" id="{814E5BC5-1785-674D-B97F-7C6E6EF6E7CF}">
            <xm:f>ISERROR(SEARCH("Value Missing",D77))</xm:f>
            <xm:f>"Value Missing"</xm:f>
            <x14:dxf>
              <font>
                <color rgb="FF006100"/>
              </font>
              <fill>
                <patternFill>
                  <bgColor rgb="FFC6EFCE"/>
                </patternFill>
              </fill>
            </x14:dxf>
          </x14:cfRule>
          <xm:sqref>D77:D91</xm:sqref>
        </x14:conditionalFormatting>
        <x14:conditionalFormatting xmlns:xm="http://schemas.microsoft.com/office/excel/2006/main">
          <x14:cfRule type="containsText" priority="706" operator="containsText" id="{CB79BC27-9085-7A42-91C4-0B26C3D44610}">
            <xm:f>NOT(ISERROR(SEARCH("Value Missing",D93)))</xm:f>
            <xm:f>"Value Missing"</xm:f>
            <x14:dxf>
              <font>
                <color rgb="FF9C0006"/>
              </font>
              <fill>
                <patternFill>
                  <bgColor rgb="FFFFC7CE"/>
                </patternFill>
              </fill>
            </x14:dxf>
          </x14:cfRule>
          <xm:sqref>D93 D99 D108 D117 D127 D140 D150 D155 D169 D183 D189 D205 D210 D226 D234 D243 D247 D254 D256 D264 D270 D280 D290 D292:D293 D295 D311 D313:D317 D319 D321 D323</xm:sqref>
        </x14:conditionalFormatting>
        <x14:conditionalFormatting xmlns:xm="http://schemas.microsoft.com/office/excel/2006/main">
          <x14:cfRule type="notContainsText" priority="931" operator="notContains" id="{99436440-5FC1-D548-AF6F-416F9C3C5E76}">
            <xm:f>ISERROR(SEARCH("Value Missing",D93))</xm:f>
            <xm:f>"Value Missing"</xm:f>
            <x14:dxf>
              <font>
                <color rgb="FF006100"/>
              </font>
              <fill>
                <patternFill>
                  <bgColor rgb="FFC6EFCE"/>
                </patternFill>
              </fill>
            </x14:dxf>
          </x14:cfRule>
          <xm:sqref>D93 D99 D108 D117 D127 D140 D150 D155 D169 D183 D189 D205 D210 D226 D234 D243 D247 D254 D256 D264</xm:sqref>
        </x14:conditionalFormatting>
        <x14:conditionalFormatting xmlns:xm="http://schemas.microsoft.com/office/excel/2006/main">
          <x14:cfRule type="notContainsText" priority="721" operator="notContains" id="{C4792E53-1EAD-6448-8579-323233E69517}">
            <xm:f>ISERROR(SEARCH("Value Missing",D93))</xm:f>
            <xm:f>"Value Missing"</xm:f>
            <x14:dxf>
              <font>
                <color rgb="FF006100"/>
              </font>
              <fill>
                <patternFill>
                  <bgColor rgb="FFC6EFCE"/>
                </patternFill>
              </fill>
            </x14:dxf>
          </x14:cfRule>
          <x14:cfRule type="containsText" priority="722" operator="containsText" id="{30912E46-BB80-E64E-805A-DB03307FBCF9}">
            <xm:f>NOT(ISERROR(SEARCH("Value Missing",D93)))</xm:f>
            <xm:f>"Value Missing"</xm:f>
            <x14:dxf>
              <font>
                <color rgb="FF9C0006"/>
              </font>
              <fill>
                <patternFill>
                  <bgColor rgb="FFFFC7CE"/>
                </patternFill>
              </fill>
            </x14:dxf>
          </x14:cfRule>
          <xm:sqref>D93 D99 D108 D117 D127 D140 D150 D155 D169 D183 D189 D205 D210 D226 D234 D243 D247 D254 D256</xm:sqref>
        </x14:conditionalFormatting>
        <x14:conditionalFormatting xmlns:xm="http://schemas.microsoft.com/office/excel/2006/main">
          <x14:cfRule type="containsText" priority="2046" operator="containsText" id="{B5528CF7-B045-4F4A-8C34-E4B219A06835}">
            <xm:f>NOT(ISERROR(SEARCH("Value Missing",D93)))</xm:f>
            <xm:f>"Value Missing"</xm:f>
            <x14:dxf>
              <font>
                <color rgb="FF9C0006"/>
              </font>
              <fill>
                <patternFill>
                  <bgColor rgb="FFFFC7CE"/>
                </patternFill>
              </fill>
            </x14:dxf>
          </x14:cfRule>
          <xm:sqref>D93</xm:sqref>
        </x14:conditionalFormatting>
        <x14:conditionalFormatting xmlns:xm="http://schemas.microsoft.com/office/excel/2006/main">
          <x14:cfRule type="containsText" priority="1572" operator="containsText" id="{72A57CAF-570C-BD4D-B4F2-89E54888BA58}">
            <xm:f>NOT(ISERROR(SEARCH("Value Missing",D99)))</xm:f>
            <xm:f>"Value Missing"</xm:f>
            <x14:dxf>
              <font>
                <color rgb="FF9C0006"/>
              </font>
              <fill>
                <patternFill>
                  <bgColor rgb="FFFFC7CE"/>
                </patternFill>
              </fill>
            </x14:dxf>
          </x14:cfRule>
          <xm:sqref>D99 D108</xm:sqref>
        </x14:conditionalFormatting>
        <x14:conditionalFormatting xmlns:xm="http://schemas.microsoft.com/office/excel/2006/main">
          <x14:cfRule type="containsText" priority="1828" operator="containsText" id="{B72E271E-D7F6-9641-AEA7-1DF230528C75}">
            <xm:f>NOT(ISERROR(SEARCH("Value Missing",D101)))</xm:f>
            <xm:f>"Value Missing"</xm:f>
            <x14:dxf>
              <font>
                <color rgb="FF9C0006"/>
              </font>
              <fill>
                <patternFill>
                  <bgColor rgb="FFFFC7CE"/>
                </patternFill>
              </fill>
            </x14:dxf>
          </x14:cfRule>
          <xm:sqref>D101:D106 D108</xm:sqref>
        </x14:conditionalFormatting>
        <x14:conditionalFormatting xmlns:xm="http://schemas.microsoft.com/office/excel/2006/main">
          <x14:cfRule type="notContainsText" priority="2045" operator="notContains" id="{534BC47E-AD0B-0E45-AB66-AE33ECFC39A7}">
            <xm:f>ISERROR(SEARCH("Value Missing",D51))</xm:f>
            <xm:f>"Value Missing"</xm:f>
            <x14:dxf>
              <font>
                <color rgb="FF006100"/>
              </font>
              <fill>
                <patternFill>
                  <bgColor rgb="FFC6EFCE"/>
                </patternFill>
              </fill>
            </x14:dxf>
          </x14:cfRule>
          <xm:sqref>D101:D106 D119:D125 D129:D138 D191:D197 D171:D181 D272:D278 D51:D52 D56:D62 D95:D97 D185:D187 D212:D224 D266:D268 D325:D328 D66:D91 D110:D115 D142:D148 D152:D153 D157:D167 D207:D208 D228:D232 D236:D241 D245 D249:D252 D258:D262 D282:D288 D297:D309</xm:sqref>
        </x14:conditionalFormatting>
        <x14:conditionalFormatting xmlns:xm="http://schemas.microsoft.com/office/excel/2006/main">
          <x14:cfRule type="notContainsText" priority="1827" operator="notContains" id="{2F284FD3-BB4C-F74C-91FC-E13201EADA56}">
            <xm:f>ISERROR(SEARCH("Value Missing",D101))</xm:f>
            <xm:f>"Value Missing"</xm:f>
            <x14:dxf>
              <font>
                <color rgb="FF006100"/>
              </font>
              <fill>
                <patternFill>
                  <bgColor rgb="FFC6EFCE"/>
                </patternFill>
              </fill>
            </x14:dxf>
          </x14:cfRule>
          <xm:sqref>D108 D101:D106</xm:sqref>
        </x14:conditionalFormatting>
        <x14:conditionalFormatting xmlns:xm="http://schemas.microsoft.com/office/excel/2006/main">
          <x14:cfRule type="notContainsText" priority="1737" operator="notContains" id="{ACB2A644-F9D1-9941-8CCC-EDF3A3F384DE}">
            <xm:f>ISERROR(SEARCH("Value Missing",D119))</xm:f>
            <xm:f>"Value Missing"</xm:f>
            <x14:dxf>
              <font>
                <color rgb="FF006100"/>
              </font>
              <fill>
                <patternFill>
                  <bgColor rgb="FFC6EFCE"/>
                </patternFill>
              </fill>
            </x14:dxf>
          </x14:cfRule>
          <x14:cfRule type="containsText" priority="1738" operator="containsText" id="{08BC5CA7-D4E1-B141-959C-FB6CC9C71BEA}">
            <xm:f>NOT(ISERROR(SEARCH("Value Missing",D119)))</xm:f>
            <xm:f>"Value Missing"</xm:f>
            <x14:dxf>
              <font>
                <color rgb="FF9C0006"/>
              </font>
              <fill>
                <patternFill>
                  <bgColor rgb="FFFFC7CE"/>
                </patternFill>
              </fill>
            </x14:dxf>
          </x14:cfRule>
          <xm:sqref>D119:D122</xm:sqref>
        </x14:conditionalFormatting>
        <x14:conditionalFormatting xmlns:xm="http://schemas.microsoft.com/office/excel/2006/main">
          <x14:cfRule type="notContainsText" priority="1727" operator="notContains" id="{9EF5E8E8-07E9-3C4C-890E-6DA581D4B659}">
            <xm:f>ISERROR(SEARCH("Value Missing",D122))</xm:f>
            <xm:f>"Value Missing"</xm:f>
            <x14:dxf>
              <font>
                <color rgb="FF006100"/>
              </font>
              <fill>
                <patternFill>
                  <bgColor rgb="FFC6EFCE"/>
                </patternFill>
              </fill>
            </x14:dxf>
          </x14:cfRule>
          <x14:cfRule type="containsText" priority="1728" operator="containsText" id="{DF191612-DF32-3C48-91BF-136905F70229}">
            <xm:f>NOT(ISERROR(SEARCH("Value Missing",D122)))</xm:f>
            <xm:f>"Value Missing"</xm:f>
            <x14:dxf>
              <font>
                <color rgb="FF9C0006"/>
              </font>
              <fill>
                <patternFill>
                  <bgColor rgb="FFFFC7CE"/>
                </patternFill>
              </fill>
            </x14:dxf>
          </x14:cfRule>
          <xm:sqref>D122:D125</xm:sqref>
        </x14:conditionalFormatting>
        <x14:conditionalFormatting xmlns:xm="http://schemas.microsoft.com/office/excel/2006/main">
          <x14:cfRule type="containsText" priority="1520" operator="containsText" id="{E1D9B6A2-45A8-F24F-B9D9-CACE67C05ECE}">
            <xm:f>NOT(ISERROR(SEARCH("Value Missing",D117)))</xm:f>
            <xm:f>"Value Missing"</xm:f>
            <x14:dxf>
              <font>
                <color rgb="FF9C0006"/>
              </font>
              <fill>
                <patternFill>
                  <bgColor rgb="FFFFC7CE"/>
                </patternFill>
              </fill>
            </x14:dxf>
          </x14:cfRule>
          <xm:sqref>D127 D169 D183 D117 D140 D150 D155</xm:sqref>
        </x14:conditionalFormatting>
        <x14:conditionalFormatting xmlns:xm="http://schemas.microsoft.com/office/excel/2006/main">
          <x14:cfRule type="notContainsText" priority="1519" operator="notContains" id="{B7A60BBA-DCC2-BF42-8D92-0BF857728025}">
            <xm:f>ISERROR(SEARCH("Value Missing",D127))</xm:f>
            <xm:f>"Value Missing"</xm:f>
            <x14:dxf>
              <font>
                <color rgb="FF006100"/>
              </font>
              <fill>
                <patternFill>
                  <bgColor rgb="FFC6EFCE"/>
                </patternFill>
              </fill>
            </x14:dxf>
          </x14:cfRule>
          <xm:sqref>D127 D169 D183</xm:sqref>
        </x14:conditionalFormatting>
        <x14:conditionalFormatting xmlns:xm="http://schemas.microsoft.com/office/excel/2006/main">
          <x14:cfRule type="containsText" priority="1004" operator="containsText" id="{D7A4C860-7F72-974E-8468-A765C221B7AA}">
            <xm:f>NOT(ISERROR(SEARCH("Value Missing",D127)))</xm:f>
            <xm:f>"Value Missing"</xm:f>
            <x14:dxf>
              <font>
                <color rgb="FF9C0006"/>
              </font>
              <fill>
                <patternFill>
                  <bgColor rgb="FFFFC7CE"/>
                </patternFill>
              </fill>
            </x14:dxf>
          </x14:cfRule>
          <xm:sqref>D127</xm:sqref>
        </x14:conditionalFormatting>
        <x14:conditionalFormatting xmlns:xm="http://schemas.microsoft.com/office/excel/2006/main">
          <x14:cfRule type="notContainsText" priority="1585" operator="notContains" id="{EA647516-C8EC-5646-8909-00B4E7556E2D}">
            <xm:f>ISERROR(SEARCH("Value Missing",D129))</xm:f>
            <xm:f>"Value Missing"</xm:f>
            <x14:dxf>
              <font>
                <color rgb="FF006100"/>
              </font>
              <fill>
                <patternFill>
                  <bgColor rgb="FFC6EFCE"/>
                </patternFill>
              </fill>
            </x14:dxf>
          </x14:cfRule>
          <x14:cfRule type="containsText" priority="1586" operator="containsText" id="{FF1FBF0D-00A7-2D41-B89D-5CEF9FD6BB79}">
            <xm:f>NOT(ISERROR(SEARCH("Value Missing",D129)))</xm:f>
            <xm:f>"Value Missing"</xm:f>
            <x14:dxf>
              <font>
                <color rgb="FF9C0006"/>
              </font>
              <fill>
                <patternFill>
                  <bgColor rgb="FFFFC7CE"/>
                </patternFill>
              </fill>
            </x14:dxf>
          </x14:cfRule>
          <xm:sqref>D129:D136</xm:sqref>
        </x14:conditionalFormatting>
        <x14:conditionalFormatting xmlns:xm="http://schemas.microsoft.com/office/excel/2006/main">
          <x14:cfRule type="notContainsText" priority="1661" operator="notContains" id="{0D4EC3F6-16CB-0D4E-83A5-62F940D755BB}">
            <xm:f>ISERROR(SEARCH("Value Missing",D140))</xm:f>
            <xm:f>"Value Missing"</xm:f>
            <x14:dxf>
              <font>
                <color rgb="FF006100"/>
              </font>
              <fill>
                <patternFill>
                  <bgColor rgb="FFC6EFCE"/>
                </patternFill>
              </fill>
            </x14:dxf>
          </x14:cfRule>
          <x14:cfRule type="containsText" priority="1662" operator="containsText" id="{23C30B81-8621-3740-A83D-0E18AB9F95B2}">
            <xm:f>NOT(ISERROR(SEARCH("Value Missing",D140)))</xm:f>
            <xm:f>"Value Missing"</xm:f>
            <x14:dxf>
              <font>
                <color rgb="FF9C0006"/>
              </font>
              <fill>
                <patternFill>
                  <bgColor rgb="FFFFC7CE"/>
                </patternFill>
              </fill>
            </x14:dxf>
          </x14:cfRule>
          <xm:sqref>D140 D150</xm:sqref>
        </x14:conditionalFormatting>
        <x14:conditionalFormatting xmlns:xm="http://schemas.microsoft.com/office/excel/2006/main">
          <x14:cfRule type="containsText" priority="484" operator="containsText" id="{0516D6CF-3568-204C-8E23-1FA333EA94F4}">
            <xm:f>NOT(ISERROR(SEARCH("Value Missing",D150)))</xm:f>
            <xm:f>"Value Missing"</xm:f>
            <x14:dxf>
              <font>
                <color rgb="FF9C0006"/>
              </font>
              <fill>
                <patternFill>
                  <bgColor rgb="FFFFC7CE"/>
                </patternFill>
              </fill>
            </x14:dxf>
          </x14:cfRule>
          <xm:sqref>D150</xm:sqref>
        </x14:conditionalFormatting>
        <x14:conditionalFormatting xmlns:xm="http://schemas.microsoft.com/office/excel/2006/main">
          <x14:cfRule type="containsText" priority="377" operator="containsText" id="{404BE7D5-4006-CE4D-BFF9-7C6801B412FE}">
            <xm:f>NOT(ISERROR(SEARCH("Value Missing",D155)))</xm:f>
            <xm:f>"Value Missing"</xm:f>
            <x14:dxf>
              <font>
                <color rgb="FF9C0006"/>
              </font>
              <fill>
                <patternFill>
                  <bgColor rgb="FFFFC7CE"/>
                </patternFill>
              </fill>
            </x14:dxf>
          </x14:cfRule>
          <xm:sqref>D155 D169 D183 D189 D205</xm:sqref>
        </x14:conditionalFormatting>
        <x14:conditionalFormatting xmlns:xm="http://schemas.microsoft.com/office/excel/2006/main">
          <x14:cfRule type="notContainsText" priority="374" operator="notContains" id="{FE2E9E2E-107C-6249-9042-E8B365F6473C}">
            <xm:f>ISERROR(SEARCH("Value Missing",D155))</xm:f>
            <xm:f>"Value Missing"</xm:f>
            <x14:dxf>
              <font>
                <color rgb="FF006100"/>
              </font>
              <fill>
                <patternFill>
                  <bgColor rgb="FFC6EFCE"/>
                </patternFill>
              </fill>
            </x14:dxf>
          </x14:cfRule>
          <xm:sqref>D155 D169 D183 D189</xm:sqref>
        </x14:conditionalFormatting>
        <x14:conditionalFormatting xmlns:xm="http://schemas.microsoft.com/office/excel/2006/main">
          <x14:cfRule type="containsText" priority="964" operator="containsText" id="{F4146E60-54AF-EB41-8453-648AD2E0D584}">
            <xm:f>NOT(ISERROR(SEARCH("Value Missing",D169)))</xm:f>
            <xm:f>"Value Missing"</xm:f>
            <x14:dxf>
              <font>
                <color rgb="FF9C0006"/>
              </font>
              <fill>
                <patternFill>
                  <bgColor rgb="FFFFC7CE"/>
                </patternFill>
              </fill>
            </x14:dxf>
          </x14:cfRule>
          <xm:sqref>D169 D183 D189 D205</xm:sqref>
        </x14:conditionalFormatting>
        <x14:conditionalFormatting xmlns:xm="http://schemas.microsoft.com/office/excel/2006/main">
          <x14:cfRule type="notContainsText" priority="1041" operator="notContains" id="{6CEF6721-C4CF-4C46-A8FB-77D66EC6496F}">
            <xm:f>ISERROR(SEARCH("Value Missing",D171))</xm:f>
            <xm:f>"Value Missing"</xm:f>
            <x14:dxf>
              <font>
                <color rgb="FF006100"/>
              </font>
              <fill>
                <patternFill>
                  <bgColor rgb="FFC6EFCE"/>
                </patternFill>
              </fill>
            </x14:dxf>
          </x14:cfRule>
          <x14:cfRule type="containsText" priority="1042" operator="containsText" id="{D54F8002-FBA3-5842-988F-AC107FF5EFFD}">
            <xm:f>NOT(ISERROR(SEARCH("Value Missing",D171)))</xm:f>
            <xm:f>"Value Missing"</xm:f>
            <x14:dxf>
              <font>
                <color rgb="FF9C0006"/>
              </font>
              <fill>
                <patternFill>
                  <bgColor rgb="FFFFC7CE"/>
                </patternFill>
              </fill>
            </x14:dxf>
          </x14:cfRule>
          <xm:sqref>D171:D180</xm:sqref>
        </x14:conditionalFormatting>
        <x14:conditionalFormatting xmlns:xm="http://schemas.microsoft.com/office/excel/2006/main">
          <x14:cfRule type="notContainsText" priority="1335" operator="notContains" id="{1FD1E093-B313-B84F-BB08-BDFF8D6FB648}">
            <xm:f>ISERROR(SEARCH("Value Missing",D191))</xm:f>
            <xm:f>"Value Missing"</xm:f>
            <x14:dxf>
              <font>
                <color rgb="FF006100"/>
              </font>
              <fill>
                <patternFill>
                  <bgColor rgb="FFC6EFCE"/>
                </patternFill>
              </fill>
            </x14:dxf>
          </x14:cfRule>
          <x14:cfRule type="containsText" priority="1336" operator="containsText" id="{31A020AC-7775-7643-B9B4-94BA9E84FFFA}">
            <xm:f>NOT(ISERROR(SEARCH("Value Missing",D191)))</xm:f>
            <xm:f>"Value Missing"</xm:f>
            <x14:dxf>
              <font>
                <color rgb="FF9C0006"/>
              </font>
              <fill>
                <patternFill>
                  <bgColor rgb="FFFFC7CE"/>
                </patternFill>
              </fill>
            </x14:dxf>
          </x14:cfRule>
          <xm:sqref>D191:D197 D205</xm:sqref>
        </x14:conditionalFormatting>
        <x14:conditionalFormatting xmlns:xm="http://schemas.microsoft.com/office/excel/2006/main">
          <x14:cfRule type="notContainsText" priority="1323" operator="notContains" id="{FE77FAEF-96E4-AE4A-89E8-0E6DF05D8A9D}">
            <xm:f>ISERROR(SEARCH("Value Missing",D194))</xm:f>
            <xm:f>"Value Missing"</xm:f>
            <x14:dxf>
              <font>
                <color rgb="FF006100"/>
              </font>
              <fill>
                <patternFill>
                  <bgColor rgb="FFC6EFCE"/>
                </patternFill>
              </fill>
            </x14:dxf>
          </x14:cfRule>
          <x14:cfRule type="containsText" priority="1324" operator="containsText" id="{551B9D38-4A7E-0A4B-80FF-DF00A4AD9620}">
            <xm:f>NOT(ISERROR(SEARCH("Value Missing",D194)))</xm:f>
            <xm:f>"Value Missing"</xm:f>
            <x14:dxf>
              <font>
                <color rgb="FF9C0006"/>
              </font>
              <fill>
                <patternFill>
                  <bgColor rgb="FFFFC7CE"/>
                </patternFill>
              </fill>
            </x14:dxf>
          </x14:cfRule>
          <xm:sqref>D194:D197</xm:sqref>
        </x14:conditionalFormatting>
        <x14:conditionalFormatting xmlns:xm="http://schemas.microsoft.com/office/excel/2006/main">
          <x14:cfRule type="notContainsText" priority="6" operator="notContains" id="{F6754B91-0EB8-B44E-9526-F48A6739029B}">
            <xm:f>ISERROR(SEARCH("Value Missing",D199))</xm:f>
            <xm:f>"Value Missing"</xm:f>
            <x14:dxf>
              <font>
                <color rgb="FF006100"/>
              </font>
              <fill>
                <patternFill>
                  <bgColor rgb="FFC6EFCE"/>
                </patternFill>
              </fill>
            </x14:dxf>
          </x14:cfRule>
          <x14:cfRule type="containsText" priority="7" operator="containsText" id="{2A8BCF54-6C61-2B4B-BE1F-CD55CCEE985A}">
            <xm:f>NOT(ISERROR(SEARCH("Value Missing",D199)))</xm:f>
            <xm:f>"Value Missing"</xm:f>
            <x14:dxf>
              <font>
                <color rgb="FF9C0006"/>
              </font>
              <fill>
                <patternFill>
                  <bgColor rgb="FFFFC7CE"/>
                </patternFill>
              </fill>
            </x14:dxf>
          </x14:cfRule>
          <x14:cfRule type="notContainsText" priority="8" operator="notContains" id="{6CE83219-B4C8-2A4B-926D-A12C7403006F}">
            <xm:f>ISERROR(SEARCH("Value Missing",D199))</xm:f>
            <xm:f>"Value Missing"</xm:f>
            <x14:dxf>
              <font>
                <color rgb="FF006100"/>
              </font>
              <fill>
                <patternFill>
                  <bgColor rgb="FFC6EFCE"/>
                </patternFill>
              </fill>
            </x14:dxf>
          </x14:cfRule>
          <x14:cfRule type="containsText" priority="9" operator="containsText" id="{691B90B6-FAED-7545-B11B-B0030392583C}">
            <xm:f>NOT(ISERROR(SEARCH("Value Missing",D199)))</xm:f>
            <xm:f>"Value Missing"</xm:f>
            <x14:dxf>
              <font>
                <color rgb="FF9C0006"/>
              </font>
              <fill>
                <patternFill>
                  <bgColor rgb="FFFFC7CE"/>
                </patternFill>
              </fill>
            </x14:dxf>
          </x14:cfRule>
          <x14:cfRule type="notContainsText" priority="10" operator="notContains" id="{9E131E7F-2881-5745-9041-336B40BAB5BE}">
            <xm:f>ISERROR(SEARCH("Value Missing",D199))</xm:f>
            <xm:f>"Value Missing"</xm:f>
            <x14:dxf>
              <font>
                <color rgb="FF006100"/>
              </font>
              <fill>
                <patternFill>
                  <bgColor rgb="FFC6EFCE"/>
                </patternFill>
              </fill>
            </x14:dxf>
          </x14:cfRule>
          <x14:cfRule type="containsText" priority="11" operator="containsText" id="{1C1ACB6B-0FCC-B845-BE94-497A1F2AE407}">
            <xm:f>NOT(ISERROR(SEARCH("Value Missing",D199)))</xm:f>
            <xm:f>"Value Missing"</xm:f>
            <x14:dxf>
              <font>
                <color rgb="FF9C0006"/>
              </font>
              <fill>
                <patternFill>
                  <bgColor rgb="FFFFC7CE"/>
                </patternFill>
              </fill>
            </x14:dxf>
          </x14:cfRule>
          <x14:cfRule type="notContainsText" priority="3" operator="notContains" id="{5512DF3C-6069-0246-90A0-29CB7B200AD9}">
            <xm:f>ISERROR(SEARCH("Value Missing",D199))</xm:f>
            <xm:f>"Value Missing"</xm:f>
            <x14:dxf>
              <font>
                <color rgb="FF006100"/>
              </font>
              <fill>
                <patternFill>
                  <bgColor rgb="FFC6EFCE"/>
                </patternFill>
              </fill>
            </x14:dxf>
          </x14:cfRule>
          <x14:cfRule type="containsText" priority="4" operator="containsText" id="{672E7960-FD50-B443-AB87-E019AD21A46B}">
            <xm:f>NOT(ISERROR(SEARCH("Value Missing",D199)))</xm:f>
            <xm:f>"Value Missing"</xm:f>
            <x14:dxf>
              <font>
                <color rgb="FF9C0006"/>
              </font>
              <fill>
                <patternFill>
                  <bgColor rgb="FFFFC7CE"/>
                </patternFill>
              </fill>
            </x14:dxf>
          </x14:cfRule>
          <xm:sqref>D199</xm:sqref>
        </x14:conditionalFormatting>
        <x14:conditionalFormatting xmlns:xm="http://schemas.microsoft.com/office/excel/2006/main">
          <x14:cfRule type="notContainsText" priority="58" operator="notContains" id="{C8865BB2-95E4-C342-97DA-851F61142689}">
            <xm:f>ISERROR(SEARCH("Value Missing",D19))</xm:f>
            <xm:f>"Value Missing"</xm:f>
            <x14:dxf>
              <font>
                <color rgb="FF006100"/>
              </font>
              <fill>
                <patternFill>
                  <bgColor rgb="FFC6EFCE"/>
                </patternFill>
              </fill>
            </x14:dxf>
          </x14:cfRule>
          <xm:sqref>D201:D203 D19:D20</xm:sqref>
        </x14:conditionalFormatting>
        <x14:conditionalFormatting xmlns:xm="http://schemas.microsoft.com/office/excel/2006/main">
          <x14:cfRule type="notContainsText" priority="102" operator="notContains" id="{07C6C767-DEDF-D549-B808-1536FE44D5A3}">
            <xm:f>ISERROR(SEARCH("Value Missing",D12))</xm:f>
            <xm:f>"Value Missing"</xm:f>
            <x14:dxf>
              <font>
                <color rgb="FF006100"/>
              </font>
              <fill>
                <patternFill>
                  <bgColor rgb="FFC6EFCE"/>
                </patternFill>
              </fill>
            </x14:dxf>
          </x14:cfRule>
          <xm:sqref>D201:D203 D66:D71 D258:D262 D272:D278 D282:D288 D12:D15 D101:D106 D110:D115 D142:D148 D152:D153 D157:D167 D171:D181 D191:D197 D207:D208 D228:D232 D236:D241 D245 D249:D252</xm:sqref>
        </x14:conditionalFormatting>
        <x14:conditionalFormatting xmlns:xm="http://schemas.microsoft.com/office/excel/2006/main">
          <x14:cfRule type="notContainsText" priority="253" operator="notContains" id="{23B3EF8B-E9C8-3245-BF0E-C23A9448006A}">
            <xm:f>ISERROR(SEARCH("Value Missing",D205))</xm:f>
            <xm:f>"Value Missing"</xm:f>
            <x14:dxf>
              <font>
                <color rgb="FF006100"/>
              </font>
              <fill>
                <patternFill>
                  <bgColor rgb="FFC6EFCE"/>
                </patternFill>
              </fill>
            </x14:dxf>
          </x14:cfRule>
          <xm:sqref>D205 D210</xm:sqref>
        </x14:conditionalFormatting>
        <x14:conditionalFormatting xmlns:xm="http://schemas.microsoft.com/office/excel/2006/main">
          <x14:cfRule type="containsText" priority="645" operator="containsText" id="{839CBFE4-DAEC-7C46-82D3-C53E8516B3AE}">
            <xm:f>NOT(ISERROR(SEARCH("Value Missing",D205)))</xm:f>
            <xm:f>"Value Missing"</xm:f>
            <x14:dxf>
              <font>
                <color rgb="FF9C0006"/>
              </font>
              <fill>
                <patternFill>
                  <bgColor rgb="FFFFC7CE"/>
                </patternFill>
              </fill>
            </x14:dxf>
          </x14:cfRule>
          <xm:sqref>D205 D226 D234 D243 D247 D254 D256 D264 D270 D280 D210</xm:sqref>
        </x14:conditionalFormatting>
        <x14:conditionalFormatting xmlns:xm="http://schemas.microsoft.com/office/excel/2006/main">
          <x14:cfRule type="notContainsText" priority="644" operator="notContains" id="{F816363A-CE17-264E-893C-36A3478F8D6D}">
            <xm:f>ISERROR(SEARCH("Value Missing",D205))</xm:f>
            <xm:f>"Value Missing"</xm:f>
            <x14:dxf>
              <font>
                <color rgb="FF006100"/>
              </font>
              <fill>
                <patternFill>
                  <bgColor rgb="FFC6EFCE"/>
                </patternFill>
              </fill>
            </x14:dxf>
          </x14:cfRule>
          <xm:sqref>D205 D254 D256 D264 D270 D280 D226 D234 D243 D247</xm:sqref>
        </x14:conditionalFormatting>
        <x14:conditionalFormatting xmlns:xm="http://schemas.microsoft.com/office/excel/2006/main">
          <x14:cfRule type="containsText" priority="932" operator="containsText" id="{2693D6C2-25F1-814B-8957-8EE3EACB65D8}">
            <xm:f>NOT(ISERROR(SEARCH("Value Missing",D226)))</xm:f>
            <xm:f>"Value Missing"</xm:f>
            <x14:dxf>
              <font>
                <color rgb="FF9C0006"/>
              </font>
              <fill>
                <patternFill>
                  <bgColor rgb="FFFFC7CE"/>
                </patternFill>
              </fill>
            </x14:dxf>
          </x14:cfRule>
          <xm:sqref>D226 D234 D243 D247 D254 D256 D264</xm:sqref>
        </x14:conditionalFormatting>
        <x14:conditionalFormatting xmlns:xm="http://schemas.microsoft.com/office/excel/2006/main">
          <x14:cfRule type="notContainsText" priority="1121" operator="notContains" id="{7DF02EB5-E604-A24B-A454-401DF77DA774}">
            <xm:f>ISERROR(SEARCH("Value Missing",D226))</xm:f>
            <xm:f>"Value Missing"</xm:f>
            <x14:dxf>
              <font>
                <color rgb="FF006100"/>
              </font>
              <fill>
                <patternFill>
                  <bgColor rgb="FFC6EFCE"/>
                </patternFill>
              </fill>
            </x14:dxf>
          </x14:cfRule>
          <x14:cfRule type="containsText" priority="1122" operator="containsText" id="{02BAC643-92DE-864E-8F9C-F5BA53CE093E}">
            <xm:f>NOT(ISERROR(SEARCH("Value Missing",D226)))</xm:f>
            <xm:f>"Value Missing"</xm:f>
            <x14:dxf>
              <font>
                <color rgb="FF9C0006"/>
              </font>
              <fill>
                <patternFill>
                  <bgColor rgb="FFFFC7CE"/>
                </patternFill>
              </fill>
            </x14:dxf>
          </x14:cfRule>
          <xm:sqref>D226 D234</xm:sqref>
        </x14:conditionalFormatting>
        <x14:conditionalFormatting xmlns:xm="http://schemas.microsoft.com/office/excel/2006/main">
          <x14:cfRule type="containsText" priority="659" operator="containsText" id="{B2DB559B-AB6D-F04C-8DA8-277A22445E7C}">
            <xm:f>NOT(ISERROR(SEARCH("Value Missing",D243)))</xm:f>
            <xm:f>"Value Missing"</xm:f>
            <x14:dxf>
              <font>
                <color rgb="FF9C0006"/>
              </font>
              <fill>
                <patternFill>
                  <bgColor rgb="FFFFC7CE"/>
                </patternFill>
              </fill>
            </x14:dxf>
          </x14:cfRule>
          <xm:sqref>D243 D247 D254 D256 D264 D270 D280 D290 D292:D293 D295 D311 D313:D317 D319 D321 D323 D330 D334 D336:D339 D341 D343:D347 D349 D354 D356:D359 D361 D363:D364 D366</xm:sqref>
        </x14:conditionalFormatting>
        <x14:conditionalFormatting xmlns:xm="http://schemas.microsoft.com/office/excel/2006/main">
          <x14:cfRule type="notContainsText" priority="658" operator="notContains" id="{4511ADEB-294F-8E4E-9A2B-1FC9CC697FF4}">
            <xm:f>ISERROR(SEARCH("Value Missing",D243))</xm:f>
            <xm:f>"Value Missing"</xm:f>
            <x14:dxf>
              <font>
                <color rgb="FF006100"/>
              </font>
              <fill>
                <patternFill>
                  <bgColor rgb="FFC6EFCE"/>
                </patternFill>
              </fill>
            </x14:dxf>
          </x14:cfRule>
          <xm:sqref>D243 D247 D254 D256 D264 D270 D280 D343:D347 D356:D359 D336:D339 D363:D364 D354 D330 D290 D292:D293 D311 D313:D317 D334 D341 D361 D319 D321 D349 D366 D295 D323</xm:sqref>
        </x14:conditionalFormatting>
        <x14:conditionalFormatting xmlns:xm="http://schemas.microsoft.com/office/excel/2006/main">
          <x14:cfRule type="notContainsText" priority="661" operator="notContains" id="{182AB313-3115-3B43-96BE-9688E65B217E}">
            <xm:f>ISERROR(SEARCH("Value Missing",D264))</xm:f>
            <xm:f>"Value Missing"</xm:f>
            <x14:dxf>
              <font>
                <color rgb="FF006100"/>
              </font>
              <fill>
                <patternFill>
                  <bgColor rgb="FFC6EFCE"/>
                </patternFill>
              </fill>
            </x14:dxf>
          </x14:cfRule>
          <xm:sqref>D264 D270 D280 D290 D292:D293 D295 D311 D313:D317 D319 D321 D323 D330 D334 D336:D337</xm:sqref>
        </x14:conditionalFormatting>
        <x14:conditionalFormatting xmlns:xm="http://schemas.microsoft.com/office/excel/2006/main">
          <x14:cfRule type="containsText" priority="662" operator="containsText" id="{95944046-F6A4-D748-A93D-D42AC5956F15}">
            <xm:f>NOT(ISERROR(SEARCH("Value Missing",D205)))</xm:f>
            <xm:f>"Value Missing"</xm:f>
            <x14:dxf>
              <font>
                <color rgb="FF9C0006"/>
              </font>
              <fill>
                <patternFill>
                  <bgColor rgb="FFFFC7CE"/>
                </patternFill>
              </fill>
            </x14:dxf>
          </x14:cfRule>
          <xm:sqref>D264 D270 D280 D290 D292:D293 D295 D311 D313:D317 D319 D321 D323 D330 D334 D336:D339 D205 D380</xm:sqref>
        </x14:conditionalFormatting>
        <x14:conditionalFormatting xmlns:xm="http://schemas.microsoft.com/office/excel/2006/main">
          <x14:cfRule type="containsText" priority="796" operator="containsText" id="{A8E8DF69-D61D-1846-B67F-E7257F786C16}">
            <xm:f>NOT(ISERROR(SEARCH("Value Missing",D270)))</xm:f>
            <xm:f>"Value Missing"</xm:f>
            <x14:dxf>
              <font>
                <color rgb="FF9C0006"/>
              </font>
              <fill>
                <patternFill>
                  <bgColor rgb="FFFFC7CE"/>
                </patternFill>
              </fill>
            </x14:dxf>
          </x14:cfRule>
          <x14:cfRule type="notContainsText" priority="795" operator="notContains" id="{F7F55E60-9A4E-8342-ACFF-15A4684BD5CA}">
            <xm:f>ISERROR(SEARCH("Value Missing",D270))</xm:f>
            <xm:f>"Value Missing"</xm:f>
            <x14:dxf>
              <font>
                <color rgb="FF006100"/>
              </font>
              <fill>
                <patternFill>
                  <bgColor rgb="FFC6EFCE"/>
                </patternFill>
              </fill>
            </x14:dxf>
          </x14:cfRule>
          <xm:sqref>D270 D280 D290 D292:D293</xm:sqref>
        </x14:conditionalFormatting>
        <x14:conditionalFormatting xmlns:xm="http://schemas.microsoft.com/office/excel/2006/main">
          <x14:cfRule type="containsText" priority="898" operator="containsText" id="{0F9E0D79-D49C-3747-B44F-DA8582E4DEAC}">
            <xm:f>NOT(ISERROR(SEARCH("Value Missing",D272)))</xm:f>
            <xm:f>"Value Missing"</xm:f>
            <x14:dxf>
              <font>
                <color rgb="FF9C0006"/>
              </font>
              <fill>
                <patternFill>
                  <bgColor rgb="FFFFC7CE"/>
                </patternFill>
              </fill>
            </x14:dxf>
          </x14:cfRule>
          <x14:cfRule type="notContainsText" priority="897" operator="notContains" id="{8BF81FF1-B5ED-CE41-81C0-EFBD3553640D}">
            <xm:f>ISERROR(SEARCH("Value Missing",D272))</xm:f>
            <xm:f>"Value Missing"</xm:f>
            <x14:dxf>
              <font>
                <color rgb="FF006100"/>
              </font>
              <fill>
                <patternFill>
                  <bgColor rgb="FFC6EFCE"/>
                </patternFill>
              </fill>
            </x14:dxf>
          </x14:cfRule>
          <xm:sqref>D272:D278 D280 D290 D292:D293</xm:sqref>
        </x14:conditionalFormatting>
        <x14:conditionalFormatting xmlns:xm="http://schemas.microsoft.com/office/excel/2006/main">
          <x14:cfRule type="containsText" priority="888" operator="containsText" id="{09E2B239-BFCA-E648-87D0-E729143D23AF}">
            <xm:f>NOT(ISERROR(SEARCH("Value Missing",D275)))</xm:f>
            <xm:f>"Value Missing"</xm:f>
            <x14:dxf>
              <font>
                <color rgb="FF9C0006"/>
              </font>
              <fill>
                <patternFill>
                  <bgColor rgb="FFFFC7CE"/>
                </patternFill>
              </fill>
            </x14:dxf>
          </x14:cfRule>
          <x14:cfRule type="notContainsText" priority="887" operator="notContains" id="{52573CFA-9E2E-0944-BBC7-D3282A42192D}">
            <xm:f>ISERROR(SEARCH("Value Missing",D275))</xm:f>
            <xm:f>"Value Missing"</xm:f>
            <x14:dxf>
              <font>
                <color rgb="FF006100"/>
              </font>
              <fill>
                <patternFill>
                  <bgColor rgb="FFC6EFCE"/>
                </patternFill>
              </fill>
            </x14:dxf>
          </x14:cfRule>
          <xm:sqref>D275:D278</xm:sqref>
        </x14:conditionalFormatting>
        <x14:conditionalFormatting xmlns:xm="http://schemas.microsoft.com/office/excel/2006/main">
          <x14:cfRule type="containsText" priority="306" operator="containsText" id="{F012F6D5-3E18-224B-89EB-218CA4F04097}">
            <xm:f>NOT(ISERROR(SEARCH("Value Missing",D297)))</xm:f>
            <xm:f>"Value Missing"</xm:f>
            <x14:dxf>
              <font>
                <color rgb="FF9C0006"/>
              </font>
              <fill>
                <patternFill>
                  <bgColor rgb="FFFFC7CE"/>
                </patternFill>
              </fill>
            </x14:dxf>
          </x14:cfRule>
          <x14:cfRule type="notContainsText" priority="70" operator="notContains" id="{6E5AC8A3-D0D0-974B-81D5-BF2D706DA98A}">
            <xm:f>ISERROR(SEARCH("Value Missing",D297))</xm:f>
            <xm:f>"Value Missing"</xm:f>
            <x14:dxf>
              <font>
                <color rgb="FF006100"/>
              </font>
              <fill>
                <patternFill>
                  <bgColor rgb="FFC6EFCE"/>
                </patternFill>
              </fill>
            </x14:dxf>
          </x14:cfRule>
          <xm:sqref>D297:D309</xm:sqref>
        </x14:conditionalFormatting>
        <x14:conditionalFormatting xmlns:xm="http://schemas.microsoft.com/office/excel/2006/main">
          <x14:cfRule type="containsText" priority="764" operator="containsText" id="{EEDCAC83-628E-BE49-AC19-C12A5FA0E7F5}">
            <xm:f>NOT(ISERROR(SEARCH("Value Missing",D311)))</xm:f>
            <xm:f>"Value Missing"</xm:f>
            <x14:dxf>
              <font>
                <color rgb="FF9C0006"/>
              </font>
              <fill>
                <patternFill>
                  <bgColor rgb="FFFFC7CE"/>
                </patternFill>
              </fill>
            </x14:dxf>
          </x14:cfRule>
          <xm:sqref>D311 D313:D317 D319 D321 D323 D330 D334 D336:D339 D341 D343:D347 D349 D354 D356:D359 D361 D363:D364 D366 D380</xm:sqref>
        </x14:conditionalFormatting>
        <x14:conditionalFormatting xmlns:xm="http://schemas.microsoft.com/office/excel/2006/main">
          <x14:cfRule type="notContainsText" priority="763" operator="notContains" id="{20888BF3-85C1-384F-ACA2-FDFBEAA44C26}">
            <xm:f>ISERROR(SEARCH("Value Missing",D311))</xm:f>
            <xm:f>"Value Missing"</xm:f>
            <x14:dxf>
              <font>
                <color rgb="FF006100"/>
              </font>
              <fill>
                <patternFill>
                  <bgColor rgb="FFC6EFCE"/>
                </patternFill>
              </fill>
            </x14:dxf>
          </x14:cfRule>
          <xm:sqref>D311 D313:D317 D319 D321 D323 D330 D334 D336:D339 D380 D341 D343:D347 D349 D354 D356:D359 D361 D363:D364 D366</xm:sqref>
        </x14:conditionalFormatting>
        <x14:conditionalFormatting xmlns:xm="http://schemas.microsoft.com/office/excel/2006/main">
          <x14:cfRule type="containsText" priority="804" operator="containsText" id="{C6714B5D-7CF5-CC44-80A9-C6C235A8F61B}">
            <xm:f>NOT(ISERROR(SEARCH("Value Missing",D311)))</xm:f>
            <xm:f>"Value Missing"</xm:f>
            <x14:dxf>
              <font>
                <color rgb="FF9C0006"/>
              </font>
              <fill>
                <patternFill>
                  <bgColor rgb="FFFFC7CE"/>
                </patternFill>
              </fill>
            </x14:dxf>
          </x14:cfRule>
          <x14:cfRule type="notContainsText" priority="803" operator="notContains" id="{5EDB2061-9127-DE43-84BA-233D95ED574A}">
            <xm:f>ISERROR(SEARCH("Value Missing",D311))</xm:f>
            <xm:f>"Value Missing"</xm:f>
            <x14:dxf>
              <font>
                <color rgb="FF006100"/>
              </font>
              <fill>
                <patternFill>
                  <bgColor rgb="FFC6EFCE"/>
                </patternFill>
              </fill>
            </x14:dxf>
          </x14:cfRule>
          <xm:sqref>D311 D313:D317</xm:sqref>
        </x14:conditionalFormatting>
        <x14:conditionalFormatting xmlns:xm="http://schemas.microsoft.com/office/excel/2006/main">
          <x14:cfRule type="notContainsText" priority="705" operator="notContains" id="{6EB681CB-B681-B540-963A-476C0B1B7519}">
            <xm:f>ISERROR(SEARCH("Value Missing",D93))</xm:f>
            <xm:f>"Value Missing"</xm:f>
            <x14:dxf>
              <font>
                <color rgb="FF006100"/>
              </font>
              <fill>
                <patternFill>
                  <bgColor rgb="FFC6EFCE"/>
                </patternFill>
              </fill>
            </x14:dxf>
          </x14:cfRule>
          <xm:sqref>D321 D205 D264 D270 D280 D290 D292:D293 D295 D311 D313:D317 D319 D323 D243 D247 D254 D256 D210 D226 D234 D150 D155 D169 D183 D189 D93 D99 D108 D117 D127 D140</xm:sqref>
        </x14:conditionalFormatting>
        <x14:conditionalFormatting xmlns:xm="http://schemas.microsoft.com/office/excel/2006/main">
          <x14:cfRule type="notContainsText" priority="703" operator="notContains" id="{6B94CBD3-AF23-E541-BB4E-97F4CEF237CC}">
            <xm:f>ISERROR(SEARCH("Value Missing",D321))</xm:f>
            <xm:f>"Value Missing"</xm:f>
            <x14:dxf>
              <font>
                <color rgb="FF006100"/>
              </font>
              <fill>
                <patternFill>
                  <bgColor rgb="FFC6EFCE"/>
                </patternFill>
              </fill>
            </x14:dxf>
          </x14:cfRule>
          <x14:cfRule type="containsText" priority="704" operator="containsText" id="{E36784AD-F0EE-B94A-A78F-318EFFABFFA1}">
            <xm:f>NOT(ISERROR(SEARCH("Value Missing",D321)))</xm:f>
            <xm:f>"Value Missing"</xm:f>
            <x14:dxf>
              <font>
                <color rgb="FF9C0006"/>
              </font>
              <fill>
                <patternFill>
                  <bgColor rgb="FFFFC7CE"/>
                </patternFill>
              </fill>
            </x14:dxf>
          </x14:cfRule>
          <xm:sqref>D321</xm:sqref>
        </x14:conditionalFormatting>
        <x14:conditionalFormatting xmlns:xm="http://schemas.microsoft.com/office/excel/2006/main">
          <x14:cfRule type="notContainsText" priority="96" operator="notContains" id="{EE88008F-533D-A049-B605-94D95BDBE6BD}">
            <xm:f>ISERROR(SEARCH("Value Missing",D332))</xm:f>
            <xm:f>"Value Missing"</xm:f>
            <x14:dxf>
              <font>
                <color rgb="FF006100"/>
              </font>
              <fill>
                <patternFill>
                  <bgColor rgb="FFC6EFCE"/>
                </patternFill>
              </fill>
            </x14:dxf>
          </x14:cfRule>
          <x14:cfRule type="containsText" priority="97" operator="containsText" id="{047AFF73-A91B-F743-BB8C-FCD75E26511F}">
            <xm:f>NOT(ISERROR(SEARCH("Value Missing",D332)))</xm:f>
            <xm:f>"Value Missing"</xm:f>
            <x14:dxf>
              <font>
                <color rgb="FF9C0006"/>
              </font>
              <fill>
                <patternFill>
                  <bgColor rgb="FFFFC7CE"/>
                </patternFill>
              </fill>
            </x14:dxf>
          </x14:cfRule>
          <x14:cfRule type="notContainsText" priority="98" operator="notContains" id="{CEA6E90F-BECA-0549-B9DF-F3D908240DEF}">
            <xm:f>ISERROR(SEARCH("Value Missing",D332))</xm:f>
            <xm:f>"Value Missing"</xm:f>
            <x14:dxf>
              <font>
                <color rgb="FF006100"/>
              </font>
              <fill>
                <patternFill>
                  <bgColor rgb="FFC6EFCE"/>
                </patternFill>
              </fill>
            </x14:dxf>
          </x14:cfRule>
          <x14:cfRule type="containsText" priority="99" operator="containsText" id="{2541D62C-5EB2-F24A-B2EE-5E0BBB59653D}">
            <xm:f>NOT(ISERROR(SEARCH("Value Missing",D332)))</xm:f>
            <xm:f>"Value Missing"</xm:f>
            <x14:dxf>
              <font>
                <color rgb="FF9C0006"/>
              </font>
              <fill>
                <patternFill>
                  <bgColor rgb="FFFFC7CE"/>
                </patternFill>
              </fill>
            </x14:dxf>
          </x14:cfRule>
          <x14:cfRule type="notContainsText" priority="100" operator="notContains" id="{CBAA11EF-6041-F94A-8A20-AA28007FC414}">
            <xm:f>ISERROR(SEARCH("Value Missing",D332))</xm:f>
            <xm:f>"Value Missing"</xm:f>
            <x14:dxf>
              <font>
                <color rgb="FF006100"/>
              </font>
              <fill>
                <patternFill>
                  <bgColor rgb="FFC6EFCE"/>
                </patternFill>
              </fill>
            </x14:dxf>
          </x14:cfRule>
          <x14:cfRule type="containsText" priority="101" operator="containsText" id="{83BB4A72-D556-8E44-8339-8EEA64658B9E}">
            <xm:f>NOT(ISERROR(SEARCH("Value Missing",D332)))</xm:f>
            <xm:f>"Value Missing"</xm:f>
            <x14:dxf>
              <font>
                <color rgb="FF9C0006"/>
              </font>
              <fill>
                <patternFill>
                  <bgColor rgb="FFFFC7CE"/>
                </patternFill>
              </fill>
            </x14:dxf>
          </x14:cfRule>
          <xm:sqref>D332</xm:sqref>
        </x14:conditionalFormatting>
        <x14:conditionalFormatting xmlns:xm="http://schemas.microsoft.com/office/excel/2006/main">
          <x14:cfRule type="notContainsText" priority="617" operator="notContains" id="{E8C31BAE-A2A5-7443-8BC8-8DF6D2FA3A60}">
            <xm:f>ISERROR(SEARCH("Value Missing",D336))</xm:f>
            <xm:f>"Value Missing"</xm:f>
            <x14:dxf>
              <font>
                <color rgb="FF006100"/>
              </font>
              <fill>
                <patternFill>
                  <bgColor rgb="FFC6EFCE"/>
                </patternFill>
              </fill>
            </x14:dxf>
          </x14:cfRule>
          <x14:cfRule type="containsText" priority="618" operator="containsText" id="{CC81672C-6E54-3F48-8240-5A7B644B4C43}">
            <xm:f>NOT(ISERROR(SEARCH("Value Missing",D336)))</xm:f>
            <xm:f>"Value Missing"</xm:f>
            <x14:dxf>
              <font>
                <color rgb="FF9C0006"/>
              </font>
              <fill>
                <patternFill>
                  <bgColor rgb="FFFFC7CE"/>
                </patternFill>
              </fill>
            </x14:dxf>
          </x14:cfRule>
          <xm:sqref>D336</xm:sqref>
        </x14:conditionalFormatting>
        <x14:conditionalFormatting xmlns:xm="http://schemas.microsoft.com/office/excel/2006/main">
          <x14:cfRule type="notContainsText" priority="619" operator="notContains" id="{73CDBBF8-50CE-8148-8C50-A5DC3D81F281}">
            <xm:f>ISERROR(SEARCH("Value Missing",D336))</xm:f>
            <xm:f>"Value Missing"</xm:f>
            <x14:dxf>
              <font>
                <color rgb="FF006100"/>
              </font>
              <fill>
                <patternFill>
                  <bgColor rgb="FFC6EFCE"/>
                </patternFill>
              </fill>
            </x14:dxf>
          </x14:cfRule>
          <x14:cfRule type="containsText" priority="620" operator="containsText" id="{E1D2BAF0-B27D-0549-95DD-EA3503821157}">
            <xm:f>NOT(ISERROR(SEARCH("Value Missing",D336)))</xm:f>
            <xm:f>"Value Missing"</xm:f>
            <x14:dxf>
              <font>
                <color rgb="FF9C0006"/>
              </font>
              <fill>
                <patternFill>
                  <bgColor rgb="FFFFC7CE"/>
                </patternFill>
              </fill>
            </x14:dxf>
          </x14:cfRule>
          <xm:sqref>D336:D337</xm:sqref>
        </x14:conditionalFormatting>
        <x14:conditionalFormatting xmlns:xm="http://schemas.microsoft.com/office/excel/2006/main">
          <x14:cfRule type="containsText" priority="615" operator="containsText" id="{A8A27739-04BD-3745-823C-7D35EA11381A}">
            <xm:f>NOT(ISERROR(SEARCH("Value Missing",D338)))</xm:f>
            <xm:f>"Value Missing"</xm:f>
            <x14:dxf>
              <font>
                <color rgb="FF9C0006"/>
              </font>
              <fill>
                <patternFill>
                  <bgColor rgb="FFFFC7CE"/>
                </patternFill>
              </fill>
            </x14:dxf>
          </x14:cfRule>
          <x14:cfRule type="notContainsText" priority="614" operator="notContains" id="{A9CD7957-9294-634E-8E73-2D9664D418E6}">
            <xm:f>ISERROR(SEARCH("Value Missing",D338))</xm:f>
            <xm:f>"Value Missing"</xm:f>
            <x14:dxf>
              <font>
                <color rgb="FF006100"/>
              </font>
              <fill>
                <patternFill>
                  <bgColor rgb="FFC6EFCE"/>
                </patternFill>
              </fill>
            </x14:dxf>
          </x14:cfRule>
          <xm:sqref>D338</xm:sqref>
        </x14:conditionalFormatting>
        <x14:conditionalFormatting xmlns:xm="http://schemas.microsoft.com/office/excel/2006/main">
          <x14:cfRule type="containsText" priority="611" operator="containsText" id="{43921CBA-6320-064D-9F84-1AAAF50DCBBE}">
            <xm:f>NOT(ISERROR(SEARCH("Value Missing",D338)))</xm:f>
            <xm:f>"Value Missing"</xm:f>
            <x14:dxf>
              <font>
                <color rgb="FF9C0006"/>
              </font>
              <fill>
                <patternFill>
                  <bgColor rgb="FFFFC7CE"/>
                </patternFill>
              </fill>
            </x14:dxf>
          </x14:cfRule>
          <x14:cfRule type="notContainsText" priority="610" operator="notContains" id="{E5680F4B-B6E5-A04E-8781-8438CF7CF8A1}">
            <xm:f>ISERROR(SEARCH("Value Missing",D338))</xm:f>
            <xm:f>"Value Missing"</xm:f>
            <x14:dxf>
              <font>
                <color rgb="FF006100"/>
              </font>
              <fill>
                <patternFill>
                  <bgColor rgb="FFC6EFCE"/>
                </patternFill>
              </fill>
            </x14:dxf>
          </x14:cfRule>
          <xm:sqref>D338:D339</xm:sqref>
        </x14:conditionalFormatting>
        <x14:conditionalFormatting xmlns:xm="http://schemas.microsoft.com/office/excel/2006/main">
          <x14:cfRule type="containsText" priority="607" operator="containsText" id="{BBDB626B-92D3-B84A-8002-8FFD7095EF01}">
            <xm:f>NOT(ISERROR(SEARCH("Value Missing",D339)))</xm:f>
            <xm:f>"Value Missing"</xm:f>
            <x14:dxf>
              <font>
                <color rgb="FF9C0006"/>
              </font>
              <fill>
                <patternFill>
                  <bgColor rgb="FFFFC7CE"/>
                </patternFill>
              </fill>
            </x14:dxf>
          </x14:cfRule>
          <x14:cfRule type="notContainsText" priority="606" operator="notContains" id="{1C70ED45-B06B-B647-B3D2-4292F6F32620}">
            <xm:f>ISERROR(SEARCH("Value Missing",D339))</xm:f>
            <xm:f>"Value Missing"</xm:f>
            <x14:dxf>
              <font>
                <color rgb="FF006100"/>
              </font>
              <fill>
                <patternFill>
                  <bgColor rgb="FFC6EFCE"/>
                </patternFill>
              </fill>
            </x14:dxf>
          </x14:cfRule>
          <xm:sqref>D339</xm:sqref>
        </x14:conditionalFormatting>
        <x14:conditionalFormatting xmlns:xm="http://schemas.microsoft.com/office/excel/2006/main">
          <x14:cfRule type="containsText" priority="640" operator="containsText" id="{913BA2F3-94AF-3C4F-AF6C-47EB7BFC61CA}">
            <xm:f>NOT(ISERROR(SEARCH("Value Missing",D343)))</xm:f>
            <xm:f>"Value Missing"</xm:f>
            <x14:dxf>
              <font>
                <color rgb="FF9C0006"/>
              </font>
              <fill>
                <patternFill>
                  <bgColor rgb="FFFFC7CE"/>
                </patternFill>
              </fill>
            </x14:dxf>
          </x14:cfRule>
          <x14:cfRule type="notContainsText" priority="639" operator="notContains" id="{1B4E98F3-755A-9B43-82DA-D4C3F861F3CC}">
            <xm:f>ISERROR(SEARCH("Value Missing",D343))</xm:f>
            <xm:f>"Value Missing"</xm:f>
            <x14:dxf>
              <font>
                <color rgb="FF006100"/>
              </font>
              <fill>
                <patternFill>
                  <bgColor rgb="FFC6EFCE"/>
                </patternFill>
              </fill>
            </x14:dxf>
          </x14:cfRule>
          <xm:sqref>D343</xm:sqref>
        </x14:conditionalFormatting>
        <x14:conditionalFormatting xmlns:xm="http://schemas.microsoft.com/office/excel/2006/main">
          <x14:cfRule type="notContainsText" priority="602" operator="notContains" id="{F1DCEA52-7665-F44F-9661-FF4C8C1E9395}">
            <xm:f>ISERROR(SEARCH("Value Missing",D343))</xm:f>
            <xm:f>"Value Missing"</xm:f>
            <x14:dxf>
              <font>
                <color rgb="FF006100"/>
              </font>
              <fill>
                <patternFill>
                  <bgColor rgb="FFC6EFCE"/>
                </patternFill>
              </fill>
            </x14:dxf>
          </x14:cfRule>
          <x14:cfRule type="containsText" priority="603" operator="containsText" id="{DE146B8D-47C4-B641-98E7-83A2513D3C56}">
            <xm:f>NOT(ISERROR(SEARCH("Value Missing",D343)))</xm:f>
            <xm:f>"Value Missing"</xm:f>
            <x14:dxf>
              <font>
                <color rgb="FF9C0006"/>
              </font>
              <fill>
                <patternFill>
                  <bgColor rgb="FFFFC7CE"/>
                </patternFill>
              </fill>
            </x14:dxf>
          </x14:cfRule>
          <xm:sqref>D343:D344</xm:sqref>
        </x14:conditionalFormatting>
        <x14:conditionalFormatting xmlns:xm="http://schemas.microsoft.com/office/excel/2006/main">
          <x14:cfRule type="containsText" priority="601" operator="containsText" id="{0E667241-9CB9-7E4A-A846-26155D593D6B}">
            <xm:f>NOT(ISERROR(SEARCH("Value Missing",D344)))</xm:f>
            <xm:f>"Value Missing"</xm:f>
            <x14:dxf>
              <font>
                <color rgb="FF9C0006"/>
              </font>
              <fill>
                <patternFill>
                  <bgColor rgb="FFFFC7CE"/>
                </patternFill>
              </fill>
            </x14:dxf>
          </x14:cfRule>
          <xm:sqref>D344</xm:sqref>
        </x14:conditionalFormatting>
        <x14:conditionalFormatting xmlns:xm="http://schemas.microsoft.com/office/excel/2006/main">
          <x14:cfRule type="notContainsText" priority="597" operator="notContains" id="{CC7EF66B-61EA-E34C-B62E-290769BDA86C}">
            <xm:f>ISERROR(SEARCH("Value Missing",D344))</xm:f>
            <xm:f>"Value Missing"</xm:f>
            <x14:dxf>
              <font>
                <color rgb="FF006100"/>
              </font>
              <fill>
                <patternFill>
                  <bgColor rgb="FFC6EFCE"/>
                </patternFill>
              </fill>
            </x14:dxf>
          </x14:cfRule>
          <xm:sqref>D344:D347</xm:sqref>
        </x14:conditionalFormatting>
        <x14:conditionalFormatting xmlns:xm="http://schemas.microsoft.com/office/excel/2006/main">
          <x14:cfRule type="containsText" priority="588" operator="containsText" id="{C6659A35-E493-2A46-8C7A-CE7FC1ABF520}">
            <xm:f>NOT(ISERROR(SEARCH("Value Missing",D345)))</xm:f>
            <xm:f>"Value Missing"</xm:f>
            <x14:dxf>
              <font>
                <color rgb="FF9C0006"/>
              </font>
              <fill>
                <patternFill>
                  <bgColor rgb="FFFFC7CE"/>
                </patternFill>
              </fill>
            </x14:dxf>
          </x14:cfRule>
          <x14:cfRule type="notContainsText" priority="587" operator="notContains" id="{8768BD30-C8EF-6843-99A6-EDFF47E23FAA}">
            <xm:f>ISERROR(SEARCH("Value Missing",D345))</xm:f>
            <xm:f>"Value Missing"</xm:f>
            <x14:dxf>
              <font>
                <color rgb="FF006100"/>
              </font>
              <fill>
                <patternFill>
                  <bgColor rgb="FFC6EFCE"/>
                </patternFill>
              </fill>
            </x14:dxf>
          </x14:cfRule>
          <xm:sqref>D345</xm:sqref>
        </x14:conditionalFormatting>
        <x14:conditionalFormatting xmlns:xm="http://schemas.microsoft.com/office/excel/2006/main">
          <x14:cfRule type="notContainsText" priority="589" operator="notContains" id="{C76861A0-7B29-334B-B076-454BC393B058}">
            <xm:f>ISERROR(SEARCH("Value Missing",D345))</xm:f>
            <xm:f>"Value Missing"</xm:f>
            <x14:dxf>
              <font>
                <color rgb="FF006100"/>
              </font>
              <fill>
                <patternFill>
                  <bgColor rgb="FFC6EFCE"/>
                </patternFill>
              </fill>
            </x14:dxf>
          </x14:cfRule>
          <x14:cfRule type="containsText" priority="590" operator="containsText" id="{C5549D46-6B66-F344-9EFA-5C24DC6385C4}">
            <xm:f>NOT(ISERROR(SEARCH("Value Missing",D345)))</xm:f>
            <xm:f>"Value Missing"</xm:f>
            <x14:dxf>
              <font>
                <color rgb="FF9C0006"/>
              </font>
              <fill>
                <patternFill>
                  <bgColor rgb="FFFFC7CE"/>
                </patternFill>
              </fill>
            </x14:dxf>
          </x14:cfRule>
          <xm:sqref>D345:D346</xm:sqref>
        </x14:conditionalFormatting>
        <x14:conditionalFormatting xmlns:xm="http://schemas.microsoft.com/office/excel/2006/main">
          <x14:cfRule type="notContainsText" priority="593" operator="notContains" id="{93ED9FB7-69FB-B742-8553-3141B0E7CB7D}">
            <xm:f>ISERROR(SEARCH("Value Missing",D346))</xm:f>
            <xm:f>"Value Missing"</xm:f>
            <x14:dxf>
              <font>
                <color rgb="FF006100"/>
              </font>
              <fill>
                <patternFill>
                  <bgColor rgb="FFC6EFCE"/>
                </patternFill>
              </fill>
            </x14:dxf>
          </x14:cfRule>
          <x14:cfRule type="containsText" priority="594" operator="containsText" id="{F06D3552-50A1-2B41-9AB8-19E219D92B05}">
            <xm:f>NOT(ISERROR(SEARCH("Value Missing",D346)))</xm:f>
            <xm:f>"Value Missing"</xm:f>
            <x14:dxf>
              <font>
                <color rgb="FF9C0006"/>
              </font>
              <fill>
                <patternFill>
                  <bgColor rgb="FFFFC7CE"/>
                </patternFill>
              </fill>
            </x14:dxf>
          </x14:cfRule>
          <xm:sqref>D346:D347</xm:sqref>
        </x14:conditionalFormatting>
        <x14:conditionalFormatting xmlns:xm="http://schemas.microsoft.com/office/excel/2006/main">
          <x14:cfRule type="containsText" priority="598" operator="containsText" id="{1450BC49-030D-9446-865F-BF777F7E6587}">
            <xm:f>NOT(ISERROR(SEARCH("Value Missing",D347)))</xm:f>
            <xm:f>"Value Missing"</xm:f>
            <x14:dxf>
              <font>
                <color rgb="FF9C0006"/>
              </font>
              <fill>
                <patternFill>
                  <bgColor rgb="FFFFC7CE"/>
                </patternFill>
              </fill>
            </x14:dxf>
          </x14:cfRule>
          <xm:sqref>D347</xm:sqref>
        </x14:conditionalFormatting>
        <x14:conditionalFormatting xmlns:xm="http://schemas.microsoft.com/office/excel/2006/main">
          <x14:cfRule type="notContainsText" priority="731" operator="notContains" id="{9377C565-ABCF-1D4B-9B7E-784E3FD505BF}">
            <xm:f>ISERROR(SEARCH("Value Missing",D33))</xm:f>
            <xm:f>"Value Missing"</xm:f>
            <x14:dxf>
              <font>
                <color rgb="FF006100"/>
              </font>
              <fill>
                <patternFill>
                  <bgColor rgb="FFC6EFCE"/>
                </patternFill>
              </fill>
            </x14:dxf>
          </x14:cfRule>
          <xm:sqref>D351:D352 D368:D372 D382:D386 D33:D34 D45:D47 D49 D54 D64</xm:sqref>
        </x14:conditionalFormatting>
        <x14:conditionalFormatting xmlns:xm="http://schemas.microsoft.com/office/excel/2006/main">
          <x14:cfRule type="containsText" priority="583" operator="containsText" id="{AA773155-1482-0746-ACFD-B6666B405E25}">
            <xm:f>NOT(ISERROR(SEARCH("Value Missing",D351)))</xm:f>
            <xm:f>"Value Missing"</xm:f>
            <x14:dxf>
              <font>
                <color rgb="FF9C0006"/>
              </font>
              <fill>
                <patternFill>
                  <bgColor rgb="FFFFC7CE"/>
                </patternFill>
              </fill>
            </x14:dxf>
          </x14:cfRule>
          <x14:cfRule type="notContainsText" priority="568" operator="notContains" id="{8242367D-DD6F-B045-835B-0E2F78A79C50}">
            <xm:f>ISERROR(SEARCH("Value Missing",D351))</xm:f>
            <xm:f>"Value Missing"</xm:f>
            <x14:dxf>
              <font>
                <color rgb="FF006100"/>
              </font>
              <fill>
                <patternFill>
                  <bgColor rgb="FFC6EFCE"/>
                </patternFill>
              </fill>
            </x14:dxf>
          </x14:cfRule>
          <xm:sqref>D351:D352</xm:sqref>
        </x14:conditionalFormatting>
        <x14:conditionalFormatting xmlns:xm="http://schemas.microsoft.com/office/excel/2006/main">
          <x14:cfRule type="notContainsText" priority="629" operator="notContains" id="{BD0FF2C4-649E-724F-A6F0-B077515EAC43}">
            <xm:f>ISERROR(SEARCH("Value Missing",D356))</xm:f>
            <xm:f>"Value Missing"</xm:f>
            <x14:dxf>
              <font>
                <color rgb="FF006100"/>
              </font>
              <fill>
                <patternFill>
                  <bgColor rgb="FFC6EFCE"/>
                </patternFill>
              </fill>
            </x14:dxf>
          </x14:cfRule>
          <x14:cfRule type="containsText" priority="630" operator="containsText" id="{AD3CDBBE-8342-0641-A82C-5D28AF19BA60}">
            <xm:f>NOT(ISERROR(SEARCH("Value Missing",D356)))</xm:f>
            <xm:f>"Value Missing"</xm:f>
            <x14:dxf>
              <font>
                <color rgb="FF9C0006"/>
              </font>
              <fill>
                <patternFill>
                  <bgColor rgb="FFFFC7CE"/>
                </patternFill>
              </fill>
            </x14:dxf>
          </x14:cfRule>
          <xm:sqref>D356</xm:sqref>
        </x14:conditionalFormatting>
        <x14:conditionalFormatting xmlns:xm="http://schemas.microsoft.com/office/excel/2006/main">
          <x14:cfRule type="notContainsText" priority="563" operator="notContains" id="{6846864D-42DF-B74A-88A7-159436F20E19}">
            <xm:f>ISERROR(SEARCH("Value Missing",D356))</xm:f>
            <xm:f>"Value Missing"</xm:f>
            <x14:dxf>
              <font>
                <color rgb="FF006100"/>
              </font>
              <fill>
                <patternFill>
                  <bgColor rgb="FFC6EFCE"/>
                </patternFill>
              </fill>
            </x14:dxf>
          </x14:cfRule>
          <x14:cfRule type="containsText" priority="564" operator="containsText" id="{D0936305-7660-8D49-9A39-8D25AE9B4CB4}">
            <xm:f>NOT(ISERROR(SEARCH("Value Missing",D356)))</xm:f>
            <xm:f>"Value Missing"</xm:f>
            <x14:dxf>
              <font>
                <color rgb="FF9C0006"/>
              </font>
              <fill>
                <patternFill>
                  <bgColor rgb="FFFFC7CE"/>
                </patternFill>
              </fill>
            </x14:dxf>
          </x14:cfRule>
          <xm:sqref>D356:D357</xm:sqref>
        </x14:conditionalFormatting>
        <x14:conditionalFormatting xmlns:xm="http://schemas.microsoft.com/office/excel/2006/main">
          <x14:cfRule type="notContainsText" priority="551" operator="notContains" id="{0BBEB642-152B-5D40-A24E-250DC9B4FE8B}">
            <xm:f>ISERROR(SEARCH("Value Missing",D357))</xm:f>
            <xm:f>"Value Missing"</xm:f>
            <x14:dxf>
              <font>
                <color rgb="FF006100"/>
              </font>
              <fill>
                <patternFill>
                  <bgColor rgb="FFC6EFCE"/>
                </patternFill>
              </fill>
            </x14:dxf>
          </x14:cfRule>
          <x14:cfRule type="containsText" priority="552" operator="containsText" id="{577CFEE4-0602-AB4A-9D02-8C0DB4B0BB6E}">
            <xm:f>NOT(ISERROR(SEARCH("Value Missing",D357)))</xm:f>
            <xm:f>"Value Missing"</xm:f>
            <x14:dxf>
              <font>
                <color rgb="FF9C0006"/>
              </font>
              <fill>
                <patternFill>
                  <bgColor rgb="FFFFC7CE"/>
                </patternFill>
              </fill>
            </x14:dxf>
          </x14:cfRule>
          <xm:sqref>D357:D359</xm:sqref>
        </x14:conditionalFormatting>
        <x14:conditionalFormatting xmlns:xm="http://schemas.microsoft.com/office/excel/2006/main">
          <x14:cfRule type="notContainsText" priority="549" operator="notContains" id="{B24545E7-4AD4-9F4F-B02A-8F4AFE226A81}">
            <xm:f>ISERROR(SEARCH("Value Missing",D358))</xm:f>
            <xm:f>"Value Missing"</xm:f>
            <x14:dxf>
              <font>
                <color rgb="FF006100"/>
              </font>
              <fill>
                <patternFill>
                  <bgColor rgb="FFC6EFCE"/>
                </patternFill>
              </fill>
            </x14:dxf>
          </x14:cfRule>
          <x14:cfRule type="containsText" priority="550" operator="containsText" id="{230700DE-5CA2-F24C-B43A-93D2C06A1A11}">
            <xm:f>NOT(ISERROR(SEARCH("Value Missing",D358)))</xm:f>
            <xm:f>"Value Missing"</xm:f>
            <x14:dxf>
              <font>
                <color rgb="FF9C0006"/>
              </font>
              <fill>
                <patternFill>
                  <bgColor rgb="FFFFC7CE"/>
                </patternFill>
              </fill>
            </x14:dxf>
          </x14:cfRule>
          <xm:sqref>D358</xm:sqref>
        </x14:conditionalFormatting>
        <x14:conditionalFormatting xmlns:xm="http://schemas.microsoft.com/office/excel/2006/main">
          <x14:cfRule type="containsText" priority="556" operator="containsText" id="{468DD1FD-5A73-3549-9C27-26832A484192}">
            <xm:f>NOT(ISERROR(SEARCH("Value Missing",D359)))</xm:f>
            <xm:f>"Value Missing"</xm:f>
            <x14:dxf>
              <font>
                <color rgb="FF9C0006"/>
              </font>
              <fill>
                <patternFill>
                  <bgColor rgb="FFFFC7CE"/>
                </patternFill>
              </fill>
            </x14:dxf>
          </x14:cfRule>
          <x14:cfRule type="notContainsText" priority="555" operator="notContains" id="{45CE7EE2-80F3-B646-8DF1-D4C74BC7734F}">
            <xm:f>ISERROR(SEARCH("Value Missing",D359))</xm:f>
            <xm:f>"Value Missing"</xm:f>
            <x14:dxf>
              <font>
                <color rgb="FF006100"/>
              </font>
              <fill>
                <patternFill>
                  <bgColor rgb="FFC6EFCE"/>
                </patternFill>
              </fill>
            </x14:dxf>
          </x14:cfRule>
          <xm:sqref>D359</xm:sqref>
        </x14:conditionalFormatting>
        <x14:conditionalFormatting xmlns:xm="http://schemas.microsoft.com/office/excel/2006/main">
          <x14:cfRule type="containsText" priority="548" operator="containsText" id="{AEC1E143-EDEA-184B-96BE-182FF09CFC11}">
            <xm:f>NOT(ISERROR(SEARCH("Value Missing",D363)))</xm:f>
            <xm:f>"Value Missing"</xm:f>
            <x14:dxf>
              <font>
                <color rgb="FF9C0006"/>
              </font>
              <fill>
                <patternFill>
                  <bgColor rgb="FFFFC7CE"/>
                </patternFill>
              </fill>
            </x14:dxf>
          </x14:cfRule>
          <x14:cfRule type="notContainsText" priority="547" operator="notContains" id="{86B0970E-6C78-4E47-995E-83938323C119}">
            <xm:f>ISERROR(SEARCH("Value Missing",D363))</xm:f>
            <xm:f>"Value Missing"</xm:f>
            <x14:dxf>
              <font>
                <color rgb="FF006100"/>
              </font>
              <fill>
                <patternFill>
                  <bgColor rgb="FFC6EFCE"/>
                </patternFill>
              </fill>
            </x14:dxf>
          </x14:cfRule>
          <xm:sqref>D363</xm:sqref>
        </x14:conditionalFormatting>
        <x14:conditionalFormatting xmlns:xm="http://schemas.microsoft.com/office/excel/2006/main">
          <x14:cfRule type="notContainsText" priority="543" operator="notContains" id="{44C020D9-8449-C14C-A782-9BCA0E49AC90}">
            <xm:f>ISERROR(SEARCH("Value Missing",D363))</xm:f>
            <xm:f>"Value Missing"</xm:f>
            <x14:dxf>
              <font>
                <color rgb="FF006100"/>
              </font>
              <fill>
                <patternFill>
                  <bgColor rgb="FFC6EFCE"/>
                </patternFill>
              </fill>
            </x14:dxf>
          </x14:cfRule>
          <x14:cfRule type="containsText" priority="544" operator="containsText" id="{C12B1EC2-C594-6E42-B584-20FBBDD5F88C}">
            <xm:f>NOT(ISERROR(SEARCH("Value Missing",D363)))</xm:f>
            <xm:f>"Value Missing"</xm:f>
            <x14:dxf>
              <font>
                <color rgb="FF9C0006"/>
              </font>
              <fill>
                <patternFill>
                  <bgColor rgb="FFFFC7CE"/>
                </patternFill>
              </fill>
            </x14:dxf>
          </x14:cfRule>
          <xm:sqref>D363:D364</xm:sqref>
        </x14:conditionalFormatting>
        <x14:conditionalFormatting xmlns:xm="http://schemas.microsoft.com/office/excel/2006/main">
          <x14:cfRule type="notContainsText" priority="541" operator="notContains" id="{EE244010-CC44-0144-8935-882A523EA9EB}">
            <xm:f>ISERROR(SEARCH("Value Missing",D364))</xm:f>
            <xm:f>"Value Missing"</xm:f>
            <x14:dxf>
              <font>
                <color rgb="FF006100"/>
              </font>
              <fill>
                <patternFill>
                  <bgColor rgb="FFC6EFCE"/>
                </patternFill>
              </fill>
            </x14:dxf>
          </x14:cfRule>
          <x14:cfRule type="containsText" priority="542" operator="containsText" id="{9E2D6336-A13A-3C43-86EB-CC62958210B0}">
            <xm:f>NOT(ISERROR(SEARCH("Value Missing",D364)))</xm:f>
            <xm:f>"Value Missing"</xm:f>
            <x14:dxf>
              <font>
                <color rgb="FF9C0006"/>
              </font>
              <fill>
                <patternFill>
                  <bgColor rgb="FFFFC7CE"/>
                </patternFill>
              </fill>
            </x14:dxf>
          </x14:cfRule>
          <xm:sqref>D364</xm:sqref>
        </x14:conditionalFormatting>
        <x14:conditionalFormatting xmlns:xm="http://schemas.microsoft.com/office/excel/2006/main">
          <x14:cfRule type="containsText" priority="746" operator="containsText" id="{B0F83B88-0812-434B-8EF4-8F4FDFB7DF29}">
            <xm:f>NOT(ISERROR(SEARCH("Value Missing",D368)))</xm:f>
            <xm:f>"Value Missing"</xm:f>
            <x14:dxf>
              <font>
                <color rgb="FF9C0006"/>
              </font>
              <fill>
                <patternFill>
                  <bgColor rgb="FFFFC7CE"/>
                </patternFill>
              </fill>
            </x14:dxf>
          </x14:cfRule>
          <xm:sqref>D368:D372</xm:sqref>
        </x14:conditionalFormatting>
        <x14:conditionalFormatting xmlns:xm="http://schemas.microsoft.com/office/excel/2006/main">
          <x14:cfRule type="notContainsText" priority="26" operator="notContains" id="{58B743C6-4C20-944E-8D6C-E19BC0BED64D}">
            <xm:f>ISERROR(SEARCH("Value Missing",D374))</xm:f>
            <xm:f>"Value Missing"</xm:f>
            <x14:dxf>
              <font>
                <color rgb="FF006100"/>
              </font>
              <fill>
                <patternFill>
                  <bgColor rgb="FFC6EFCE"/>
                </patternFill>
              </fill>
            </x14:dxf>
          </x14:cfRule>
          <x14:cfRule type="notContainsText" priority="24" operator="notContains" id="{922AEF4F-EC35-2B4F-AB9E-596B8E33778E}">
            <xm:f>ISERROR(SEARCH("Value Missing",D374))</xm:f>
            <xm:f>"Value Missing"</xm:f>
            <x14:dxf>
              <font>
                <color rgb="FF006100"/>
              </font>
              <fill>
                <patternFill>
                  <bgColor rgb="FFC6EFCE"/>
                </patternFill>
              </fill>
            </x14:dxf>
          </x14:cfRule>
          <x14:cfRule type="containsText" priority="25" operator="containsText" id="{4E6EA3A7-5598-8741-9EC1-52B97FD9639E}">
            <xm:f>NOT(ISERROR(SEARCH("Value Missing",D374)))</xm:f>
            <xm:f>"Value Missing"</xm:f>
            <x14:dxf>
              <font>
                <color rgb="FF9C0006"/>
              </font>
              <fill>
                <patternFill>
                  <bgColor rgb="FFFFC7CE"/>
                </patternFill>
              </fill>
            </x14:dxf>
          </x14:cfRule>
          <x14:cfRule type="containsText" priority="27" operator="containsText" id="{930FA678-121B-0C46-AD2F-BC7FA8A031E8}">
            <xm:f>NOT(ISERROR(SEARCH("Value Missing",D374)))</xm:f>
            <xm:f>"Value Missing"</xm:f>
            <x14:dxf>
              <font>
                <color rgb="FF9C0006"/>
              </font>
              <fill>
                <patternFill>
                  <bgColor rgb="FFFFC7CE"/>
                </patternFill>
              </fill>
            </x14:dxf>
          </x14:cfRule>
          <xm:sqref>D374</xm:sqref>
        </x14:conditionalFormatting>
        <x14:conditionalFormatting xmlns:xm="http://schemas.microsoft.com/office/excel/2006/main">
          <x14:cfRule type="containsText" priority="28" operator="containsText" id="{186624AE-AABF-DA41-AFA5-838A11A1741C}">
            <xm:f>NOT(ISERROR(SEARCH("Value Missing",D376)))</xm:f>
            <xm:f>"Value Missing"</xm:f>
            <x14:dxf>
              <font>
                <color rgb="FF9C0006"/>
              </font>
              <fill>
                <patternFill>
                  <bgColor rgb="FFFFC7CE"/>
                </patternFill>
              </fill>
            </x14:dxf>
          </x14:cfRule>
          <x14:cfRule type="notContainsText" priority="29" operator="notContains" id="{315767CE-B13A-8E49-AC76-29C52E3D9A7A}">
            <xm:f>ISERROR(SEARCH("Value Missing",D376))</xm:f>
            <xm:f>"Value Missing"</xm:f>
            <x14:dxf>
              <font>
                <color rgb="FF006100"/>
              </font>
              <fill>
                <patternFill>
                  <bgColor rgb="FFC6EFCE"/>
                </patternFill>
              </fill>
            </x14:dxf>
          </x14:cfRule>
          <x14:cfRule type="containsText" priority="30" operator="containsText" id="{37CA9AC6-CD55-2148-9B30-6ADF5433CB3F}">
            <xm:f>NOT(ISERROR(SEARCH("Value Missing",D376)))</xm:f>
            <xm:f>"Value Missing"</xm:f>
            <x14:dxf>
              <font>
                <color rgb="FF9C0006"/>
              </font>
              <fill>
                <patternFill>
                  <bgColor rgb="FFFFC7CE"/>
                </patternFill>
              </fill>
            </x14:dxf>
          </x14:cfRule>
          <x14:cfRule type="notContainsText" priority="23" operator="notContains" id="{0C17F44D-8AB3-E647-B911-6D603F587B66}">
            <xm:f>ISERROR(SEARCH("Value Missing",D376))</xm:f>
            <xm:f>"Value Missing"</xm:f>
            <x14:dxf>
              <font>
                <color rgb="FF006100"/>
              </font>
              <fill>
                <patternFill>
                  <bgColor rgb="FFC6EFCE"/>
                </patternFill>
              </fill>
            </x14:dxf>
          </x14:cfRule>
          <x14:cfRule type="containsText" priority="22" operator="containsText" id="{3228E8D4-3FF8-314E-BE1B-120DE618D105}">
            <xm:f>NOT(ISERROR(SEARCH("Value Missing",D376)))</xm:f>
            <xm:f>"Value Missing"</xm:f>
            <x14:dxf>
              <font>
                <color rgb="FF9C0006"/>
              </font>
              <fill>
                <patternFill>
                  <bgColor rgb="FFFFC7CE"/>
                </patternFill>
              </fill>
            </x14:dxf>
          </x14:cfRule>
          <x14:cfRule type="notContainsText" priority="21" operator="notContains" id="{4E9943CB-541D-D445-A495-8C52704AB605}">
            <xm:f>ISERROR(SEARCH("Value Missing",D376))</xm:f>
            <xm:f>"Value Missing"</xm:f>
            <x14:dxf>
              <font>
                <color rgb="FF006100"/>
              </font>
              <fill>
                <patternFill>
                  <bgColor rgb="FFC6EFCE"/>
                </patternFill>
              </fill>
            </x14:dxf>
          </x14:cfRule>
          <xm:sqref>D376</xm:sqref>
        </x14:conditionalFormatting>
        <x14:conditionalFormatting xmlns:xm="http://schemas.microsoft.com/office/excel/2006/main">
          <x14:cfRule type="notContainsText" priority="89" operator="notContains" id="{5A43EACE-7447-C94D-960C-5F4A87878B3A}">
            <xm:f>ISERROR(SEARCH("Value Missing",D378))</xm:f>
            <xm:f>"Value Missing"</xm:f>
            <x14:dxf>
              <font>
                <color rgb="FF006100"/>
              </font>
              <fill>
                <patternFill>
                  <bgColor rgb="FFC6EFCE"/>
                </patternFill>
              </fill>
            </x14:dxf>
          </x14:cfRule>
          <x14:cfRule type="containsText" priority="90" operator="containsText" id="{56EF67C6-042D-C640-95ED-8BCF801394A6}">
            <xm:f>NOT(ISERROR(SEARCH("Value Missing",D378)))</xm:f>
            <xm:f>"Value Missing"</xm:f>
            <x14:dxf>
              <font>
                <color rgb="FF9C0006"/>
              </font>
              <fill>
                <patternFill>
                  <bgColor rgb="FFFFC7CE"/>
                </patternFill>
              </fill>
            </x14:dxf>
          </x14:cfRule>
          <x14:cfRule type="notContainsText" priority="91" operator="notContains" id="{C477D808-CB2D-F548-B339-5A47DEB406F2}">
            <xm:f>ISERROR(SEARCH("Value Missing",D378))</xm:f>
            <xm:f>"Value Missing"</xm:f>
            <x14:dxf>
              <font>
                <color rgb="FF006100"/>
              </font>
              <fill>
                <patternFill>
                  <bgColor rgb="FFC6EFCE"/>
                </patternFill>
              </fill>
            </x14:dxf>
          </x14:cfRule>
          <x14:cfRule type="containsText" priority="92" operator="containsText" id="{0C1F3759-02B9-D44E-B9A0-53E9FA3C5733}">
            <xm:f>NOT(ISERROR(SEARCH("Value Missing",D378)))</xm:f>
            <xm:f>"Value Missing"</xm:f>
            <x14:dxf>
              <font>
                <color rgb="FF9C0006"/>
              </font>
              <fill>
                <patternFill>
                  <bgColor rgb="FFFFC7CE"/>
                </patternFill>
              </fill>
            </x14:dxf>
          </x14:cfRule>
          <x14:cfRule type="notContainsText" priority="93" operator="notContains" id="{212C0B9D-3963-A244-B60B-241892C6090C}">
            <xm:f>ISERROR(SEARCH("Value Missing",D378))</xm:f>
            <xm:f>"Value Missing"</xm:f>
            <x14:dxf>
              <font>
                <color rgb="FF006100"/>
              </font>
              <fill>
                <patternFill>
                  <bgColor rgb="FFC6EFCE"/>
                </patternFill>
              </fill>
            </x14:dxf>
          </x14:cfRule>
          <x14:cfRule type="containsText" priority="94" operator="containsText" id="{18E1D8FA-D7AB-F84F-8797-DB0EF765A815}">
            <xm:f>NOT(ISERROR(SEARCH("Value Missing",D378)))</xm:f>
            <xm:f>"Value Missing"</xm:f>
            <x14:dxf>
              <font>
                <color rgb="FF9C0006"/>
              </font>
              <fill>
                <patternFill>
                  <bgColor rgb="FFFFC7CE"/>
                </patternFill>
              </fill>
            </x14:dxf>
          </x14:cfRule>
          <xm:sqref>D378</xm:sqref>
        </x14:conditionalFormatting>
        <x14:conditionalFormatting xmlns:xm="http://schemas.microsoft.com/office/excel/2006/main">
          <x14:cfRule type="containsText" priority="2542" operator="containsText" id="{DA61C905-9DA0-5541-B540-0925C84BF74D}">
            <xm:f>NOT(ISERROR(SEARCH("Value Missing",D382)))</xm:f>
            <xm:f>"Value Missing"</xm:f>
            <x14:dxf>
              <font>
                <color rgb="FF9C0006"/>
              </font>
              <fill>
                <patternFill>
                  <bgColor rgb="FFFFC7CE"/>
                </patternFill>
              </fill>
            </x14:dxf>
          </x14:cfRule>
          <xm:sqref>D382:D386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41579-A873-4E44-8245-E84045B02140}">
  <sheetPr codeName="Sheet25">
    <tabColor theme="4" tint="0.39997558519241921"/>
  </sheetPr>
  <dimension ref="A1:J865"/>
  <sheetViews>
    <sheetView showGridLines="0" zoomScaleNormal="100" workbookViewId="0">
      <pane ySplit="6" topLeftCell="A7" activePane="bottomLeft" state="frozen"/>
      <selection pane="bottomLeft"/>
    </sheetView>
  </sheetViews>
  <sheetFormatPr baseColWidth="10" defaultColWidth="11" defaultRowHeight="16"/>
  <cols>
    <col min="1" max="1" width="2.83203125" customWidth="1"/>
    <col min="2" max="2" width="79.83203125" customWidth="1"/>
    <col min="3" max="4" width="70.83203125" customWidth="1"/>
    <col min="5" max="5" width="64" customWidth="1"/>
    <col min="6" max="6" width="2.83203125" customWidth="1"/>
    <col min="7" max="7" width="10.83203125" customWidth="1"/>
  </cols>
  <sheetData>
    <row r="1" spans="1:10" s="3" customFormat="1" ht="16" customHeight="1">
      <c r="A1" s="104"/>
      <c r="F1"/>
      <c r="G1"/>
      <c r="H1"/>
      <c r="I1"/>
      <c r="J1"/>
    </row>
    <row r="2" spans="1:10" s="3" customFormat="1" ht="54" customHeight="1">
      <c r="B2" s="533"/>
      <c r="C2" s="534"/>
      <c r="D2" s="495" t="s">
        <v>2717</v>
      </c>
      <c r="E2" s="496"/>
      <c r="F2"/>
      <c r="G2"/>
      <c r="H2"/>
      <c r="I2"/>
      <c r="J2"/>
    </row>
    <row r="3" spans="1:10" s="3" customFormat="1" ht="20" customHeight="1">
      <c r="B3" s="341" t="s">
        <v>2718</v>
      </c>
      <c r="C3" s="342"/>
      <c r="D3" s="342"/>
      <c r="E3" s="343"/>
      <c r="F3"/>
      <c r="G3"/>
      <c r="H3"/>
      <c r="I3"/>
      <c r="J3"/>
    </row>
    <row r="5" spans="1:10" ht="34" customHeight="1">
      <c r="B5" s="179" t="s">
        <v>2273</v>
      </c>
      <c r="C5" s="169" t="s">
        <v>36</v>
      </c>
      <c r="D5" s="169" t="s">
        <v>39</v>
      </c>
      <c r="E5" s="169" t="s">
        <v>2275</v>
      </c>
    </row>
    <row r="6" spans="1:10" s="3" customFormat="1">
      <c r="D6" s="7"/>
      <c r="E6" s="5"/>
      <c r="F6" s="5"/>
    </row>
    <row r="7" spans="1:10" ht="16" customHeight="1"/>
    <row r="8" spans="1:10" ht="34" customHeight="1">
      <c r="B8" s="552" t="s">
        <v>36</v>
      </c>
      <c r="C8" s="505"/>
      <c r="D8" s="505"/>
      <c r="E8" s="505"/>
    </row>
    <row r="9" spans="1:10" ht="16" customHeight="1"/>
    <row r="10" spans="1:10" ht="34" customHeight="1">
      <c r="B10" s="386" t="s">
        <v>3324</v>
      </c>
      <c r="C10" s="387"/>
      <c r="D10" s="387"/>
      <c r="E10" s="387"/>
    </row>
    <row r="11" spans="1:10" ht="16" customHeight="1"/>
    <row r="12" spans="1:10" ht="34" customHeight="1">
      <c r="B12" s="344" t="s">
        <v>3361</v>
      </c>
      <c r="C12" s="344"/>
      <c r="D12" s="344"/>
      <c r="E12" s="344"/>
    </row>
    <row r="13" spans="1:10" ht="20" customHeight="1">
      <c r="B13" s="8" t="s">
        <v>735</v>
      </c>
      <c r="C13" s="8" t="s">
        <v>554</v>
      </c>
      <c r="D13" s="20" t="s">
        <v>555</v>
      </c>
      <c r="E13" s="8" t="s">
        <v>222</v>
      </c>
    </row>
    <row r="14" spans="1:10" ht="20" customHeight="1">
      <c r="B14" s="21" t="s">
        <v>2719</v>
      </c>
      <c r="C14" s="22" t="str">
        <f>_xlfn.CONCAT(sample_mgmt_vc_hostname,".",sample_child_dns_zone)</f>
        <v>sfo-m01-vc01.sfo.rainpole.io</v>
      </c>
      <c r="D14" s="18" t="str">
        <f>mgmt_vc_fqdn</f>
        <v>Value Missing.Value Missing</v>
      </c>
      <c r="E14" s="53"/>
    </row>
    <row r="15" spans="1:10" ht="20" customHeight="1">
      <c r="B15" s="21" t="s">
        <v>2296</v>
      </c>
      <c r="C15" s="22" t="str">
        <f>sample_vrslcm_xreg_vm_folder</f>
        <v>xint-m01-fd-vrslcm</v>
      </c>
      <c r="D15" s="18" t="str">
        <f>vrslcm_xreg_vm_folder</f>
        <v>Value Missing</v>
      </c>
      <c r="E15" s="53"/>
    </row>
    <row r="16" spans="1:10" ht="20" customHeight="1">
      <c r="B16" s="21" t="s">
        <v>2720</v>
      </c>
      <c r="C16" s="22" t="str">
        <f>sample_xreg_vrslcm_hostname</f>
        <v>xint-lcm01</v>
      </c>
      <c r="D16" s="18" t="str">
        <f>xreg_vrslcm_hostname</f>
        <v>Value Missing</v>
      </c>
      <c r="E16" s="53"/>
    </row>
    <row r="17" spans="2:5" ht="16" customHeight="1"/>
    <row r="18" spans="2:5" ht="34" customHeight="1">
      <c r="B18" s="344" t="s">
        <v>2721</v>
      </c>
      <c r="C18" s="344"/>
      <c r="D18" s="344"/>
      <c r="E18" s="344"/>
    </row>
    <row r="19" spans="2:5" ht="20" customHeight="1">
      <c r="B19" s="8" t="s">
        <v>735</v>
      </c>
      <c r="C19" s="8" t="s">
        <v>554</v>
      </c>
      <c r="D19" s="20" t="s">
        <v>555</v>
      </c>
      <c r="E19" s="8" t="s">
        <v>222</v>
      </c>
    </row>
    <row r="20" spans="2:5" ht="20" customHeight="1">
      <c r="B20" s="21" t="s">
        <v>2722</v>
      </c>
      <c r="C20" s="22" t="str">
        <f>sample_mgmt_srm_recovery_vcenter_fqdn</f>
        <v>lax-m01-vc01.lax.rainpole.io</v>
      </c>
      <c r="D20" s="18" t="str">
        <f>mgmt_srm_recovery_vcenter_fqdn</f>
        <v>Value Missing</v>
      </c>
      <c r="E20" s="53"/>
    </row>
    <row r="21" spans="2:5" ht="20" customHeight="1">
      <c r="B21" s="26" t="s">
        <v>3362</v>
      </c>
      <c r="C21" s="22" t="str">
        <f>sample_vrslcm_xreg_vm_folder</f>
        <v>xint-m01-fd-vrslcm</v>
      </c>
      <c r="D21" s="18" t="str">
        <f>vrslcm_xreg_vm_folder</f>
        <v>Value Missing</v>
      </c>
      <c r="E21" s="53"/>
    </row>
    <row r="22" spans="2:5" ht="20" customHeight="1">
      <c r="B22" s="21" t="s">
        <v>2723</v>
      </c>
      <c r="C22" s="22" t="str">
        <f>sample_xreg_wsa_vm_folder</f>
        <v>xint-m01-fd-idm</v>
      </c>
      <c r="D22" s="18" t="str">
        <f>xreg_wsa_vm_folder</f>
        <v>Value Missing</v>
      </c>
      <c r="E22" s="53"/>
    </row>
    <row r="23" spans="2:5" ht="20" customHeight="1">
      <c r="B23" s="21" t="s">
        <v>3415</v>
      </c>
      <c r="C23" s="22" t="str">
        <f t="array" ref="C23">sample_xreg_vrops_vm_folder</f>
        <v>xint-m01-fd-operations</v>
      </c>
      <c r="D23" s="18" t="str">
        <f>xreg_vrops_vm_folder</f>
        <v>Value Missing</v>
      </c>
      <c r="E23" s="53"/>
    </row>
    <row r="24" spans="2:5" ht="20" customHeight="1">
      <c r="B24" s="26" t="s">
        <v>3308</v>
      </c>
      <c r="C24" s="22" t="str">
        <f>sample_xreg_vra_vm_folder</f>
        <v>xint-m01-fd-automation</v>
      </c>
      <c r="D24" s="18" t="str">
        <f>xreg_vra_vm_folder</f>
        <v>Value Missing</v>
      </c>
      <c r="E24" s="53"/>
    </row>
    <row r="25" spans="2:5" ht="16" customHeight="1"/>
    <row r="26" spans="2:5" ht="34" customHeight="1">
      <c r="B26" s="344" t="s">
        <v>3325</v>
      </c>
      <c r="C26" s="344"/>
      <c r="D26" s="344"/>
      <c r="E26" s="344"/>
    </row>
    <row r="27" spans="2:5" ht="20" customHeight="1">
      <c r="B27" s="8" t="s">
        <v>735</v>
      </c>
      <c r="C27" s="8" t="s">
        <v>554</v>
      </c>
      <c r="D27" s="20" t="s">
        <v>555</v>
      </c>
      <c r="E27" s="8" t="s">
        <v>222</v>
      </c>
    </row>
    <row r="28" spans="2:5" ht="20" customHeight="1">
      <c r="B28" s="574" t="s">
        <v>2284</v>
      </c>
      <c r="C28" s="574"/>
      <c r="D28" s="574"/>
      <c r="E28" s="574"/>
    </row>
    <row r="29" spans="2:5" ht="20" customHeight="1">
      <c r="B29" s="26" t="s">
        <v>2724</v>
      </c>
      <c r="C29" s="22" t="str">
        <f>_xlfn.CONCAT(sample_sddc_mgr_hostname,".",sample_child_dns_zone)</f>
        <v>sfo-vcf01.sfo.rainpole.io</v>
      </c>
      <c r="D29" s="18" t="str">
        <f>sddc_mgr_fqdn</f>
        <v>Value Missing.Value Missing</v>
      </c>
      <c r="E29" s="53"/>
    </row>
    <row r="30" spans="2:5" ht="20" customHeight="1">
      <c r="B30" s="26" t="s">
        <v>2725</v>
      </c>
      <c r="C30" s="22" t="s">
        <v>1045</v>
      </c>
      <c r="D30" s="18" t="str">
        <f>C30</f>
        <v>administrator@vsphere.local</v>
      </c>
      <c r="E30" s="53"/>
    </row>
    <row r="31" spans="2:5" ht="20" customHeight="1">
      <c r="B31" s="26" t="s">
        <v>2726</v>
      </c>
      <c r="C31" s="22" t="str">
        <f>sample_administrator_vsphere_local_password</f>
        <v>VMw@re1!</v>
      </c>
      <c r="D31" s="18" t="str">
        <f>_xlfn.SINGLE(administrator_vsphere_local_password)</f>
        <v>Value Missing</v>
      </c>
      <c r="E31" s="53"/>
    </row>
    <row r="32" spans="2:5" ht="20" customHeight="1">
      <c r="B32" s="26" t="s">
        <v>2727</v>
      </c>
      <c r="C32" s="22" t="str">
        <f>sample_mgmt_srm_recovery_sddc_manager_fqdn</f>
        <v>lax-vcf01.lax.rainpole.io</v>
      </c>
      <c r="D32" s="18" t="str">
        <f>mgmt_srm_recovery_sddc_manager_fqdn</f>
        <v>Value Missing</v>
      </c>
      <c r="E32" s="53"/>
    </row>
    <row r="33" spans="2:5" ht="20" customHeight="1">
      <c r="B33" s="26" t="s">
        <v>2728</v>
      </c>
      <c r="C33" s="22" t="str">
        <f>sample_mgmt_srm_recovery_sddc_manager_username</f>
        <v>administrator@vsphere.local</v>
      </c>
      <c r="D33" s="18" t="str">
        <f>mgmt_srm_recovery_sddc_manager_username</f>
        <v>Value Missing</v>
      </c>
      <c r="E33" s="53"/>
    </row>
    <row r="34" spans="2:5" ht="20" customHeight="1">
      <c r="B34" s="26" t="s">
        <v>2729</v>
      </c>
      <c r="C34" s="22" t="str">
        <f>sample_mgmt_srm_recovery_sddc_manager_password</f>
        <v>VMw@re1!</v>
      </c>
      <c r="D34" s="18" t="str">
        <f>mgmt_srm_recovery_sddc_manager_password</f>
        <v>Value Missing</v>
      </c>
      <c r="E34" s="53"/>
    </row>
    <row r="35" spans="2:5" ht="20" customHeight="1">
      <c r="B35" s="26" t="s">
        <v>2730</v>
      </c>
      <c r="C35" s="22" t="str">
        <f>sample_mgmt_srm_recovery_t1_si_ip</f>
        <v>192.168.11.3</v>
      </c>
      <c r="D35" s="18" t="str">
        <f>mgmt_srm_recovery_t1_si_ip</f>
        <v>Value Missing</v>
      </c>
      <c r="E35" s="53"/>
    </row>
    <row r="36" spans="2:5" ht="20" customHeight="1">
      <c r="B36" s="26" t="s">
        <v>2731</v>
      </c>
      <c r="C36" s="22" t="str">
        <f>sample_xreg_wsa_virtual_hostname</f>
        <v>xint-idm01</v>
      </c>
      <c r="D36" s="18" t="str">
        <f>xreg_wsa_virtual_hostname</f>
        <v>Value Missing</v>
      </c>
      <c r="E36" s="53"/>
    </row>
    <row r="37" spans="2:5" ht="16" customHeight="1"/>
    <row r="38" spans="2:5" ht="34" customHeight="1">
      <c r="B38" s="344" t="s">
        <v>2732</v>
      </c>
      <c r="C38" s="344"/>
      <c r="D38" s="344"/>
      <c r="E38" s="344"/>
    </row>
    <row r="39" spans="2:5" ht="20" customHeight="1">
      <c r="B39" s="8" t="s">
        <v>735</v>
      </c>
      <c r="C39" s="8" t="s">
        <v>554</v>
      </c>
      <c r="D39" s="20" t="s">
        <v>555</v>
      </c>
      <c r="E39" s="8" t="s">
        <v>222</v>
      </c>
    </row>
    <row r="40" spans="2:5" ht="20" customHeight="1">
      <c r="B40" s="21" t="s">
        <v>2733</v>
      </c>
      <c r="C40" s="22" t="str">
        <f>IF(mgmt_domain_chosen="First Domain",_xlfn.CONCAT(sample_mgmt_nsxt_gm_hostname,".",sample_child_dns_zone),sample_mgmt_existing_active_nsx_gm)</f>
        <v>sfo-m01-nsx-gm01.sfo.rainpole.io</v>
      </c>
      <c r="D40" s="18" t="str">
        <f>IF(mgmt_domain_chosen="First Domain",mgmt_nsxt_gm_vip_fqdn,mgmt_existing_active_nsx_gm)</f>
        <v>Value Missing.Value Missing</v>
      </c>
      <c r="E40" s="53"/>
    </row>
    <row r="41" spans="2:5" ht="20" customHeight="1">
      <c r="B41" s="21" t="s">
        <v>2734</v>
      </c>
      <c r="C41" s="22" t="str">
        <f>sample_mgmt_srm_recovery_nsx_location</f>
        <v>lax-m01</v>
      </c>
      <c r="D41" s="18" t="str">
        <f>mgmt_srm_recovery_nsx_location</f>
        <v>Value Missing</v>
      </c>
      <c r="E41" s="53"/>
    </row>
    <row r="42" spans="2:5" ht="20" customHeight="1">
      <c r="B42" s="26" t="s">
        <v>2041</v>
      </c>
      <c r="C42" s="22" t="s">
        <v>2735</v>
      </c>
      <c r="D42" s="18" t="str">
        <f>C42</f>
        <v>recovery-t1-gw01</v>
      </c>
      <c r="E42" s="53"/>
    </row>
    <row r="43" spans="2:5" ht="20" customHeight="1">
      <c r="B43" s="26" t="s">
        <v>1884</v>
      </c>
      <c r="C43" s="22" t="str">
        <f>sample_mgmt_srm_recovery_nsx_ec_name</f>
        <v>lax-m01-ec01</v>
      </c>
      <c r="D43" s="18" t="str">
        <f>mgmt_srm_recovery_nsx_ec_name</f>
        <v>Value Missing</v>
      </c>
      <c r="E43" s="53"/>
    </row>
    <row r="44" spans="2:5" ht="20" customHeight="1">
      <c r="B44" s="26" t="s">
        <v>735</v>
      </c>
      <c r="C44" s="22" t="s">
        <v>2736</v>
      </c>
      <c r="D44" s="18" t="str">
        <f>C44</f>
        <v>recovery-t1-gw01-si01</v>
      </c>
      <c r="E44" s="53"/>
    </row>
    <row r="45" spans="2:5" ht="20" customHeight="1">
      <c r="B45" s="26" t="s">
        <v>2737</v>
      </c>
      <c r="C45" s="22" t="str">
        <f>IF(sample_reg_seg01_cidr&lt;&gt;"N/A",_xlfn.CONCAT(sample_mgmt_srm_recovery_t1_si_ip,"/",INT(RIGHT(sample_reg_seg01_cidr,LEN(sample_reg_seg01_cidr)-FIND("/",sample_reg_seg01_cidr)))),"N/A")</f>
        <v>N/A</v>
      </c>
      <c r="D45" s="18" t="str">
        <f>IF(OR((mgmt_srm_recovery_t1_si_ip="Value Missing"),(xreg_seg01_cidr="Value Missing")),"Value Missing",_xlfn.CONCAT(mgmt_srm_recovery_t1_si_ip,"/",INT(RIGHT(xreg_seg01_cidr,LEN(xreg_seg01_cidr)-FIND("/",xreg_seg01_cidr)))))</f>
        <v>Value Missing</v>
      </c>
      <c r="E45" s="53"/>
    </row>
    <row r="46" spans="2:5" ht="20" customHeight="1">
      <c r="B46" s="26" t="s">
        <v>2738</v>
      </c>
      <c r="C46" s="22" t="str">
        <f>sample_xreg_seg01_name</f>
        <v>xint-m01-seg01</v>
      </c>
      <c r="D46" s="18" t="str">
        <f>xreg_seg01_name</f>
        <v>Value Missing</v>
      </c>
      <c r="E46" s="53"/>
    </row>
    <row r="47" spans="2:5" ht="20" customHeight="1">
      <c r="B47" s="21" t="s">
        <v>1800</v>
      </c>
      <c r="C47" s="22" t="str">
        <f>sample_xreg_seg01_gateway_ip</f>
        <v>N/A</v>
      </c>
      <c r="D47" s="18" t="str">
        <f>xreg_seg01_gateway_ip</f>
        <v>Value Missing</v>
      </c>
      <c r="E47" s="53"/>
    </row>
    <row r="48" spans="2:5" ht="20" customHeight="1">
      <c r="B48" s="21" t="s">
        <v>2739</v>
      </c>
      <c r="C48" s="22" t="s">
        <v>2736</v>
      </c>
      <c r="D48" s="18" t="str">
        <f>C48</f>
        <v>recovery-t1-gw01-si01</v>
      </c>
      <c r="E48" s="53"/>
    </row>
    <row r="49" spans="2:5" ht="16" customHeight="1"/>
    <row r="50" spans="2:5" ht="34" customHeight="1">
      <c r="B50" s="344" t="s">
        <v>2740</v>
      </c>
      <c r="C50" s="344"/>
      <c r="D50" s="344"/>
      <c r="E50" s="344"/>
    </row>
    <row r="51" spans="2:5" ht="20" customHeight="1">
      <c r="B51" s="8" t="s">
        <v>735</v>
      </c>
      <c r="C51" s="8" t="s">
        <v>554</v>
      </c>
      <c r="D51" s="20" t="s">
        <v>555</v>
      </c>
      <c r="E51" s="8" t="s">
        <v>222</v>
      </c>
    </row>
    <row r="52" spans="2:5" ht="20" customHeight="1">
      <c r="B52" s="21" t="s">
        <v>2733</v>
      </c>
      <c r="C52" s="22" t="str">
        <f>IF(mgmt_domain_chosen="First Domain",_xlfn.CONCAT(sample_mgmt_nsxt_gm_hostname,".",sample_child_dns_zone),sample_mgmt_existing_active_nsx_gm)</f>
        <v>sfo-m01-nsx-gm01.sfo.rainpole.io</v>
      </c>
      <c r="D52" s="18" t="str">
        <f>IF(mgmt_domain_chosen="First Domain",mgmt_nsxt_gm_vip_fqdn,mgmt_existing_active_nsx_gm)</f>
        <v>Value Missing.Value Missing</v>
      </c>
      <c r="E52" s="53"/>
    </row>
    <row r="53" spans="2:5" ht="20" customHeight="1">
      <c r="B53" s="21" t="s">
        <v>2734</v>
      </c>
      <c r="C53" s="22" t="str">
        <f>sample_mgmt_srm_recovery_nsx_location</f>
        <v>lax-m01</v>
      </c>
      <c r="D53" s="18" t="str">
        <f>mgmt_srm_recovery_nsx_location</f>
        <v>Value Missing</v>
      </c>
      <c r="E53" s="53"/>
    </row>
    <row r="54" spans="2:5" ht="20" customHeight="1">
      <c r="B54" s="26" t="s">
        <v>735</v>
      </c>
      <c r="C54" s="22" t="s">
        <v>2741</v>
      </c>
      <c r="D54" s="18" t="str">
        <f>C54</f>
        <v>recovery-lb01</v>
      </c>
      <c r="E54" s="53"/>
    </row>
    <row r="55" spans="2:5" ht="16" customHeight="1"/>
    <row r="56" spans="2:5" ht="34" customHeight="1">
      <c r="B56" s="344" t="s">
        <v>2742</v>
      </c>
      <c r="C56" s="344"/>
      <c r="D56" s="344"/>
      <c r="E56" s="344"/>
    </row>
    <row r="57" spans="2:5" ht="20" customHeight="1">
      <c r="B57" s="8" t="s">
        <v>735</v>
      </c>
      <c r="C57" s="8" t="s">
        <v>554</v>
      </c>
      <c r="D57" s="20" t="s">
        <v>555</v>
      </c>
      <c r="E57" s="8" t="s">
        <v>222</v>
      </c>
    </row>
    <row r="58" spans="2:5" ht="20" customHeight="1">
      <c r="B58" s="21" t="s">
        <v>2733</v>
      </c>
      <c r="C58" s="22" t="str">
        <f>IF(mgmt_domain_chosen="First Domain",_xlfn.CONCAT(sample_mgmt_nsxt_gm_hostname,".",sample_child_dns_zone),sample_mgmt_existing_active_nsx_gm)</f>
        <v>sfo-m01-nsx-gm01.sfo.rainpole.io</v>
      </c>
      <c r="D58" s="18" t="str">
        <f>IF(mgmt_domain_chosen="First Domain",mgmt_nsxt_gm_vip_fqdn,mgmt_existing_active_nsx_gm)</f>
        <v>Value Missing.Value Missing</v>
      </c>
      <c r="E58" s="53"/>
    </row>
    <row r="59" spans="2:5" ht="20" customHeight="1">
      <c r="B59" s="21" t="s">
        <v>2734</v>
      </c>
      <c r="C59" s="22" t="str">
        <f>sample_mgmt_srm_recovery_nsx_location</f>
        <v>lax-m01</v>
      </c>
      <c r="D59" s="18" t="str">
        <f>mgmt_srm_recovery_nsx_location</f>
        <v>Value Missing</v>
      </c>
      <c r="E59" s="53"/>
    </row>
    <row r="60" spans="2:5" ht="20" customHeight="1">
      <c r="B60" s="26" t="s">
        <v>735</v>
      </c>
      <c r="C60" s="22" t="str">
        <f>_xlfn.CONCAT(sample_xreg_wsa_virtual_hostname,".",sample_parent_dns_zone)</f>
        <v>xint-idm01.rainpole.io</v>
      </c>
      <c r="D60" s="18" t="str">
        <f>xreg_wsa_virtual_fqdn</f>
        <v>Value Missing.Value Missing</v>
      </c>
      <c r="E60" s="53"/>
    </row>
    <row r="61" spans="2:5" ht="16" customHeight="1"/>
    <row r="62" spans="2:5" ht="34" customHeight="1">
      <c r="B62" s="344" t="s">
        <v>2743</v>
      </c>
      <c r="C62" s="344"/>
      <c r="D62" s="344"/>
      <c r="E62" s="344"/>
    </row>
    <row r="63" spans="2:5" ht="20" customHeight="1">
      <c r="B63" s="8" t="s">
        <v>735</v>
      </c>
      <c r="C63" s="8" t="s">
        <v>554</v>
      </c>
      <c r="D63" s="20" t="s">
        <v>555</v>
      </c>
      <c r="E63" s="8" t="s">
        <v>222</v>
      </c>
    </row>
    <row r="64" spans="2:5" ht="20" customHeight="1">
      <c r="B64" s="21" t="s">
        <v>2733</v>
      </c>
      <c r="C64" s="22" t="str">
        <f>IF(mgmt_domain_chosen="First Domain",_xlfn.CONCAT(sample_mgmt_nsxt_gm_hostname,".",sample_child_dns_zone),sample_mgmt_existing_active_nsx_gm)</f>
        <v>sfo-m01-nsx-gm01.sfo.rainpole.io</v>
      </c>
      <c r="D64" s="18" t="str">
        <f>IF(mgmt_domain_chosen="First Domain",mgmt_nsxt_gm_vip_fqdn,mgmt_existing_active_nsx_gm)</f>
        <v>Value Missing.Value Missing</v>
      </c>
      <c r="E64" s="53"/>
    </row>
    <row r="65" spans="2:5" ht="20" customHeight="1">
      <c r="B65" s="21" t="s">
        <v>2734</v>
      </c>
      <c r="C65" s="22" t="str">
        <f>sample_mgmt_srm_recovery_nsx_location</f>
        <v>lax-m01</v>
      </c>
      <c r="D65" s="18" t="str">
        <f>mgmt_srm_recovery_nsx_location</f>
        <v>Value Missing</v>
      </c>
      <c r="E65" s="53"/>
    </row>
    <row r="66" spans="2:5" ht="20" customHeight="1">
      <c r="B66" s="21" t="s">
        <v>735</v>
      </c>
      <c r="C66" s="22" t="s">
        <v>2744</v>
      </c>
      <c r="D66" s="18" t="str">
        <f>C66</f>
        <v>wsa-https-monitor</v>
      </c>
      <c r="E66" s="53"/>
    </row>
    <row r="67" spans="2:5" ht="20" customHeight="1">
      <c r="B67" s="26" t="s">
        <v>2745</v>
      </c>
      <c r="C67" s="22" t="str">
        <f>_xlfn.CONCAT(sample_xreg_wsa_virtual_hostname,".",sample_parent_dns_zone)</f>
        <v>xint-idm01.rainpole.io</v>
      </c>
      <c r="D67" s="18" t="str">
        <f>xreg_wsa_virtual_fqdn</f>
        <v>Value Missing.Value Missing</v>
      </c>
      <c r="E67" s="53"/>
    </row>
    <row r="68" spans="2:5" ht="16" customHeight="1"/>
    <row r="69" spans="2:5" ht="34" customHeight="1">
      <c r="B69" s="344" t="s">
        <v>2746</v>
      </c>
      <c r="C69" s="344"/>
      <c r="D69" s="344"/>
      <c r="E69" s="344"/>
    </row>
    <row r="70" spans="2:5" ht="20" customHeight="1">
      <c r="B70" s="8" t="s">
        <v>735</v>
      </c>
      <c r="C70" s="8" t="s">
        <v>554</v>
      </c>
      <c r="D70" s="20" t="s">
        <v>555</v>
      </c>
      <c r="E70" s="8" t="s">
        <v>222</v>
      </c>
    </row>
    <row r="71" spans="2:5" ht="20" customHeight="1">
      <c r="B71" s="21" t="s">
        <v>2733</v>
      </c>
      <c r="C71" s="22" t="str">
        <f>IF(mgmt_domain_chosen="First Domain",_xlfn.CONCAT(sample_mgmt_nsxt_gm_hostname,".",sample_child_dns_zone),sample_mgmt_existing_active_nsx_gm)</f>
        <v>sfo-m01-nsx-gm01.sfo.rainpole.io</v>
      </c>
      <c r="D71" s="18" t="str">
        <f>IF(mgmt_domain_chosen="First Domain",mgmt_nsxt_gm_vip_fqdn,mgmt_existing_active_nsx_gm)</f>
        <v>Value Missing.Value Missing</v>
      </c>
      <c r="E71" s="53"/>
    </row>
    <row r="72" spans="2:5" ht="20" customHeight="1">
      <c r="B72" s="21" t="s">
        <v>2734</v>
      </c>
      <c r="C72" s="22" t="str">
        <f>sample_mgmt_srm_recovery_nsx_location</f>
        <v>lax-m01</v>
      </c>
      <c r="D72" s="18" t="str">
        <f>mgmt_srm_recovery_nsx_location</f>
        <v>Value Missing</v>
      </c>
      <c r="E72" s="53"/>
    </row>
    <row r="73" spans="2:5" ht="20" customHeight="1">
      <c r="B73" s="26" t="s">
        <v>735</v>
      </c>
      <c r="C73" s="22" t="s">
        <v>2747</v>
      </c>
      <c r="D73" s="18" t="str">
        <f>C73</f>
        <v>wsa-server-pool</v>
      </c>
      <c r="E73" s="53"/>
    </row>
    <row r="74" spans="2:5" ht="20" customHeight="1">
      <c r="B74" s="26" t="s">
        <v>2748</v>
      </c>
      <c r="C74" s="22" t="s">
        <v>2749</v>
      </c>
      <c r="D74" s="18" t="str">
        <f>C74</f>
        <v>wsa01svr01a</v>
      </c>
      <c r="E74" s="53"/>
    </row>
    <row r="75" spans="2:5" ht="20" customHeight="1">
      <c r="B75" s="26" t="s">
        <v>2750</v>
      </c>
      <c r="C75" s="22" t="str">
        <f>sample_xreg_wsa_nodea_ip</f>
        <v>192.168.11.61</v>
      </c>
      <c r="D75" s="18" t="str">
        <f>xreg_wsa_nodea_ip</f>
        <v>Value Missing</v>
      </c>
      <c r="E75" s="53"/>
    </row>
    <row r="76" spans="2:5" ht="20" customHeight="1">
      <c r="B76" s="26" t="s">
        <v>2751</v>
      </c>
      <c r="C76" s="22" t="s">
        <v>2752</v>
      </c>
      <c r="D76" s="18" t="str">
        <f>C76</f>
        <v>wsa01svr01b</v>
      </c>
      <c r="E76" s="53"/>
    </row>
    <row r="77" spans="2:5" ht="20" customHeight="1">
      <c r="B77" s="26" t="s">
        <v>2753</v>
      </c>
      <c r="C77" s="22" t="str">
        <f>sample_xreg_wsa_nodeb_ip</f>
        <v>192.168.11.62</v>
      </c>
      <c r="D77" s="18" t="str">
        <f>xreg_wsa_nodeb_ip</f>
        <v>Value Missing</v>
      </c>
      <c r="E77" s="53"/>
    </row>
    <row r="78" spans="2:5" ht="20" customHeight="1">
      <c r="B78" s="21" t="s">
        <v>2754</v>
      </c>
      <c r="C78" s="22" t="s">
        <v>2755</v>
      </c>
      <c r="D78" s="18" t="str">
        <f>C78</f>
        <v>wsa01svr01c</v>
      </c>
      <c r="E78" s="53"/>
    </row>
    <row r="79" spans="2:5" ht="20" customHeight="1">
      <c r="B79" s="21" t="s">
        <v>2756</v>
      </c>
      <c r="C79" s="22" t="s">
        <v>2757</v>
      </c>
      <c r="D79" s="18" t="str">
        <f>xreg_wsa_nodec_ip</f>
        <v>Value Missing</v>
      </c>
      <c r="E79" s="53"/>
    </row>
    <row r="80" spans="2:5" ht="20" customHeight="1">
      <c r="B80" s="26" t="s">
        <v>2758</v>
      </c>
      <c r="C80" s="22" t="s">
        <v>2744</v>
      </c>
      <c r="D80" s="18" t="str">
        <f>C80</f>
        <v>wsa-https-monitor</v>
      </c>
      <c r="E80" s="53"/>
    </row>
    <row r="81" spans="2:5" ht="16" customHeight="1"/>
    <row r="82" spans="2:5" ht="34" customHeight="1">
      <c r="B82" s="344" t="s">
        <v>2759</v>
      </c>
      <c r="C82" s="344"/>
      <c r="D82" s="344"/>
      <c r="E82" s="344"/>
    </row>
    <row r="83" spans="2:5" ht="20" customHeight="1">
      <c r="B83" s="8" t="s">
        <v>735</v>
      </c>
      <c r="C83" s="8" t="s">
        <v>554</v>
      </c>
      <c r="D83" s="20" t="s">
        <v>555</v>
      </c>
      <c r="E83" s="8" t="s">
        <v>222</v>
      </c>
    </row>
    <row r="84" spans="2:5" ht="20" customHeight="1">
      <c r="B84" s="21" t="s">
        <v>2733</v>
      </c>
      <c r="C84" s="22" t="str">
        <f>IF(mgmt_domain_chosen="First Domain",_xlfn.CONCAT(sample_mgmt_nsxt_gm_hostname,".",sample_child_dns_zone),sample_mgmt_existing_active_nsx_gm)</f>
        <v>sfo-m01-nsx-gm01.sfo.rainpole.io</v>
      </c>
      <c r="D84" s="18" t="str">
        <f>IF(mgmt_domain_chosen="First Domain",mgmt_nsxt_gm_vip_fqdn,mgmt_existing_active_nsx_gm)</f>
        <v>Value Missing.Value Missing</v>
      </c>
      <c r="E84" s="53"/>
    </row>
    <row r="85" spans="2:5" ht="20" customHeight="1">
      <c r="B85" s="21" t="s">
        <v>2734</v>
      </c>
      <c r="C85" s="22" t="str">
        <f>sample_mgmt_srm_recovery_nsx_location</f>
        <v>lax-m01</v>
      </c>
      <c r="D85" s="18" t="str">
        <f>mgmt_srm_recovery_nsx_location</f>
        <v>Value Missing</v>
      </c>
      <c r="E85" s="53"/>
    </row>
    <row r="86" spans="2:5" ht="20" customHeight="1">
      <c r="B86" s="26" t="s">
        <v>2760</v>
      </c>
      <c r="C86" s="22" t="s">
        <v>2761</v>
      </c>
      <c r="D86" s="18" t="str">
        <f>C86</f>
        <v>wsa-http-app-profile</v>
      </c>
      <c r="E86" s="53"/>
    </row>
    <row r="87" spans="2:5" ht="20" customHeight="1">
      <c r="B87" s="26" t="s">
        <v>2762</v>
      </c>
      <c r="C87" s="22" t="s">
        <v>2763</v>
      </c>
      <c r="D87" s="18" t="str">
        <f>C87</f>
        <v>wsa-http-app-profile-redirect</v>
      </c>
      <c r="E87" s="53"/>
    </row>
    <row r="88" spans="2:5" ht="20" customHeight="1">
      <c r="B88" s="26" t="s">
        <v>2764</v>
      </c>
      <c r="C88" s="22" t="s">
        <v>2765</v>
      </c>
      <c r="D88" s="18" t="str">
        <f>C88</f>
        <v>wsa-cookie-persistence-profile</v>
      </c>
      <c r="E88" s="53"/>
    </row>
    <row r="89" spans="2:5" ht="16" customHeight="1"/>
    <row r="90" spans="2:5" ht="34" customHeight="1">
      <c r="B90" s="344" t="s">
        <v>2766</v>
      </c>
      <c r="C90" s="344"/>
      <c r="D90" s="344"/>
      <c r="E90" s="344"/>
    </row>
    <row r="91" spans="2:5" ht="20" customHeight="1">
      <c r="B91" s="8" t="s">
        <v>735</v>
      </c>
      <c r="C91" s="8" t="s">
        <v>554</v>
      </c>
      <c r="D91" s="20" t="s">
        <v>555</v>
      </c>
      <c r="E91" s="8" t="s">
        <v>222</v>
      </c>
    </row>
    <row r="92" spans="2:5" ht="20" customHeight="1">
      <c r="B92" s="21" t="s">
        <v>2733</v>
      </c>
      <c r="C92" s="22" t="str">
        <f>IF(mgmt_domain_chosen="First Domain",_xlfn.CONCAT(sample_mgmt_nsxt_gm_hostname,".",sample_child_dns_zone),sample_mgmt_existing_active_nsx_gm)</f>
        <v>sfo-m01-nsx-gm01.sfo.rainpole.io</v>
      </c>
      <c r="D92" s="18" t="str">
        <f>IF(mgmt_domain_chosen="First Domain",mgmt_nsxt_gm_vip_fqdn,mgmt_existing_active_nsx_gm)</f>
        <v>Value Missing.Value Missing</v>
      </c>
      <c r="E92" s="53"/>
    </row>
    <row r="93" spans="2:5" ht="20" customHeight="1">
      <c r="B93" s="21" t="s">
        <v>2734</v>
      </c>
      <c r="C93" s="22" t="str">
        <f>sample_mgmt_srm_recovery_nsx_location</f>
        <v>lax-m01</v>
      </c>
      <c r="D93" s="18" t="str">
        <f>mgmt_srm_recovery_nsx_location</f>
        <v>Value Missing</v>
      </c>
      <c r="E93" s="53"/>
    </row>
    <row r="94" spans="2:5" ht="20" customHeight="1">
      <c r="B94" s="26" t="s">
        <v>2767</v>
      </c>
      <c r="C94" s="22" t="s">
        <v>2768</v>
      </c>
      <c r="D94" s="18" t="str">
        <f>C94</f>
        <v>wsa-https</v>
      </c>
      <c r="E94" s="53"/>
    </row>
    <row r="95" spans="2:5" ht="20" customHeight="1">
      <c r="B95" s="26" t="s">
        <v>2769</v>
      </c>
      <c r="C95" s="22" t="str">
        <f>sample_xreg_wsa_virtual_ip</f>
        <v>192.168.11.60</v>
      </c>
      <c r="D95" s="18" t="str">
        <f>xreg_wsa_virtual_ip</f>
        <v>Value Missing</v>
      </c>
      <c r="E95" s="53"/>
    </row>
    <row r="96" spans="2:5" ht="20" customHeight="1">
      <c r="B96" s="26" t="s">
        <v>2770</v>
      </c>
      <c r="C96" s="22" t="s">
        <v>2741</v>
      </c>
      <c r="D96" s="18" t="str">
        <f>C96</f>
        <v>recovery-lb01</v>
      </c>
      <c r="E96" s="53"/>
    </row>
    <row r="97" spans="2:5" ht="20" customHeight="1">
      <c r="B97" s="26" t="s">
        <v>2771</v>
      </c>
      <c r="C97" s="22" t="s">
        <v>2747</v>
      </c>
      <c r="D97" s="18" t="str">
        <f>C97</f>
        <v>wsa-server-pool</v>
      </c>
      <c r="E97" s="53"/>
    </row>
    <row r="98" spans="2:5" ht="20" customHeight="1">
      <c r="B98" s="26" t="s">
        <v>2772</v>
      </c>
      <c r="C98" s="22" t="s">
        <v>2761</v>
      </c>
      <c r="D98" s="18" t="str">
        <f>C98</f>
        <v>wsa-http-app-profile</v>
      </c>
      <c r="E98" s="53"/>
    </row>
    <row r="99" spans="2:5" ht="20" customHeight="1">
      <c r="B99" s="21" t="s">
        <v>2773</v>
      </c>
      <c r="C99" s="22" t="s">
        <v>2765</v>
      </c>
      <c r="D99" s="18" t="str">
        <f>C99</f>
        <v>wsa-cookie-persistence-profile</v>
      </c>
      <c r="E99" s="53"/>
    </row>
    <row r="100" spans="2:5" ht="20" customHeight="1">
      <c r="B100" s="21" t="s">
        <v>2774</v>
      </c>
      <c r="C100" s="22" t="str">
        <f>_xlfn.CONCAT(sample_xreg_wsa_virtual_hostname,".",sample_parent_dns_zone)</f>
        <v>xint-idm01.rainpole.io</v>
      </c>
      <c r="D100" s="18" t="str">
        <f>xreg_wsa_virtual_fqdn</f>
        <v>Value Missing.Value Missing</v>
      </c>
      <c r="E100" s="53"/>
    </row>
    <row r="101" spans="2:5" ht="20" customHeight="1">
      <c r="B101" s="26" t="s">
        <v>2775</v>
      </c>
      <c r="C101" s="22" t="str">
        <f>_xlfn.CONCAT(sample_xreg_wsa_virtual_hostname,".",sample_parent_dns_zone)</f>
        <v>xint-idm01.rainpole.io</v>
      </c>
      <c r="D101" s="18" t="str">
        <f>xreg_wsa_virtual_fqdn</f>
        <v>Value Missing.Value Missing</v>
      </c>
      <c r="E101" s="53"/>
    </row>
    <row r="102" spans="2:5" ht="20" customHeight="1">
      <c r="B102" s="26" t="s">
        <v>2776</v>
      </c>
      <c r="C102" s="22" t="s">
        <v>2777</v>
      </c>
      <c r="D102" s="18" t="str">
        <f>C102</f>
        <v>wsa-http-redirect</v>
      </c>
      <c r="E102" s="53"/>
    </row>
    <row r="103" spans="2:5" ht="20" customHeight="1">
      <c r="B103" s="26" t="s">
        <v>2778</v>
      </c>
      <c r="C103" s="22" t="str">
        <f>sample_xreg_wsa_virtual_ip</f>
        <v>192.168.11.60</v>
      </c>
      <c r="D103" s="18" t="str">
        <f>xreg_wsa_virtual_ip</f>
        <v>Value Missing</v>
      </c>
      <c r="E103" s="53"/>
    </row>
    <row r="104" spans="2:5" ht="20" customHeight="1">
      <c r="B104" s="26" t="s">
        <v>2779</v>
      </c>
      <c r="C104" s="22" t="s">
        <v>2741</v>
      </c>
      <c r="D104" s="18" t="str">
        <f>C104</f>
        <v>recovery-lb01</v>
      </c>
      <c r="E104" s="53"/>
    </row>
    <row r="105" spans="2:5" ht="20" customHeight="1">
      <c r="B105" s="26" t="s">
        <v>2780</v>
      </c>
      <c r="C105" s="22" t="s">
        <v>2763</v>
      </c>
      <c r="D105" s="18" t="str">
        <f>C105</f>
        <v>wsa-http-app-profile-redirect</v>
      </c>
      <c r="E105" s="53"/>
    </row>
    <row r="106" spans="2:5" ht="16" customHeight="1"/>
    <row r="107" spans="2:5" ht="34" customHeight="1">
      <c r="B107" s="344" t="s">
        <v>3416</v>
      </c>
      <c r="C107" s="344"/>
      <c r="D107" s="344"/>
      <c r="E107" s="344"/>
    </row>
    <row r="108" spans="2:5" ht="20" customHeight="1">
      <c r="B108" s="8" t="s">
        <v>735</v>
      </c>
      <c r="C108" s="8" t="s">
        <v>554</v>
      </c>
      <c r="D108" s="20" t="s">
        <v>555</v>
      </c>
      <c r="E108" s="8" t="s">
        <v>222</v>
      </c>
    </row>
    <row r="109" spans="2:5" ht="20" customHeight="1">
      <c r="B109" s="21" t="s">
        <v>2733</v>
      </c>
      <c r="C109" s="22" t="str">
        <f>IF(mgmt_domain_chosen="First Domain",_xlfn.CONCAT(sample_mgmt_nsxt_gm_hostname,".",sample_child_dns_zone),sample_mgmt_existing_active_nsx_gm)</f>
        <v>sfo-m01-nsx-gm01.sfo.rainpole.io</v>
      </c>
      <c r="D109" s="18" t="str">
        <f>IF(mgmt_domain_chosen="First Domain",mgmt_nsxt_gm_vip_fqdn,mgmt_existing_active_nsx_gm)</f>
        <v>Value Missing.Value Missing</v>
      </c>
      <c r="E109" s="53"/>
    </row>
    <row r="110" spans="2:5" ht="20" customHeight="1">
      <c r="B110" s="21" t="s">
        <v>2734</v>
      </c>
      <c r="C110" s="22" t="str">
        <f>sample_mgmt_srm_recovery_nsx_location</f>
        <v>lax-m01</v>
      </c>
      <c r="D110" s="18" t="str">
        <f>mgmt_srm_recovery_nsx_location</f>
        <v>Value Missing</v>
      </c>
      <c r="E110" s="53"/>
    </row>
    <row r="111" spans="2:5" ht="20" customHeight="1">
      <c r="B111" s="26" t="s">
        <v>735</v>
      </c>
      <c r="C111" s="22" t="s">
        <v>2781</v>
      </c>
      <c r="D111" s="18" t="str">
        <f>C111</f>
        <v>vrops-https-monitor</v>
      </c>
      <c r="E111" s="53"/>
    </row>
    <row r="112" spans="2:5" ht="16" customHeight="1"/>
    <row r="113" spans="2:5" ht="34" customHeight="1">
      <c r="B113" s="344" t="s">
        <v>3417</v>
      </c>
      <c r="C113" s="344"/>
      <c r="D113" s="344"/>
      <c r="E113" s="344"/>
    </row>
    <row r="114" spans="2:5" ht="20" customHeight="1">
      <c r="B114" s="8" t="s">
        <v>735</v>
      </c>
      <c r="C114" s="8" t="s">
        <v>554</v>
      </c>
      <c r="D114" s="20" t="s">
        <v>555</v>
      </c>
      <c r="E114" s="8" t="s">
        <v>222</v>
      </c>
    </row>
    <row r="115" spans="2:5" ht="20" customHeight="1">
      <c r="B115" s="21" t="s">
        <v>2733</v>
      </c>
      <c r="C115" s="22" t="str">
        <f>IF(mgmt_domain_chosen="First Domain",_xlfn.CONCAT(sample_mgmt_nsxt_gm_hostname,".",sample_child_dns_zone),sample_mgmt_existing_active_nsx_gm)</f>
        <v>sfo-m01-nsx-gm01.sfo.rainpole.io</v>
      </c>
      <c r="D115" s="18" t="str">
        <f>IF(mgmt_domain_chosen="First Domain",mgmt_nsxt_gm_vip_fqdn,mgmt_existing_active_nsx_gm)</f>
        <v>Value Missing.Value Missing</v>
      </c>
      <c r="E115" s="53"/>
    </row>
    <row r="116" spans="2:5" ht="20" customHeight="1">
      <c r="B116" s="21" t="s">
        <v>2734</v>
      </c>
      <c r="C116" s="22" t="str">
        <f>sample_mgmt_srm_recovery_nsx_location</f>
        <v>lax-m01</v>
      </c>
      <c r="D116" s="18" t="str">
        <f>mgmt_srm_recovery_nsx_location</f>
        <v>Value Missing</v>
      </c>
      <c r="E116" s="53"/>
    </row>
    <row r="117" spans="2:5" ht="20" customHeight="1">
      <c r="B117" s="26" t="s">
        <v>735</v>
      </c>
      <c r="C117" s="22" t="s">
        <v>2782</v>
      </c>
      <c r="D117" s="18" t="str">
        <f>C117</f>
        <v>vrops-server-pool</v>
      </c>
      <c r="E117" s="53"/>
    </row>
    <row r="118" spans="2:5" ht="20" customHeight="1">
      <c r="B118" s="26" t="s">
        <v>2748</v>
      </c>
      <c r="C118" s="22" t="s">
        <v>2783</v>
      </c>
      <c r="D118" s="18" t="str">
        <f>C118</f>
        <v>vrops01svr01a</v>
      </c>
      <c r="E118" s="53"/>
    </row>
    <row r="119" spans="2:5" ht="20" customHeight="1">
      <c r="B119" s="26" t="s">
        <v>2750</v>
      </c>
      <c r="C119" s="22" t="str">
        <f>sample_xreg_vrops_nodea_ip</f>
        <v>192.168.11.31</v>
      </c>
      <c r="D119" s="18" t="str">
        <f>xreg_vrops_nodea_ip</f>
        <v>Value Missing</v>
      </c>
      <c r="E119" s="53"/>
    </row>
    <row r="120" spans="2:5" ht="20" customHeight="1">
      <c r="B120" s="26" t="s">
        <v>2751</v>
      </c>
      <c r="C120" s="22" t="s">
        <v>2784</v>
      </c>
      <c r="D120" s="18" t="str">
        <f>C120</f>
        <v>vrops01svr01b</v>
      </c>
      <c r="E120" s="53"/>
    </row>
    <row r="121" spans="2:5" ht="20" customHeight="1">
      <c r="B121" s="26" t="s">
        <v>2753</v>
      </c>
      <c r="C121" s="22" t="str">
        <f>sample_xreg_vrops_nodeb_ip</f>
        <v>192.168.11.32</v>
      </c>
      <c r="D121" s="18" t="str">
        <f>xreg_vrops_nodeb_ip</f>
        <v>Value Missing</v>
      </c>
      <c r="E121" s="53"/>
    </row>
    <row r="122" spans="2:5" ht="20" customHeight="1">
      <c r="B122" s="21" t="s">
        <v>2754</v>
      </c>
      <c r="C122" s="22" t="s">
        <v>2785</v>
      </c>
      <c r="D122" s="18" t="str">
        <f>C122</f>
        <v>vrops01svr01c</v>
      </c>
      <c r="E122" s="53"/>
    </row>
    <row r="123" spans="2:5" ht="20" customHeight="1">
      <c r="B123" s="21" t="s">
        <v>2756</v>
      </c>
      <c r="C123" s="22" t="str">
        <f>sample_xreg_vrops_nodec_ip</f>
        <v>192.168.11.33</v>
      </c>
      <c r="D123" s="18" t="str">
        <f>xreg_vrops_nodec_ip</f>
        <v>Value Missing</v>
      </c>
      <c r="E123" s="53"/>
    </row>
    <row r="124" spans="2:5" ht="20" customHeight="1">
      <c r="B124" s="26" t="s">
        <v>2758</v>
      </c>
      <c r="C124" s="22" t="s">
        <v>2781</v>
      </c>
      <c r="D124" s="18" t="str">
        <f>C124</f>
        <v>vrops-https-monitor</v>
      </c>
      <c r="E124" s="53"/>
    </row>
    <row r="125" spans="2:5" ht="16" customHeight="1"/>
    <row r="126" spans="2:5" ht="34" customHeight="1">
      <c r="B126" s="344" t="s">
        <v>3418</v>
      </c>
      <c r="C126" s="344"/>
      <c r="D126" s="344"/>
      <c r="E126" s="344"/>
    </row>
    <row r="127" spans="2:5" ht="20" customHeight="1">
      <c r="B127" s="8" t="s">
        <v>735</v>
      </c>
      <c r="C127" s="8" t="s">
        <v>554</v>
      </c>
      <c r="D127" s="20" t="s">
        <v>555</v>
      </c>
      <c r="E127" s="8" t="s">
        <v>222</v>
      </c>
    </row>
    <row r="128" spans="2:5" ht="20" customHeight="1">
      <c r="B128" s="21" t="s">
        <v>2733</v>
      </c>
      <c r="C128" s="22" t="str">
        <f>IF(mgmt_domain_chosen="First Domain",_xlfn.CONCAT(sample_mgmt_nsxt_gm_hostname,".",sample_child_dns_zone),sample_mgmt_existing_active_nsx_gm)</f>
        <v>sfo-m01-nsx-gm01.sfo.rainpole.io</v>
      </c>
      <c r="D128" s="18" t="str">
        <f>IF(mgmt_domain_chosen="First Domain",mgmt_nsxt_gm_vip_fqdn,mgmt_existing_active_nsx_gm)</f>
        <v>Value Missing.Value Missing</v>
      </c>
      <c r="E128" s="53"/>
    </row>
    <row r="129" spans="2:5" ht="20" customHeight="1">
      <c r="B129" s="21" t="s">
        <v>2734</v>
      </c>
      <c r="C129" s="22" t="str">
        <f>sample_mgmt_srm_recovery_nsx_location</f>
        <v>lax-m01</v>
      </c>
      <c r="D129" s="18" t="str">
        <f>mgmt_srm_recovery_nsx_location</f>
        <v>Value Missing</v>
      </c>
      <c r="E129" s="53"/>
    </row>
    <row r="130" spans="2:5" ht="20" customHeight="1">
      <c r="B130" s="26" t="s">
        <v>2786</v>
      </c>
      <c r="C130" s="22" t="s">
        <v>2787</v>
      </c>
      <c r="D130" s="18" t="str">
        <f>C130</f>
        <v>vrops-tcp-app-profile</v>
      </c>
      <c r="E130" s="53"/>
    </row>
    <row r="131" spans="2:5" ht="20" customHeight="1">
      <c r="B131" s="26" t="s">
        <v>2788</v>
      </c>
      <c r="C131" s="22" t="s">
        <v>2789</v>
      </c>
      <c r="D131" s="18" t="str">
        <f>C131</f>
        <v>vrops-http-app-profile-redirect</v>
      </c>
      <c r="E131" s="53"/>
    </row>
    <row r="132" spans="2:5" ht="20" customHeight="1">
      <c r="B132" s="26" t="s">
        <v>2790</v>
      </c>
      <c r="C132" s="22" t="s">
        <v>2791</v>
      </c>
      <c r="D132" s="18" t="str">
        <f>C132</f>
        <v>vrops-source-ip-persistence-profile</v>
      </c>
      <c r="E132" s="53"/>
    </row>
    <row r="133" spans="2:5" ht="16" customHeight="1"/>
    <row r="134" spans="2:5" ht="34" customHeight="1">
      <c r="B134" s="344" t="s">
        <v>3419</v>
      </c>
      <c r="C134" s="344"/>
      <c r="D134" s="344"/>
      <c r="E134" s="344"/>
    </row>
    <row r="135" spans="2:5" ht="20" customHeight="1">
      <c r="B135" s="8" t="s">
        <v>735</v>
      </c>
      <c r="C135" s="8" t="s">
        <v>554</v>
      </c>
      <c r="D135" s="20" t="s">
        <v>555</v>
      </c>
      <c r="E135" s="8" t="s">
        <v>222</v>
      </c>
    </row>
    <row r="136" spans="2:5" ht="20" customHeight="1">
      <c r="B136" s="21" t="s">
        <v>2733</v>
      </c>
      <c r="C136" s="22" t="str">
        <f>IF(mgmt_domain_chosen="First Domain",_xlfn.CONCAT(sample_mgmt_nsxt_gm_hostname,".",sample_child_dns_zone),sample_mgmt_existing_active_nsx_gm)</f>
        <v>sfo-m01-nsx-gm01.sfo.rainpole.io</v>
      </c>
      <c r="D136" s="18" t="str">
        <f>IF(mgmt_domain_chosen="First Domain",mgmt_nsxt_gm_vip_fqdn,mgmt_existing_active_nsx_gm)</f>
        <v>Value Missing.Value Missing</v>
      </c>
      <c r="E136" s="53"/>
    </row>
    <row r="137" spans="2:5" ht="20" customHeight="1">
      <c r="B137" s="21" t="s">
        <v>2734</v>
      </c>
      <c r="C137" s="22" t="str">
        <f>sample_mgmt_srm_recovery_nsx_location</f>
        <v>lax-m01</v>
      </c>
      <c r="D137" s="18" t="str">
        <f>mgmt_srm_recovery_nsx_location</f>
        <v>Value Missing</v>
      </c>
      <c r="E137" s="53"/>
    </row>
    <row r="138" spans="2:5" ht="20" customHeight="1">
      <c r="B138" s="21" t="s">
        <v>2792</v>
      </c>
      <c r="C138" s="22" t="s">
        <v>2793</v>
      </c>
      <c r="D138" s="18" t="str">
        <f>C138</f>
        <v>vrops-https</v>
      </c>
      <c r="E138" s="53"/>
    </row>
    <row r="139" spans="2:5" ht="20" customHeight="1">
      <c r="B139" s="21" t="s">
        <v>2769</v>
      </c>
      <c r="C139" s="22" t="str">
        <f>sample_xreg_vrops_virtual_ip</f>
        <v>192.168.11.30</v>
      </c>
      <c r="D139" s="18" t="str">
        <f>xreg_vrops_virtual_ip</f>
        <v>Value Missing</v>
      </c>
      <c r="E139" s="53"/>
    </row>
    <row r="140" spans="2:5" ht="20" customHeight="1">
      <c r="B140" s="21" t="s">
        <v>2794</v>
      </c>
      <c r="C140" s="22" t="s">
        <v>2741</v>
      </c>
      <c r="D140" s="18" t="str">
        <f>C140</f>
        <v>recovery-lb01</v>
      </c>
      <c r="E140" s="53"/>
    </row>
    <row r="141" spans="2:5" ht="20" customHeight="1">
      <c r="B141" s="26" t="s">
        <v>2795</v>
      </c>
      <c r="C141" s="22" t="s">
        <v>2782</v>
      </c>
      <c r="D141" s="18" t="str">
        <f t="shared" ref="D141:D147" si="0">C141</f>
        <v>vrops-server-pool</v>
      </c>
      <c r="E141" s="53"/>
    </row>
    <row r="142" spans="2:5" ht="20" customHeight="1">
      <c r="B142" s="26" t="s">
        <v>2796</v>
      </c>
      <c r="C142" s="22" t="s">
        <v>2791</v>
      </c>
      <c r="D142" s="18" t="str">
        <f t="shared" si="0"/>
        <v>vrops-source-ip-persistence-profile</v>
      </c>
      <c r="E142" s="53"/>
    </row>
    <row r="143" spans="2:5" ht="20" customHeight="1">
      <c r="B143" s="26" t="s">
        <v>2797</v>
      </c>
      <c r="C143" s="22" t="s">
        <v>2787</v>
      </c>
      <c r="D143" s="18" t="str">
        <f t="shared" si="0"/>
        <v>vrops-tcp-app-profile</v>
      </c>
      <c r="E143" s="53"/>
    </row>
    <row r="144" spans="2:5" ht="20" customHeight="1">
      <c r="B144" s="26" t="s">
        <v>2776</v>
      </c>
      <c r="C144" s="22" t="s">
        <v>2798</v>
      </c>
      <c r="D144" s="18" t="str">
        <f t="shared" si="0"/>
        <v>vrops-http-redirect</v>
      </c>
      <c r="E144" s="53"/>
    </row>
    <row r="145" spans="2:5" ht="20" customHeight="1">
      <c r="B145" s="26" t="s">
        <v>2778</v>
      </c>
      <c r="C145" s="22" t="str">
        <f>sample_xreg_vrops_virtual_ip</f>
        <v>192.168.11.30</v>
      </c>
      <c r="D145" s="18" t="str">
        <f>xreg_vrops_virtual_ip</f>
        <v>Value Missing</v>
      </c>
      <c r="E145" s="53"/>
    </row>
    <row r="146" spans="2:5" ht="20" customHeight="1">
      <c r="B146" s="21" t="s">
        <v>2779</v>
      </c>
      <c r="C146" s="22" t="s">
        <v>2741</v>
      </c>
      <c r="D146" s="18" t="str">
        <f t="shared" si="0"/>
        <v>recovery-lb01</v>
      </c>
      <c r="E146" s="53"/>
    </row>
    <row r="147" spans="2:5" ht="20" customHeight="1">
      <c r="B147" s="21" t="s">
        <v>2780</v>
      </c>
      <c r="C147" s="22" t="s">
        <v>2763</v>
      </c>
      <c r="D147" s="18" t="str">
        <f t="shared" si="0"/>
        <v>wsa-http-app-profile-redirect</v>
      </c>
      <c r="E147" s="53"/>
    </row>
    <row r="148" spans="2:5" ht="16" customHeight="1"/>
    <row r="149" spans="2:5" ht="34" customHeight="1">
      <c r="B149" s="344" t="s">
        <v>3270</v>
      </c>
      <c r="C149" s="344"/>
      <c r="D149" s="344"/>
      <c r="E149" s="344"/>
    </row>
    <row r="150" spans="2:5" ht="20" customHeight="1">
      <c r="B150" s="8" t="s">
        <v>735</v>
      </c>
      <c r="C150" s="8" t="s">
        <v>554</v>
      </c>
      <c r="D150" s="20" t="s">
        <v>555</v>
      </c>
      <c r="E150" s="8" t="s">
        <v>222</v>
      </c>
    </row>
    <row r="151" spans="2:5" ht="20" customHeight="1">
      <c r="B151" s="21" t="s">
        <v>2733</v>
      </c>
      <c r="C151" s="22" t="str">
        <f>IF(mgmt_domain_chosen="First Domain",_xlfn.CONCAT(sample_mgmt_nsxt_gm_hostname,".",sample_child_dns_zone),sample_mgmt_existing_active_nsx_gm)</f>
        <v>sfo-m01-nsx-gm01.sfo.rainpole.io</v>
      </c>
      <c r="D151" s="18" t="str">
        <f>IF(mgmt_domain_chosen="First Domain",mgmt_nsxt_gm_vip_fqdn,mgmt_existing_active_nsx_gm)</f>
        <v>Value Missing.Value Missing</v>
      </c>
      <c r="E151" s="53"/>
    </row>
    <row r="152" spans="2:5" ht="20" customHeight="1">
      <c r="B152" s="21" t="s">
        <v>2734</v>
      </c>
      <c r="C152" s="22" t="str">
        <f>sample_mgmt_srm_recovery_nsx_location</f>
        <v>lax-m01</v>
      </c>
      <c r="D152" s="18" t="str">
        <f>mgmt_srm_recovery_nsx_location</f>
        <v>Value Missing</v>
      </c>
      <c r="E152" s="53"/>
    </row>
    <row r="153" spans="2:5" ht="20" customHeight="1">
      <c r="B153" s="26" t="s">
        <v>735</v>
      </c>
      <c r="C153" s="22" t="s">
        <v>2799</v>
      </c>
      <c r="D153" s="18" t="str">
        <f>C153</f>
        <v>vra-http-monitor</v>
      </c>
      <c r="E153" s="53"/>
    </row>
    <row r="154" spans="2:5" ht="16" customHeight="1"/>
    <row r="155" spans="2:5" ht="34" customHeight="1">
      <c r="B155" s="344" t="s">
        <v>3271</v>
      </c>
      <c r="C155" s="344"/>
      <c r="D155" s="344"/>
      <c r="E155" s="344"/>
    </row>
    <row r="156" spans="2:5" ht="20" customHeight="1">
      <c r="B156" s="8" t="s">
        <v>735</v>
      </c>
      <c r="C156" s="8" t="s">
        <v>554</v>
      </c>
      <c r="D156" s="20" t="s">
        <v>555</v>
      </c>
      <c r="E156" s="8" t="s">
        <v>222</v>
      </c>
    </row>
    <row r="157" spans="2:5" ht="20" customHeight="1">
      <c r="B157" s="21" t="s">
        <v>2733</v>
      </c>
      <c r="C157" s="22" t="str">
        <f>IF(mgmt_domain_chosen="First Domain",_xlfn.CONCAT(sample_mgmt_nsxt_gm_hostname,".",sample_child_dns_zone),sample_mgmt_existing_active_nsx_gm)</f>
        <v>sfo-m01-nsx-gm01.sfo.rainpole.io</v>
      </c>
      <c r="D157" s="18" t="str">
        <f>IF(mgmt_domain_chosen="First Domain",mgmt_nsxt_gm_vip_fqdn,mgmt_existing_active_nsx_gm)</f>
        <v>Value Missing.Value Missing</v>
      </c>
      <c r="E157" s="53"/>
    </row>
    <row r="158" spans="2:5" ht="20" customHeight="1">
      <c r="B158" s="21" t="s">
        <v>2734</v>
      </c>
      <c r="C158" s="22" t="str">
        <f>sample_mgmt_srm_recovery_nsx_location</f>
        <v>lax-m01</v>
      </c>
      <c r="D158" s="18" t="str">
        <f>mgmt_srm_recovery_nsx_location</f>
        <v>Value Missing</v>
      </c>
      <c r="E158" s="53"/>
    </row>
    <row r="159" spans="2:5" ht="20" customHeight="1">
      <c r="B159" s="26" t="s">
        <v>735</v>
      </c>
      <c r="C159" s="22" t="s">
        <v>2800</v>
      </c>
      <c r="D159" s="18" t="str">
        <f>C159</f>
        <v>vra-server-pool</v>
      </c>
      <c r="E159" s="53"/>
    </row>
    <row r="160" spans="2:5" ht="20" customHeight="1">
      <c r="B160" s="26" t="s">
        <v>2801</v>
      </c>
      <c r="C160" s="22" t="s">
        <v>2802</v>
      </c>
      <c r="D160" s="18" t="str">
        <f>C160</f>
        <v>vra01svr01a</v>
      </c>
      <c r="E160" s="53"/>
    </row>
    <row r="161" spans="2:5" ht="20" customHeight="1">
      <c r="B161" s="26" t="s">
        <v>2750</v>
      </c>
      <c r="C161" s="22" t="str">
        <f>sample_xreg_vra_nodea_ip</f>
        <v>192.168.11.51</v>
      </c>
      <c r="D161" s="18" t="str">
        <f>xreg_vra_nodea_ip</f>
        <v>Value Missing</v>
      </c>
      <c r="E161" s="53"/>
    </row>
    <row r="162" spans="2:5" ht="20" customHeight="1">
      <c r="B162" s="26" t="s">
        <v>2803</v>
      </c>
      <c r="C162" s="22" t="s">
        <v>2804</v>
      </c>
      <c r="D162" s="18" t="str">
        <f>C162</f>
        <v>vra01svr01b</v>
      </c>
      <c r="E162" s="53"/>
    </row>
    <row r="163" spans="2:5" ht="20" customHeight="1">
      <c r="B163" s="26" t="s">
        <v>2753</v>
      </c>
      <c r="C163" s="22" t="str">
        <f>sample_xreg_vra_nodeb_ip</f>
        <v>192.168.11.52</v>
      </c>
      <c r="D163" s="18" t="str">
        <f>xreg_vra_nodeb_ip</f>
        <v>Value Missing</v>
      </c>
      <c r="E163" s="53"/>
    </row>
    <row r="164" spans="2:5" ht="20" customHeight="1">
      <c r="B164" s="21" t="s">
        <v>2805</v>
      </c>
      <c r="C164" s="22" t="s">
        <v>2806</v>
      </c>
      <c r="D164" s="18" t="str">
        <f>C164</f>
        <v>vra01svr01c</v>
      </c>
      <c r="E164" s="53"/>
    </row>
    <row r="165" spans="2:5" ht="20" customHeight="1">
      <c r="B165" s="21" t="s">
        <v>2756</v>
      </c>
      <c r="C165" s="22" t="str">
        <f>sample_xreg_vra_nodec_ip</f>
        <v>192.168.11.53</v>
      </c>
      <c r="D165" s="18" t="str">
        <f>xreg_vra_nodec_ip</f>
        <v>Value Missing</v>
      </c>
      <c r="E165" s="53"/>
    </row>
    <row r="166" spans="2:5" ht="20" customHeight="1">
      <c r="B166" s="26" t="s">
        <v>2758</v>
      </c>
      <c r="C166" s="22" t="s">
        <v>2799</v>
      </c>
      <c r="D166" s="18" t="str">
        <f>C166</f>
        <v>vra-http-monitor</v>
      </c>
      <c r="E166" s="53"/>
    </row>
    <row r="167" spans="2:5" ht="16" customHeight="1"/>
    <row r="168" spans="2:5" ht="34" customHeight="1">
      <c r="B168" s="344" t="s">
        <v>3272</v>
      </c>
      <c r="C168" s="344"/>
      <c r="D168" s="344"/>
      <c r="E168" s="344"/>
    </row>
    <row r="169" spans="2:5" ht="20" customHeight="1">
      <c r="B169" s="8" t="s">
        <v>735</v>
      </c>
      <c r="C169" s="8" t="s">
        <v>554</v>
      </c>
      <c r="D169" s="20" t="s">
        <v>555</v>
      </c>
      <c r="E169" s="8" t="s">
        <v>222</v>
      </c>
    </row>
    <row r="170" spans="2:5" ht="20" customHeight="1">
      <c r="B170" s="21" t="s">
        <v>2733</v>
      </c>
      <c r="C170" s="22" t="str">
        <f>IF(mgmt_domain_chosen="First Domain",_xlfn.CONCAT(sample_mgmt_nsxt_gm_hostname,".",sample_child_dns_zone),sample_mgmt_existing_active_nsx_gm)</f>
        <v>sfo-m01-nsx-gm01.sfo.rainpole.io</v>
      </c>
      <c r="D170" s="18" t="str">
        <f>IF(mgmt_domain_chosen="First Domain",mgmt_nsxt_gm_vip_fqdn,mgmt_existing_active_nsx_gm)</f>
        <v>Value Missing.Value Missing</v>
      </c>
      <c r="E170" s="53"/>
    </row>
    <row r="171" spans="2:5" ht="20" customHeight="1">
      <c r="B171" s="21" t="s">
        <v>2734</v>
      </c>
      <c r="C171" s="22" t="str">
        <f>sample_mgmt_srm_recovery_nsx_location</f>
        <v>lax-m01</v>
      </c>
      <c r="D171" s="18" t="str">
        <f>mgmt_srm_recovery_nsx_location</f>
        <v>Value Missing</v>
      </c>
      <c r="E171" s="53"/>
    </row>
    <row r="172" spans="2:5" ht="20" customHeight="1">
      <c r="B172" s="26" t="s">
        <v>2786</v>
      </c>
      <c r="C172" s="22" t="s">
        <v>2807</v>
      </c>
      <c r="D172" s="18" t="str">
        <f>C172</f>
        <v>vra-tcp-app-profile</v>
      </c>
      <c r="E172" s="53"/>
    </row>
    <row r="173" spans="2:5" ht="20" customHeight="1">
      <c r="B173" s="26" t="s">
        <v>2788</v>
      </c>
      <c r="C173" s="22" t="s">
        <v>2808</v>
      </c>
      <c r="D173" s="18" t="str">
        <f>C173</f>
        <v>vra-http-app-profile-redirect</v>
      </c>
      <c r="E173" s="53"/>
    </row>
    <row r="174" spans="2:5" ht="16" customHeight="1"/>
    <row r="175" spans="2:5" ht="34" customHeight="1">
      <c r="B175" s="344" t="s">
        <v>3273</v>
      </c>
      <c r="C175" s="344"/>
      <c r="D175" s="344"/>
      <c r="E175" s="344"/>
    </row>
    <row r="176" spans="2:5" ht="20" customHeight="1">
      <c r="B176" s="8" t="s">
        <v>735</v>
      </c>
      <c r="C176" s="8" t="s">
        <v>554</v>
      </c>
      <c r="D176" s="20" t="s">
        <v>555</v>
      </c>
      <c r="E176" s="8" t="s">
        <v>222</v>
      </c>
    </row>
    <row r="177" spans="2:5" ht="20" customHeight="1">
      <c r="B177" s="21" t="s">
        <v>2733</v>
      </c>
      <c r="C177" s="22" t="str">
        <f>IF(mgmt_domain_chosen="First Domain",_xlfn.CONCAT(sample_mgmt_nsxt_gm_hostname,".",sample_child_dns_zone),sample_mgmt_existing_active_nsx_gm)</f>
        <v>sfo-m01-nsx-gm01.sfo.rainpole.io</v>
      </c>
      <c r="D177" s="18" t="str">
        <f>IF(mgmt_domain_chosen="First Domain",mgmt_nsxt_gm_vip_fqdn,mgmt_existing_active_nsx_gm)</f>
        <v>Value Missing.Value Missing</v>
      </c>
      <c r="E177" s="53"/>
    </row>
    <row r="178" spans="2:5" ht="20" customHeight="1">
      <c r="B178" s="21" t="s">
        <v>2734</v>
      </c>
      <c r="C178" s="22" t="str">
        <f>sample_mgmt_srm_recovery_nsx_location</f>
        <v>lax-m01</v>
      </c>
      <c r="D178" s="18" t="str">
        <f>mgmt_srm_recovery_nsx_location</f>
        <v>Value Missing</v>
      </c>
      <c r="E178" s="53"/>
    </row>
    <row r="179" spans="2:5" ht="20" customHeight="1">
      <c r="B179" s="26" t="s">
        <v>2792</v>
      </c>
      <c r="C179" s="22" t="s">
        <v>2809</v>
      </c>
      <c r="D179" s="18" t="str">
        <f>C179</f>
        <v>vra-https</v>
      </c>
      <c r="E179" s="53"/>
    </row>
    <row r="180" spans="2:5" ht="20" customHeight="1">
      <c r="B180" s="26" t="s">
        <v>2810</v>
      </c>
      <c r="C180" s="22" t="str">
        <f>sample_xreg_vra_virtual_ip</f>
        <v>192.168.11.50</v>
      </c>
      <c r="D180" s="18" t="str">
        <f>xreg_vra_virtual_ip</f>
        <v>Value Missing</v>
      </c>
      <c r="E180" s="53"/>
    </row>
    <row r="181" spans="2:5" ht="20" customHeight="1">
      <c r="B181" s="26" t="s">
        <v>2794</v>
      </c>
      <c r="C181" s="22" t="s">
        <v>2741</v>
      </c>
      <c r="D181" s="18" t="str">
        <f>C181</f>
        <v>recovery-lb01</v>
      </c>
      <c r="E181" s="53"/>
    </row>
    <row r="182" spans="2:5" ht="20" customHeight="1">
      <c r="B182" s="26" t="s">
        <v>2771</v>
      </c>
      <c r="C182" s="22" t="s">
        <v>2800</v>
      </c>
      <c r="D182" s="18" t="str">
        <f t="shared" ref="D182:D187" si="1">C182</f>
        <v>vra-server-pool</v>
      </c>
      <c r="E182" s="53"/>
    </row>
    <row r="183" spans="2:5" ht="20" customHeight="1">
      <c r="B183" s="26" t="s">
        <v>2772</v>
      </c>
      <c r="C183" s="22" t="s">
        <v>2807</v>
      </c>
      <c r="D183" s="18" t="str">
        <f t="shared" si="1"/>
        <v>vra-tcp-app-profile</v>
      </c>
      <c r="E183" s="53"/>
    </row>
    <row r="184" spans="2:5" ht="20" customHeight="1">
      <c r="B184" s="21" t="s">
        <v>2811</v>
      </c>
      <c r="C184" s="22" t="s">
        <v>2812</v>
      </c>
      <c r="D184" s="18" t="str">
        <f t="shared" si="1"/>
        <v>vra-http-redirect</v>
      </c>
      <c r="E184" s="53"/>
    </row>
    <row r="185" spans="2:5" ht="20" customHeight="1">
      <c r="B185" s="21" t="s">
        <v>2778</v>
      </c>
      <c r="C185" s="22" t="str">
        <f>sample_xreg_vra_virtual_ip</f>
        <v>192.168.11.50</v>
      </c>
      <c r="D185" s="18" t="str">
        <f>xreg_vra_virtual_ip</f>
        <v>Value Missing</v>
      </c>
      <c r="E185" s="53"/>
    </row>
    <row r="186" spans="2:5" ht="20" customHeight="1">
      <c r="B186" s="26" t="s">
        <v>2779</v>
      </c>
      <c r="C186" s="22" t="s">
        <v>2741</v>
      </c>
      <c r="D186" s="18" t="str">
        <f t="shared" si="1"/>
        <v>recovery-lb01</v>
      </c>
      <c r="E186" s="53"/>
    </row>
    <row r="187" spans="2:5" ht="20" customHeight="1">
      <c r="B187" s="26" t="s">
        <v>2813</v>
      </c>
      <c r="C187" s="22" t="s">
        <v>2808</v>
      </c>
      <c r="D187" s="18" t="str">
        <f t="shared" si="1"/>
        <v>vra-http-app-profile-redirect</v>
      </c>
      <c r="E187" s="53"/>
    </row>
    <row r="188" spans="2:5" ht="16" customHeight="1"/>
    <row r="189" spans="2:5" ht="34" customHeight="1">
      <c r="B189" s="344" t="s">
        <v>3363</v>
      </c>
      <c r="C189" s="344"/>
      <c r="D189" s="344"/>
      <c r="E189" s="344"/>
    </row>
    <row r="190" spans="2:5" ht="20" customHeight="1">
      <c r="B190" s="8" t="s">
        <v>735</v>
      </c>
      <c r="C190" s="8" t="s">
        <v>554</v>
      </c>
      <c r="D190" s="20" t="s">
        <v>555</v>
      </c>
      <c r="E190" s="8" t="s">
        <v>222</v>
      </c>
    </row>
    <row r="191" spans="2:5" ht="20" customHeight="1">
      <c r="B191" s="21" t="s">
        <v>3368</v>
      </c>
      <c r="C191" s="22" t="str">
        <f>_xlfn.CONCAT(sample_xreg_vrslcm_hostname,".",sample_parent_dns_zone)</f>
        <v>xint-lcm01.rainpole.io</v>
      </c>
      <c r="D191" s="18" t="str">
        <f>xreg_vrslcm_fqdn</f>
        <v>Value Missing.Value Missing</v>
      </c>
      <c r="E191" s="53"/>
    </row>
    <row r="192" spans="2:5" ht="20" customHeight="1">
      <c r="B192" s="553" t="s">
        <v>2814</v>
      </c>
      <c r="C192" s="572"/>
      <c r="D192" s="572"/>
      <c r="E192" s="573"/>
    </row>
    <row r="193" spans="2:5" ht="20" customHeight="1">
      <c r="B193" s="21" t="s">
        <v>306</v>
      </c>
      <c r="C193" s="22" t="str">
        <f>_xlfn.CONCAT("DNS=",sample_xregion_dns2_ip)</f>
        <v>DNS=10.11.10.5</v>
      </c>
      <c r="D193" s="18" t="str">
        <f>_xlfn.CONCAT("DNS=",xregion_dns2_ip)</f>
        <v>DNS=Value Missing</v>
      </c>
      <c r="E193" s="53"/>
    </row>
    <row r="194" spans="2:5" ht="20" customHeight="1">
      <c r="B194" s="553" t="s">
        <v>2815</v>
      </c>
      <c r="C194" s="572"/>
      <c r="D194" s="572"/>
      <c r="E194" s="573"/>
    </row>
    <row r="195" spans="2:5" ht="20" customHeight="1">
      <c r="B195" s="26" t="s">
        <v>2816</v>
      </c>
      <c r="C195" s="22" t="str">
        <f>sample_parent_dns_zone</f>
        <v>rainpole.io</v>
      </c>
      <c r="D195" s="18" t="str">
        <f>parent_dns_zone</f>
        <v>Value Missing</v>
      </c>
      <c r="E195" s="53"/>
    </row>
    <row r="196" spans="2:5" ht="16" customHeight="1"/>
    <row r="197" spans="2:5" ht="34" customHeight="1">
      <c r="B197" s="344" t="s">
        <v>3364</v>
      </c>
      <c r="C197" s="344"/>
      <c r="D197" s="344"/>
      <c r="E197" s="344"/>
    </row>
    <row r="198" spans="2:5" ht="20" customHeight="1">
      <c r="B198" s="8" t="s">
        <v>735</v>
      </c>
      <c r="C198" s="8" t="s">
        <v>554</v>
      </c>
      <c r="D198" s="20" t="s">
        <v>555</v>
      </c>
      <c r="E198" s="8" t="s">
        <v>222</v>
      </c>
    </row>
    <row r="199" spans="2:5" ht="20" customHeight="1">
      <c r="B199" s="21" t="s">
        <v>3368</v>
      </c>
      <c r="C199" s="22" t="str">
        <f>_xlfn.CONCAT(sample_xreg_vrslcm_hostname,".",sample_parent_dns_zone)</f>
        <v>xint-lcm01.rainpole.io</v>
      </c>
      <c r="D199" s="18" t="str">
        <f>xreg_vrslcm_fqdn</f>
        <v>Value Missing.Value Missing</v>
      </c>
      <c r="E199" s="53"/>
    </row>
    <row r="200" spans="2:5" ht="20" customHeight="1">
      <c r="B200" s="21" t="s">
        <v>735</v>
      </c>
      <c r="C200" s="22" t="s">
        <v>2817</v>
      </c>
      <c r="D200" s="18" t="str">
        <f>C200</f>
        <v>VCF NTP Server 2</v>
      </c>
      <c r="E200" s="53"/>
    </row>
    <row r="201" spans="2:5" ht="20" customHeight="1">
      <c r="B201" s="21" t="s">
        <v>2818</v>
      </c>
      <c r="C201" s="22" t="str">
        <f>sample_xregion_ntp2_server</f>
        <v>ntp.lax.rainpole.io</v>
      </c>
      <c r="D201" s="18" t="str">
        <f>xregion_ntp2_server</f>
        <v/>
      </c>
      <c r="E201" s="53"/>
    </row>
    <row r="202" spans="2:5" ht="16" customHeight="1"/>
    <row r="203" spans="2:5" ht="34" customHeight="1">
      <c r="B203" s="344" t="s">
        <v>2819</v>
      </c>
      <c r="C203" s="344"/>
      <c r="D203" s="344"/>
      <c r="E203" s="344"/>
    </row>
    <row r="204" spans="2:5" ht="20" customHeight="1">
      <c r="B204" s="8" t="s">
        <v>735</v>
      </c>
      <c r="C204" s="8" t="s">
        <v>554</v>
      </c>
      <c r="D204" s="20" t="s">
        <v>555</v>
      </c>
      <c r="E204" s="8" t="s">
        <v>222</v>
      </c>
    </row>
    <row r="205" spans="2:5" ht="20" customHeight="1">
      <c r="B205" s="21" t="s">
        <v>3368</v>
      </c>
      <c r="C205" s="22" t="str">
        <f>_xlfn.CONCAT(sample_xreg_vrslcm_hostname,".",sample_parent_dns_zone)</f>
        <v>xint-lcm01.rainpole.io</v>
      </c>
      <c r="D205" s="18" t="str">
        <f>xreg_vrslcm_fqdn</f>
        <v>Value Missing.Value Missing</v>
      </c>
      <c r="E205" s="53"/>
    </row>
    <row r="206" spans="2:5" ht="20" customHeight="1">
      <c r="B206" s="21" t="s">
        <v>2719</v>
      </c>
      <c r="C206" s="22" t="str">
        <f>_xlfn.CONCAT(sample_mgmt_vc_hostname,".",sample_child_dns_zone)</f>
        <v>sfo-m01-vc01.sfo.rainpole.io</v>
      </c>
      <c r="D206" s="18" t="str">
        <f>mgmt_vc_fqdn</f>
        <v>Value Missing.Value Missing</v>
      </c>
      <c r="E206" s="53"/>
    </row>
    <row r="207" spans="2:5" ht="20" customHeight="1">
      <c r="B207" s="26" t="s">
        <v>2820</v>
      </c>
      <c r="C207" s="22" t="str">
        <f>sample_xreg_wsa_nodea_hostname</f>
        <v>xint-idm01a</v>
      </c>
      <c r="D207" s="18" t="str">
        <f>xreg_wsa_nodea_hostname</f>
        <v>Value Missing</v>
      </c>
      <c r="E207" s="53"/>
    </row>
    <row r="208" spans="2:5" ht="20" customHeight="1">
      <c r="B208" s="21" t="s">
        <v>2821</v>
      </c>
      <c r="C208" s="22" t="str">
        <f>CONCATENATE(sample_xregion_dns1_ip,",",sample_xregion_dns2_ip)</f>
        <v>10.11.10.4,10.11.10.5</v>
      </c>
      <c r="D208" s="18" t="str">
        <f>CONCATENATE(IF(ISBLANK(input_xregion_dns1_ip),"Value Missing",xregion_dns1_ip),",",IF(ISBLANK(input_xregion_dns2_ip),"Value Missing",xregion_dns2_ip))</f>
        <v>Value Missing,Value Missing</v>
      </c>
      <c r="E208" s="53"/>
    </row>
    <row r="209" spans="2:5" ht="20" customHeight="1">
      <c r="B209" s="21" t="s">
        <v>2822</v>
      </c>
      <c r="C209" s="22" t="str">
        <f>sample_parent_dns_zone</f>
        <v>rainpole.io</v>
      </c>
      <c r="D209" s="18" t="str">
        <f>parent_dns_zone</f>
        <v>Value Missing</v>
      </c>
      <c r="E209" s="53"/>
    </row>
    <row r="210" spans="2:5" ht="20" customHeight="1">
      <c r="B210" s="26" t="s">
        <v>2823</v>
      </c>
      <c r="C210" s="22" t="str">
        <f>sample_xreg_wsa_nodeb_hostname</f>
        <v>xint-idm01b</v>
      </c>
      <c r="D210" s="18" t="str">
        <f>xreg_wsa_nodeb_hostname</f>
        <v>Value Missing</v>
      </c>
      <c r="E210" s="53"/>
    </row>
    <row r="211" spans="2:5" ht="20" customHeight="1">
      <c r="B211" s="26" t="s">
        <v>2824</v>
      </c>
      <c r="C211" s="22" t="str">
        <f>sample_xreg_wsa_nodec_hostname</f>
        <v>xint-idm01c</v>
      </c>
      <c r="D211" s="18" t="str">
        <f>xreg_wsa_nodec_hostname</f>
        <v>Value Missing</v>
      </c>
      <c r="E211" s="53"/>
    </row>
    <row r="212" spans="2:5" ht="16" customHeight="1"/>
    <row r="213" spans="2:5" ht="34" customHeight="1">
      <c r="B213" s="344" t="s">
        <v>2825</v>
      </c>
      <c r="C213" s="344"/>
      <c r="D213" s="344"/>
      <c r="E213" s="344"/>
    </row>
    <row r="214" spans="2:5" ht="20" customHeight="1">
      <c r="B214" s="8" t="s">
        <v>735</v>
      </c>
      <c r="C214" s="8" t="s">
        <v>554</v>
      </c>
      <c r="D214" s="20" t="s">
        <v>555</v>
      </c>
      <c r="E214" s="8" t="s">
        <v>222</v>
      </c>
    </row>
    <row r="215" spans="2:5" ht="20" customHeight="1">
      <c r="B215" s="21" t="s">
        <v>2826</v>
      </c>
      <c r="C215" s="22" t="str">
        <f>_xlfn.CONCAT(sample_xreg_wsa_nodea_hostname,".",sample_parent_dns_zone)</f>
        <v>xint-idm01a.rainpole.io</v>
      </c>
      <c r="D215" s="18" t="str">
        <f>xreg_wsa_nodea_fqdn</f>
        <v>Value Missing.Value Missing</v>
      </c>
      <c r="E215" s="53"/>
    </row>
    <row r="216" spans="2:5" ht="20" customHeight="1">
      <c r="B216" s="21" t="s">
        <v>2827</v>
      </c>
      <c r="C216" s="22" t="str">
        <f>_xlfn.CONCAT(sample_xregion_ntp1_server,",",sample_xregion_ntp2_server)</f>
        <v>ntp.sfo.rainpole.io,ntp.lax.rainpole.io</v>
      </c>
      <c r="D216" s="18" t="str">
        <f>_xlfn.CONCAT(xregion_ntp1_server,",",xregion_ntp2_server)</f>
        <v>,</v>
      </c>
      <c r="E216" s="53"/>
    </row>
    <row r="217" spans="2:5" ht="20" customHeight="1">
      <c r="B217" s="26" t="s">
        <v>2828</v>
      </c>
      <c r="C217" s="22" t="str">
        <f>_xlfn.CONCAT(sample_xreg_wsa_nodeb_hostname,".",sample_parent_dns_zone)</f>
        <v>xint-idm01b.rainpole.io</v>
      </c>
      <c r="D217" s="18" t="str">
        <f>xreg_wsa_nodeb_fqdn</f>
        <v>Value Missing.Value Missing</v>
      </c>
      <c r="E217" s="53"/>
    </row>
    <row r="218" spans="2:5" ht="20" customHeight="1">
      <c r="B218" s="26" t="s">
        <v>2829</v>
      </c>
      <c r="C218" s="22" t="str">
        <f>_xlfn.CONCAT(sample_xreg_wsa_nodec_hostname,".",sample_parent_dns_zone)</f>
        <v>xint-idm01c.rainpole.io</v>
      </c>
      <c r="D218" s="18" t="str">
        <f>xreg_wsa_nodec_fqdn</f>
        <v>Value Missing.Value Missing</v>
      </c>
      <c r="E218" s="53"/>
    </row>
    <row r="219" spans="2:5" ht="16" customHeight="1"/>
    <row r="220" spans="2:5" ht="34" customHeight="1">
      <c r="B220" s="344" t="s">
        <v>3420</v>
      </c>
      <c r="C220" s="344"/>
      <c r="D220" s="344"/>
      <c r="E220" s="344"/>
    </row>
    <row r="221" spans="2:5" ht="20" customHeight="1">
      <c r="B221" s="8" t="s">
        <v>735</v>
      </c>
      <c r="C221" s="8" t="s">
        <v>554</v>
      </c>
      <c r="D221" s="20" t="s">
        <v>555</v>
      </c>
      <c r="E221" s="8" t="s">
        <v>222</v>
      </c>
    </row>
    <row r="222" spans="2:5" ht="20" customHeight="1">
      <c r="B222" s="21" t="s">
        <v>3328</v>
      </c>
      <c r="C222" s="22" t="str">
        <f>_xlfn.CONCAT(sample_xreg_vrops_nodea_hostname,".",sample_parent_dns_zone)</f>
        <v>xint-ops01a.rainpole.io</v>
      </c>
      <c r="D222" s="18" t="str">
        <f>xreg_vrops_nodea_fqdn</f>
        <v>Value Missing.Value Missing</v>
      </c>
      <c r="E222" s="53"/>
    </row>
    <row r="223" spans="2:5" ht="20" customHeight="1">
      <c r="B223" s="21" t="s">
        <v>306</v>
      </c>
      <c r="C223" s="22" t="str">
        <f>_xlfn.CONCAT("DNS=",sample_xregion_dns2_ip)</f>
        <v>DNS=10.11.10.5</v>
      </c>
      <c r="D223" s="18" t="str">
        <f>_xlfn.CONCAT("DNS=",xregion_dns2_ip)</f>
        <v>DNS=Value Missing</v>
      </c>
      <c r="E223" s="53"/>
    </row>
    <row r="224" spans="2:5" ht="20" customHeight="1">
      <c r="B224" s="26" t="s">
        <v>2816</v>
      </c>
      <c r="C224" s="22" t="str">
        <f>sample_parent_dns_zone</f>
        <v>rainpole.io</v>
      </c>
      <c r="D224" s="18" t="str">
        <f>parent_dns_zone</f>
        <v>Value Missing</v>
      </c>
      <c r="E224" s="53"/>
    </row>
    <row r="225" spans="2:5" ht="20" customHeight="1">
      <c r="B225" s="26" t="s">
        <v>3327</v>
      </c>
      <c r="C225" s="22" t="str">
        <f>_xlfn.CONCAT(sample_xreg_vrops_nodeb_hostname,".",sample_parent_dns_zone)</f>
        <v>xint-ops01b.rainpole.io</v>
      </c>
      <c r="D225" s="18" t="str">
        <f>xreg_vrops_nodeb_fqdn</f>
        <v>Value Missing.Value Missing</v>
      </c>
      <c r="E225" s="53"/>
    </row>
    <row r="226" spans="2:5" ht="20" customHeight="1">
      <c r="B226" s="26" t="s">
        <v>3326</v>
      </c>
      <c r="C226" s="22" t="str">
        <f>_xlfn.CONCAT(sample_xreg_vrops_nodec_hostname,".",sample_parent_dns_zone)</f>
        <v>xint-ops01c.rainpole.io</v>
      </c>
      <c r="D226" s="18" t="str">
        <f>xreg_vrops_nodec_fqdn</f>
        <v>Value Missing.Value Missing</v>
      </c>
      <c r="E226" s="53"/>
    </row>
    <row r="227" spans="2:5" ht="16" customHeight="1"/>
    <row r="228" spans="2:5" ht="34" customHeight="1">
      <c r="B228" s="344" t="s">
        <v>3421</v>
      </c>
      <c r="C228" s="344"/>
      <c r="D228" s="344"/>
      <c r="E228" s="344"/>
    </row>
    <row r="229" spans="2:5" ht="20" customHeight="1">
      <c r="B229" s="8" t="s">
        <v>735</v>
      </c>
      <c r="C229" s="8" t="s">
        <v>554</v>
      </c>
      <c r="D229" s="20" t="s">
        <v>555</v>
      </c>
      <c r="E229" s="8" t="s">
        <v>222</v>
      </c>
    </row>
    <row r="230" spans="2:5" ht="20" customHeight="1">
      <c r="B230" s="21" t="s">
        <v>3369</v>
      </c>
      <c r="C230" s="22" t="str">
        <f>_xlfn.CONCAT(sample_xreg_vrops_virtual_hostname,".",sample_parent_dns_zone)</f>
        <v>xint-ops01.rainpole.io</v>
      </c>
      <c r="D230" s="18" t="str">
        <f>xreg_vrops_virtual_fqdn</f>
        <v>Value Missing.Value Missing</v>
      </c>
      <c r="E230" s="53"/>
    </row>
    <row r="231" spans="2:5" ht="20" customHeight="1">
      <c r="B231" s="21" t="s">
        <v>2830</v>
      </c>
      <c r="C231" s="22" t="str">
        <f>sample_xregion_ntp2_server</f>
        <v>ntp.lax.rainpole.io</v>
      </c>
      <c r="D231" s="18" t="str">
        <f>xregion_ntp2_server</f>
        <v/>
      </c>
      <c r="E231" s="53"/>
    </row>
    <row r="232" spans="2:5" ht="16" customHeight="1"/>
    <row r="233" spans="2:5" ht="34" customHeight="1">
      <c r="B233" s="344" t="s">
        <v>3274</v>
      </c>
      <c r="C233" s="344"/>
      <c r="D233" s="344"/>
      <c r="E233" s="344"/>
    </row>
    <row r="234" spans="2:5" ht="20" customHeight="1">
      <c r="B234" s="8" t="s">
        <v>735</v>
      </c>
      <c r="C234" s="8" t="s">
        <v>554</v>
      </c>
      <c r="D234" s="20" t="s">
        <v>555</v>
      </c>
      <c r="E234" s="8" t="s">
        <v>222</v>
      </c>
    </row>
    <row r="235" spans="2:5" ht="20" customHeight="1">
      <c r="B235" s="21" t="s">
        <v>3371</v>
      </c>
      <c r="C235" s="22" t="str">
        <f>_xlfn.CONCAT(sample_xreg_vra_nodea_hostname,".",sample_parent_dns_zone)</f>
        <v>xint-cmp01a.rainpole.io</v>
      </c>
      <c r="D235" s="18" t="str">
        <f>xreg_vra_nodea_fqdn</f>
        <v>Value Missing.Value Missing</v>
      </c>
      <c r="E235" s="53"/>
    </row>
    <row r="236" spans="2:5" ht="20" customHeight="1">
      <c r="B236" s="21" t="s">
        <v>306</v>
      </c>
      <c r="C236" s="22" t="str">
        <f>_xlfn.CONCAT(sample_xregion_dns1_ip,",",sample_xregion_dns2_ip)</f>
        <v>10.11.10.4,10.11.10.5</v>
      </c>
      <c r="D236" s="18" t="str">
        <f>_xlfn.CONCAT(xregion_dns1_ip,",",xregion_dns2_ip)</f>
        <v>Value Missing,Value Missing</v>
      </c>
      <c r="E236" s="53"/>
    </row>
    <row r="237" spans="2:5" ht="20" customHeight="1">
      <c r="B237" s="26" t="s">
        <v>2816</v>
      </c>
      <c r="C237" s="22" t="str">
        <f>sample_parent_dns_zone</f>
        <v>rainpole.io</v>
      </c>
      <c r="D237" s="18" t="str">
        <f>parent_dns_zone</f>
        <v>Value Missing</v>
      </c>
      <c r="E237" s="53"/>
    </row>
    <row r="238" spans="2:5" ht="20" customHeight="1">
      <c r="B238" s="26" t="s">
        <v>3372</v>
      </c>
      <c r="C238" s="22" t="str">
        <f>_xlfn.CONCAT(sample_xreg_vra_nodeb_hostname,".",sample_parent_dns_zone)</f>
        <v>xint-cmp01b.rainpole.io</v>
      </c>
      <c r="D238" s="18" t="str">
        <f>xreg_vra_nodeb_fqdn</f>
        <v>Value Missing.Value Missing</v>
      </c>
      <c r="E238" s="53"/>
    </row>
    <row r="239" spans="2:5" ht="21" customHeight="1">
      <c r="B239" s="26" t="s">
        <v>3373</v>
      </c>
      <c r="C239" s="22" t="str">
        <f>_xlfn.CONCAT(sample_xreg_vra_nodec_hostname,".",sample_parent_dns_zone)</f>
        <v>xint-cmp01c.rainpole.io</v>
      </c>
      <c r="D239" s="18" t="str">
        <f>xreg_vra_nodec_fqdn</f>
        <v>Value Missing.Value Missing</v>
      </c>
      <c r="E239" s="53"/>
    </row>
    <row r="240" spans="2:5" ht="16" customHeight="1"/>
    <row r="241" spans="2:5" ht="34" customHeight="1">
      <c r="B241" s="344" t="s">
        <v>3275</v>
      </c>
      <c r="C241" s="344"/>
      <c r="D241" s="344"/>
      <c r="E241" s="344"/>
    </row>
    <row r="242" spans="2:5" ht="20" customHeight="1">
      <c r="B242" s="8" t="s">
        <v>735</v>
      </c>
      <c r="C242" s="8" t="s">
        <v>554</v>
      </c>
      <c r="D242" s="20" t="s">
        <v>555</v>
      </c>
      <c r="E242" s="8" t="s">
        <v>222</v>
      </c>
    </row>
    <row r="243" spans="2:5" ht="20" customHeight="1">
      <c r="B243" s="21" t="s">
        <v>3371</v>
      </c>
      <c r="C243" s="22" t="str">
        <f>_xlfn.CONCAT(sample_xreg_vra_virtual_hostname,".",sample_parent_dns_zone)</f>
        <v>xint-cmp01.rainpole.io</v>
      </c>
      <c r="D243" s="18" t="str">
        <f>xreg_vra_virtual_fqdn</f>
        <v>Value Missing.Value Missing</v>
      </c>
      <c r="E243" s="53"/>
    </row>
    <row r="244" spans="2:5" ht="20" customHeight="1">
      <c r="B244" s="21" t="s">
        <v>2827</v>
      </c>
      <c r="C244" s="22" t="str">
        <f>_xlfn.CONCAT(sample_xregion_ntp1_server,",",sample_xregion_ntp2_server)</f>
        <v>ntp.sfo.rainpole.io,ntp.lax.rainpole.io</v>
      </c>
      <c r="D244" s="18" t="str">
        <f>_xlfn.CONCAT(xregion_ntp1_server,",",xregion_ntp2_server)</f>
        <v>,</v>
      </c>
      <c r="E244" s="53"/>
    </row>
    <row r="245" spans="2:5" ht="16" customHeight="1"/>
    <row r="246" spans="2:5" ht="34" customHeight="1">
      <c r="B246" s="386" t="s">
        <v>2831</v>
      </c>
      <c r="C246" s="387"/>
      <c r="D246" s="387"/>
      <c r="E246" s="387"/>
    </row>
    <row r="247" spans="2:5" ht="16" customHeight="1"/>
    <row r="248" spans="2:5" ht="34" customHeight="1">
      <c r="B248" s="344" t="s">
        <v>2832</v>
      </c>
      <c r="C248" s="344"/>
      <c r="D248" s="344"/>
      <c r="E248" s="344"/>
    </row>
    <row r="249" spans="2:5" ht="20" customHeight="1">
      <c r="B249" s="8" t="s">
        <v>735</v>
      </c>
      <c r="C249" s="8" t="s">
        <v>554</v>
      </c>
      <c r="D249" s="20" t="s">
        <v>555</v>
      </c>
      <c r="E249" s="8" t="s">
        <v>222</v>
      </c>
    </row>
    <row r="250" spans="2:5" ht="20" customHeight="1">
      <c r="B250" s="21" t="s">
        <v>1938</v>
      </c>
      <c r="C250" s="22" t="str">
        <f>_xlfn.CONCAT(sample_mgmt_vc_hostname,".",sample_child_dns_zone)</f>
        <v>sfo-m01-vc01.sfo.rainpole.io</v>
      </c>
      <c r="D250" s="18" t="str">
        <f>mgmt_vc_fqdn</f>
        <v>Value Missing.Value Missing</v>
      </c>
      <c r="E250" s="53"/>
    </row>
    <row r="251" spans="2:5" ht="20" customHeight="1">
      <c r="B251" s="21" t="s">
        <v>2296</v>
      </c>
      <c r="C251" s="22" t="str">
        <f>sample_mgmt_vrms_vm_folder</f>
        <v>sfo-m01-fd-vrms</v>
      </c>
      <c r="D251" s="18" t="str">
        <f>mgmt_vrms_vm_folder</f>
        <v>Value Missing</v>
      </c>
      <c r="E251" s="53"/>
    </row>
    <row r="252" spans="2:5" ht="16" customHeight="1"/>
    <row r="253" spans="2:5" ht="34" customHeight="1">
      <c r="B253" s="344" t="s">
        <v>2833</v>
      </c>
      <c r="C253" s="344"/>
      <c r="D253" s="344"/>
      <c r="E253" s="344"/>
    </row>
    <row r="254" spans="2:5" ht="20" customHeight="1">
      <c r="B254" s="8" t="s">
        <v>735</v>
      </c>
      <c r="C254" s="8" t="s">
        <v>554</v>
      </c>
      <c r="D254" s="20" t="s">
        <v>555</v>
      </c>
      <c r="E254" s="8" t="s">
        <v>222</v>
      </c>
    </row>
    <row r="255" spans="2:5" ht="20" customHeight="1">
      <c r="B255" s="21" t="s">
        <v>1938</v>
      </c>
      <c r="C255" s="22" t="str">
        <f>_xlfn.CONCAT(sample_mgmt_vc_hostname,".",sample_child_dns_zone)</f>
        <v>sfo-m01-vc01.sfo.rainpole.io</v>
      </c>
      <c r="D255" s="18" t="str">
        <f>mgmt_vc_fqdn</f>
        <v>Value Missing.Value Missing</v>
      </c>
      <c r="E255" s="53"/>
    </row>
    <row r="256" spans="2:5" ht="20" customHeight="1">
      <c r="B256" s="26" t="s">
        <v>843</v>
      </c>
      <c r="C256" s="22" t="str">
        <f>sample_mgmt_cl01_cluster</f>
        <v>sfo-m01-cl01</v>
      </c>
      <c r="D256" s="18" t="str">
        <f>mgmt_cl01_cluster</f>
        <v>Value Missing</v>
      </c>
      <c r="E256" s="53"/>
    </row>
    <row r="257" spans="2:5" ht="20" customHeight="1">
      <c r="B257" s="26" t="s">
        <v>2297</v>
      </c>
      <c r="C257" s="22" t="str">
        <f>sample_mgmt_vrms_hostname</f>
        <v>sfo-m01-vrms01</v>
      </c>
      <c r="D257" s="18" t="str">
        <f>mgmt_vrms_hostname</f>
        <v>Value Missing</v>
      </c>
      <c r="E257" s="53"/>
    </row>
    <row r="258" spans="2:5" ht="20" customHeight="1">
      <c r="B258" s="26" t="s">
        <v>1797</v>
      </c>
      <c r="C258" s="22" t="str">
        <f>sample_mgmt_vrms_vm_folder</f>
        <v>sfo-m01-fd-vrms</v>
      </c>
      <c r="D258" s="18" t="str">
        <f>mgmt_vrms_vm_folder</f>
        <v>Value Missing</v>
      </c>
      <c r="E258" s="53"/>
    </row>
    <row r="259" spans="2:5" ht="20" customHeight="1">
      <c r="B259" s="26" t="s">
        <v>2298</v>
      </c>
      <c r="C259" s="22" t="str">
        <f>sample_mgmt_cl01_cluster</f>
        <v>sfo-m01-cl01</v>
      </c>
      <c r="D259" s="18" t="str">
        <f>mgmt_cl01_cluster</f>
        <v>Value Missing</v>
      </c>
      <c r="E259" s="53"/>
    </row>
    <row r="260" spans="2:5" ht="20" customHeight="1">
      <c r="B260" s="26" t="s">
        <v>838</v>
      </c>
      <c r="C260" s="22" t="str">
        <f>sample_mgmt_cl01_vsan_datastore</f>
        <v>sfo-m01-cl01-ds-vsan01</v>
      </c>
      <c r="D260" s="18" t="str">
        <f>mgmt_cl01_vsan_datastore</f>
        <v>Value Missing</v>
      </c>
      <c r="E260" s="53"/>
    </row>
    <row r="261" spans="2:5" ht="20" customHeight="1">
      <c r="B261" s="21" t="s">
        <v>2300</v>
      </c>
      <c r="C261" s="22" t="str">
        <f>sample_mgmt_cl01_az1_mgmt_pg</f>
        <v>sfo-m01-cl01-vds01-pg-esxi-mgmt</v>
      </c>
      <c r="D261" s="18" t="str">
        <f>mgmt_cl01_az1_mgmt_pg</f>
        <v>Value Missing</v>
      </c>
      <c r="E261" s="53"/>
    </row>
    <row r="262" spans="2:5" ht="20" customHeight="1">
      <c r="B262" s="21" t="s">
        <v>2834</v>
      </c>
      <c r="C262" s="22" t="str">
        <f>sample_mgmt_vrms_root_password</f>
        <v>VMw@re1!</v>
      </c>
      <c r="D262" s="18" t="str">
        <f>mgmt_vrms_root_password</f>
        <v>Value Missing</v>
      </c>
      <c r="E262" s="53"/>
    </row>
    <row r="263" spans="2:5" ht="20" customHeight="1">
      <c r="B263" s="26" t="s">
        <v>2835</v>
      </c>
      <c r="C263" s="22" t="str">
        <f>sample_mgmt_vrms_admin_password</f>
        <v>VMw@re1!</v>
      </c>
      <c r="D263" s="18" t="str">
        <f>mgmt_vrms_admin_password</f>
        <v>Value Missing</v>
      </c>
      <c r="E263" s="53"/>
    </row>
    <row r="264" spans="2:5" ht="20" customHeight="1">
      <c r="B264" s="26" t="s">
        <v>1693</v>
      </c>
      <c r="C264" s="22" t="str">
        <f>sample_region_ntp1_server</f>
        <v>ntp.sfo.rainpole.io</v>
      </c>
      <c r="D264" s="18" t="str">
        <f>region_ntp1_server</f>
        <v>Value Missing</v>
      </c>
      <c r="E264" s="53"/>
    </row>
    <row r="265" spans="2:5" ht="20" customHeight="1">
      <c r="B265" s="21" t="s">
        <v>1686</v>
      </c>
      <c r="C265" s="22" t="str">
        <f>_xlfn.CONCAT(sample_mgmt_vrms_hostname,".",sample_child_dns_zone)</f>
        <v>sfo-m01-vrms01.sfo.rainpole.io</v>
      </c>
      <c r="D265" s="18" t="str">
        <f>mgmt_vrms_fqdn</f>
        <v>Value Missing.Value Missing</v>
      </c>
      <c r="E265" s="53"/>
    </row>
    <row r="266" spans="2:5" ht="20" customHeight="1">
      <c r="B266" s="21" t="s">
        <v>1689</v>
      </c>
      <c r="C266" s="22" t="str">
        <f>sample_mgmt_az1_mgmt_vm_gateway_ip</f>
        <v>10.11.10.1</v>
      </c>
      <c r="D266" s="18" t="str">
        <f>mgmt_az1_mgmt_gateway_ip</f>
        <v>Value Missing</v>
      </c>
      <c r="E266" s="53"/>
    </row>
    <row r="267" spans="2:5" ht="20" customHeight="1">
      <c r="B267" s="26" t="s">
        <v>905</v>
      </c>
      <c r="C267" s="22" t="str">
        <f>sample_child_dns_zone</f>
        <v>sfo.rainpole.io</v>
      </c>
      <c r="D267" s="18" t="str">
        <f>child_dns_zone</f>
        <v>Value Missing</v>
      </c>
      <c r="E267" s="53"/>
    </row>
    <row r="268" spans="2:5" ht="20" customHeight="1">
      <c r="B268" s="26" t="s">
        <v>2836</v>
      </c>
      <c r="C268" s="22" t="str">
        <f>sample_child_dns_zone</f>
        <v>sfo.rainpole.io</v>
      </c>
      <c r="D268" s="18" t="str">
        <f>child_dns_zone</f>
        <v>Value Missing</v>
      </c>
      <c r="E268" s="53"/>
    </row>
    <row r="269" spans="2:5" ht="20" customHeight="1">
      <c r="B269" s="26" t="s">
        <v>2301</v>
      </c>
      <c r="C269" s="22" t="str">
        <f>_xlfn.CONCAT(sample_region_dns1_ip,",",sample_region_dns2_ip)</f>
        <v>10.11.10.4,10.11.10.5</v>
      </c>
      <c r="D269" s="18" t="str">
        <f>_xlfn.CONCAT(region_dns1_ip,",",region_dns2_ip)</f>
        <v>Value Missing,Value Missing</v>
      </c>
      <c r="E269" s="53"/>
    </row>
    <row r="270" spans="2:5" ht="20" customHeight="1">
      <c r="B270" s="26" t="s">
        <v>1687</v>
      </c>
      <c r="C270" s="22" t="str">
        <f>sample_mgmt_vrms_mgmt_ip</f>
        <v>10.11.10.125</v>
      </c>
      <c r="D270" s="18" t="str">
        <f>mgmt_vrms_mgmt_ip</f>
        <v>Value Missing</v>
      </c>
      <c r="E270" s="53"/>
    </row>
    <row r="271" spans="2:5" ht="20" customHeight="1">
      <c r="B271" s="26" t="s">
        <v>2837</v>
      </c>
      <c r="C271" s="22">
        <f>INT(RIGHT(sample_mgmt_az1_mgmt_cidr,LEN(sample_mgmt_az1_mgmt_cidr)-FIND("/",sample_mgmt_az1_mgmt_cidr)))</f>
        <v>24</v>
      </c>
      <c r="D271" s="18" t="str">
        <f>IF(mgmt_az1_mgmt_cidr="Value Missing","Value Missing",INT(RIGHT(mgmt_az1_mgmt_cidr,LEN(mgmt_az1_mgmt_cidr)-FIND("/",mgmt_az1_mgmt_cidr))))</f>
        <v>Value Missing</v>
      </c>
      <c r="E271" s="53"/>
    </row>
    <row r="272" spans="2:5" ht="16" customHeight="1"/>
    <row r="273" spans="2:5" ht="34" customHeight="1">
      <c r="B273" s="344" t="s">
        <v>2838</v>
      </c>
      <c r="C273" s="344"/>
      <c r="D273" s="344"/>
      <c r="E273" s="344"/>
    </row>
    <row r="274" spans="2:5" ht="20" customHeight="1">
      <c r="B274" s="8" t="s">
        <v>735</v>
      </c>
      <c r="C274" s="8" t="s">
        <v>554</v>
      </c>
      <c r="D274" s="20" t="s">
        <v>555</v>
      </c>
      <c r="E274" s="8" t="s">
        <v>222</v>
      </c>
    </row>
    <row r="275" spans="2:5" ht="20" customHeight="1">
      <c r="B275" s="21" t="s">
        <v>2839</v>
      </c>
      <c r="C275" s="22" t="str">
        <f>_xlfn.CONCAT(sample_mgmt_vrms_hostname,".",sample_child_dns_zone)</f>
        <v>sfo-m01-vrms01.sfo.rainpole.io</v>
      </c>
      <c r="D275" s="18" t="str">
        <f>mgmt_vrms_fqdn</f>
        <v>Value Missing.Value Missing</v>
      </c>
      <c r="E275" s="53"/>
    </row>
    <row r="276" spans="2:5" ht="20" customHeight="1">
      <c r="B276" s="21" t="s">
        <v>2840</v>
      </c>
      <c r="C276" s="22" t="str">
        <f>sample_mgmt_vrms_p12_password</f>
        <v>VMw@re1!</v>
      </c>
      <c r="D276" s="18" t="str">
        <f>mgmt_vrms_p12_password</f>
        <v>Value Missing</v>
      </c>
      <c r="E276" s="53"/>
    </row>
    <row r="277" spans="2:5" ht="16" customHeight="1"/>
    <row r="278" spans="2:5" ht="34" customHeight="1">
      <c r="B278" s="344" t="s">
        <v>2841</v>
      </c>
      <c r="C278" s="344"/>
      <c r="D278" s="344"/>
      <c r="E278" s="344"/>
    </row>
    <row r="279" spans="2:5" ht="20" customHeight="1">
      <c r="B279" s="8" t="s">
        <v>735</v>
      </c>
      <c r="C279" s="8" t="s">
        <v>554</v>
      </c>
      <c r="D279" s="20" t="s">
        <v>555</v>
      </c>
      <c r="E279" s="8" t="s">
        <v>222</v>
      </c>
    </row>
    <row r="280" spans="2:5" ht="20" customHeight="1">
      <c r="B280" s="21" t="s">
        <v>2839</v>
      </c>
      <c r="C280" s="22" t="str">
        <f>_xlfn.CONCAT(sample_mgmt_vrms_hostname,".",sample_child_dns_zone)</f>
        <v>sfo-m01-vrms01.sfo.rainpole.io</v>
      </c>
      <c r="D280" s="18" t="str">
        <f>mgmt_vrms_fqdn</f>
        <v>Value Missing.Value Missing</v>
      </c>
      <c r="E280" s="53"/>
    </row>
    <row r="281" spans="2:5" ht="20" customHeight="1">
      <c r="B281" s="26" t="s">
        <v>2842</v>
      </c>
      <c r="C281" s="22" t="str">
        <f>_xlfn.CONCAT(sample_mgmt_vc_hostname,".",sample_child_dns_zone)</f>
        <v>sfo-m01-vc01.sfo.rainpole.io</v>
      </c>
      <c r="D281" s="18" t="str">
        <f>mgmt_vc_fqdn</f>
        <v>Value Missing.Value Missing</v>
      </c>
      <c r="E281" s="53"/>
    </row>
    <row r="282" spans="2:5" ht="20" customHeight="1">
      <c r="B282" s="26" t="s">
        <v>1795</v>
      </c>
      <c r="C282" s="22" t="s">
        <v>1045</v>
      </c>
      <c r="D282" s="18" t="str">
        <f>C282</f>
        <v>administrator@vsphere.local</v>
      </c>
      <c r="E282" s="53"/>
    </row>
    <row r="283" spans="2:5" ht="20" customHeight="1">
      <c r="B283" s="26" t="s">
        <v>1796</v>
      </c>
      <c r="C283" s="22" t="str">
        <f>sample_administrator_vsphere_local_password</f>
        <v>VMw@re1!</v>
      </c>
      <c r="D283" s="18" t="str">
        <f>_xlfn.SINGLE(administrator_vsphere_local_password)</f>
        <v>Value Missing</v>
      </c>
      <c r="E283" s="53"/>
    </row>
    <row r="284" spans="2:5" ht="20" customHeight="1">
      <c r="B284" s="26" t="s">
        <v>637</v>
      </c>
      <c r="C284" s="22" t="str">
        <f>_xlfn.CONCAT(sample_mgmt_vc_hostname,".",sample_child_dns_zone)</f>
        <v>sfo-m01-vc01.sfo.rainpole.io</v>
      </c>
      <c r="D284" s="18" t="str">
        <f>mgmt_vc_fqdn</f>
        <v>Value Missing.Value Missing</v>
      </c>
      <c r="E284" s="53"/>
    </row>
    <row r="285" spans="2:5" ht="20" customHeight="1">
      <c r="B285" s="26" t="s">
        <v>1052</v>
      </c>
      <c r="C285" s="22" t="str">
        <f>sample_mgmt_vrms_site_name</f>
        <v>SFO-M01</v>
      </c>
      <c r="D285" s="18" t="str">
        <f>mgmt_vrms_site_name</f>
        <v>Value Missing</v>
      </c>
      <c r="E285" s="53"/>
    </row>
    <row r="286" spans="2:5" ht="20" customHeight="1">
      <c r="B286" s="21" t="s">
        <v>2843</v>
      </c>
      <c r="C286" s="22" t="str">
        <f>sample_mgmt_vrms_admin_email</f>
        <v>vrms-administrator@rainpole.io</v>
      </c>
      <c r="D286" s="18" t="str">
        <f>mgmt_vrms_admin_email</f>
        <v>Value Missing</v>
      </c>
      <c r="E286" s="53"/>
    </row>
    <row r="287" spans="2:5" ht="20" customHeight="1">
      <c r="B287" s="21" t="s">
        <v>2844</v>
      </c>
      <c r="C287" s="22" t="str">
        <f>_xlfn.CONCAT(sample_mgmt_vrms_hostname,".",sample_child_dns_zone)</f>
        <v>sfo-m01-vrms01.sfo.rainpole.io</v>
      </c>
      <c r="D287" s="18" t="str">
        <f>mgmt_vrms_fqdn</f>
        <v>Value Missing.Value Missing</v>
      </c>
      <c r="E287" s="53"/>
    </row>
    <row r="288" spans="2:5" ht="16" customHeight="1"/>
    <row r="289" spans="2:5" ht="34" customHeight="1">
      <c r="B289" s="344" t="s">
        <v>2845</v>
      </c>
      <c r="C289" s="344"/>
      <c r="D289" s="344"/>
      <c r="E289" s="344"/>
    </row>
    <row r="290" spans="2:5" ht="20" customHeight="1">
      <c r="B290" s="8" t="s">
        <v>735</v>
      </c>
      <c r="C290" s="8" t="s">
        <v>554</v>
      </c>
      <c r="D290" s="20" t="s">
        <v>555</v>
      </c>
      <c r="E290" s="8" t="s">
        <v>222</v>
      </c>
    </row>
    <row r="291" spans="2:5" ht="20" customHeight="1">
      <c r="B291" s="26" t="s">
        <v>1938</v>
      </c>
      <c r="C291" s="22" t="str">
        <f>_xlfn.CONCAT(sample_mgmt_vc_hostname,".",sample_child_dns_zone)</f>
        <v>sfo-m01-vc01.sfo.rainpole.io</v>
      </c>
      <c r="D291" s="18" t="str">
        <f>mgmt_vc_fqdn</f>
        <v>Value Missing.Value Missing</v>
      </c>
      <c r="E291" s="53"/>
    </row>
    <row r="292" spans="2:5" ht="20" customHeight="1">
      <c r="B292" s="26" t="s">
        <v>2846</v>
      </c>
      <c r="C292" s="22" t="str">
        <f>sample_mgmt_cl01_vds01_name</f>
        <v>sfo-m01-cl01-vds01</v>
      </c>
      <c r="D292" s="18" t="str">
        <f>mgmt_cl01_vds01_name</f>
        <v>Value Missing</v>
      </c>
      <c r="E292" s="53"/>
    </row>
    <row r="293" spans="2:5" ht="20" customHeight="1">
      <c r="B293" s="26" t="s">
        <v>735</v>
      </c>
      <c r="C293" s="22" t="str">
        <f>sample_mgmt_vrms_pg</f>
        <v>sfo01-m01-cl01-vds01-pg-vrms</v>
      </c>
      <c r="D293" s="18" t="str">
        <f>mgmt_vrms_pg</f>
        <v>Value Missing</v>
      </c>
      <c r="E293" s="53"/>
    </row>
    <row r="294" spans="2:5" ht="20" customHeight="1">
      <c r="B294" s="26" t="s">
        <v>1697</v>
      </c>
      <c r="C294" s="22" t="str">
        <f>sample_mgmt_az1_vrms_vlan</f>
        <v>1116</v>
      </c>
      <c r="D294" s="18" t="str">
        <f>mgmt_vrms_vlan</f>
        <v>Value Missing</v>
      </c>
      <c r="E294" s="53"/>
    </row>
    <row r="295" spans="2:5" ht="16" customHeight="1"/>
    <row r="296" spans="2:5" ht="34" customHeight="1">
      <c r="B296" s="344" t="s">
        <v>2847</v>
      </c>
      <c r="C296" s="344"/>
      <c r="D296" s="344"/>
      <c r="E296" s="344"/>
    </row>
    <row r="297" spans="2:5" ht="20" customHeight="1">
      <c r="B297" s="8" t="s">
        <v>735</v>
      </c>
      <c r="C297" s="8" t="s">
        <v>554</v>
      </c>
      <c r="D297" s="20" t="s">
        <v>555</v>
      </c>
      <c r="E297" s="8" t="s">
        <v>222</v>
      </c>
    </row>
    <row r="298" spans="2:5" ht="20" customHeight="1">
      <c r="B298" s="26" t="s">
        <v>1938</v>
      </c>
      <c r="C298" s="22" t="str">
        <f>_xlfn.CONCAT(sample_mgmt_vc_hostname,".",sample_child_dns_zone)</f>
        <v>sfo-m01-vc01.sfo.rainpole.io</v>
      </c>
      <c r="D298" s="18" t="str">
        <f>mgmt_vc_fqdn</f>
        <v>Value Missing.Value Missing</v>
      </c>
      <c r="E298" s="53"/>
    </row>
    <row r="299" spans="2:5" ht="20" customHeight="1">
      <c r="B299" s="26" t="s">
        <v>843</v>
      </c>
      <c r="C299" s="22" t="str">
        <f>sample_mgmt_cl01_cluster</f>
        <v>sfo-m01-cl01</v>
      </c>
      <c r="D299" s="18" t="str">
        <f>mgmt_cl01_cluster</f>
        <v>Value Missing</v>
      </c>
      <c r="E299" s="53"/>
    </row>
    <row r="300" spans="2:5" ht="20" customHeight="1">
      <c r="B300" s="26" t="s">
        <v>2848</v>
      </c>
      <c r="C300" s="22" t="str">
        <f>sample_mgmt_vrms_hostname</f>
        <v>sfo-m01-vrms01</v>
      </c>
      <c r="D300" s="18" t="str">
        <f>mgmt_vrms_hostname</f>
        <v>Value Missing</v>
      </c>
      <c r="E300" s="53"/>
    </row>
    <row r="301" spans="2:5" ht="20" customHeight="1">
      <c r="B301" s="26" t="s">
        <v>2849</v>
      </c>
      <c r="C301" s="22" t="str">
        <f>sample_mgmt_vrms_pg</f>
        <v>sfo01-m01-cl01-vds01-pg-vrms</v>
      </c>
      <c r="D301" s="18" t="str">
        <f>mgmt_vrms_pg</f>
        <v>Value Missing</v>
      </c>
      <c r="E301" s="53"/>
    </row>
    <row r="302" spans="2:5" ht="20" customHeight="1">
      <c r="B302" s="26" t="s">
        <v>2850</v>
      </c>
      <c r="C302" s="22" t="str">
        <f>_xlfn.CONCAT(sample_mgmt_vrms_hostname,".",sample_child_dns_zone)</f>
        <v>sfo-m01-vrms01.sfo.rainpole.io</v>
      </c>
      <c r="D302" s="18" t="str">
        <f>mgmt_vrms_fqdn</f>
        <v>Value Missing.Value Missing</v>
      </c>
      <c r="E302" s="53"/>
    </row>
    <row r="303" spans="2:5" ht="20" customHeight="1">
      <c r="B303" s="26" t="s">
        <v>2851</v>
      </c>
      <c r="C303" s="22" t="str">
        <f>sample_mgmt_vrms_vrms_ip</f>
        <v>10.11.16.125</v>
      </c>
      <c r="D303" s="18" t="str">
        <f>mgmt_vrms_vrms_ip</f>
        <v>Value Missing</v>
      </c>
      <c r="E303" s="53"/>
    </row>
    <row r="304" spans="2:5" ht="20" customHeight="1">
      <c r="B304" s="26" t="s">
        <v>2852</v>
      </c>
      <c r="C304" s="22">
        <f>INT(RIGHT(sample_mgmt_az1_vrms_cidr,LEN(sample_mgmt_az1_vrms_cidr)-FIND("/",sample_mgmt_az1_vrms_cidr)))</f>
        <v>24</v>
      </c>
      <c r="D304" s="18" t="str">
        <f>IF(mgmt_az1_vrms_cidr="Value Missing","Value Missing",INT(RIGHT(mgmt_az1_vrms_cidr,LEN(mgmt_az1_vrms_cidr)-FIND("/",mgmt_az1_vrms_cidr))))</f>
        <v>Value Missing</v>
      </c>
      <c r="E304" s="53"/>
    </row>
    <row r="305" spans="2:5" ht="20" customHeight="1">
      <c r="B305" s="21" t="s">
        <v>2853</v>
      </c>
      <c r="C305" s="22" t="str">
        <f>sample_mgmt_az1_mgmt_gateway_ip</f>
        <v>10.11.11.1</v>
      </c>
      <c r="D305" s="18" t="str">
        <f>mgmt_az1_mgmt_gateway_ip</f>
        <v>Value Missing</v>
      </c>
      <c r="E305" s="53"/>
    </row>
    <row r="306" spans="2:5" ht="20" customHeight="1">
      <c r="B306" s="21" t="s">
        <v>2854</v>
      </c>
      <c r="C306" s="22" t="str">
        <f>sample_mgmt_vrms_vrms_ip</f>
        <v>10.11.16.125</v>
      </c>
      <c r="D306" s="18" t="str">
        <f>mgmt_vrms_vrms_ip</f>
        <v>Value Missing</v>
      </c>
      <c r="E306" s="53"/>
    </row>
    <row r="307" spans="2:5" ht="20" customHeight="1">
      <c r="B307" s="26" t="s">
        <v>2855</v>
      </c>
      <c r="C307" s="22" t="str">
        <f>sample_mgmt_az1_vrms_gateway_ip</f>
        <v>10.11.16.1</v>
      </c>
      <c r="D307" s="18" t="str">
        <f>mgmt_az1_vrms_gateway_ip</f>
        <v>Value Missing</v>
      </c>
      <c r="E307" s="53"/>
    </row>
    <row r="308" spans="2:5" ht="20" customHeight="1">
      <c r="B308" s="26" t="s">
        <v>2856</v>
      </c>
      <c r="C308" s="22" t="str">
        <f>sample_mgmt_vrms_recovery_replication_cidr</f>
        <v>10.21.16.0/24</v>
      </c>
      <c r="D308" s="18" t="str">
        <f>mgmt_vrms_recovery_replication_cidr</f>
        <v>Value Missing</v>
      </c>
      <c r="E308" s="53"/>
    </row>
    <row r="309" spans="2:5" ht="16" customHeight="1"/>
    <row r="310" spans="2:5" ht="34" customHeight="1">
      <c r="B310" s="344" t="s">
        <v>2857</v>
      </c>
      <c r="C310" s="344"/>
      <c r="D310" s="344"/>
      <c r="E310" s="344"/>
    </row>
    <row r="311" spans="2:5" ht="20" customHeight="1">
      <c r="B311" s="8" t="s">
        <v>735</v>
      </c>
      <c r="C311" s="8" t="s">
        <v>554</v>
      </c>
      <c r="D311" s="20" t="s">
        <v>555</v>
      </c>
      <c r="E311" s="8" t="s">
        <v>222</v>
      </c>
    </row>
    <row r="312" spans="2:5" ht="20" customHeight="1">
      <c r="B312" s="26" t="s">
        <v>1938</v>
      </c>
      <c r="C312" s="22" t="str">
        <f>_xlfn.CONCAT(sample_mgmt_vc_hostname,".",sample_child_dns_zone)</f>
        <v>sfo-m01-vc01.sfo.rainpole.io</v>
      </c>
      <c r="D312" s="18" t="str">
        <f>mgmt_vc_fqdn</f>
        <v>Value Missing.Value Missing</v>
      </c>
      <c r="E312" s="53"/>
    </row>
    <row r="313" spans="2:5" ht="20" customHeight="1">
      <c r="B313" s="26" t="s">
        <v>843</v>
      </c>
      <c r="C313" s="22" t="str">
        <f>sample_mgmt_cl01_cluster</f>
        <v>sfo-m01-cl01</v>
      </c>
      <c r="D313" s="18" t="str">
        <f>mgmt_cl01_cluster</f>
        <v>Value Missing</v>
      </c>
      <c r="E313" s="53"/>
    </row>
    <row r="314" spans="2:5" ht="20" customHeight="1">
      <c r="B314" s="21" t="s">
        <v>2456</v>
      </c>
      <c r="C314" s="22" t="str">
        <f>sample_mgmt_vrms_pg</f>
        <v>sfo01-m01-cl01-vds01-pg-vrms</v>
      </c>
      <c r="D314" s="18" t="str">
        <f>mgmt_vrms_pg</f>
        <v>Value Missing</v>
      </c>
      <c r="E314" s="53"/>
    </row>
    <row r="315" spans="2:5" ht="20" customHeight="1">
      <c r="B315" s="553" t="s">
        <v>2858</v>
      </c>
      <c r="C315" s="572"/>
      <c r="D315" s="572"/>
      <c r="E315" s="573"/>
    </row>
    <row r="316" spans="2:5" ht="20" customHeight="1">
      <c r="B316" s="26" t="s">
        <v>2859</v>
      </c>
      <c r="C316" s="22" t="str">
        <f>_xlfn.CONCAT(sample_mgmt_az1_host1_hostname,".",sample_child_dns_zone)</f>
        <v>sfo01-m01-r01-esx01.sfo.rainpole.io</v>
      </c>
      <c r="D316" s="18" t="str">
        <f>mgmt_az1_host1_fqdn</f>
        <v>Value Missing.Value Missing</v>
      </c>
      <c r="E316" s="53"/>
    </row>
    <row r="317" spans="2:5" ht="20" customHeight="1">
      <c r="B317" s="26" t="s">
        <v>2860</v>
      </c>
      <c r="C317" s="22" t="str">
        <f>sample_mgmt_az1_host1_vrms_ip</f>
        <v>10.11.16.101</v>
      </c>
      <c r="D317" s="18" t="str">
        <f>mgmt_az1_host1_vrms_ip</f>
        <v>Value Missing</v>
      </c>
      <c r="E317" s="53"/>
    </row>
    <row r="318" spans="2:5" ht="20" customHeight="1">
      <c r="B318" s="26" t="s">
        <v>2861</v>
      </c>
      <c r="C318" s="22" t="str">
        <f>VLOOKUP(INT(RIGHT(sample_mgmt_az1_vrms_cidr,LEN(sample_mgmt_az1_vrms_cidr)-FIND("/",sample_mgmt_az1_vrms_cidr))),table_cidr_to_mask,2,FALSE)</f>
        <v>255.255.255.0</v>
      </c>
      <c r="D318" s="18" t="str">
        <f>mgmt_vrms_mask</f>
        <v>Value Missing</v>
      </c>
      <c r="E318" s="53"/>
    </row>
    <row r="319" spans="2:5" ht="20" customHeight="1">
      <c r="B319" s="26" t="s">
        <v>2862</v>
      </c>
      <c r="C319" s="22" t="str">
        <f>_xlfn.CONCAT(sample_mgmt_az1_host2_hostname,".",sample_child_dns_zone)</f>
        <v>sfo01-m01-r01-esx02.sfo.rainpole.io</v>
      </c>
      <c r="D319" s="18" t="str">
        <f>mgmt_az1_host2_fqdn</f>
        <v>Value Missing.Value Missing</v>
      </c>
      <c r="E319" s="53"/>
    </row>
    <row r="320" spans="2:5" ht="20" customHeight="1">
      <c r="B320" s="26" t="s">
        <v>2863</v>
      </c>
      <c r="C320" s="22" t="str">
        <f>sample_mgmt_az1_host2_vrms_ip</f>
        <v>10.11.16.102</v>
      </c>
      <c r="D320" s="18" t="str">
        <f>mgmt_az1_host2_vrms_ip</f>
        <v>Value Missing</v>
      </c>
      <c r="E320" s="53"/>
    </row>
    <row r="321" spans="2:5" ht="20" customHeight="1">
      <c r="B321" s="26" t="s">
        <v>2864</v>
      </c>
      <c r="C321" s="22" t="str">
        <f>VLOOKUP(INT(RIGHT(sample_mgmt_az1_vrms_cidr,LEN(sample_mgmt_az1_vrms_cidr)-FIND("/",sample_mgmt_az1_vrms_cidr))),table_cidr_to_mask,2,FALSE)</f>
        <v>255.255.255.0</v>
      </c>
      <c r="D321" s="18" t="str">
        <f>mgmt_vrms_mask</f>
        <v>Value Missing</v>
      </c>
      <c r="E321" s="53"/>
    </row>
    <row r="322" spans="2:5" ht="20" customHeight="1">
      <c r="B322" s="21" t="s">
        <v>2865</v>
      </c>
      <c r="C322" s="22" t="str">
        <f>_xlfn.CONCAT(sample_mgmt_az1_host3_hostname,".",sample_child_dns_zone)</f>
        <v>sfo01-m01-r01-esx03.sfo.rainpole.io</v>
      </c>
      <c r="D322" s="18" t="str">
        <f>mgmt_az1_host3_fqdn</f>
        <v>Value Missing.Value Missing</v>
      </c>
      <c r="E322" s="53"/>
    </row>
    <row r="323" spans="2:5" ht="20" customHeight="1">
      <c r="B323" s="21" t="s">
        <v>2866</v>
      </c>
      <c r="C323" s="22" t="str">
        <f>sample_mgmt_az1_host3_vrms_ip</f>
        <v>10.11.16.103</v>
      </c>
      <c r="D323" s="18" t="str">
        <f>mgmt_az1_host3_vrms_ip</f>
        <v>Value Missing</v>
      </c>
      <c r="E323" s="53"/>
    </row>
    <row r="324" spans="2:5" ht="20" customHeight="1">
      <c r="B324" s="21" t="s">
        <v>2867</v>
      </c>
      <c r="C324" s="22" t="str">
        <f>VLOOKUP(INT(RIGHT(sample_mgmt_az1_vrms_cidr,LEN(sample_mgmt_az1_vrms_cidr)-FIND("/",sample_mgmt_az1_vrms_cidr))),table_cidr_to_mask,2,FALSE)</f>
        <v>255.255.255.0</v>
      </c>
      <c r="D324" s="18" t="str">
        <f>mgmt_vrms_mask</f>
        <v>Value Missing</v>
      </c>
      <c r="E324" s="53"/>
    </row>
    <row r="325" spans="2:5" ht="20" customHeight="1">
      <c r="B325" s="26" t="s">
        <v>2868</v>
      </c>
      <c r="C325" s="22" t="str">
        <f>_xlfn.CONCAT(sample_mgmt_az1_host4_hostname,".",sample_child_dns_zone)</f>
        <v>sfo01-m01-r01-esx04.sfo.rainpole.io</v>
      </c>
      <c r="D325" s="18" t="str">
        <f>mgmt_az1_host4_fqdn</f>
        <v>Value Missing.Value Missing</v>
      </c>
      <c r="E325" s="53"/>
    </row>
    <row r="326" spans="2:5" ht="20" customHeight="1">
      <c r="B326" s="26" t="s">
        <v>2869</v>
      </c>
      <c r="C326" s="22" t="str">
        <f>sample_mgmt_az1_host4_vrms_ip</f>
        <v>10.11.16.104</v>
      </c>
      <c r="D326" s="18" t="str">
        <f>mgmt_az1_host4_vrms_ip</f>
        <v>Value Missing</v>
      </c>
      <c r="E326" s="53"/>
    </row>
    <row r="327" spans="2:5" ht="20" customHeight="1">
      <c r="B327" s="26" t="s">
        <v>2870</v>
      </c>
      <c r="C327" s="22" t="str">
        <f>VLOOKUP(INT(RIGHT(sample_mgmt_az1_vrms_cidr,LEN(sample_mgmt_az1_vrms_cidr)-FIND("/",sample_mgmt_az1_vrms_cidr))),table_cidr_to_mask,2,FALSE)</f>
        <v>255.255.255.0</v>
      </c>
      <c r="D327" s="18" t="str">
        <f>mgmt_vrms_mask</f>
        <v>Value Missing</v>
      </c>
      <c r="E327" s="53"/>
    </row>
    <row r="328" spans="2:5" ht="20" customHeight="1">
      <c r="B328" s="553" t="s">
        <v>2871</v>
      </c>
      <c r="C328" s="572"/>
      <c r="D328" s="572"/>
      <c r="E328" s="573"/>
    </row>
    <row r="329" spans="2:5" ht="20" customHeight="1">
      <c r="B329" s="26" t="s">
        <v>2859</v>
      </c>
      <c r="C329" s="22" t="str">
        <f>_xlfn.CONCAT(sample_mgmt_az2_host1_hostname,".",sample_child_dns_zone)</f>
        <v>sfo02-m01-r01-esx01.sfo.rainpole.io</v>
      </c>
      <c r="D329" s="18" t="str">
        <f>mgmt_az2_host1_fqdn</f>
        <v>Value Missing.Value Missing</v>
      </c>
      <c r="E329" s="53"/>
    </row>
    <row r="330" spans="2:5" ht="20" customHeight="1">
      <c r="B330" s="26" t="s">
        <v>2860</v>
      </c>
      <c r="C330" s="22" t="str">
        <f>sample_mgmt_az2_host1_vrms_ip</f>
        <v>10.11.16.201</v>
      </c>
      <c r="D330" s="18" t="str">
        <f>mgmt_az2_host1_vrms_ip</f>
        <v>Value Missing</v>
      </c>
      <c r="E330" s="53"/>
    </row>
    <row r="331" spans="2:5" ht="20" customHeight="1">
      <c r="B331" s="26" t="s">
        <v>2861</v>
      </c>
      <c r="C331" s="22" t="str">
        <f>VLOOKUP(INT(RIGHT(sample_mgmt_az1_vrms_cidr,LEN(sample_mgmt_az1_vrms_cidr)-FIND("/",sample_mgmt_az1_vrms_cidr))),table_cidr_to_mask,2,FALSE)</f>
        <v>255.255.255.0</v>
      </c>
      <c r="D331" s="18" t="str">
        <f>mgmt_vrms_mask</f>
        <v>Value Missing</v>
      </c>
      <c r="E331" s="53"/>
    </row>
    <row r="332" spans="2:5" ht="20" customHeight="1">
      <c r="B332" s="26" t="s">
        <v>2862</v>
      </c>
      <c r="C332" s="22" t="str">
        <f>_xlfn.CONCAT(sample_mgmt_az2_host2_hostname,".",sample_child_dns_zone)</f>
        <v>sfo02-m01-r01-esx02.sfo.rainpole.io</v>
      </c>
      <c r="D332" s="18" t="str">
        <f>mgmt_az2_host2_fqdn</f>
        <v>Value Missing.Value Missing</v>
      </c>
      <c r="E332" s="53"/>
    </row>
    <row r="333" spans="2:5" ht="20" customHeight="1">
      <c r="B333" s="26" t="s">
        <v>2863</v>
      </c>
      <c r="C333" s="22" t="str">
        <f>sample_mgmt_az2_host2_vrms_ip</f>
        <v>10.11.16.202</v>
      </c>
      <c r="D333" s="18" t="str">
        <f>mgmt_az2_host2_vrms_ip</f>
        <v>Value Missing</v>
      </c>
      <c r="E333" s="53"/>
    </row>
    <row r="334" spans="2:5" ht="20" customHeight="1">
      <c r="B334" s="26" t="s">
        <v>2864</v>
      </c>
      <c r="C334" s="22" t="str">
        <f>VLOOKUP(INT(RIGHT(sample_mgmt_az1_vrms_cidr,LEN(sample_mgmt_az1_vrms_cidr)-FIND("/",sample_mgmt_az1_vrms_cidr))),table_cidr_to_mask,2,FALSE)</f>
        <v>255.255.255.0</v>
      </c>
      <c r="D334" s="18" t="str">
        <f>mgmt_vrms_mask</f>
        <v>Value Missing</v>
      </c>
      <c r="E334" s="53"/>
    </row>
    <row r="335" spans="2:5" ht="20" customHeight="1">
      <c r="B335" s="21" t="s">
        <v>2865</v>
      </c>
      <c r="C335" s="22" t="str">
        <f>_xlfn.CONCAT(sample_mgmt_az2_host3_hostname,".",sample_child_dns_zone)</f>
        <v>sfo02-m01-r01-esx03.sfo.rainpole.io</v>
      </c>
      <c r="D335" s="18" t="str">
        <f>mgmt_az2_host3_fqdn</f>
        <v>Value Missing.Value Missing</v>
      </c>
      <c r="E335" s="53"/>
    </row>
    <row r="336" spans="2:5" ht="20" customHeight="1">
      <c r="B336" s="21" t="s">
        <v>2866</v>
      </c>
      <c r="C336" s="22" t="str">
        <f>sample_mgmt_az2_host3_vrms_ip</f>
        <v>10.11.16.203</v>
      </c>
      <c r="D336" s="18" t="str">
        <f>mgmt_az2_host3_vrms_ip</f>
        <v>Value Missing</v>
      </c>
      <c r="E336" s="53"/>
    </row>
    <row r="337" spans="2:5" ht="20" customHeight="1">
      <c r="B337" s="21" t="s">
        <v>2867</v>
      </c>
      <c r="C337" s="22" t="str">
        <f>VLOOKUP(INT(RIGHT(sample_mgmt_az1_vrms_cidr,LEN(sample_mgmt_az1_vrms_cidr)-FIND("/",sample_mgmt_az1_vrms_cidr))),table_cidr_to_mask,2,FALSE)</f>
        <v>255.255.255.0</v>
      </c>
      <c r="D337" s="18" t="str">
        <f>mgmt_vrms_mask</f>
        <v>Value Missing</v>
      </c>
      <c r="E337" s="53"/>
    </row>
    <row r="338" spans="2:5" ht="20" customHeight="1">
      <c r="B338" s="26" t="s">
        <v>2868</v>
      </c>
      <c r="C338" s="22" t="str">
        <f>_xlfn.CONCAT(sample_mgmt_az2_host4_hostname,".",sample_child_dns_zone)</f>
        <v>sfo02-m01-r01-esx04.sfo.rainpole.io</v>
      </c>
      <c r="D338" s="18" t="str">
        <f>mgmt_az2_host4_fqdn</f>
        <v>Value Missing.Value Missing</v>
      </c>
      <c r="E338" s="53"/>
    </row>
    <row r="339" spans="2:5" ht="20" customHeight="1">
      <c r="B339" s="26" t="s">
        <v>2869</v>
      </c>
      <c r="C339" s="22" t="str">
        <f>sample_mgmt_az2_host4_vrms_ip</f>
        <v>10.11.16.204</v>
      </c>
      <c r="D339" s="18" t="str">
        <f>mgmt_az2_host4_vrms_ip</f>
        <v>Value Missing</v>
      </c>
      <c r="E339" s="53"/>
    </row>
    <row r="340" spans="2:5" ht="20" customHeight="1">
      <c r="B340" s="26" t="s">
        <v>2870</v>
      </c>
      <c r="C340" s="22" t="str">
        <f>VLOOKUP(INT(RIGHT(sample_mgmt_az1_vrms_cidr,LEN(sample_mgmt_az1_vrms_cidr)-FIND("/",sample_mgmt_az1_vrms_cidr))),table_cidr_to_mask,2,FALSE)</f>
        <v>255.255.255.0</v>
      </c>
      <c r="D340" s="18" t="str">
        <f>mgmt_vrms_mask</f>
        <v>Value Missing</v>
      </c>
      <c r="E340" s="53"/>
    </row>
    <row r="341" spans="2:5" ht="16" customHeight="1"/>
    <row r="342" spans="2:5" ht="34" customHeight="1">
      <c r="B342" s="344" t="s">
        <v>2872</v>
      </c>
      <c r="C342" s="344"/>
      <c r="D342" s="344"/>
      <c r="E342" s="344"/>
    </row>
    <row r="343" spans="2:5" ht="20" customHeight="1">
      <c r="B343" s="8" t="s">
        <v>735</v>
      </c>
      <c r="C343" s="8" t="s">
        <v>554</v>
      </c>
      <c r="D343" s="20" t="s">
        <v>555</v>
      </c>
      <c r="E343" s="8" t="s">
        <v>222</v>
      </c>
    </row>
    <row r="344" spans="2:5" ht="20" customHeight="1">
      <c r="B344" s="553" t="s">
        <v>2858</v>
      </c>
      <c r="C344" s="572"/>
      <c r="D344" s="572"/>
      <c r="E344" s="573"/>
    </row>
    <row r="345" spans="2:5" ht="20" customHeight="1">
      <c r="B345" s="21" t="s">
        <v>2859</v>
      </c>
      <c r="C345" s="22" t="str">
        <f>_xlfn.CONCAT(sample_mgmt_az1_host1_hostname,".",sample_child_dns_zone)</f>
        <v>sfo01-m01-r01-esx01.sfo.rainpole.io</v>
      </c>
      <c r="D345" s="18" t="str">
        <f>mgmt_az1_host1_fqdn</f>
        <v>Value Missing.Value Missing</v>
      </c>
      <c r="E345" s="53"/>
    </row>
    <row r="346" spans="2:5" ht="20" customHeight="1">
      <c r="B346" s="21" t="s">
        <v>2873</v>
      </c>
      <c r="C346" s="22" t="str">
        <f>sample_mgmt_az1_vrms_gateway_ip</f>
        <v>10.11.16.1</v>
      </c>
      <c r="D346" s="18" t="str">
        <f>mgmt_az1_vrms_gateway_ip</f>
        <v>Value Missing</v>
      </c>
      <c r="E346" s="53"/>
    </row>
    <row r="347" spans="2:5" ht="20" customHeight="1">
      <c r="B347" s="26" t="s">
        <v>2874</v>
      </c>
      <c r="C347" s="22" t="str">
        <f>sample_mgmt_vrms_recovery_replication_cidr</f>
        <v>10.21.16.0/24</v>
      </c>
      <c r="D347" s="18" t="str">
        <f>mgmt_vrms_recovery_replication_cidr</f>
        <v>Value Missing</v>
      </c>
      <c r="E347" s="53"/>
    </row>
    <row r="348" spans="2:5" ht="20" customHeight="1">
      <c r="B348" s="26" t="s">
        <v>2862</v>
      </c>
      <c r="C348" s="22" t="str">
        <f>_xlfn.CONCAT(sample_mgmt_az1_host2_hostname,".",sample_child_dns_zone)</f>
        <v>sfo01-m01-r01-esx02.sfo.rainpole.io</v>
      </c>
      <c r="D348" s="18" t="str">
        <f>mgmt_az1_host2_fqdn</f>
        <v>Value Missing.Value Missing</v>
      </c>
      <c r="E348" s="53"/>
    </row>
    <row r="349" spans="2:5" ht="20" customHeight="1">
      <c r="B349" s="26" t="s">
        <v>2875</v>
      </c>
      <c r="C349" s="22" t="str">
        <f>sample_mgmt_az1_vrms_gateway_ip</f>
        <v>10.11.16.1</v>
      </c>
      <c r="D349" s="18" t="str">
        <f>mgmt_az1_vrms_gateway_ip</f>
        <v>Value Missing</v>
      </c>
      <c r="E349" s="53"/>
    </row>
    <row r="350" spans="2:5" ht="20" customHeight="1">
      <c r="B350" s="26" t="s">
        <v>2876</v>
      </c>
      <c r="C350" s="22" t="str">
        <f>sample_mgmt_vrms_recovery_replication_cidr</f>
        <v>10.21.16.0/24</v>
      </c>
      <c r="D350" s="18" t="str">
        <f>mgmt_vrms_recovery_replication_cidr</f>
        <v>Value Missing</v>
      </c>
      <c r="E350" s="53"/>
    </row>
    <row r="351" spans="2:5" ht="20" customHeight="1">
      <c r="B351" s="26" t="s">
        <v>2877</v>
      </c>
      <c r="C351" s="22" t="str">
        <f>_xlfn.CONCAT(sample_mgmt_az1_host3_hostname,".",sample_child_dns_zone)</f>
        <v>sfo01-m01-r01-esx03.sfo.rainpole.io</v>
      </c>
      <c r="D351" s="18" t="str">
        <f>mgmt_az1_host3_fqdn</f>
        <v>Value Missing.Value Missing</v>
      </c>
      <c r="E351" s="53"/>
    </row>
    <row r="352" spans="2:5" ht="20" customHeight="1">
      <c r="B352" s="21" t="s">
        <v>2878</v>
      </c>
      <c r="C352" s="22" t="str">
        <f>sample_mgmt_az1_vrms_gateway_ip</f>
        <v>10.11.16.1</v>
      </c>
      <c r="D352" s="18" t="str">
        <f>mgmt_az1_vrms_gateway_ip</f>
        <v>Value Missing</v>
      </c>
      <c r="E352" s="53"/>
    </row>
    <row r="353" spans="2:5" ht="20" customHeight="1">
      <c r="B353" s="21" t="s">
        <v>2879</v>
      </c>
      <c r="C353" s="22" t="str">
        <f>sample_mgmt_vrms_recovery_replication_cidr</f>
        <v>10.21.16.0/24</v>
      </c>
      <c r="D353" s="18" t="str">
        <f>mgmt_vrms_recovery_replication_cidr</f>
        <v>Value Missing</v>
      </c>
      <c r="E353" s="53"/>
    </row>
    <row r="354" spans="2:5" ht="20" customHeight="1">
      <c r="B354" s="26" t="s">
        <v>2868</v>
      </c>
      <c r="C354" s="22" t="str">
        <f>_xlfn.CONCAT(sample_mgmt_az1_host4_hostname,".",sample_child_dns_zone)</f>
        <v>sfo01-m01-r01-esx04.sfo.rainpole.io</v>
      </c>
      <c r="D354" s="18" t="str">
        <f>mgmt_az1_host4_fqdn</f>
        <v>Value Missing.Value Missing</v>
      </c>
      <c r="E354" s="53"/>
    </row>
    <row r="355" spans="2:5" ht="20" customHeight="1">
      <c r="B355" s="26" t="s">
        <v>2880</v>
      </c>
      <c r="C355" s="22" t="str">
        <f>sample_mgmt_az1_vrms_gateway_ip</f>
        <v>10.11.16.1</v>
      </c>
      <c r="D355" s="18" t="str">
        <f>mgmt_az1_vrms_gateway_ip</f>
        <v>Value Missing</v>
      </c>
      <c r="E355" s="53"/>
    </row>
    <row r="356" spans="2:5" ht="20" customHeight="1">
      <c r="B356" s="21" t="s">
        <v>2881</v>
      </c>
      <c r="C356" s="22" t="str">
        <f>sample_mgmt_vrms_recovery_replication_cidr</f>
        <v>10.21.16.0/24</v>
      </c>
      <c r="D356" s="18" t="str">
        <f>mgmt_vrms_recovery_replication_cidr</f>
        <v>Value Missing</v>
      </c>
      <c r="E356" s="53"/>
    </row>
    <row r="357" spans="2:5" ht="20" customHeight="1">
      <c r="B357" s="553" t="s">
        <v>2871</v>
      </c>
      <c r="C357" s="572"/>
      <c r="D357" s="572"/>
      <c r="E357" s="573"/>
    </row>
    <row r="358" spans="2:5" ht="20" customHeight="1">
      <c r="B358" s="21" t="s">
        <v>2859</v>
      </c>
      <c r="C358" s="22" t="str">
        <f>_xlfn.CONCAT(sample_mgmt_az2_host1_hostname,".",sample_child_dns_zone)</f>
        <v>sfo02-m01-r01-esx01.sfo.rainpole.io</v>
      </c>
      <c r="D358" s="18" t="str">
        <f>mgmt_az2_host1_fqdn</f>
        <v>Value Missing.Value Missing</v>
      </c>
      <c r="E358" s="53"/>
    </row>
    <row r="359" spans="2:5" ht="20" customHeight="1">
      <c r="B359" s="21" t="s">
        <v>2873</v>
      </c>
      <c r="C359" s="22" t="str">
        <f>sample_mgmt_az1_vrms_gateway_ip</f>
        <v>10.11.16.1</v>
      </c>
      <c r="D359" s="18" t="str">
        <f>mgmt_az1_vrms_gateway_ip</f>
        <v>Value Missing</v>
      </c>
      <c r="E359" s="53"/>
    </row>
    <row r="360" spans="2:5" ht="20" customHeight="1">
      <c r="B360" s="26" t="s">
        <v>2874</v>
      </c>
      <c r="C360" s="22" t="str">
        <f>sample_mgmt_vrms_recovery_replication_cidr</f>
        <v>10.21.16.0/24</v>
      </c>
      <c r="D360" s="18" t="str">
        <f>mgmt_vrms_recovery_replication_cidr</f>
        <v>Value Missing</v>
      </c>
      <c r="E360" s="53"/>
    </row>
    <row r="361" spans="2:5" ht="20" customHeight="1">
      <c r="B361" s="26" t="s">
        <v>2862</v>
      </c>
      <c r="C361" s="22" t="str">
        <f>_xlfn.CONCAT(sample_mgmt_az2_host2_hostname,".",sample_child_dns_zone)</f>
        <v>sfo02-m01-r01-esx02.sfo.rainpole.io</v>
      </c>
      <c r="D361" s="18" t="str">
        <f>mgmt_az2_host2_fqdn</f>
        <v>Value Missing.Value Missing</v>
      </c>
      <c r="E361" s="53"/>
    </row>
    <row r="362" spans="2:5" ht="20" customHeight="1">
      <c r="B362" s="26" t="s">
        <v>2875</v>
      </c>
      <c r="C362" s="22" t="str">
        <f>sample_mgmt_az1_vrms_gateway_ip</f>
        <v>10.11.16.1</v>
      </c>
      <c r="D362" s="18" t="str">
        <f>mgmt_az1_vrms_gateway_ip</f>
        <v>Value Missing</v>
      </c>
      <c r="E362" s="53"/>
    </row>
    <row r="363" spans="2:5" ht="20" customHeight="1">
      <c r="B363" s="26" t="s">
        <v>2876</v>
      </c>
      <c r="C363" s="22" t="str">
        <f>sample_mgmt_vrms_recovery_replication_cidr</f>
        <v>10.21.16.0/24</v>
      </c>
      <c r="D363" s="18" t="str">
        <f>mgmt_vrms_recovery_replication_cidr</f>
        <v>Value Missing</v>
      </c>
      <c r="E363" s="53"/>
    </row>
    <row r="364" spans="2:5" ht="20" customHeight="1">
      <c r="B364" s="26" t="s">
        <v>2877</v>
      </c>
      <c r="C364" s="22" t="str">
        <f>_xlfn.CONCAT(sample_mgmt_az2_host3_hostname,".",sample_child_dns_zone)</f>
        <v>sfo02-m01-r01-esx03.sfo.rainpole.io</v>
      </c>
      <c r="D364" s="18" t="str">
        <f>mgmt_az2_host3_fqdn</f>
        <v>Value Missing.Value Missing</v>
      </c>
      <c r="E364" s="53"/>
    </row>
    <row r="365" spans="2:5" ht="20" customHeight="1">
      <c r="B365" s="21" t="s">
        <v>2878</v>
      </c>
      <c r="C365" s="22" t="str">
        <f>sample_mgmt_az1_vrms_gateway_ip</f>
        <v>10.11.16.1</v>
      </c>
      <c r="D365" s="18" t="str">
        <f>mgmt_az1_vrms_gateway_ip</f>
        <v>Value Missing</v>
      </c>
      <c r="E365" s="53"/>
    </row>
    <row r="366" spans="2:5" ht="20" customHeight="1">
      <c r="B366" s="21" t="s">
        <v>2879</v>
      </c>
      <c r="C366" s="22" t="str">
        <f>sample_mgmt_vrms_recovery_replication_cidr</f>
        <v>10.21.16.0/24</v>
      </c>
      <c r="D366" s="18" t="str">
        <f>mgmt_vrms_recovery_replication_cidr</f>
        <v>Value Missing</v>
      </c>
      <c r="E366" s="53"/>
    </row>
    <row r="367" spans="2:5" ht="20" customHeight="1">
      <c r="B367" s="26" t="s">
        <v>2868</v>
      </c>
      <c r="C367" s="22" t="str">
        <f>_xlfn.CONCAT(sample_mgmt_az2_host4_hostname,".",sample_child_dns_zone)</f>
        <v>sfo02-m01-r01-esx04.sfo.rainpole.io</v>
      </c>
      <c r="D367" s="18" t="str">
        <f>mgmt_az2_host4_fqdn</f>
        <v>Value Missing.Value Missing</v>
      </c>
      <c r="E367" s="53"/>
    </row>
    <row r="368" spans="2:5" ht="20" customHeight="1">
      <c r="B368" s="26" t="s">
        <v>2880</v>
      </c>
      <c r="C368" s="22" t="str">
        <f>sample_mgmt_az1_vrms_gateway_ip</f>
        <v>10.11.16.1</v>
      </c>
      <c r="D368" s="18" t="str">
        <f>mgmt_az1_vrms_gateway_ip</f>
        <v>Value Missing</v>
      </c>
      <c r="E368" s="53"/>
    </row>
    <row r="369" spans="2:5" ht="20" customHeight="1">
      <c r="B369" s="21" t="s">
        <v>2881</v>
      </c>
      <c r="C369" s="22" t="str">
        <f>sample_mgmt_vrms_recovery_replication_cidr</f>
        <v>10.21.16.0/24</v>
      </c>
      <c r="D369" s="18" t="str">
        <f>mgmt_vrms_recovery_replication_cidr</f>
        <v>Value Missing</v>
      </c>
      <c r="E369" s="53"/>
    </row>
    <row r="370" spans="2:5" ht="16" customHeight="1"/>
    <row r="371" spans="2:5" ht="34" customHeight="1">
      <c r="B371" s="386" t="s">
        <v>2882</v>
      </c>
      <c r="C371" s="387"/>
      <c r="D371" s="387"/>
      <c r="E371" s="387"/>
    </row>
    <row r="372" spans="2:5" ht="16" customHeight="1"/>
    <row r="373" spans="2:5" ht="34" customHeight="1">
      <c r="B373" s="344" t="s">
        <v>2883</v>
      </c>
      <c r="C373" s="344"/>
      <c r="D373" s="344"/>
      <c r="E373" s="344"/>
    </row>
    <row r="374" spans="2:5" ht="20" customHeight="1">
      <c r="B374" s="8" t="s">
        <v>735</v>
      </c>
      <c r="C374" s="8" t="s">
        <v>554</v>
      </c>
      <c r="D374" s="20" t="s">
        <v>555</v>
      </c>
      <c r="E374" s="8" t="s">
        <v>222</v>
      </c>
    </row>
    <row r="375" spans="2:5" ht="20" customHeight="1">
      <c r="B375" s="26" t="s">
        <v>1938</v>
      </c>
      <c r="C375" s="22" t="str">
        <f>_xlfn.CONCAT(sample_mgmt_vc_hostname,".",sample_child_dns_zone)</f>
        <v>sfo-m01-vc01.sfo.rainpole.io</v>
      </c>
      <c r="D375" s="18" t="str">
        <f>mgmt_vc_fqdn</f>
        <v>Value Missing.Value Missing</v>
      </c>
      <c r="E375" s="53"/>
    </row>
    <row r="376" spans="2:5" ht="20" customHeight="1">
      <c r="B376" s="21" t="s">
        <v>2296</v>
      </c>
      <c r="C376" s="22" t="str">
        <f>sample_mgmt_srm_vm_folder</f>
        <v>sfo-m01-fd-srm</v>
      </c>
      <c r="D376" s="18" t="str">
        <f>mgmt_srm_vm_folder</f>
        <v>Value Missing</v>
      </c>
      <c r="E376" s="53"/>
    </row>
    <row r="377" spans="2:5" ht="16" customHeight="1"/>
    <row r="378" spans="2:5" ht="34" customHeight="1">
      <c r="B378" s="344" t="s">
        <v>2884</v>
      </c>
      <c r="C378" s="428"/>
      <c r="D378" s="428"/>
      <c r="E378" s="426"/>
    </row>
    <row r="379" spans="2:5" ht="20" customHeight="1">
      <c r="B379" s="8" t="s">
        <v>735</v>
      </c>
      <c r="C379" s="8" t="s">
        <v>554</v>
      </c>
      <c r="D379" s="20" t="s">
        <v>555</v>
      </c>
      <c r="E379" s="8" t="s">
        <v>222</v>
      </c>
    </row>
    <row r="380" spans="2:5" ht="20" customHeight="1">
      <c r="B380" s="21" t="s">
        <v>2286</v>
      </c>
      <c r="C380" s="22" t="str">
        <f>_xlfn.CONCAT(sample_mgmt_vc_hostname,".",sample_child_dns_zone)</f>
        <v>sfo-m01-vc01.sfo.rainpole.io</v>
      </c>
      <c r="D380" s="18" t="str">
        <f>mgmt_vc_fqdn</f>
        <v>Value Missing.Value Missing</v>
      </c>
      <c r="E380" s="53"/>
    </row>
    <row r="381" spans="2:5" ht="20" customHeight="1">
      <c r="B381" s="26" t="s">
        <v>843</v>
      </c>
      <c r="C381" s="22" t="str">
        <f>sample_mgmt_cl01_cluster</f>
        <v>sfo-m01-cl01</v>
      </c>
      <c r="D381" s="18" t="str">
        <f>mgmt_cl01_cluster</f>
        <v>Value Missing</v>
      </c>
      <c r="E381" s="53"/>
    </row>
    <row r="382" spans="2:5" ht="20" customHeight="1">
      <c r="B382" s="26" t="s">
        <v>2297</v>
      </c>
      <c r="C382" s="22" t="str">
        <f>sample_mgmt_srm_hostname</f>
        <v>sfo-m01-srm01</v>
      </c>
      <c r="D382" s="18" t="str">
        <f>mgmt_srm_hostname</f>
        <v>Value Missing</v>
      </c>
      <c r="E382" s="53"/>
    </row>
    <row r="383" spans="2:5" ht="20" customHeight="1">
      <c r="B383" s="26" t="s">
        <v>1797</v>
      </c>
      <c r="C383" s="22" t="str">
        <f>sample_mgmt_srm_vm_folder</f>
        <v>sfo-m01-fd-srm</v>
      </c>
      <c r="D383" s="18" t="str">
        <f>mgmt_srm_vm_folder</f>
        <v>Value Missing</v>
      </c>
      <c r="E383" s="53"/>
    </row>
    <row r="384" spans="2:5" ht="20" customHeight="1">
      <c r="B384" s="26" t="s">
        <v>2298</v>
      </c>
      <c r="C384" s="22" t="str">
        <f>sample_mgmt_cl01_cluster</f>
        <v>sfo-m01-cl01</v>
      </c>
      <c r="D384" s="18" t="str">
        <f>mgmt_cl01_cluster</f>
        <v>Value Missing</v>
      </c>
      <c r="E384" s="53"/>
    </row>
    <row r="385" spans="2:5" ht="20" customHeight="1">
      <c r="B385" s="26" t="s">
        <v>838</v>
      </c>
      <c r="C385" s="22" t="str">
        <f>sample_mgmt_cl01_vsan_datastore</f>
        <v>sfo-m01-cl01-ds-vsan01</v>
      </c>
      <c r="D385" s="18" t="str">
        <f>mgmt_cl01_vsan_datastore</f>
        <v>Value Missing</v>
      </c>
      <c r="E385" s="53"/>
    </row>
    <row r="386" spans="2:5" ht="20" customHeight="1">
      <c r="B386" s="21" t="s">
        <v>2300</v>
      </c>
      <c r="C386" s="22" t="str">
        <f>sample_mgmt_cl01_az1_mgmt_pg</f>
        <v>sfo-m01-cl01-vds01-pg-esxi-mgmt</v>
      </c>
      <c r="D386" s="18" t="str">
        <f>mgmt_cl01_az1_mgmt_pg</f>
        <v>Value Missing</v>
      </c>
      <c r="E386" s="53"/>
    </row>
    <row r="387" spans="2:5" ht="20" customHeight="1">
      <c r="B387" s="21" t="s">
        <v>2834</v>
      </c>
      <c r="C387" s="22" t="str">
        <f>sample_mgmt_srm_root_password</f>
        <v>VMw@re1!</v>
      </c>
      <c r="D387" s="18" t="str">
        <f>mgmt_srm_root_password</f>
        <v>Value Missing</v>
      </c>
      <c r="E387" s="53"/>
    </row>
    <row r="388" spans="2:5" ht="20" customHeight="1">
      <c r="B388" s="26" t="s">
        <v>2835</v>
      </c>
      <c r="C388" s="22" t="str">
        <f>sample_mgmt_srm_admin_password</f>
        <v>VMw@re1!</v>
      </c>
      <c r="D388" s="18" t="str">
        <f>mgmt_srm_admin_password</f>
        <v>Value Missing</v>
      </c>
      <c r="E388" s="53"/>
    </row>
    <row r="389" spans="2:5" ht="20" customHeight="1">
      <c r="B389" s="26" t="s">
        <v>1693</v>
      </c>
      <c r="C389" s="22" t="str">
        <f>sample_region_ntp1_server</f>
        <v>ntp.sfo.rainpole.io</v>
      </c>
      <c r="D389" s="18" t="str">
        <f>region_ntp1_server</f>
        <v>Value Missing</v>
      </c>
      <c r="E389" s="53"/>
    </row>
    <row r="390" spans="2:5" ht="20" customHeight="1">
      <c r="B390" s="21" t="s">
        <v>1686</v>
      </c>
      <c r="C390" s="22" t="str">
        <f>_xlfn.CONCAT(sample_mgmt_srm_hostname,".",sample_child_dns_zone)</f>
        <v>sfo-m01-srm01.sfo.rainpole.io</v>
      </c>
      <c r="D390" s="18" t="str">
        <f>mgmt_srm_fqdn</f>
        <v>Value Missing.Value Missing</v>
      </c>
      <c r="E390" s="53"/>
    </row>
    <row r="391" spans="2:5" ht="20" customHeight="1">
      <c r="B391" s="26" t="s">
        <v>2885</v>
      </c>
      <c r="C391" s="22" t="str">
        <f>sample_mgmt_srm_database_password</f>
        <v>VMw@re1!</v>
      </c>
      <c r="D391" s="18" t="str">
        <f>mgmt_srm_database_password</f>
        <v>Value Missing</v>
      </c>
      <c r="E391" s="53"/>
    </row>
    <row r="392" spans="2:5" ht="20" customHeight="1">
      <c r="B392" s="21" t="s">
        <v>1689</v>
      </c>
      <c r="C392" s="22" t="str">
        <f>sample_mgmt_az1_mgmt_vm_gateway_ip</f>
        <v>10.11.10.1</v>
      </c>
      <c r="D392" s="18" t="str">
        <f>mgmt_az1_mgmt_gateway_ip</f>
        <v>Value Missing</v>
      </c>
      <c r="E392" s="53"/>
    </row>
    <row r="393" spans="2:5" ht="20" customHeight="1">
      <c r="B393" s="26" t="s">
        <v>905</v>
      </c>
      <c r="C393" s="22" t="str">
        <f>sample_child_dns_zone</f>
        <v>sfo.rainpole.io</v>
      </c>
      <c r="D393" s="18" t="str">
        <f>child_dns_zone</f>
        <v>Value Missing</v>
      </c>
      <c r="E393" s="53"/>
    </row>
    <row r="394" spans="2:5" ht="20" customHeight="1">
      <c r="B394" s="26" t="s">
        <v>2836</v>
      </c>
      <c r="C394" s="22" t="str">
        <f>sample_child_dns_zone</f>
        <v>sfo.rainpole.io</v>
      </c>
      <c r="D394" s="18" t="str">
        <f>child_dns_zone</f>
        <v>Value Missing</v>
      </c>
      <c r="E394" s="53"/>
    </row>
    <row r="395" spans="2:5" ht="20" customHeight="1">
      <c r="B395" s="26" t="s">
        <v>2301</v>
      </c>
      <c r="C395" s="22" t="str">
        <f>_xlfn.CONCAT(sample_region_dns1_ip,",",sample_region_dns2_ip)</f>
        <v>10.11.10.4,10.11.10.5</v>
      </c>
      <c r="D395" s="18" t="str">
        <f>_xlfn.CONCAT(region_dns1_ip,",",region_dns2_ip)</f>
        <v>Value Missing,Value Missing</v>
      </c>
      <c r="E395" s="53"/>
    </row>
    <row r="396" spans="2:5" ht="20" customHeight="1">
      <c r="B396" s="26" t="s">
        <v>1687</v>
      </c>
      <c r="C396" s="22" t="str">
        <f>sample_mgmt_srm_ip</f>
        <v>10.11.10.126</v>
      </c>
      <c r="D396" s="18" t="str">
        <f>mgmt_srm_ip</f>
        <v>Value Missing</v>
      </c>
      <c r="E396" s="53"/>
    </row>
    <row r="397" spans="2:5" ht="20" customHeight="1">
      <c r="B397" s="26" t="s">
        <v>2837</v>
      </c>
      <c r="C397" s="22">
        <f>INT(RIGHT(sample_mgmt_az1_mgmt_cidr,LEN(sample_mgmt_az1_mgmt_cidr)-FIND("/",sample_mgmt_az1_mgmt_cidr)))</f>
        <v>24</v>
      </c>
      <c r="D397" s="18" t="str">
        <f>IF(mgmt_az1_mgmt_cidr="Value Missing","Value Missing",INT(RIGHT(mgmt_az1_mgmt_cidr,LEN(mgmt_az1_mgmt_cidr)-FIND("/",mgmt_az1_mgmt_cidr))))</f>
        <v>Value Missing</v>
      </c>
      <c r="E397" s="53"/>
    </row>
    <row r="398" spans="2:5" ht="16" customHeight="1"/>
    <row r="399" spans="2:5" ht="34" customHeight="1">
      <c r="B399" s="427" t="s">
        <v>2886</v>
      </c>
      <c r="C399" s="428"/>
      <c r="D399" s="428"/>
      <c r="E399" s="426"/>
    </row>
    <row r="400" spans="2:5" ht="20" customHeight="1">
      <c r="B400" s="8" t="s">
        <v>735</v>
      </c>
      <c r="C400" s="8" t="s">
        <v>554</v>
      </c>
      <c r="D400" s="20" t="s">
        <v>555</v>
      </c>
      <c r="E400" s="8" t="s">
        <v>222</v>
      </c>
    </row>
    <row r="401" spans="2:5" ht="20" customHeight="1">
      <c r="B401" s="21" t="s">
        <v>2887</v>
      </c>
      <c r="C401" s="22" t="str">
        <f>_xlfn.CONCAT(sample_mgmt_srm_hostname,".",sample_child_dns_zone)</f>
        <v>sfo-m01-srm01.sfo.rainpole.io</v>
      </c>
      <c r="D401" s="18" t="str">
        <f>mgmt_srm_fqdn</f>
        <v>Value Missing.Value Missing</v>
      </c>
      <c r="E401" s="53"/>
    </row>
    <row r="402" spans="2:5" ht="20" customHeight="1">
      <c r="B402" s="21" t="s">
        <v>2840</v>
      </c>
      <c r="C402" s="22" t="str">
        <f>sample_mgmt_srm_p12_password</f>
        <v>VMw@re1!</v>
      </c>
      <c r="D402" s="18" t="str">
        <f>mgmt_srm_p12_password</f>
        <v>Value Missing</v>
      </c>
      <c r="E402" s="53"/>
    </row>
    <row r="403" spans="2:5" ht="16" customHeight="1"/>
    <row r="404" spans="2:5" ht="34" customHeight="1">
      <c r="B404" s="427" t="s">
        <v>2888</v>
      </c>
      <c r="C404" s="428"/>
      <c r="D404" s="428"/>
      <c r="E404" s="426"/>
    </row>
    <row r="405" spans="2:5" ht="20" customHeight="1">
      <c r="B405" s="8" t="s">
        <v>735</v>
      </c>
      <c r="C405" s="8" t="s">
        <v>554</v>
      </c>
      <c r="D405" s="20" t="s">
        <v>555</v>
      </c>
      <c r="E405" s="8" t="s">
        <v>222</v>
      </c>
    </row>
    <row r="406" spans="2:5" ht="20" customHeight="1">
      <c r="B406" s="21" t="s">
        <v>2887</v>
      </c>
      <c r="C406" s="22" t="str">
        <f>_xlfn.CONCAT(sample_mgmt_srm_hostname,".",sample_child_dns_zone)</f>
        <v>sfo-m01-srm01.sfo.rainpole.io</v>
      </c>
      <c r="D406" s="18" t="str">
        <f>mgmt_srm_fqdn</f>
        <v>Value Missing.Value Missing</v>
      </c>
      <c r="E406" s="53"/>
    </row>
    <row r="407" spans="2:5" ht="20" customHeight="1">
      <c r="B407" s="26" t="s">
        <v>2842</v>
      </c>
      <c r="C407" s="22" t="str">
        <f>_xlfn.CONCAT(sample_mgmt_vc_hostname,".",sample_child_dns_zone)</f>
        <v>sfo-m01-vc01.sfo.rainpole.io</v>
      </c>
      <c r="D407" s="18" t="str">
        <f>mgmt_vc_fqdn</f>
        <v>Value Missing.Value Missing</v>
      </c>
      <c r="E407" s="53"/>
    </row>
    <row r="408" spans="2:5" ht="20" customHeight="1">
      <c r="B408" s="26" t="s">
        <v>1795</v>
      </c>
      <c r="C408" s="22" t="s">
        <v>1045</v>
      </c>
      <c r="D408" s="18" t="str">
        <f>C408</f>
        <v>administrator@vsphere.local</v>
      </c>
      <c r="E408" s="53"/>
    </row>
    <row r="409" spans="2:5" ht="20" customHeight="1">
      <c r="B409" s="26" t="s">
        <v>1796</v>
      </c>
      <c r="C409" s="22" t="str">
        <f>sample_administrator_vsphere_local_password</f>
        <v>VMw@re1!</v>
      </c>
      <c r="D409" s="18" t="str">
        <f>_xlfn.SINGLE(administrator_vsphere_local_password)</f>
        <v>Value Missing</v>
      </c>
      <c r="E409" s="53"/>
    </row>
    <row r="410" spans="2:5" ht="20" customHeight="1">
      <c r="B410" s="26" t="s">
        <v>637</v>
      </c>
      <c r="C410" s="22" t="str">
        <f>_xlfn.CONCAT(sample_mgmt_vc_hostname,".",sample_child_dns_zone)</f>
        <v>sfo-m01-vc01.sfo.rainpole.io</v>
      </c>
      <c r="D410" s="18" t="str">
        <f>mgmt_vc_fqdn</f>
        <v>Value Missing.Value Missing</v>
      </c>
      <c r="E410" s="53"/>
    </row>
    <row r="411" spans="2:5" ht="20" customHeight="1">
      <c r="B411" s="26" t="s">
        <v>1052</v>
      </c>
      <c r="C411" s="22" t="str">
        <f>sample_mgmt_srm_site_name</f>
        <v>SFO-M01</v>
      </c>
      <c r="D411" s="18" t="str">
        <f>mgmt_srm_site_name</f>
        <v>Value Missing</v>
      </c>
      <c r="E411" s="53"/>
    </row>
    <row r="412" spans="2:5" ht="20" customHeight="1">
      <c r="B412" s="21" t="s">
        <v>2843</v>
      </c>
      <c r="C412" s="22" t="str">
        <f>sample_mgmt_srm_admin_email</f>
        <v>srm-administrator@rainpole.io</v>
      </c>
      <c r="D412" s="18" t="str">
        <f>mgmt_srm_admin_email</f>
        <v>Value Missing</v>
      </c>
      <c r="E412" s="53"/>
    </row>
    <row r="413" spans="2:5" ht="20" customHeight="1">
      <c r="B413" s="21" t="s">
        <v>2844</v>
      </c>
      <c r="C413" s="22" t="str">
        <f>_xlfn.CONCAT(sample_mgmt_srm_hostname,".",sample_child_dns_zone)</f>
        <v>sfo-m01-srm01.sfo.rainpole.io</v>
      </c>
      <c r="D413" s="18" t="str">
        <f>mgmt_srm_fqdn</f>
        <v>Value Missing.Value Missing</v>
      </c>
      <c r="E413" s="53"/>
    </row>
    <row r="414" spans="2:5" ht="16" customHeight="1"/>
    <row r="415" spans="2:5" ht="34" customHeight="1">
      <c r="B415" s="427" t="s">
        <v>2889</v>
      </c>
      <c r="C415" s="428"/>
      <c r="D415" s="428"/>
      <c r="E415" s="426"/>
    </row>
    <row r="416" spans="2:5" ht="20" customHeight="1">
      <c r="B416" s="8" t="s">
        <v>735</v>
      </c>
      <c r="C416" s="8" t="s">
        <v>554</v>
      </c>
      <c r="D416" s="20" t="s">
        <v>555</v>
      </c>
      <c r="E416" s="8" t="s">
        <v>222</v>
      </c>
    </row>
    <row r="417" spans="2:5" ht="20" customHeight="1">
      <c r="B417" s="26" t="s">
        <v>1938</v>
      </c>
      <c r="C417" s="22" t="str">
        <f>_xlfn.CONCAT(sample_mgmt_vc_hostname,".",sample_child_dns_zone)</f>
        <v>sfo-m01-vc01.sfo.rainpole.io</v>
      </c>
      <c r="D417" s="18" t="str">
        <f>mgmt_vc_fqdn</f>
        <v>Value Missing.Value Missing</v>
      </c>
      <c r="E417" s="53"/>
    </row>
    <row r="418" spans="2:5" ht="20" customHeight="1">
      <c r="B418" s="21" t="s">
        <v>2890</v>
      </c>
      <c r="C418" s="22" t="str">
        <f>sample_srm_license</f>
        <v>N/A</v>
      </c>
      <c r="D418" s="18" t="str">
        <f>srm_license</f>
        <v>Value Missing</v>
      </c>
      <c r="E418" s="53"/>
    </row>
    <row r="419" spans="2:5" ht="20" customHeight="1">
      <c r="B419" s="26" t="s">
        <v>2891</v>
      </c>
      <c r="C419" s="22" t="s">
        <v>717</v>
      </c>
      <c r="D419" s="18" t="str">
        <f>C419</f>
        <v>Site Recovery Manager</v>
      </c>
      <c r="E419" s="53"/>
    </row>
    <row r="420" spans="2:5" ht="20" customHeight="1">
      <c r="B420" s="26" t="s">
        <v>2892</v>
      </c>
      <c r="C420" s="22" t="str">
        <f>sample_mgmt_srm_site_name</f>
        <v>SFO-M01</v>
      </c>
      <c r="D420" s="18" t="str">
        <f>mgmt_srm_site_name</f>
        <v>Value Missing</v>
      </c>
      <c r="E420" s="53"/>
    </row>
    <row r="421" spans="2:5" ht="20" customHeight="1">
      <c r="B421" s="26" t="s">
        <v>2364</v>
      </c>
      <c r="C421" s="22" t="s">
        <v>717</v>
      </c>
      <c r="D421" s="18" t="str">
        <f>C421</f>
        <v>Site Recovery Manager</v>
      </c>
      <c r="E421" s="53"/>
    </row>
    <row r="422" spans="2:5" ht="16" customHeight="1"/>
    <row r="423" spans="2:5" ht="34" customHeight="1">
      <c r="B423" s="386" t="s">
        <v>2893</v>
      </c>
      <c r="C423" s="387"/>
      <c r="D423" s="387"/>
      <c r="E423" s="387"/>
    </row>
    <row r="424" spans="2:5" ht="16" customHeight="1"/>
    <row r="425" spans="2:5" ht="34" customHeight="1">
      <c r="B425" s="344" t="s">
        <v>2894</v>
      </c>
      <c r="C425" s="344"/>
      <c r="D425" s="344"/>
      <c r="E425" s="344"/>
    </row>
    <row r="426" spans="2:5" ht="20" customHeight="1">
      <c r="B426" s="8" t="s">
        <v>735</v>
      </c>
      <c r="C426" s="8" t="s">
        <v>554</v>
      </c>
      <c r="D426" s="20" t="s">
        <v>555</v>
      </c>
      <c r="E426" s="8" t="s">
        <v>222</v>
      </c>
    </row>
    <row r="427" spans="2:5" ht="20" customHeight="1">
      <c r="B427" s="26" t="s">
        <v>2719</v>
      </c>
      <c r="C427" s="22" t="str">
        <f>_xlfn.CONCAT(sample_mgmt_vc_hostname,".",sample_child_dns_zone)</f>
        <v>sfo-m01-vc01.sfo.rainpole.io</v>
      </c>
      <c r="D427" s="18" t="str">
        <f>mgmt_vc_fqdn</f>
        <v>Value Missing.Value Missing</v>
      </c>
      <c r="E427" s="53"/>
    </row>
    <row r="428" spans="2:5" ht="20" customHeight="1">
      <c r="B428" s="26" t="s">
        <v>2895</v>
      </c>
      <c r="C428" s="22" t="str">
        <f>_xlfn.CONCAT(sample_mgmt_vc_hostname,".",sample_child_dns_zone)</f>
        <v>sfo-m01-vc01.sfo.rainpole.io</v>
      </c>
      <c r="D428" s="18" t="str">
        <f>mgmt_vc_fqdn</f>
        <v>Value Missing.Value Missing</v>
      </c>
      <c r="E428" s="53"/>
    </row>
    <row r="429" spans="2:5" ht="20" customHeight="1">
      <c r="B429" s="26" t="s">
        <v>2896</v>
      </c>
      <c r="C429" s="22" t="s">
        <v>2897</v>
      </c>
      <c r="D429" s="18" t="str">
        <f>IF(mgmt_srm_sso_domain_membership="Value Missing","Value Missing",IF(mgmt_srm_sso_domain_membership="Same SSO Domain","Pair with a peer vCenter Server located in the same SSO domain","Pair with a peer vCenter Server located in a different SSO domain"))</f>
        <v>Pair with a peer vCenter Server located in the same SSO domain</v>
      </c>
      <c r="E429" s="53"/>
    </row>
    <row r="430" spans="2:5" ht="20" customHeight="1">
      <c r="B430" s="26" t="s">
        <v>2842</v>
      </c>
      <c r="C430" s="22" t="str">
        <f>sample_mgmt_srm_recovery_vcenter_fqdn</f>
        <v>lax-m01-vc01.lax.rainpole.io</v>
      </c>
      <c r="D430" s="18" t="str">
        <f>mgmt_srm_recovery_vcenter_fqdn</f>
        <v>Value Missing</v>
      </c>
      <c r="E430" s="53"/>
    </row>
    <row r="431" spans="2:5" ht="20" customHeight="1">
      <c r="B431" s="26" t="s">
        <v>1795</v>
      </c>
      <c r="C431" s="22" t="str">
        <f>sample_mgmt_srm_recovery_vcenter_username</f>
        <v>administrator@vsphere.local</v>
      </c>
      <c r="D431" s="18" t="str">
        <f>mgmt_srm_recovery_vcenter_username</f>
        <v>Value Missing</v>
      </c>
      <c r="E431" s="53"/>
    </row>
    <row r="432" spans="2:5" ht="20" customHeight="1">
      <c r="B432" s="21" t="s">
        <v>1796</v>
      </c>
      <c r="C432" s="22" t="str">
        <f>sample_mgmt_srm_recovery_vcenter_password</f>
        <v>VMw@re1!</v>
      </c>
      <c r="D432" s="18" t="str">
        <f>mgmt_srm_recovery_vcenter_password</f>
        <v>Value Missing</v>
      </c>
      <c r="E432" s="53"/>
    </row>
    <row r="433" spans="2:5" ht="20" customHeight="1">
      <c r="B433" s="21" t="s">
        <v>2898</v>
      </c>
      <c r="C433" s="22" t="str">
        <f>sample_mgmt_srm_recovery_vcenter_fqdn</f>
        <v>lax-m01-vc01.lax.rainpole.io</v>
      </c>
      <c r="D433" s="18" t="str">
        <f>mgmt_srm_recovery_vcenter_fqdn</f>
        <v>Value Missing</v>
      </c>
      <c r="E433" s="53"/>
    </row>
    <row r="434" spans="2:5" ht="16" customHeight="1"/>
    <row r="435" spans="2:5" ht="34" customHeight="1">
      <c r="B435" s="344" t="s">
        <v>2899</v>
      </c>
      <c r="C435" s="344"/>
      <c r="D435" s="344"/>
      <c r="E435" s="344"/>
    </row>
    <row r="436" spans="2:5" ht="20" customHeight="1">
      <c r="B436" s="8" t="s">
        <v>735</v>
      </c>
      <c r="C436" s="8" t="s">
        <v>554</v>
      </c>
      <c r="D436" s="20" t="s">
        <v>555</v>
      </c>
      <c r="E436" s="8" t="s">
        <v>222</v>
      </c>
    </row>
    <row r="437" spans="2:5" ht="20" customHeight="1">
      <c r="B437" s="26" t="s">
        <v>2719</v>
      </c>
      <c r="C437" s="22" t="str">
        <f>_xlfn.CONCAT(sample_mgmt_vc_hostname,".",sample_child_dns_zone)</f>
        <v>sfo-m01-vc01.sfo.rainpole.io</v>
      </c>
      <c r="D437" s="18" t="str">
        <f>mgmt_vc_fqdn</f>
        <v>Value Missing.Value Missing</v>
      </c>
      <c r="E437" s="53"/>
    </row>
    <row r="438" spans="2:5" ht="20" customHeight="1">
      <c r="B438" s="21" t="s">
        <v>2900</v>
      </c>
      <c r="C438" s="22" t="str">
        <f>_xlfn.CONCAT(sample_mgmt_vc_hostname,".",sample_child_dns_zone," &lt;--&gt; ",sample_mgmt_srm_recovery_vcenter_fqdn)</f>
        <v>sfo-m01-vc01.sfo.rainpole.io &lt;--&gt; lax-m01-vc01.lax.rainpole.io</v>
      </c>
      <c r="D438" s="18" t="str">
        <f>_xlfn.CONCAT(mgmt_vc_fqdn," &lt;--&gt; ",mgmt_srm_recovery_vcenter_fqdn)</f>
        <v>Value Missing.Value Missing &lt;--&gt; Value Missing</v>
      </c>
      <c r="E438" s="53"/>
    </row>
    <row r="439" spans="2:5" ht="20" customHeight="1">
      <c r="B439" s="21" t="s">
        <v>2901</v>
      </c>
      <c r="C439" s="22" t="str">
        <f>sample_xreg_seg01_name</f>
        <v>xint-m01-seg01</v>
      </c>
      <c r="D439" s="18" t="str">
        <f>xreg_seg01_name</f>
        <v>Value Missing</v>
      </c>
      <c r="E439" s="53"/>
    </row>
    <row r="440" spans="2:5" ht="20" customHeight="1">
      <c r="B440" s="21" t="s">
        <v>2902</v>
      </c>
      <c r="C440" s="22" t="str">
        <f>sample_xreg_seg01_name</f>
        <v>xint-m01-seg01</v>
      </c>
      <c r="D440" s="18" t="str">
        <f>xreg_seg01_name</f>
        <v>Value Missing</v>
      </c>
      <c r="E440" s="53"/>
    </row>
    <row r="441" spans="2:5" ht="20" customHeight="1">
      <c r="B441" s="21" t="s">
        <v>2903</v>
      </c>
      <c r="C441" s="22" t="str">
        <f>sample_vrslcm_xreg_vm_folder</f>
        <v>xint-m01-fd-vrslcm</v>
      </c>
      <c r="D441" s="18" t="str">
        <f>vrslcm_xreg_vm_folder</f>
        <v>Value Missing</v>
      </c>
      <c r="E441" s="53"/>
    </row>
    <row r="442" spans="2:5" ht="20" customHeight="1">
      <c r="B442" s="21" t="s">
        <v>2904</v>
      </c>
      <c r="C442" s="22" t="str">
        <f>sample_vrslcm_xreg_vm_folder</f>
        <v>xint-m01-fd-vrslcm</v>
      </c>
      <c r="D442" s="18" t="str">
        <f>vrslcm_xreg_vm_folder</f>
        <v>Value Missing</v>
      </c>
      <c r="E442" s="53"/>
    </row>
    <row r="443" spans="2:5" ht="20" customHeight="1">
      <c r="B443" s="21" t="s">
        <v>2905</v>
      </c>
      <c r="C443" s="22" t="str">
        <f>sample_xreg_wsa_vm_folder</f>
        <v>xint-m01-fd-idm</v>
      </c>
      <c r="D443" s="18" t="str">
        <f>xreg_wsa_vm_folder</f>
        <v>Value Missing</v>
      </c>
      <c r="E443" s="53"/>
    </row>
    <row r="444" spans="2:5" ht="20" customHeight="1">
      <c r="B444" s="21" t="s">
        <v>2904</v>
      </c>
      <c r="C444" s="22" t="str">
        <f>sample_xreg_wsa_vm_folder</f>
        <v>xint-m01-fd-idm</v>
      </c>
      <c r="D444" s="18" t="str">
        <f>xreg_wsa_vm_folder</f>
        <v>Value Missing</v>
      </c>
      <c r="E444" s="53"/>
    </row>
    <row r="445" spans="2:5" ht="20" customHeight="1">
      <c r="B445" s="21" t="s">
        <v>2905</v>
      </c>
      <c r="C445" s="22" t="str">
        <f t="array" ref="C445">sample_xreg_vrops_vm_folder</f>
        <v>xint-m01-fd-operations</v>
      </c>
      <c r="D445" s="18" t="str">
        <f>xreg_vrops_vm_folder</f>
        <v>Value Missing</v>
      </c>
      <c r="E445" s="53"/>
    </row>
    <row r="446" spans="2:5" ht="20" customHeight="1">
      <c r="B446" s="21" t="s">
        <v>2904</v>
      </c>
      <c r="C446" s="22" t="str">
        <f t="array" ref="C446">sample_xreg_vrops_vm_folder</f>
        <v>xint-m01-fd-operations</v>
      </c>
      <c r="D446" s="18" t="str">
        <f>xreg_vrops_vm_folder</f>
        <v>Value Missing</v>
      </c>
      <c r="E446" s="53"/>
    </row>
    <row r="447" spans="2:5" ht="20" customHeight="1">
      <c r="B447" s="21" t="s">
        <v>2903</v>
      </c>
      <c r="C447" s="22" t="str">
        <f>sample_xreg_vra_vm_folder</f>
        <v>xint-m01-fd-automation</v>
      </c>
      <c r="D447" s="18" t="str">
        <f>xreg_vra_vm_folder</f>
        <v>Value Missing</v>
      </c>
      <c r="E447" s="53"/>
    </row>
    <row r="448" spans="2:5" ht="20" customHeight="1">
      <c r="B448" s="21" t="s">
        <v>2904</v>
      </c>
      <c r="C448" s="22" t="str">
        <f>sample_xreg_vra_vm_folder</f>
        <v>xint-m01-fd-automation</v>
      </c>
      <c r="D448" s="18" t="str">
        <f>xreg_vra_vm_folder</f>
        <v>Value Missing</v>
      </c>
      <c r="E448" s="53"/>
    </row>
    <row r="449" spans="2:5" ht="20" customHeight="1">
      <c r="B449" s="21" t="s">
        <v>2906</v>
      </c>
      <c r="C449" s="22" t="str">
        <f>sample_mgmt_cl01_cluster</f>
        <v>sfo-m01-cl01</v>
      </c>
      <c r="D449" s="18" t="str">
        <f>mgmt_cl01_cluster</f>
        <v>Value Missing</v>
      </c>
      <c r="E449" s="53"/>
    </row>
    <row r="450" spans="2:5" ht="20" customHeight="1">
      <c r="B450" s="21" t="s">
        <v>2907</v>
      </c>
      <c r="C450" s="49" t="str">
        <f>sample_mgmt_srm_recovery_cluster</f>
        <v>lax-m01-cl01</v>
      </c>
      <c r="D450" s="98" t="str">
        <f>mgmt_srm_recovery_cluster</f>
        <v>Value Missing</v>
      </c>
      <c r="E450" s="53"/>
    </row>
    <row r="451" spans="2:5" ht="16" customHeight="1"/>
    <row r="452" spans="2:5" ht="34" customHeight="1">
      <c r="B452" s="344" t="s">
        <v>3365</v>
      </c>
      <c r="C452" s="344"/>
      <c r="D452" s="344"/>
      <c r="E452" s="344"/>
    </row>
    <row r="453" spans="2:5" ht="20" customHeight="1">
      <c r="B453" s="8" t="s">
        <v>735</v>
      </c>
      <c r="C453" s="8" t="s">
        <v>554</v>
      </c>
      <c r="D453" s="20" t="s">
        <v>555</v>
      </c>
      <c r="E453" s="8" t="s">
        <v>222</v>
      </c>
    </row>
    <row r="454" spans="2:5" ht="20" customHeight="1">
      <c r="B454" s="21" t="s">
        <v>2887</v>
      </c>
      <c r="C454" s="22" t="str">
        <f>_xlfn.CONCAT(sample_mgmt_srm_hostname,".",sample_child_dns_zone)</f>
        <v>sfo-m01-srm01.sfo.rainpole.io</v>
      </c>
      <c r="D454" s="18" t="str">
        <f>mgmt_srm_fqdn</f>
        <v>Value Missing.Value Missing</v>
      </c>
      <c r="E454" s="53"/>
    </row>
    <row r="455" spans="2:5" ht="20" customHeight="1">
      <c r="B455" s="21" t="s">
        <v>2900</v>
      </c>
      <c r="C455" s="22" t="str">
        <f>_xlfn.CONCAT(sample_mgmt_vc_hostname,".",sample_child_dns_zone," &lt;--&gt; ",sample_mgmt_srm_recovery_vcenter_fqdn)</f>
        <v>sfo-m01-vc01.sfo.rainpole.io &lt;--&gt; lax-m01-vc01.lax.rainpole.io</v>
      </c>
      <c r="D455" s="18" t="str">
        <f>_xlfn.CONCAT(mgmt_vc_fqdn," &lt;--&gt; ",mgmt_srm_recovery_vcenter_fqdn)</f>
        <v>Value Missing.Value Missing &lt;--&gt; Value Missing</v>
      </c>
      <c r="E455" s="53"/>
    </row>
    <row r="456" spans="2:5" ht="20" customHeight="1">
      <c r="B456" s="26" t="s">
        <v>2615</v>
      </c>
      <c r="C456" s="22" t="str">
        <f>sample_xreg_wsa_nodea_hostname</f>
        <v>xint-idm01a</v>
      </c>
      <c r="D456" s="18" t="str">
        <f>xreg_wsa_nodea_hostname</f>
        <v>Value Missing</v>
      </c>
      <c r="E456" s="53"/>
    </row>
    <row r="457" spans="2:5" ht="20" customHeight="1">
      <c r="B457" s="26" t="s">
        <v>2615</v>
      </c>
      <c r="C457" s="22" t="str">
        <f>sample_xreg_wsa_nodeb_hostname</f>
        <v>xint-idm01b</v>
      </c>
      <c r="D457" s="18" t="str">
        <f>xreg_wsa_nodeb_hostname</f>
        <v>Value Missing</v>
      </c>
      <c r="E457" s="53"/>
    </row>
    <row r="458" spans="2:5" ht="20" customHeight="1">
      <c r="B458" s="26" t="s">
        <v>2615</v>
      </c>
      <c r="C458" s="22" t="str">
        <f>sample_xreg_wsa_nodec_hostname</f>
        <v>xint-idm01c</v>
      </c>
      <c r="D458" s="18" t="str">
        <f>xreg_wsa_nodec_hostname</f>
        <v>Value Missing</v>
      </c>
      <c r="E458" s="53"/>
    </row>
    <row r="459" spans="2:5" ht="20" customHeight="1">
      <c r="B459" s="26" t="s">
        <v>2615</v>
      </c>
      <c r="C459" s="22" t="str">
        <f>sample_xreg_vrslcm_hostname</f>
        <v>xint-lcm01</v>
      </c>
      <c r="D459" s="18" t="str">
        <f>xreg_vrslcm_hostname</f>
        <v>Value Missing</v>
      </c>
      <c r="E459" s="53"/>
    </row>
    <row r="460" spans="2:5" ht="20" customHeight="1">
      <c r="B460" s="26" t="s">
        <v>2908</v>
      </c>
      <c r="C460" s="22" t="str">
        <f>sample_mgmt_srm_recovery_datastore</f>
        <v>lax-m01-cl01-ds-vsan01</v>
      </c>
      <c r="D460" s="18" t="str">
        <f>mgmt_srm_recovery_datastore</f>
        <v>Value Missing</v>
      </c>
      <c r="E460" s="53"/>
    </row>
    <row r="461" spans="2:5" ht="20" customHeight="1">
      <c r="B461" s="26" t="s">
        <v>2909</v>
      </c>
      <c r="C461" s="22">
        <f>sample_mgmt_srm_rpo</f>
        <v>15</v>
      </c>
      <c r="D461" s="18" t="str">
        <f>mgmt_srm_rpo</f>
        <v>Value Missing</v>
      </c>
      <c r="E461" s="53"/>
    </row>
    <row r="462" spans="2:5" ht="20" customHeight="1">
      <c r="B462" s="26" t="s">
        <v>1057</v>
      </c>
      <c r="C462" s="22">
        <f>sample_mgmt_srm_instances_per_day</f>
        <v>3</v>
      </c>
      <c r="D462" s="18" t="str">
        <f>mgmt_srm_instances_per_day</f>
        <v>Value Missing</v>
      </c>
      <c r="E462" s="53"/>
    </row>
    <row r="463" spans="2:5" ht="20" customHeight="1">
      <c r="B463" s="21" t="s">
        <v>1058</v>
      </c>
      <c r="C463" s="22">
        <f>sample_mgmt_srm_days</f>
        <v>1</v>
      </c>
      <c r="D463" s="18" t="str">
        <f>mgmt_srm_days</f>
        <v>Value Missing</v>
      </c>
      <c r="E463" s="53"/>
    </row>
    <row r="464" spans="2:5" ht="20" customHeight="1">
      <c r="B464" s="21" t="s">
        <v>2910</v>
      </c>
      <c r="C464" s="22" t="str">
        <f>sample_mgmt_srm_vrslcm_wsa_pg</f>
        <v>Aria Suite Lifecycle &amp; Clustered Workspace ONE Access PG</v>
      </c>
      <c r="D464" s="18" t="str">
        <f>mgmt_srm_vrslcm_wsa_pg</f>
        <v>Value Missing</v>
      </c>
      <c r="E464" s="53"/>
    </row>
    <row r="465" spans="2:5" ht="20" customHeight="1">
      <c r="B465" s="26" t="s">
        <v>2911</v>
      </c>
      <c r="C465" s="22" t="str">
        <f>sample_mgmt_srm_vrslcm_wsa_rp</f>
        <v>Aria Suite Lifecycle &amp; Clustered Workspace ONE Access RP</v>
      </c>
      <c r="D465" s="18" t="str">
        <f>mgmt_srm_vrslcm_wsa_rp</f>
        <v>Value Missing</v>
      </c>
      <c r="E465" s="53"/>
    </row>
    <row r="466" spans="2:5" ht="16" customHeight="1"/>
    <row r="467" spans="2:5" ht="34" customHeight="1">
      <c r="B467" s="344" t="s">
        <v>3366</v>
      </c>
      <c r="C467" s="344"/>
      <c r="D467" s="344"/>
      <c r="E467" s="344"/>
    </row>
    <row r="468" spans="2:5" ht="20" customHeight="1">
      <c r="B468" s="8" t="s">
        <v>735</v>
      </c>
      <c r="C468" s="8" t="s">
        <v>554</v>
      </c>
      <c r="D468" s="20" t="s">
        <v>555</v>
      </c>
      <c r="E468" s="8" t="s">
        <v>222</v>
      </c>
    </row>
    <row r="469" spans="2:5" ht="20" customHeight="1">
      <c r="B469" s="21" t="s">
        <v>2887</v>
      </c>
      <c r="C469" s="22" t="str">
        <f>_xlfn.CONCAT(sample_mgmt_srm_hostname,".",sample_child_dns_zone)</f>
        <v>sfo-m01-srm01.sfo.rainpole.io</v>
      </c>
      <c r="D469" s="18" t="str">
        <f>mgmt_srm_fqdn</f>
        <v>Value Missing.Value Missing</v>
      </c>
      <c r="E469" s="53"/>
    </row>
    <row r="470" spans="2:5" ht="20" customHeight="1">
      <c r="B470" s="21" t="s">
        <v>2900</v>
      </c>
      <c r="C470" s="22" t="str">
        <f>_xlfn.CONCAT(sample_mgmt_vc_hostname,".",sample_child_dns_zone," &lt;--&gt; ",sample_mgmt_srm_recovery_vcenter_fqdn)</f>
        <v>sfo-m01-vc01.sfo.rainpole.io &lt;--&gt; lax-m01-vc01.lax.rainpole.io</v>
      </c>
      <c r="D470" s="18" t="str">
        <f>_xlfn.CONCAT(mgmt_vc_fqdn," &lt;--&gt; ",mgmt_srm_recovery_vcenter_fqdn)</f>
        <v>Value Missing.Value Missing &lt;--&gt; Value Missing</v>
      </c>
      <c r="E470" s="53"/>
    </row>
    <row r="471" spans="2:5" ht="20" customHeight="1">
      <c r="B471" s="26" t="s">
        <v>2912</v>
      </c>
      <c r="C471" s="22" t="str">
        <f>sample_mgmt_srm_vrslcm_wsa_rp</f>
        <v>Aria Suite Lifecycle &amp; Clustered Workspace ONE Access RP</v>
      </c>
      <c r="D471" s="18" t="str">
        <f>mgmt_srm_vrslcm_wsa_rp</f>
        <v>Value Missing</v>
      </c>
      <c r="E471" s="53"/>
    </row>
    <row r="472" spans="2:5" ht="20" customHeight="1">
      <c r="B472" s="26" t="s">
        <v>3367</v>
      </c>
      <c r="C472" s="22" t="str">
        <f>sample_xreg_vrslcm_hostname</f>
        <v>xint-lcm01</v>
      </c>
      <c r="D472" s="18" t="str">
        <f>xreg_vrslcm_hostname</f>
        <v>Value Missing</v>
      </c>
      <c r="E472" s="53"/>
    </row>
    <row r="473" spans="2:5" ht="20" customHeight="1">
      <c r="B473" s="26" t="s">
        <v>2820</v>
      </c>
      <c r="C473" s="22" t="str">
        <f>sample_xreg_wsa_nodea_hostname</f>
        <v>xint-idm01a</v>
      </c>
      <c r="D473" s="18" t="str">
        <f>xreg_wsa_nodea_hostname</f>
        <v>Value Missing</v>
      </c>
      <c r="E473" s="53"/>
    </row>
    <row r="474" spans="2:5" ht="20" customHeight="1">
      <c r="B474" s="26" t="s">
        <v>2823</v>
      </c>
      <c r="C474" s="22" t="str">
        <f>sample_xreg_wsa_nodeb_hostname</f>
        <v>xint-idm01b</v>
      </c>
      <c r="D474" s="18" t="str">
        <f>xreg_wsa_nodeb_hostname</f>
        <v>Value Missing</v>
      </c>
      <c r="E474" s="53"/>
    </row>
    <row r="475" spans="2:5" ht="20" customHeight="1">
      <c r="B475" s="26" t="s">
        <v>2824</v>
      </c>
      <c r="C475" s="22" t="str">
        <f>sample_xreg_wsa_nodec_hostname</f>
        <v>xint-idm01c</v>
      </c>
      <c r="D475" s="18" t="str">
        <f>xreg_wsa_nodec_hostname</f>
        <v>Value Missing</v>
      </c>
      <c r="E475" s="53"/>
    </row>
    <row r="476" spans="2:5" ht="16" customHeight="1"/>
    <row r="477" spans="2:5" ht="34" customHeight="1">
      <c r="B477" s="344" t="s">
        <v>3422</v>
      </c>
      <c r="C477" s="344"/>
      <c r="D477" s="344"/>
      <c r="E477" s="344"/>
    </row>
    <row r="478" spans="2:5" ht="20" customHeight="1">
      <c r="B478" s="8" t="s">
        <v>735</v>
      </c>
      <c r="C478" s="8" t="s">
        <v>554</v>
      </c>
      <c r="D478" s="20" t="s">
        <v>555</v>
      </c>
      <c r="E478" s="8" t="s">
        <v>222</v>
      </c>
    </row>
    <row r="479" spans="2:5" ht="20" customHeight="1">
      <c r="B479" s="21" t="s">
        <v>2887</v>
      </c>
      <c r="C479" s="22" t="str">
        <f>_xlfn.CONCAT(sample_mgmt_srm_hostname,".",sample_child_dns_zone)</f>
        <v>sfo-m01-srm01.sfo.rainpole.io</v>
      </c>
      <c r="D479" s="18" t="str">
        <f>mgmt_srm_fqdn</f>
        <v>Value Missing.Value Missing</v>
      </c>
      <c r="E479" s="53"/>
    </row>
    <row r="480" spans="2:5" ht="20" customHeight="1">
      <c r="B480" s="21" t="s">
        <v>2900</v>
      </c>
      <c r="C480" s="22" t="str">
        <f>_xlfn.CONCAT(sample_mgmt_vc_hostname,".",sample_child_dns_zone," &lt;--&gt; ",sample_mgmt_srm_recovery_vcenter_fqdn)</f>
        <v>sfo-m01-vc01.sfo.rainpole.io &lt;--&gt; lax-m01-vc01.lax.rainpole.io</v>
      </c>
      <c r="D480" s="18" t="str">
        <f>_xlfn.CONCAT(mgmt_vc_fqdn," &lt;--&gt; ",mgmt_srm_recovery_vcenter_fqdn)</f>
        <v>Value Missing.Value Missing &lt;--&gt; Value Missing</v>
      </c>
      <c r="E480" s="53"/>
    </row>
    <row r="481" spans="2:5" ht="20" customHeight="1">
      <c r="B481" s="26" t="s">
        <v>2615</v>
      </c>
      <c r="C481" s="22" t="str">
        <f>sample_xreg_vrops_nodea_hostname</f>
        <v>xint-ops01a</v>
      </c>
      <c r="D481" s="18" t="str">
        <f>xreg_vrops_nodea_hostname</f>
        <v>Value Missing</v>
      </c>
      <c r="E481" s="53"/>
    </row>
    <row r="482" spans="2:5" ht="20" customHeight="1">
      <c r="B482" s="26" t="s">
        <v>2615</v>
      </c>
      <c r="C482" s="22" t="str">
        <f>sample_xreg_vrops_nodeb_hostname</f>
        <v>xint-ops01b</v>
      </c>
      <c r="D482" s="18" t="str">
        <f>xreg_vrops_nodeb_hostname</f>
        <v>Value Missing</v>
      </c>
      <c r="E482" s="53"/>
    </row>
    <row r="483" spans="2:5" ht="20" customHeight="1">
      <c r="B483" s="26" t="s">
        <v>2615</v>
      </c>
      <c r="C483" s="22" t="str">
        <f>sample_xreg_vrops_nodec_hostname</f>
        <v>xint-ops01c</v>
      </c>
      <c r="D483" s="18" t="str">
        <f>xreg_vrops_nodec_hostname</f>
        <v>Value Missing</v>
      </c>
      <c r="E483" s="53"/>
    </row>
    <row r="484" spans="2:5" ht="20" customHeight="1">
      <c r="B484" s="26" t="s">
        <v>2908</v>
      </c>
      <c r="C484" s="22" t="str">
        <f>sample_mgmt_srm_recovery_datastore</f>
        <v>lax-m01-cl01-ds-vsan01</v>
      </c>
      <c r="D484" s="18" t="str">
        <f>mgmt_srm_recovery_datastore</f>
        <v>Value Missing</v>
      </c>
      <c r="E484" s="53"/>
    </row>
    <row r="485" spans="2:5" ht="20" customHeight="1">
      <c r="B485" s="26" t="s">
        <v>2909</v>
      </c>
      <c r="C485" s="22">
        <f>sample_mgmt_srm_rpo</f>
        <v>15</v>
      </c>
      <c r="D485" s="18" t="str">
        <f>mgmt_srm_rpo</f>
        <v>Value Missing</v>
      </c>
      <c r="E485" s="53"/>
    </row>
    <row r="486" spans="2:5" ht="20" customHeight="1">
      <c r="B486" s="26" t="s">
        <v>1057</v>
      </c>
      <c r="C486" s="22">
        <f>sample_mgmt_srm_instances_per_day</f>
        <v>3</v>
      </c>
      <c r="D486" s="18" t="str">
        <f>mgmt_srm_instances_per_day</f>
        <v>Value Missing</v>
      </c>
      <c r="E486" s="53"/>
    </row>
    <row r="487" spans="2:5" ht="20" customHeight="1">
      <c r="B487" s="21" t="s">
        <v>1058</v>
      </c>
      <c r="C487" s="22">
        <f>sample_mgmt_srm_days</f>
        <v>1</v>
      </c>
      <c r="D487" s="18" t="str">
        <f>mgmt_srm_days</f>
        <v>Value Missing</v>
      </c>
      <c r="E487" s="53"/>
    </row>
    <row r="488" spans="2:5" ht="20" customHeight="1">
      <c r="B488" s="21" t="s">
        <v>2910</v>
      </c>
      <c r="C488" s="22" t="str">
        <f>sample_mgmt_srm_vrops_pg</f>
        <v>Intelligent Operations Management PG</v>
      </c>
      <c r="D488" s="18" t="str">
        <f>mgmt_srm_vrops_pg</f>
        <v>Value Missing</v>
      </c>
      <c r="E488" s="53"/>
    </row>
    <row r="489" spans="2:5" ht="20" customHeight="1">
      <c r="B489" s="26" t="s">
        <v>2911</v>
      </c>
      <c r="C489" s="22" t="str">
        <f>sample_mgmt_srm_vrops_rp</f>
        <v>Intelligent Operations Management RP</v>
      </c>
      <c r="D489" s="18" t="str">
        <f>mgmt_srm_vrops_rp</f>
        <v>Value Missing</v>
      </c>
      <c r="E489" s="53"/>
    </row>
    <row r="490" spans="2:5" ht="16" customHeight="1"/>
    <row r="491" spans="2:5" ht="34" customHeight="1">
      <c r="B491" s="344" t="s">
        <v>3423</v>
      </c>
      <c r="C491" s="344"/>
      <c r="D491" s="344"/>
      <c r="E491" s="344"/>
    </row>
    <row r="492" spans="2:5" ht="20" customHeight="1">
      <c r="B492" s="8" t="s">
        <v>735</v>
      </c>
      <c r="C492" s="8" t="s">
        <v>554</v>
      </c>
      <c r="D492" s="20" t="s">
        <v>555</v>
      </c>
      <c r="E492" s="8" t="s">
        <v>222</v>
      </c>
    </row>
    <row r="493" spans="2:5" ht="20" customHeight="1">
      <c r="B493" s="21" t="s">
        <v>2887</v>
      </c>
      <c r="C493" s="22" t="str">
        <f>_xlfn.CONCAT(sample_mgmt_srm_hostname,".",sample_child_dns_zone)</f>
        <v>sfo-m01-srm01.sfo.rainpole.io</v>
      </c>
      <c r="D493" s="18" t="str">
        <f>mgmt_srm_fqdn</f>
        <v>Value Missing.Value Missing</v>
      </c>
      <c r="E493" s="53"/>
    </row>
    <row r="494" spans="2:5" ht="20" customHeight="1">
      <c r="B494" s="21" t="s">
        <v>2900</v>
      </c>
      <c r="C494" s="22" t="str">
        <f>_xlfn.CONCAT(sample_mgmt_vc_hostname,".",sample_child_dns_zone," &lt;--&gt; ",sample_mgmt_srm_recovery_vcenter_fqdn)</f>
        <v>sfo-m01-vc01.sfo.rainpole.io &lt;--&gt; lax-m01-vc01.lax.rainpole.io</v>
      </c>
      <c r="D494" s="18" t="str">
        <f>_xlfn.CONCAT(mgmt_vc_fqdn," &lt;--&gt; ",mgmt_srm_recovery_vcenter_fqdn)</f>
        <v>Value Missing.Value Missing &lt;--&gt; Value Missing</v>
      </c>
      <c r="E494" s="53"/>
    </row>
    <row r="495" spans="2:5" ht="20" customHeight="1">
      <c r="B495" s="26" t="s">
        <v>2912</v>
      </c>
      <c r="C495" s="22" t="str">
        <f>sample_mgmt_srm_vrops_rp</f>
        <v>Intelligent Operations Management RP</v>
      </c>
      <c r="D495" s="18" t="str">
        <f>mgmt_srm_vrops_rp</f>
        <v>Value Missing</v>
      </c>
      <c r="E495" s="53"/>
    </row>
    <row r="496" spans="2:5" ht="20" customHeight="1">
      <c r="B496" s="26" t="s">
        <v>3297</v>
      </c>
      <c r="C496" s="22" t="str">
        <f>sample_xreg_vrops_nodea_hostname</f>
        <v>xint-ops01a</v>
      </c>
      <c r="D496" s="18" t="str">
        <f>xreg_vrops_nodea_hostname</f>
        <v>Value Missing</v>
      </c>
      <c r="E496" s="53"/>
    </row>
    <row r="497" spans="2:5" ht="20" customHeight="1">
      <c r="B497" s="26" t="s">
        <v>3296</v>
      </c>
      <c r="C497" s="22" t="str">
        <f>sample_xreg_vrops_nodeb_hostname</f>
        <v>xint-ops01b</v>
      </c>
      <c r="D497" s="18" t="str">
        <f>xreg_vrops_nodeb_hostname</f>
        <v>Value Missing</v>
      </c>
      <c r="E497" s="53"/>
    </row>
    <row r="498" spans="2:5" ht="20" customHeight="1">
      <c r="B498" s="26" t="s">
        <v>3295</v>
      </c>
      <c r="C498" s="22" t="str">
        <f>sample_xreg_vrops_nodec_hostname</f>
        <v>xint-ops01c</v>
      </c>
      <c r="D498" s="18" t="str">
        <f>xreg_vrops_nodec_hostname</f>
        <v>Value Missing</v>
      </c>
      <c r="E498" s="53"/>
    </row>
    <row r="499" spans="2:5" ht="16" customHeight="1"/>
    <row r="500" spans="2:5" ht="34" customHeight="1">
      <c r="B500" s="344" t="s">
        <v>3276</v>
      </c>
      <c r="C500" s="344"/>
      <c r="D500" s="344"/>
      <c r="E500" s="344"/>
    </row>
    <row r="501" spans="2:5" ht="20" customHeight="1">
      <c r="B501" s="8" t="s">
        <v>735</v>
      </c>
      <c r="C501" s="8" t="s">
        <v>554</v>
      </c>
      <c r="D501" s="20" t="s">
        <v>555</v>
      </c>
      <c r="E501" s="8" t="s">
        <v>222</v>
      </c>
    </row>
    <row r="502" spans="2:5" ht="20" customHeight="1">
      <c r="B502" s="21" t="s">
        <v>2887</v>
      </c>
      <c r="C502" s="22" t="str">
        <f>_xlfn.CONCAT(sample_mgmt_srm_hostname,".",sample_child_dns_zone)</f>
        <v>sfo-m01-srm01.sfo.rainpole.io</v>
      </c>
      <c r="D502" s="18" t="str">
        <f>mgmt_srm_fqdn</f>
        <v>Value Missing.Value Missing</v>
      </c>
      <c r="E502" s="53"/>
    </row>
    <row r="503" spans="2:5" ht="20" customHeight="1">
      <c r="B503" s="21" t="s">
        <v>2900</v>
      </c>
      <c r="C503" s="22" t="str">
        <f>_xlfn.CONCAT(sample_mgmt_vc_hostname,".",sample_child_dns_zone," &lt;--&gt; ",sample_mgmt_srm_recovery_vcenter_fqdn)</f>
        <v>sfo-m01-vc01.sfo.rainpole.io &lt;--&gt; lax-m01-vc01.lax.rainpole.io</v>
      </c>
      <c r="D503" s="18" t="str">
        <f>_xlfn.CONCAT(mgmt_vc_fqdn," &lt;--&gt; ",mgmt_srm_recovery_vcenter_fqdn)</f>
        <v>Value Missing.Value Missing &lt;--&gt; Value Missing</v>
      </c>
      <c r="E503" s="53"/>
    </row>
    <row r="504" spans="2:5" ht="20" customHeight="1">
      <c r="B504" s="26" t="s">
        <v>2615</v>
      </c>
      <c r="C504" s="22" t="str">
        <f>sample_xreg_vra_nodea_hostname</f>
        <v>xint-cmp01a</v>
      </c>
      <c r="D504" s="18" t="str">
        <f>xreg_vra_nodea_hostname</f>
        <v>Value Missing</v>
      </c>
      <c r="E504" s="53"/>
    </row>
    <row r="505" spans="2:5" ht="20" customHeight="1">
      <c r="B505" s="26" t="s">
        <v>2615</v>
      </c>
      <c r="C505" s="22" t="str">
        <f>sample_xreg_vra_nodeb_hostname</f>
        <v>xint-cmp01b</v>
      </c>
      <c r="D505" s="18" t="str">
        <f>xreg_vra_nodeb_hostname</f>
        <v>Value Missing</v>
      </c>
      <c r="E505" s="53"/>
    </row>
    <row r="506" spans="2:5" ht="20" customHeight="1">
      <c r="B506" s="26" t="s">
        <v>2615</v>
      </c>
      <c r="C506" s="22" t="str">
        <f>sample_xreg_vra_nodec_hostname</f>
        <v>xint-cmp01c</v>
      </c>
      <c r="D506" s="18" t="str">
        <f>xreg_vra_nodec_hostname</f>
        <v>Value Missing</v>
      </c>
      <c r="E506" s="53"/>
    </row>
    <row r="507" spans="2:5" ht="20" customHeight="1">
      <c r="B507" s="26" t="s">
        <v>2908</v>
      </c>
      <c r="C507" s="22" t="str">
        <f>sample_mgmt_srm_recovery_datastore</f>
        <v>lax-m01-cl01-ds-vsan01</v>
      </c>
      <c r="D507" s="18" t="str">
        <f>mgmt_srm_recovery_datastore</f>
        <v>Value Missing</v>
      </c>
      <c r="E507" s="53"/>
    </row>
    <row r="508" spans="2:5" ht="20" customHeight="1">
      <c r="B508" s="26" t="s">
        <v>2909</v>
      </c>
      <c r="C508" s="22">
        <f>sample_mgmt_srm_rpo</f>
        <v>15</v>
      </c>
      <c r="D508" s="18" t="str">
        <f>mgmt_srm_rpo</f>
        <v>Value Missing</v>
      </c>
      <c r="E508" s="53"/>
    </row>
    <row r="509" spans="2:5" ht="20" customHeight="1">
      <c r="B509" s="26" t="s">
        <v>1057</v>
      </c>
      <c r="C509" s="22">
        <f>sample_mgmt_srm_instances_per_day</f>
        <v>3</v>
      </c>
      <c r="D509" s="18" t="str">
        <f>mgmt_srm_instances_per_day</f>
        <v>Value Missing</v>
      </c>
      <c r="E509" s="53"/>
    </row>
    <row r="510" spans="2:5" ht="20" customHeight="1">
      <c r="B510" s="21" t="s">
        <v>1058</v>
      </c>
      <c r="C510" s="22">
        <f>sample_mgmt_srm_days</f>
        <v>1</v>
      </c>
      <c r="D510" s="18" t="str">
        <f>mgmt_srm_days</f>
        <v>Value Missing</v>
      </c>
      <c r="E510" s="53"/>
    </row>
    <row r="511" spans="2:5" ht="20" customHeight="1">
      <c r="B511" s="21" t="s">
        <v>2910</v>
      </c>
      <c r="C511" s="22" t="str">
        <f>sample_mgmt_srm_vra_pg</f>
        <v>Private Cloud Automation PG</v>
      </c>
      <c r="D511" s="18" t="str">
        <f>mgmt_srm_vra_pg</f>
        <v>Value Missing</v>
      </c>
      <c r="E511" s="53"/>
    </row>
    <row r="512" spans="2:5" ht="20" customHeight="1">
      <c r="B512" s="26" t="s">
        <v>2911</v>
      </c>
      <c r="C512" s="22" t="str">
        <f>sample_mgmt_srm_vra_rp</f>
        <v>Private Cloud Automation RP</v>
      </c>
      <c r="D512" s="18" t="str">
        <f>mgmt_srm_vra_rp</f>
        <v>Value Missing</v>
      </c>
      <c r="E512" s="53"/>
    </row>
    <row r="513" spans="2:5" ht="16" customHeight="1"/>
    <row r="514" spans="2:5" ht="34" customHeight="1">
      <c r="B514" s="344" t="s">
        <v>3277</v>
      </c>
      <c r="C514" s="344"/>
      <c r="D514" s="344"/>
      <c r="E514" s="344"/>
    </row>
    <row r="515" spans="2:5" ht="20" customHeight="1">
      <c r="B515" s="8" t="s">
        <v>735</v>
      </c>
      <c r="C515" s="8" t="s">
        <v>554</v>
      </c>
      <c r="D515" s="20" t="s">
        <v>555</v>
      </c>
      <c r="E515" s="8" t="s">
        <v>222</v>
      </c>
    </row>
    <row r="516" spans="2:5" ht="20" customHeight="1">
      <c r="B516" s="21" t="s">
        <v>2887</v>
      </c>
      <c r="C516" s="22" t="str">
        <f>_xlfn.CONCAT(sample_mgmt_srm_hostname,".",sample_child_dns_zone)</f>
        <v>sfo-m01-srm01.sfo.rainpole.io</v>
      </c>
      <c r="D516" s="18" t="str">
        <f>mgmt_srm_fqdn</f>
        <v>Value Missing.Value Missing</v>
      </c>
      <c r="E516" s="53"/>
    </row>
    <row r="517" spans="2:5" ht="20" customHeight="1">
      <c r="B517" s="21" t="s">
        <v>2900</v>
      </c>
      <c r="C517" s="22" t="str">
        <f>_xlfn.CONCAT(sample_mgmt_vc_hostname,".",sample_child_dns_zone," &lt;--&gt; ",sample_mgmt_srm_recovery_vcenter_fqdn)</f>
        <v>sfo-m01-vc01.sfo.rainpole.io &lt;--&gt; lax-m01-vc01.lax.rainpole.io</v>
      </c>
      <c r="D517" s="18" t="str">
        <f>_xlfn.CONCAT(mgmt_vc_fqdn," &lt;--&gt; ",mgmt_srm_recovery_vcenter_fqdn)</f>
        <v>Value Missing.Value Missing &lt;--&gt; Value Missing</v>
      </c>
      <c r="E517" s="53"/>
    </row>
    <row r="518" spans="2:5" ht="20" customHeight="1">
      <c r="B518" s="26" t="s">
        <v>2912</v>
      </c>
      <c r="C518" s="22" t="str">
        <f>sample_mgmt_srm_vra_rp</f>
        <v>Private Cloud Automation RP</v>
      </c>
      <c r="D518" s="18" t="str">
        <f>mgmt_srm_vra_rp</f>
        <v>Value Missing</v>
      </c>
      <c r="E518" s="53"/>
    </row>
    <row r="519" spans="2:5" ht="20" customHeight="1">
      <c r="B519" s="26" t="s">
        <v>3294</v>
      </c>
      <c r="C519" s="22" t="str">
        <f>sample_xreg_vra_nodea_hostname</f>
        <v>xint-cmp01a</v>
      </c>
      <c r="D519" s="18" t="str">
        <f>xreg_vra_nodea_hostname</f>
        <v>Value Missing</v>
      </c>
      <c r="E519" s="53"/>
    </row>
    <row r="520" spans="2:5" ht="20" customHeight="1">
      <c r="B520" s="26" t="s">
        <v>3293</v>
      </c>
      <c r="C520" s="22" t="str">
        <f>sample_xreg_vra_nodeb_hostname</f>
        <v>xint-cmp01b</v>
      </c>
      <c r="D520" s="18" t="str">
        <f>xreg_vra_nodeb_hostname</f>
        <v>Value Missing</v>
      </c>
      <c r="E520" s="53"/>
    </row>
    <row r="521" spans="2:5" ht="20" customHeight="1">
      <c r="B521" s="26" t="s">
        <v>3292</v>
      </c>
      <c r="C521" s="22" t="str">
        <f>sample_xreg_vra_nodec_hostname</f>
        <v>xint-cmp01c</v>
      </c>
      <c r="D521" s="18" t="str">
        <f>xreg_vra_nodec_hostname</f>
        <v>Value Missing</v>
      </c>
      <c r="E521" s="53"/>
    </row>
    <row r="522" spans="2:5" ht="16" customHeight="1"/>
    <row r="523" spans="2:5" ht="34" customHeight="1">
      <c r="B523" s="344" t="s">
        <v>2913</v>
      </c>
      <c r="C523" s="344"/>
      <c r="D523" s="344"/>
      <c r="E523" s="344"/>
    </row>
    <row r="524" spans="2:5" ht="20" customHeight="1">
      <c r="B524" s="8" t="s">
        <v>735</v>
      </c>
      <c r="C524" s="8" t="s">
        <v>554</v>
      </c>
      <c r="D524" s="20" t="s">
        <v>555</v>
      </c>
      <c r="E524" s="8" t="s">
        <v>222</v>
      </c>
    </row>
    <row r="525" spans="2:5" ht="20" customHeight="1">
      <c r="B525" s="26" t="s">
        <v>2719</v>
      </c>
      <c r="C525" s="22" t="str">
        <f>_xlfn.CONCAT(sample_mgmt_vc_hostname,".",sample_child_dns_zone)</f>
        <v>sfo-m01-vc01.sfo.rainpole.io</v>
      </c>
      <c r="D525" s="18" t="str">
        <f>mgmt_vc_fqdn</f>
        <v>Value Missing.Value Missing</v>
      </c>
      <c r="E525" s="53"/>
    </row>
    <row r="526" spans="2:5" ht="20" customHeight="1">
      <c r="B526" s="26" t="s">
        <v>3367</v>
      </c>
      <c r="C526" s="22" t="str">
        <f>sample_xreg_vrslcm_hostname</f>
        <v>xint-lcm01</v>
      </c>
      <c r="D526" s="18" t="str">
        <f>xreg_vrslcm_hostname</f>
        <v>Value Missing</v>
      </c>
      <c r="E526" s="53"/>
    </row>
    <row r="527" spans="2:5" ht="20" customHeight="1">
      <c r="B527" s="26" t="s">
        <v>2820</v>
      </c>
      <c r="C527" s="22" t="str">
        <f>sample_xreg_wsa_nodea_hostname</f>
        <v>xint-idm01a</v>
      </c>
      <c r="D527" s="18" t="str">
        <f>xreg_wsa_nodea_hostname</f>
        <v>Value Missing</v>
      </c>
      <c r="E527" s="53"/>
    </row>
    <row r="528" spans="2:5" ht="20" customHeight="1">
      <c r="B528" s="26" t="s">
        <v>2823</v>
      </c>
      <c r="C528" s="22" t="str">
        <f>sample_xreg_wsa_nodeb_hostname</f>
        <v>xint-idm01b</v>
      </c>
      <c r="D528" s="18" t="str">
        <f>xreg_wsa_nodeb_hostname</f>
        <v>Value Missing</v>
      </c>
      <c r="E528" s="53"/>
    </row>
    <row r="529" spans="2:5" ht="20" customHeight="1">
      <c r="B529" s="26" t="s">
        <v>2824</v>
      </c>
      <c r="C529" s="22" t="str">
        <f>sample_xreg_wsa_nodec_hostname</f>
        <v>xint-idm01c</v>
      </c>
      <c r="D529" s="18" t="str">
        <f>xreg_wsa_nodec_hostname</f>
        <v>Value Missing</v>
      </c>
      <c r="E529" s="53"/>
    </row>
    <row r="530" spans="2:5" ht="20" customHeight="1">
      <c r="B530" s="26" t="s">
        <v>3297</v>
      </c>
      <c r="C530" s="22" t="str">
        <f>sample_xreg_vrops_nodea_hostname</f>
        <v>xint-ops01a</v>
      </c>
      <c r="D530" s="18" t="str">
        <f>xreg_vrops_nodea_hostname</f>
        <v>Value Missing</v>
      </c>
      <c r="E530" s="53"/>
    </row>
    <row r="531" spans="2:5" ht="20" customHeight="1">
      <c r="B531" s="26" t="s">
        <v>3296</v>
      </c>
      <c r="C531" s="22" t="str">
        <f>sample_xreg_vrops_nodeb_hostname</f>
        <v>xint-ops01b</v>
      </c>
      <c r="D531" s="18" t="str">
        <f>xreg_vrops_nodeb_hostname</f>
        <v>Value Missing</v>
      </c>
      <c r="E531" s="53"/>
    </row>
    <row r="532" spans="2:5" ht="20" customHeight="1">
      <c r="B532" s="26" t="s">
        <v>3295</v>
      </c>
      <c r="C532" s="22" t="str">
        <f>sample_xreg_vrops_nodec_hostname</f>
        <v>xint-ops01c</v>
      </c>
      <c r="D532" s="18" t="str">
        <f>xreg_vrops_nodec_hostname</f>
        <v>Value Missing</v>
      </c>
      <c r="E532" s="53"/>
    </row>
    <row r="533" spans="2:5" ht="20" customHeight="1">
      <c r="B533" s="26" t="s">
        <v>3294</v>
      </c>
      <c r="C533" s="22" t="str">
        <f>sample_xreg_vra_nodea_hostname</f>
        <v>xint-cmp01a</v>
      </c>
      <c r="D533" s="18" t="str">
        <f>xreg_vra_nodea_hostname</f>
        <v>Value Missing</v>
      </c>
      <c r="E533" s="53"/>
    </row>
    <row r="534" spans="2:5" ht="20" customHeight="1">
      <c r="B534" s="26" t="s">
        <v>3293</v>
      </c>
      <c r="C534" s="22" t="str">
        <f>sample_xreg_vra_nodeb_hostname</f>
        <v>xint-cmp01b</v>
      </c>
      <c r="D534" s="18" t="str">
        <f>xreg_vra_nodeb_hostname</f>
        <v>Value Missing</v>
      </c>
      <c r="E534" s="53"/>
    </row>
    <row r="535" spans="2:5" ht="20" customHeight="1">
      <c r="B535" s="26" t="s">
        <v>3292</v>
      </c>
      <c r="C535" s="22" t="str">
        <f>sample_xreg_vra_nodec_hostname</f>
        <v>xint-cmp01c</v>
      </c>
      <c r="D535" s="18" t="str">
        <f>xreg_vra_nodec_hostname</f>
        <v>Value Missing</v>
      </c>
      <c r="E535" s="53"/>
    </row>
    <row r="536" spans="2:5" ht="16" customHeight="1"/>
    <row r="537" spans="2:5" ht="34" customHeight="1">
      <c r="B537" s="386" t="s">
        <v>2914</v>
      </c>
      <c r="C537" s="387"/>
      <c r="D537" s="387"/>
      <c r="E537" s="387"/>
    </row>
    <row r="538" spans="2:5" ht="16" customHeight="1"/>
    <row r="539" spans="2:5" ht="34" customHeight="1">
      <c r="B539" s="344" t="s">
        <v>2915</v>
      </c>
      <c r="C539" s="344"/>
      <c r="D539" s="344"/>
      <c r="E539" s="344"/>
    </row>
    <row r="540" spans="2:5" ht="20" customHeight="1">
      <c r="B540" s="8" t="s">
        <v>735</v>
      </c>
      <c r="C540" s="8" t="s">
        <v>554</v>
      </c>
      <c r="D540" s="20" t="s">
        <v>555</v>
      </c>
      <c r="E540" s="8" t="s">
        <v>222</v>
      </c>
    </row>
    <row r="541" spans="2:5" ht="20" customHeight="1">
      <c r="B541" s="21" t="s">
        <v>2722</v>
      </c>
      <c r="C541" s="22" t="str">
        <f>sample_mgmt_srm_recovery_vcenter_fqdn</f>
        <v>lax-m01-vc01.lax.rainpole.io</v>
      </c>
      <c r="D541" s="18" t="str">
        <f>mgmt_srm_recovery_vcenter_fqdn</f>
        <v>Value Missing</v>
      </c>
      <c r="E541" s="53"/>
    </row>
    <row r="542" spans="2:5" ht="20" customHeight="1">
      <c r="B542" s="21" t="s">
        <v>843</v>
      </c>
      <c r="C542" s="49" t="str">
        <f>sample_mgmt_srm_recovery_cluster</f>
        <v>lax-m01-cl01</v>
      </c>
      <c r="D542" s="98" t="str">
        <f>mgmt_srm_recovery_cluster</f>
        <v>Value Missing</v>
      </c>
      <c r="E542" s="53"/>
    </row>
    <row r="543" spans="2:5" ht="20" customHeight="1">
      <c r="B543" s="21" t="s">
        <v>2916</v>
      </c>
      <c r="C543" s="22" t="s">
        <v>2135</v>
      </c>
      <c r="D543" s="18" t="str">
        <f>C543</f>
        <v>anti-affinity-rule-wsa</v>
      </c>
      <c r="E543" s="53"/>
    </row>
    <row r="544" spans="2:5" ht="20" customHeight="1">
      <c r="B544" s="21" t="s">
        <v>2917</v>
      </c>
      <c r="C544" s="22" t="str">
        <f>sample_xreg_wsa_nodea_hostname</f>
        <v>xint-idm01a</v>
      </c>
      <c r="D544" s="18" t="str">
        <f>xreg_wsa_nodea_hostname</f>
        <v>Value Missing</v>
      </c>
      <c r="E544" s="53"/>
    </row>
    <row r="545" spans="2:5" ht="20" customHeight="1">
      <c r="B545" s="21" t="s">
        <v>2917</v>
      </c>
      <c r="C545" s="22" t="str">
        <f>sample_xreg_wsa_nodeb_hostname</f>
        <v>xint-idm01b</v>
      </c>
      <c r="D545" s="18" t="str">
        <f>xreg_wsa_nodeb_hostname</f>
        <v>Value Missing</v>
      </c>
      <c r="E545" s="53"/>
    </row>
    <row r="546" spans="2:5" ht="20" customHeight="1">
      <c r="B546" s="21" t="s">
        <v>2917</v>
      </c>
      <c r="C546" s="22" t="str">
        <f>sample_xreg_wsa_nodec_hostname</f>
        <v>xint-idm01c</v>
      </c>
      <c r="D546" s="18" t="str">
        <f>xreg_wsa_nodec_hostname</f>
        <v>Value Missing</v>
      </c>
      <c r="E546" s="53"/>
    </row>
    <row r="547" spans="2:5" ht="20" customHeight="1">
      <c r="B547" s="21" t="s">
        <v>3303</v>
      </c>
      <c r="C547" s="22" t="s">
        <v>3581</v>
      </c>
      <c r="D547" s="18" t="str">
        <f>C547</f>
        <v>anti-affinity-rule-operations</v>
      </c>
      <c r="E547" s="53"/>
    </row>
    <row r="548" spans="2:5" ht="20" customHeight="1">
      <c r="B548" s="21" t="s">
        <v>3307</v>
      </c>
      <c r="C548" s="22" t="str">
        <f>sample_xreg_vrops_nodea_hostname</f>
        <v>xint-ops01a</v>
      </c>
      <c r="D548" s="18" t="str">
        <f>xreg_vrops_nodea_hostname</f>
        <v>Value Missing</v>
      </c>
      <c r="E548" s="53"/>
    </row>
    <row r="549" spans="2:5" ht="20" customHeight="1">
      <c r="B549" s="21" t="s">
        <v>3307</v>
      </c>
      <c r="C549" s="22" t="str">
        <f>sample_xreg_vrops_nodeb_hostname</f>
        <v>xint-ops01b</v>
      </c>
      <c r="D549" s="18" t="str">
        <f>xreg_vrops_nodeb_hostname</f>
        <v>Value Missing</v>
      </c>
      <c r="E549" s="53"/>
    </row>
    <row r="550" spans="2:5" ht="20" customHeight="1">
      <c r="B550" s="21" t="s">
        <v>3307</v>
      </c>
      <c r="C550" s="22" t="str">
        <f>sample_xreg_vrops_nodec_hostname</f>
        <v>xint-ops01c</v>
      </c>
      <c r="D550" s="18" t="str">
        <f>xreg_vrops_nodec_hostname</f>
        <v>Value Missing</v>
      </c>
      <c r="E550" s="53"/>
    </row>
    <row r="551" spans="2:5" ht="20" customHeight="1">
      <c r="B551" s="21" t="s">
        <v>3300</v>
      </c>
      <c r="C551" s="22" t="s">
        <v>3623</v>
      </c>
      <c r="D551" s="18" t="str">
        <f>C551</f>
        <v>anti-affinity-rule-automation</v>
      </c>
      <c r="E551" s="53"/>
    </row>
    <row r="552" spans="2:5" ht="20" customHeight="1">
      <c r="B552" s="21" t="s">
        <v>3306</v>
      </c>
      <c r="C552" s="22" t="str">
        <f>sample_xreg_vra_nodea_hostname</f>
        <v>xint-cmp01a</v>
      </c>
      <c r="D552" s="18" t="str">
        <f>xreg_vra_nodea_hostname</f>
        <v>Value Missing</v>
      </c>
      <c r="E552" s="53"/>
    </row>
    <row r="553" spans="2:5" ht="20" customHeight="1">
      <c r="B553" s="21" t="s">
        <v>3306</v>
      </c>
      <c r="C553" s="22" t="str">
        <f>sample_xreg_vra_nodeb_hostname</f>
        <v>xint-cmp01b</v>
      </c>
      <c r="D553" s="18" t="str">
        <f>xreg_vra_nodeb_hostname</f>
        <v>Value Missing</v>
      </c>
      <c r="E553" s="53"/>
    </row>
    <row r="554" spans="2:5" ht="20" customHeight="1">
      <c r="B554" s="21" t="s">
        <v>3306</v>
      </c>
      <c r="C554" s="22" t="str">
        <f>sample_xreg_vra_nodec_hostname</f>
        <v>xint-cmp01c</v>
      </c>
      <c r="D554" s="18" t="str">
        <f>xreg_vra_nodec_hostname</f>
        <v>Value Missing</v>
      </c>
      <c r="E554" s="53"/>
    </row>
    <row r="555" spans="2:5" ht="16" customHeight="1"/>
    <row r="556" spans="2:5" ht="34" customHeight="1">
      <c r="B556" s="344" t="s">
        <v>2918</v>
      </c>
      <c r="C556" s="344"/>
      <c r="D556" s="344"/>
      <c r="E556" s="344"/>
    </row>
    <row r="557" spans="2:5" ht="20" customHeight="1">
      <c r="B557" s="8" t="s">
        <v>735</v>
      </c>
      <c r="C557" s="8" t="s">
        <v>554</v>
      </c>
      <c r="D557" s="20" t="s">
        <v>555</v>
      </c>
      <c r="E557" s="8" t="s">
        <v>222</v>
      </c>
    </row>
    <row r="558" spans="2:5" ht="20" customHeight="1">
      <c r="B558" s="21" t="s">
        <v>2722</v>
      </c>
      <c r="C558" s="22" t="str">
        <f>sample_mgmt_srm_recovery_vcenter_fqdn</f>
        <v>lax-m01-vc01.lax.rainpole.io</v>
      </c>
      <c r="D558" s="18" t="str">
        <f>mgmt_srm_recovery_vcenter_fqdn</f>
        <v>Value Missing</v>
      </c>
      <c r="E558" s="53"/>
    </row>
    <row r="559" spans="2:5" ht="20" customHeight="1">
      <c r="B559" s="21" t="s">
        <v>843</v>
      </c>
      <c r="C559" s="49" t="str">
        <f>sample_mgmt_srm_recovery_cluster</f>
        <v>lax-m01-cl01</v>
      </c>
      <c r="D559" s="98" t="str">
        <f>mgmt_srm_recovery_cluster</f>
        <v>Value Missing</v>
      </c>
      <c r="E559" s="53"/>
    </row>
    <row r="560" spans="2:5" ht="20" customHeight="1">
      <c r="B560" s="553" t="s">
        <v>2919</v>
      </c>
      <c r="C560" s="572"/>
      <c r="D560" s="572"/>
      <c r="E560" s="573"/>
    </row>
    <row r="561" spans="2:5" ht="20" customHeight="1">
      <c r="B561" s="21" t="s">
        <v>2916</v>
      </c>
      <c r="C561" s="22" t="s">
        <v>2920</v>
      </c>
      <c r="D561" s="18" t="str">
        <f>C561</f>
        <v>xint-vm-group-wsa</v>
      </c>
      <c r="E561" s="53"/>
    </row>
    <row r="562" spans="2:5" ht="20" customHeight="1">
      <c r="B562" s="21" t="s">
        <v>2917</v>
      </c>
      <c r="C562" s="22" t="str">
        <f>sample_xreg_wsa_nodea_hostname</f>
        <v>xint-idm01a</v>
      </c>
      <c r="D562" s="18" t="str">
        <f>xreg_wsa_nodea_hostname</f>
        <v>Value Missing</v>
      </c>
      <c r="E562" s="53"/>
    </row>
    <row r="563" spans="2:5" ht="20" customHeight="1">
      <c r="B563" s="21" t="s">
        <v>2917</v>
      </c>
      <c r="C563" s="22" t="str">
        <f>sample_xreg_wsa_nodeb_hostname</f>
        <v>xint-idm01b</v>
      </c>
      <c r="D563" s="18" t="str">
        <f>xreg_wsa_nodeb_hostname</f>
        <v>Value Missing</v>
      </c>
      <c r="E563" s="53"/>
    </row>
    <row r="564" spans="2:5" ht="20" customHeight="1">
      <c r="B564" s="21" t="s">
        <v>2917</v>
      </c>
      <c r="C564" s="22" t="str">
        <f>sample_xreg_wsa_nodec_hostname</f>
        <v>xint-idm01c</v>
      </c>
      <c r="D564" s="18" t="str">
        <f>xreg_wsa_nodec_hostname</f>
        <v>Value Missing</v>
      </c>
      <c r="E564" s="53"/>
    </row>
    <row r="565" spans="2:5" ht="20" customHeight="1">
      <c r="B565" s="21" t="s">
        <v>3303</v>
      </c>
      <c r="C565" s="22" t="s">
        <v>4501</v>
      </c>
      <c r="D565" s="18" t="str">
        <f>C565</f>
        <v>xint-vm-group-operations</v>
      </c>
      <c r="E565" s="53"/>
    </row>
    <row r="566" spans="2:5" ht="20" customHeight="1">
      <c r="B566" s="21" t="s">
        <v>3305</v>
      </c>
      <c r="C566" s="22" t="str">
        <f>sample_xreg_vrops_nodea_hostname</f>
        <v>xint-ops01a</v>
      </c>
      <c r="D566" s="18" t="str">
        <f>xreg_vrops_nodea_hostname</f>
        <v>Value Missing</v>
      </c>
      <c r="E566" s="53"/>
    </row>
    <row r="567" spans="2:5" ht="20" customHeight="1">
      <c r="B567" s="21" t="s">
        <v>3305</v>
      </c>
      <c r="C567" s="22" t="str">
        <f>sample_xreg_vrops_nodeb_hostname</f>
        <v>xint-ops01b</v>
      </c>
      <c r="D567" s="18" t="str">
        <f>xreg_vrops_nodeb_hostname</f>
        <v>Value Missing</v>
      </c>
      <c r="E567" s="53"/>
    </row>
    <row r="568" spans="2:5" ht="20" customHeight="1">
      <c r="B568" s="21" t="s">
        <v>3305</v>
      </c>
      <c r="C568" s="22" t="str">
        <f>sample_xreg_vrops_nodec_hostname</f>
        <v>xint-ops01c</v>
      </c>
      <c r="D568" s="18" t="str">
        <f>xreg_vrops_nodec_hostname</f>
        <v>Value Missing</v>
      </c>
      <c r="E568" s="53"/>
    </row>
    <row r="569" spans="2:5" ht="20" customHeight="1">
      <c r="B569" s="21" t="s">
        <v>3300</v>
      </c>
      <c r="C569" s="22" t="s">
        <v>4502</v>
      </c>
      <c r="D569" s="18" t="str">
        <f>C569</f>
        <v>xint-vm-group-automation</v>
      </c>
      <c r="E569" s="53"/>
    </row>
    <row r="570" spans="2:5" ht="20" customHeight="1">
      <c r="B570" s="21" t="s">
        <v>3304</v>
      </c>
      <c r="C570" s="22" t="str">
        <f>sample_xreg_vra_nodea_hostname</f>
        <v>xint-cmp01a</v>
      </c>
      <c r="D570" s="18" t="str">
        <f>xreg_vra_nodea_hostname</f>
        <v>Value Missing</v>
      </c>
      <c r="E570" s="53"/>
    </row>
    <row r="571" spans="2:5" ht="20" customHeight="1">
      <c r="B571" s="21" t="s">
        <v>3304</v>
      </c>
      <c r="C571" s="22" t="str">
        <f>sample_xreg_vra_nodeb_hostname</f>
        <v>xint-cmp01b</v>
      </c>
      <c r="D571" s="18" t="str">
        <f>xreg_vra_nodeb_hostname</f>
        <v>Value Missing</v>
      </c>
      <c r="E571" s="53"/>
    </row>
    <row r="572" spans="2:5" ht="20" customHeight="1">
      <c r="B572" s="21" t="s">
        <v>3304</v>
      </c>
      <c r="C572" s="22" t="str">
        <f>sample_xreg_vra_nodec_hostname</f>
        <v>xint-cmp01c</v>
      </c>
      <c r="D572" s="18" t="str">
        <f>xreg_vra_nodec_hostname</f>
        <v>Value Missing</v>
      </c>
      <c r="E572" s="53"/>
    </row>
    <row r="573" spans="2:5" ht="20" customHeight="1">
      <c r="B573" s="553" t="s">
        <v>2921</v>
      </c>
      <c r="C573" s="572"/>
      <c r="D573" s="572"/>
      <c r="E573" s="573"/>
    </row>
    <row r="574" spans="2:5" ht="20" customHeight="1">
      <c r="B574" s="21" t="s">
        <v>3303</v>
      </c>
      <c r="C574" s="22" t="s">
        <v>3587</v>
      </c>
      <c r="D574" s="18" t="str">
        <f t="shared" ref="D574:D579" si="2">C574</f>
        <v>vm-vm-rule-wsa-operations</v>
      </c>
      <c r="E574" s="53"/>
    </row>
    <row r="575" spans="2:5" ht="20" customHeight="1">
      <c r="B575" s="26" t="s">
        <v>3302</v>
      </c>
      <c r="C575" s="22" t="s">
        <v>2920</v>
      </c>
      <c r="D575" s="18" t="str">
        <f t="shared" si="2"/>
        <v>xint-vm-group-wsa</v>
      </c>
      <c r="E575" s="53"/>
    </row>
    <row r="576" spans="2:5" ht="20" customHeight="1">
      <c r="B576" s="26" t="s">
        <v>3301</v>
      </c>
      <c r="C576" s="22" t="s">
        <v>4501</v>
      </c>
      <c r="D576" s="18" t="str">
        <f t="shared" si="2"/>
        <v>xint-vm-group-operations</v>
      </c>
      <c r="E576" s="53"/>
    </row>
    <row r="577" spans="2:5" ht="20" customHeight="1">
      <c r="B577" s="21" t="s">
        <v>3300</v>
      </c>
      <c r="C577" s="22" t="s">
        <v>3624</v>
      </c>
      <c r="D577" s="18" t="str">
        <f t="shared" si="2"/>
        <v>vm-vm-rule-wsa-automation</v>
      </c>
      <c r="E577" s="53"/>
    </row>
    <row r="578" spans="2:5" ht="20" customHeight="1">
      <c r="B578" s="26" t="s">
        <v>3299</v>
      </c>
      <c r="C578" s="22" t="s">
        <v>2920</v>
      </c>
      <c r="D578" s="18" t="str">
        <f t="shared" si="2"/>
        <v>xint-vm-group-wsa</v>
      </c>
      <c r="E578" s="53"/>
    </row>
    <row r="579" spans="2:5" ht="20" customHeight="1">
      <c r="B579" s="26" t="s">
        <v>3298</v>
      </c>
      <c r="C579" s="22" t="s">
        <v>4502</v>
      </c>
      <c r="D579" s="18" t="str">
        <f t="shared" si="2"/>
        <v>xint-vm-group-automation</v>
      </c>
      <c r="E579" s="53"/>
    </row>
    <row r="580" spans="2:5" ht="16" customHeight="1"/>
    <row r="581" spans="2:5" ht="34" customHeight="1">
      <c r="B581" s="344" t="s">
        <v>2922</v>
      </c>
      <c r="C581" s="344"/>
      <c r="D581" s="344"/>
      <c r="E581" s="344"/>
    </row>
    <row r="582" spans="2:5" ht="20" customHeight="1">
      <c r="B582" s="8" t="s">
        <v>735</v>
      </c>
      <c r="C582" s="8" t="s">
        <v>554</v>
      </c>
      <c r="D582" s="20" t="s">
        <v>555</v>
      </c>
      <c r="E582" s="8" t="s">
        <v>222</v>
      </c>
    </row>
    <row r="583" spans="2:5" ht="20" customHeight="1">
      <c r="B583" s="21" t="s">
        <v>2722</v>
      </c>
      <c r="C583" s="22" t="str">
        <f>sample_mgmt_srm_recovery_vcenter_fqdn</f>
        <v>lax-m01-vc01.lax.rainpole.io</v>
      </c>
      <c r="D583" s="18" t="str">
        <f>mgmt_srm_recovery_vcenter_fqdn</f>
        <v>Value Missing</v>
      </c>
      <c r="E583" s="53"/>
    </row>
    <row r="584" spans="2:5" ht="20" customHeight="1">
      <c r="B584" s="26" t="s">
        <v>3367</v>
      </c>
      <c r="C584" s="22" t="str">
        <f>sample_xreg_vrslcm_hostname</f>
        <v>xint-lcm01</v>
      </c>
      <c r="D584" s="18" t="str">
        <f>xreg_vrslcm_hostname</f>
        <v>Value Missing</v>
      </c>
      <c r="E584" s="53"/>
    </row>
    <row r="585" spans="2:5" ht="20" customHeight="1">
      <c r="B585" s="26" t="s">
        <v>2820</v>
      </c>
      <c r="C585" s="22" t="str">
        <f>sample_xreg_wsa_nodea_hostname</f>
        <v>xint-idm01a</v>
      </c>
      <c r="D585" s="18" t="str">
        <f>xreg_wsa_nodea_hostname</f>
        <v>Value Missing</v>
      </c>
      <c r="E585" s="53"/>
    </row>
    <row r="586" spans="2:5" ht="20" customHeight="1">
      <c r="B586" s="26" t="s">
        <v>2823</v>
      </c>
      <c r="C586" s="22" t="str">
        <f>sample_xreg_wsa_nodeb_hostname</f>
        <v>xint-idm01b</v>
      </c>
      <c r="D586" s="18" t="str">
        <f>xreg_wsa_nodeb_hostname</f>
        <v>Value Missing</v>
      </c>
      <c r="E586" s="53"/>
    </row>
    <row r="587" spans="2:5" ht="20" customHeight="1">
      <c r="B587" s="26" t="s">
        <v>2824</v>
      </c>
      <c r="C587" s="22" t="str">
        <f>sample_xreg_wsa_nodec_hostname</f>
        <v>xint-idm01c</v>
      </c>
      <c r="D587" s="18" t="str">
        <f>xreg_wsa_nodec_hostname</f>
        <v>Value Missing</v>
      </c>
      <c r="E587" s="53"/>
    </row>
    <row r="588" spans="2:5" ht="20" customHeight="1">
      <c r="B588" s="26" t="s">
        <v>3297</v>
      </c>
      <c r="C588" s="22" t="str">
        <f>sample_xreg_vrops_nodea_hostname</f>
        <v>xint-ops01a</v>
      </c>
      <c r="D588" s="18" t="str">
        <f>xreg_vrops_nodea_hostname</f>
        <v>Value Missing</v>
      </c>
      <c r="E588" s="53"/>
    </row>
    <row r="589" spans="2:5" ht="20" customHeight="1">
      <c r="B589" s="26" t="s">
        <v>3296</v>
      </c>
      <c r="C589" s="22" t="str">
        <f>sample_xreg_vrops_nodeb_hostname</f>
        <v>xint-ops01b</v>
      </c>
      <c r="D589" s="18" t="str">
        <f>xreg_vrops_nodeb_hostname</f>
        <v>Value Missing</v>
      </c>
      <c r="E589" s="53"/>
    </row>
    <row r="590" spans="2:5" ht="20" customHeight="1">
      <c r="B590" s="26" t="s">
        <v>3295</v>
      </c>
      <c r="C590" s="22" t="str">
        <f>sample_xreg_vrops_nodec_hostname</f>
        <v>xint-ops01c</v>
      </c>
      <c r="D590" s="18" t="str">
        <f>xreg_vrops_nodec_hostname</f>
        <v>Value Missing</v>
      </c>
      <c r="E590" s="53"/>
    </row>
    <row r="591" spans="2:5" ht="20" customHeight="1">
      <c r="B591" s="26" t="s">
        <v>3294</v>
      </c>
      <c r="C591" s="22" t="str">
        <f>sample_xreg_vra_nodea_hostname</f>
        <v>xint-cmp01a</v>
      </c>
      <c r="D591" s="18" t="str">
        <f>xreg_vra_nodea_hostname</f>
        <v>Value Missing</v>
      </c>
      <c r="E591" s="53"/>
    </row>
    <row r="592" spans="2:5" ht="20" customHeight="1">
      <c r="B592" s="26" t="s">
        <v>3293</v>
      </c>
      <c r="C592" s="22" t="str">
        <f>sample_xreg_vra_nodeb_hostname</f>
        <v>xint-cmp01b</v>
      </c>
      <c r="D592" s="18" t="str">
        <f>xreg_vra_nodeb_hostname</f>
        <v>Value Missing</v>
      </c>
      <c r="E592" s="53"/>
    </row>
    <row r="593" spans="2:5" ht="20" customHeight="1">
      <c r="B593" s="26" t="s">
        <v>3292</v>
      </c>
      <c r="C593" s="22" t="str">
        <f>sample_xreg_vra_nodec_hostname</f>
        <v>xint-cmp01c</v>
      </c>
      <c r="D593" s="18" t="str">
        <f>xreg_vra_nodec_hostname</f>
        <v>Value Missing</v>
      </c>
      <c r="E593" s="53"/>
    </row>
    <row r="595" spans="2:5" ht="34" customHeight="1">
      <c r="B595" s="552" t="s">
        <v>39</v>
      </c>
      <c r="C595" s="505"/>
      <c r="D595" s="505"/>
      <c r="E595" s="505"/>
    </row>
    <row r="596" spans="2:5" ht="16" customHeight="1"/>
    <row r="597" spans="2:5" ht="34" customHeight="1">
      <c r="B597" s="386" t="s">
        <v>2923</v>
      </c>
      <c r="C597" s="387"/>
      <c r="D597" s="387"/>
      <c r="E597" s="387"/>
    </row>
    <row r="598" spans="2:5" ht="16" customHeight="1"/>
    <row r="599" spans="2:5" ht="34" customHeight="1">
      <c r="B599" s="344" t="s">
        <v>2832</v>
      </c>
      <c r="C599" s="344"/>
      <c r="D599" s="344"/>
      <c r="E599" s="344"/>
    </row>
    <row r="600" spans="2:5" ht="20" customHeight="1">
      <c r="B600" s="8" t="s">
        <v>735</v>
      </c>
      <c r="C600" s="8" t="s">
        <v>554</v>
      </c>
      <c r="D600" s="20" t="s">
        <v>555</v>
      </c>
      <c r="E600" s="8" t="s">
        <v>222</v>
      </c>
    </row>
    <row r="601" spans="2:5" ht="20" customHeight="1">
      <c r="B601" s="21" t="s">
        <v>1938</v>
      </c>
      <c r="C601" s="22" t="str">
        <f>_xlfn.CONCAT(sample_wld_vc_hostname,".",sample_child_dns_zone)</f>
        <v>sfo-w01-vc01.sfo.rainpole.io</v>
      </c>
      <c r="D601" s="18" t="str">
        <f>wld_vc_fqdn</f>
        <v>Value Missing.Value Missing</v>
      </c>
      <c r="E601" s="53"/>
    </row>
    <row r="602" spans="2:5" ht="20" customHeight="1">
      <c r="B602" s="21" t="s">
        <v>2296</v>
      </c>
      <c r="C602" s="22" t="str">
        <f>sample_wld_vrms_vm_folder</f>
        <v>sfo-w01-fd-vrms</v>
      </c>
      <c r="D602" s="18" t="str">
        <f>wld_vrms_vm_folder</f>
        <v>Value Missing</v>
      </c>
      <c r="E602" s="53"/>
    </row>
    <row r="603" spans="2:5" ht="16" customHeight="1"/>
    <row r="604" spans="2:5" ht="34" customHeight="1">
      <c r="B604" s="344" t="s">
        <v>2833</v>
      </c>
      <c r="C604" s="344"/>
      <c r="D604" s="344"/>
      <c r="E604" s="344"/>
    </row>
    <row r="605" spans="2:5" ht="20" customHeight="1">
      <c r="B605" s="8" t="s">
        <v>735</v>
      </c>
      <c r="C605" s="8" t="s">
        <v>554</v>
      </c>
      <c r="D605" s="20" t="s">
        <v>555</v>
      </c>
      <c r="E605" s="8" t="s">
        <v>222</v>
      </c>
    </row>
    <row r="606" spans="2:5" ht="20" customHeight="1">
      <c r="B606" s="21" t="s">
        <v>1938</v>
      </c>
      <c r="C606" s="22" t="str">
        <f>_xlfn.CONCAT(sample_wld_vc_hostname,".",sample_child_dns_zone)</f>
        <v>sfo-w01-vc01.sfo.rainpole.io</v>
      </c>
      <c r="D606" s="18" t="str">
        <f>wld_vc_fqdn</f>
        <v>Value Missing.Value Missing</v>
      </c>
      <c r="E606" s="53"/>
    </row>
    <row r="607" spans="2:5" ht="20" customHeight="1">
      <c r="B607" s="26" t="s">
        <v>843</v>
      </c>
      <c r="C607" s="22" t="str">
        <f>sample_wld_cl01_cluster</f>
        <v>sfo-w01-cl01</v>
      </c>
      <c r="D607" s="18" t="str">
        <f>wld_cl01_cluster</f>
        <v>Value Missing</v>
      </c>
      <c r="E607" s="53"/>
    </row>
    <row r="608" spans="2:5" ht="20" customHeight="1">
      <c r="B608" s="26" t="s">
        <v>2297</v>
      </c>
      <c r="C608" s="22" t="str">
        <f>sample_wld_vrms_hostname</f>
        <v>sfo-w01-vrms01</v>
      </c>
      <c r="D608" s="18" t="str">
        <f>wld_vrms_hostname</f>
        <v>Value Missing</v>
      </c>
      <c r="E608" s="53"/>
    </row>
    <row r="609" spans="2:5" ht="20" customHeight="1">
      <c r="B609" s="26" t="s">
        <v>1797</v>
      </c>
      <c r="C609" s="22" t="str">
        <f>sample_wld_vrms_vm_folder</f>
        <v>sfo-w01-fd-vrms</v>
      </c>
      <c r="D609" s="18" t="str">
        <f>wld_vrms_vm_folder</f>
        <v>Value Missing</v>
      </c>
      <c r="E609" s="53"/>
    </row>
    <row r="610" spans="2:5" ht="20" customHeight="1">
      <c r="B610" s="26" t="s">
        <v>2298</v>
      </c>
      <c r="C610" s="22" t="str">
        <f>sample_wld_cl01_cluster</f>
        <v>sfo-w01-cl01</v>
      </c>
      <c r="D610" s="18" t="str">
        <f>wld_cl01_cluster</f>
        <v>Value Missing</v>
      </c>
      <c r="E610" s="53"/>
    </row>
    <row r="611" spans="2:5" ht="20" customHeight="1">
      <c r="B611" s="26" t="s">
        <v>838</v>
      </c>
      <c r="C611" s="22" t="str">
        <f>sample_wld_cl01_vsan_datastore</f>
        <v>sfo-w01-sfo-w01-cl01-vsan01</v>
      </c>
      <c r="D611" s="18" t="str">
        <f>wld_cl01_vsan_datastore</f>
        <v>Value Missing</v>
      </c>
      <c r="E611" s="53"/>
    </row>
    <row r="612" spans="2:5" ht="20" customHeight="1">
      <c r="B612" s="21" t="s">
        <v>2300</v>
      </c>
      <c r="C612" s="22" t="str">
        <f>sample_wld_cl01_az1_mgmt_pg</f>
        <v>sfo-w01-cl01-vds01-pg-esxi-mgmt</v>
      </c>
      <c r="D612" s="18" t="str">
        <f>wld_cl01_az1_mgmt_pg</f>
        <v>Value Missing</v>
      </c>
      <c r="E612" s="53"/>
    </row>
    <row r="613" spans="2:5" ht="20" customHeight="1">
      <c r="B613" s="21" t="s">
        <v>2834</v>
      </c>
      <c r="C613" s="22" t="str">
        <f>sample_wld_vrms_root_password</f>
        <v>VMw@re1!</v>
      </c>
      <c r="D613" s="18" t="str">
        <f>wld_vrms_root_password</f>
        <v>Value Missing</v>
      </c>
      <c r="E613" s="53"/>
    </row>
    <row r="614" spans="2:5" ht="20" customHeight="1">
      <c r="B614" s="26" t="s">
        <v>2835</v>
      </c>
      <c r="C614" s="22" t="str">
        <f>sample_wld_vrms_admin_password</f>
        <v>VMw@re1!</v>
      </c>
      <c r="D614" s="18" t="str">
        <f>wld_vrms_admin_password</f>
        <v>Value Missing</v>
      </c>
      <c r="E614" s="53"/>
    </row>
    <row r="615" spans="2:5" ht="20" customHeight="1">
      <c r="B615" s="26" t="s">
        <v>1693</v>
      </c>
      <c r="C615" s="22" t="str">
        <f>sample_region_ntp1_server</f>
        <v>ntp.sfo.rainpole.io</v>
      </c>
      <c r="D615" s="18" t="str">
        <f>region_ntp1_server</f>
        <v>Value Missing</v>
      </c>
      <c r="E615" s="53"/>
    </row>
    <row r="616" spans="2:5" ht="20" customHeight="1">
      <c r="B616" s="21" t="s">
        <v>1686</v>
      </c>
      <c r="C616" s="22" t="str">
        <f>_xlfn.CONCAT(sample_wld_vrms_hostname,".",sample_child_dns_zone)</f>
        <v>sfo-w01-vrms01.sfo.rainpole.io</v>
      </c>
      <c r="D616" s="18" t="str">
        <f>wld_vrms_fqdn</f>
        <v>Value Missing.Value Missing</v>
      </c>
      <c r="E616" s="53"/>
    </row>
    <row r="617" spans="2:5" ht="20" customHeight="1">
      <c r="B617" s="21" t="s">
        <v>1689</v>
      </c>
      <c r="C617" s="22" t="str">
        <f>sample_wld_az1_mgmt_vm_gateway_ip</f>
        <v>10.13.11.1</v>
      </c>
      <c r="D617" s="18" t="str">
        <f>wld_az1_mgmt_gateway_ip</f>
        <v>Value Missing</v>
      </c>
      <c r="E617" s="53"/>
    </row>
    <row r="618" spans="2:5" ht="20" customHeight="1">
      <c r="B618" s="26" t="s">
        <v>905</v>
      </c>
      <c r="C618" s="22" t="str">
        <f>sample_child_dns_zone</f>
        <v>sfo.rainpole.io</v>
      </c>
      <c r="D618" s="18" t="str">
        <f>child_dns_zone</f>
        <v>Value Missing</v>
      </c>
      <c r="E618" s="53"/>
    </row>
    <row r="619" spans="2:5" ht="20" customHeight="1">
      <c r="B619" s="26" t="s">
        <v>2836</v>
      </c>
      <c r="C619" s="22" t="str">
        <f>sample_child_dns_zone</f>
        <v>sfo.rainpole.io</v>
      </c>
      <c r="D619" s="18" t="str">
        <f>child_dns_zone</f>
        <v>Value Missing</v>
      </c>
      <c r="E619" s="53"/>
    </row>
    <row r="620" spans="2:5" ht="20" customHeight="1">
      <c r="B620" s="26" t="s">
        <v>2301</v>
      </c>
      <c r="C620" s="22" t="str">
        <f>_xlfn.CONCAT(sample_region_dns1_ip,",",sample_region_dns2_ip)</f>
        <v>10.11.10.4,10.11.10.5</v>
      </c>
      <c r="D620" s="18" t="str">
        <f>_xlfn.CONCAT(region_dns1_ip,",",region_dns2_ip)</f>
        <v>Value Missing,Value Missing</v>
      </c>
      <c r="E620" s="53"/>
    </row>
    <row r="621" spans="2:5" ht="20" customHeight="1">
      <c r="B621" s="26" t="s">
        <v>1687</v>
      </c>
      <c r="C621" s="22" t="str">
        <f>sample_wld_vrms_mgmt_ip</f>
        <v>10.13.10.125</v>
      </c>
      <c r="D621" s="18" t="str">
        <f>wld_vrms_mgmt_ip</f>
        <v>Value Missing</v>
      </c>
      <c r="E621" s="53"/>
    </row>
    <row r="622" spans="2:5" ht="20" customHeight="1">
      <c r="B622" s="26" t="s">
        <v>2837</v>
      </c>
      <c r="C622" s="22">
        <f>INT(RIGHT(sample_wld_az1_mgmt_cidr,LEN(sample_wld_az1_mgmt_cidr)-FIND("/",sample_wld_az1_mgmt_cidr)))</f>
        <v>24</v>
      </c>
      <c r="D622" s="18" t="str">
        <f>IF(wld_az1_mgmt_cidr="Value Missing","Value Missing",INT(RIGHT(wld_az1_mgmt_cidr,LEN(wld_az1_mgmt_cidr)-FIND("/",wld_az1_mgmt_cidr))))</f>
        <v>Value Missing</v>
      </c>
      <c r="E622" s="53"/>
    </row>
    <row r="623" spans="2:5" ht="16" customHeight="1"/>
    <row r="624" spans="2:5" ht="34" customHeight="1">
      <c r="B624" s="344" t="s">
        <v>2838</v>
      </c>
      <c r="C624" s="344"/>
      <c r="D624" s="344"/>
      <c r="E624" s="344"/>
    </row>
    <row r="625" spans="2:5" ht="20" customHeight="1">
      <c r="B625" s="8" t="s">
        <v>735</v>
      </c>
      <c r="C625" s="8" t="s">
        <v>554</v>
      </c>
      <c r="D625" s="20" t="s">
        <v>555</v>
      </c>
      <c r="E625" s="8" t="s">
        <v>222</v>
      </c>
    </row>
    <row r="626" spans="2:5" ht="20" customHeight="1">
      <c r="B626" s="21" t="s">
        <v>2839</v>
      </c>
      <c r="C626" s="22" t="str">
        <f>_xlfn.CONCAT(sample_wld_vrms_hostname,".",sample_child_dns_zone)</f>
        <v>sfo-w01-vrms01.sfo.rainpole.io</v>
      </c>
      <c r="D626" s="18" t="str">
        <f>wld_vrms_fqdn</f>
        <v>Value Missing.Value Missing</v>
      </c>
      <c r="E626" s="53"/>
    </row>
    <row r="627" spans="2:5" ht="20" customHeight="1">
      <c r="B627" s="21" t="s">
        <v>2840</v>
      </c>
      <c r="C627" s="22" t="str">
        <f>sample_wld_vrms_p12_password</f>
        <v>VMw@re1!</v>
      </c>
      <c r="D627" s="18" t="str">
        <f>wld_vrms_p12_password</f>
        <v>Value Missing</v>
      </c>
      <c r="E627" s="53"/>
    </row>
    <row r="628" spans="2:5" ht="16" customHeight="1"/>
    <row r="629" spans="2:5" ht="34" customHeight="1">
      <c r="B629" s="344" t="s">
        <v>2841</v>
      </c>
      <c r="C629" s="344"/>
      <c r="D629" s="344"/>
      <c r="E629" s="344"/>
    </row>
    <row r="630" spans="2:5" ht="20" customHeight="1">
      <c r="B630" s="8" t="s">
        <v>735</v>
      </c>
      <c r="C630" s="8" t="s">
        <v>554</v>
      </c>
      <c r="D630" s="20" t="s">
        <v>555</v>
      </c>
      <c r="E630" s="8" t="s">
        <v>222</v>
      </c>
    </row>
    <row r="631" spans="2:5" ht="20" customHeight="1">
      <c r="B631" s="21" t="s">
        <v>2839</v>
      </c>
      <c r="C631" s="22" t="str">
        <f>_xlfn.CONCAT(sample_wld_vrms_hostname,".",sample_child_dns_zone)</f>
        <v>sfo-w01-vrms01.sfo.rainpole.io</v>
      </c>
      <c r="D631" s="18" t="str">
        <f>wld_vrms_fqdn</f>
        <v>Value Missing.Value Missing</v>
      </c>
      <c r="E631" s="53"/>
    </row>
    <row r="632" spans="2:5" ht="20" customHeight="1">
      <c r="B632" s="26" t="s">
        <v>2842</v>
      </c>
      <c r="C632" s="22" t="str">
        <f>_xlfn.CONCAT(sample_wld_vc_hostname,".",sample_child_dns_zone)</f>
        <v>sfo-w01-vc01.sfo.rainpole.io</v>
      </c>
      <c r="D632" s="18" t="str">
        <f>wld_vc_fqdn</f>
        <v>Value Missing.Value Missing</v>
      </c>
      <c r="E632" s="53"/>
    </row>
    <row r="633" spans="2:5" ht="20" customHeight="1">
      <c r="B633" s="26" t="s">
        <v>1795</v>
      </c>
      <c r="C633" s="22" t="s">
        <v>1045</v>
      </c>
      <c r="D633" s="18" t="str">
        <f>C633</f>
        <v>administrator@vsphere.local</v>
      </c>
      <c r="E633" s="53"/>
    </row>
    <row r="634" spans="2:5" ht="20" customHeight="1">
      <c r="B634" s="26" t="s">
        <v>1796</v>
      </c>
      <c r="C634" s="22" t="str">
        <f>sample_administrator_vsphere_local_password</f>
        <v>VMw@re1!</v>
      </c>
      <c r="D634" s="18" t="str">
        <f>_xlfn.SINGLE(administrator_vsphere_local_password)</f>
        <v>Value Missing</v>
      </c>
      <c r="E634" s="53"/>
    </row>
    <row r="635" spans="2:5" ht="20" customHeight="1">
      <c r="B635" s="26" t="s">
        <v>637</v>
      </c>
      <c r="C635" s="22" t="str">
        <f>_xlfn.CONCAT(sample_wld_vc_hostname,".",sample_child_dns_zone)</f>
        <v>sfo-w01-vc01.sfo.rainpole.io</v>
      </c>
      <c r="D635" s="18" t="str">
        <f>wld_vc_fqdn</f>
        <v>Value Missing.Value Missing</v>
      </c>
      <c r="E635" s="53"/>
    </row>
    <row r="636" spans="2:5" ht="20" customHeight="1">
      <c r="B636" s="26" t="s">
        <v>1052</v>
      </c>
      <c r="C636" s="22" t="str">
        <f>sample_wld_vrms_site_name</f>
        <v>SFO-W01</v>
      </c>
      <c r="D636" s="18" t="str">
        <f>wld_vrms_site_name</f>
        <v>Value Missing</v>
      </c>
      <c r="E636" s="53"/>
    </row>
    <row r="637" spans="2:5" ht="20" customHeight="1">
      <c r="B637" s="21" t="s">
        <v>2843</v>
      </c>
      <c r="C637" s="22" t="str">
        <f>sample_wld_vrms_admin_email</f>
        <v>vrms-administrator@rainpole.io</v>
      </c>
      <c r="D637" s="18" t="str">
        <f>wld_vrms_admin_email</f>
        <v>Value Missing</v>
      </c>
      <c r="E637" s="53"/>
    </row>
    <row r="638" spans="2:5" ht="20" customHeight="1">
      <c r="B638" s="21" t="s">
        <v>2844</v>
      </c>
      <c r="C638" s="22" t="str">
        <f>_xlfn.CONCAT(sample_wld_vrms_hostname,".",sample_child_dns_zone)</f>
        <v>sfo-w01-vrms01.sfo.rainpole.io</v>
      </c>
      <c r="D638" s="18" t="str">
        <f>wld_vrms_fqdn</f>
        <v>Value Missing.Value Missing</v>
      </c>
      <c r="E638" s="53"/>
    </row>
    <row r="639" spans="2:5" ht="16" customHeight="1"/>
    <row r="640" spans="2:5" ht="34" customHeight="1">
      <c r="B640" s="344" t="s">
        <v>2845</v>
      </c>
      <c r="C640" s="344"/>
      <c r="D640" s="344"/>
      <c r="E640" s="344"/>
    </row>
    <row r="641" spans="2:5" ht="20" customHeight="1">
      <c r="B641" s="8" t="s">
        <v>735</v>
      </c>
      <c r="C641" s="8" t="s">
        <v>554</v>
      </c>
      <c r="D641" s="20" t="s">
        <v>555</v>
      </c>
      <c r="E641" s="8" t="s">
        <v>222</v>
      </c>
    </row>
    <row r="642" spans="2:5" ht="20" customHeight="1">
      <c r="B642" s="26" t="s">
        <v>1938</v>
      </c>
      <c r="C642" s="22" t="str">
        <f>_xlfn.CONCAT(sample_wld_vc_hostname,".",sample_child_dns_zone)</f>
        <v>sfo-w01-vc01.sfo.rainpole.io</v>
      </c>
      <c r="D642" s="18" t="str">
        <f>wld_vc_fqdn</f>
        <v>Value Missing.Value Missing</v>
      </c>
      <c r="E642" s="53"/>
    </row>
    <row r="643" spans="2:5" ht="20" customHeight="1">
      <c r="B643" s="26" t="s">
        <v>2846</v>
      </c>
      <c r="C643" s="22" t="str">
        <f>sample_mgmt_cl01_vds01_name</f>
        <v>sfo-m01-cl01-vds01</v>
      </c>
      <c r="D643" s="18" t="str">
        <f>mgmt_cl01_vds01_name</f>
        <v>Value Missing</v>
      </c>
      <c r="E643" s="53"/>
    </row>
    <row r="644" spans="2:5" ht="20" customHeight="1">
      <c r="B644" s="26" t="s">
        <v>735</v>
      </c>
      <c r="C644" s="22" t="str">
        <f>sample_wld_vrms_pg</f>
        <v>sfo01-w01-cl01-vds01-pg-vrms</v>
      </c>
      <c r="D644" s="18" t="str">
        <f>wld_vrms_pg</f>
        <v>Value Missing</v>
      </c>
      <c r="E644" s="53"/>
    </row>
    <row r="645" spans="2:5" ht="20" customHeight="1">
      <c r="B645" s="26" t="s">
        <v>1697</v>
      </c>
      <c r="C645" s="22" t="str">
        <f>sample_wld_az1_vrms_vlan</f>
        <v>1316</v>
      </c>
      <c r="D645" s="18" t="str">
        <f>wld_az1_vrms_vlan</f>
        <v>Value Missing</v>
      </c>
      <c r="E645" s="53"/>
    </row>
    <row r="646" spans="2:5" ht="16" customHeight="1"/>
    <row r="647" spans="2:5" ht="34" customHeight="1">
      <c r="B647" s="344" t="s">
        <v>2847</v>
      </c>
      <c r="C647" s="344"/>
      <c r="D647" s="344"/>
      <c r="E647" s="344"/>
    </row>
    <row r="648" spans="2:5" ht="20" customHeight="1">
      <c r="B648" s="8" t="s">
        <v>735</v>
      </c>
      <c r="C648" s="8" t="s">
        <v>554</v>
      </c>
      <c r="D648" s="20" t="s">
        <v>555</v>
      </c>
      <c r="E648" s="8" t="s">
        <v>222</v>
      </c>
    </row>
    <row r="649" spans="2:5" ht="20" customHeight="1">
      <c r="B649" s="26" t="s">
        <v>1938</v>
      </c>
      <c r="C649" s="22" t="str">
        <f>_xlfn.CONCAT(sample_wld_vc_hostname,".",sample_child_dns_zone)</f>
        <v>sfo-w01-vc01.sfo.rainpole.io</v>
      </c>
      <c r="D649" s="18" t="str">
        <f>wld_vc_fqdn</f>
        <v>Value Missing.Value Missing</v>
      </c>
      <c r="E649" s="53"/>
    </row>
    <row r="650" spans="2:5" ht="20" customHeight="1">
      <c r="B650" s="26" t="s">
        <v>843</v>
      </c>
      <c r="C650" s="22" t="str">
        <f>sample_wld_cl01_cluster</f>
        <v>sfo-w01-cl01</v>
      </c>
      <c r="D650" s="18" t="str">
        <f>wld_cl01_cluster</f>
        <v>Value Missing</v>
      </c>
      <c r="E650" s="53"/>
    </row>
    <row r="651" spans="2:5" ht="20" customHeight="1">
      <c r="B651" s="26" t="s">
        <v>2848</v>
      </c>
      <c r="C651" s="22" t="str">
        <f>sample_wld_vrms_hostname</f>
        <v>sfo-w01-vrms01</v>
      </c>
      <c r="D651" s="18" t="str">
        <f>wld_vrms_hostname</f>
        <v>Value Missing</v>
      </c>
      <c r="E651" s="53"/>
    </row>
    <row r="652" spans="2:5" ht="20" customHeight="1">
      <c r="B652" s="26" t="s">
        <v>2849</v>
      </c>
      <c r="C652" s="22" t="str">
        <f>sample_wld_vrms_pg</f>
        <v>sfo01-w01-cl01-vds01-pg-vrms</v>
      </c>
      <c r="D652" s="18" t="str">
        <f>wld_vrms_pg</f>
        <v>Value Missing</v>
      </c>
      <c r="E652" s="53"/>
    </row>
    <row r="653" spans="2:5" ht="20" customHeight="1">
      <c r="B653" s="26" t="s">
        <v>2850</v>
      </c>
      <c r="C653" s="22" t="str">
        <f>_xlfn.CONCAT(sample_wld_vrms_hostname,".",sample_child_dns_zone)</f>
        <v>sfo-w01-vrms01.sfo.rainpole.io</v>
      </c>
      <c r="D653" s="18" t="str">
        <f>wld_vrms_fqdn</f>
        <v>Value Missing.Value Missing</v>
      </c>
      <c r="E653" s="53"/>
    </row>
    <row r="654" spans="2:5" ht="20" customHeight="1">
      <c r="B654" s="26" t="s">
        <v>2851</v>
      </c>
      <c r="C654" s="22" t="str">
        <f>sample_wld_vrms_vrms_ip</f>
        <v>10.13.16.125</v>
      </c>
      <c r="D654" s="18" t="str">
        <f>wld_vrms_vrms_ip</f>
        <v>Value Missing</v>
      </c>
      <c r="E654" s="53"/>
    </row>
    <row r="655" spans="2:5" ht="20" customHeight="1">
      <c r="B655" s="26" t="s">
        <v>2852</v>
      </c>
      <c r="C655" s="22">
        <f>INT(RIGHT(sample_wld_az1_vrms_cidr,LEN(sample_wld_az1_vrms_cidr)-FIND("/",sample_wld_az1_vrms_cidr)))</f>
        <v>24</v>
      </c>
      <c r="D655" s="18" t="str">
        <f>IF(wld_az1_vrms_cidr="Value Missing","Value Missing",INT(RIGHT(wld_az1_vrms_cidr,LEN(wld_az1_vrms_cidr)-FIND("/",wld_az1_vrms_cidr))))</f>
        <v>Value Missing</v>
      </c>
      <c r="E655" s="53"/>
    </row>
    <row r="656" spans="2:5" ht="20" customHeight="1">
      <c r="B656" s="21" t="s">
        <v>2853</v>
      </c>
      <c r="C656" s="22" t="str">
        <f>sample_wld_az1_mgmt_gateway_ip</f>
        <v>10.13.11.1</v>
      </c>
      <c r="D656" s="18" t="str">
        <f>wld_az1_mgmt_gateway_ip</f>
        <v>Value Missing</v>
      </c>
      <c r="E656" s="53"/>
    </row>
    <row r="657" spans="2:5" ht="20" customHeight="1">
      <c r="B657" s="21" t="s">
        <v>2854</v>
      </c>
      <c r="C657" s="22" t="str">
        <f>sample_wld_vrms_vrms_ip</f>
        <v>10.13.16.125</v>
      </c>
      <c r="D657" s="18" t="str">
        <f>wld_vrms_vrms_ip</f>
        <v>Value Missing</v>
      </c>
      <c r="E657" s="53"/>
    </row>
    <row r="658" spans="2:5" ht="20" customHeight="1">
      <c r="B658" s="26" t="s">
        <v>2855</v>
      </c>
      <c r="C658" s="22" t="str">
        <f>sample_wld_az1_vrms_gateway_ip</f>
        <v>10.13.16.1</v>
      </c>
      <c r="D658" s="18" t="str">
        <f>wld_az1_vrms_gateway_ip</f>
        <v>Value Missing</v>
      </c>
      <c r="E658" s="53"/>
    </row>
    <row r="659" spans="2:5" ht="20" customHeight="1">
      <c r="B659" s="26" t="s">
        <v>2856</v>
      </c>
      <c r="C659" s="22" t="str">
        <f>sample_wld_vrms_recovery_replication_cidr</f>
        <v>10.21.16.0/24</v>
      </c>
      <c r="D659" s="18" t="str">
        <f t="array" ref="D659">wld_vrms_recovery_replication_cidr</f>
        <v>Value Missing</v>
      </c>
      <c r="E659" s="53"/>
    </row>
    <row r="660" spans="2:5" ht="16" customHeight="1"/>
    <row r="661" spans="2:5" ht="34" customHeight="1">
      <c r="B661" s="344" t="s">
        <v>2857</v>
      </c>
      <c r="C661" s="344"/>
      <c r="D661" s="344"/>
      <c r="E661" s="344"/>
    </row>
    <row r="662" spans="2:5" ht="20" customHeight="1">
      <c r="B662" s="8" t="s">
        <v>735</v>
      </c>
      <c r="C662" s="8" t="s">
        <v>554</v>
      </c>
      <c r="D662" s="20" t="s">
        <v>555</v>
      </c>
      <c r="E662" s="8" t="s">
        <v>222</v>
      </c>
    </row>
    <row r="663" spans="2:5" ht="20" customHeight="1">
      <c r="B663" s="26" t="s">
        <v>1938</v>
      </c>
      <c r="C663" s="22" t="str">
        <f>_xlfn.CONCAT(sample_wld_vc_hostname,".",sample_child_dns_zone)</f>
        <v>sfo-w01-vc01.sfo.rainpole.io</v>
      </c>
      <c r="D663" s="18" t="str">
        <f>wld_vc_fqdn</f>
        <v>Value Missing.Value Missing</v>
      </c>
      <c r="E663" s="53"/>
    </row>
    <row r="664" spans="2:5" ht="20" customHeight="1">
      <c r="B664" s="26" t="s">
        <v>843</v>
      </c>
      <c r="C664" s="22" t="str">
        <f>sample_wld_cl01_cluster</f>
        <v>sfo-w01-cl01</v>
      </c>
      <c r="D664" s="18" t="str">
        <f>wld_cl01_cluster</f>
        <v>Value Missing</v>
      </c>
      <c r="E664" s="53"/>
    </row>
    <row r="665" spans="2:5" ht="20" customHeight="1">
      <c r="B665" s="21" t="s">
        <v>2456</v>
      </c>
      <c r="C665" s="22" t="str">
        <f>sample_wld_vrms_pg</f>
        <v>sfo01-w01-cl01-vds01-pg-vrms</v>
      </c>
      <c r="D665" s="18" t="str">
        <f>wld_vrms_pg</f>
        <v>Value Missing</v>
      </c>
      <c r="E665" s="53"/>
    </row>
    <row r="666" spans="2:5" ht="20" customHeight="1">
      <c r="B666" s="553" t="s">
        <v>2858</v>
      </c>
      <c r="C666" s="572"/>
      <c r="D666" s="572"/>
      <c r="E666" s="573"/>
    </row>
    <row r="667" spans="2:5" ht="20" customHeight="1">
      <c r="B667" s="26" t="s">
        <v>2859</v>
      </c>
      <c r="C667" s="22" t="str">
        <f>_xlfn.CONCAT(sample_wld_az1_host1_hostname,".",sample_child_dns_zone)</f>
        <v>sfo01-w01-r01-esx01.sfo.rainpole.io</v>
      </c>
      <c r="D667" s="18" t="str">
        <f>wld_az1_host1_fqdn</f>
        <v>Value Missing.Value Missing</v>
      </c>
      <c r="E667" s="53"/>
    </row>
    <row r="668" spans="2:5" ht="20" customHeight="1">
      <c r="B668" s="26" t="s">
        <v>2860</v>
      </c>
      <c r="C668" s="22" t="str">
        <f>sample_wld_az1_host1_vrms_ip</f>
        <v>10.13.16.101</v>
      </c>
      <c r="D668" s="18" t="str">
        <f>wld_az1_host1_vrms_ip</f>
        <v>Value Missing</v>
      </c>
      <c r="E668" s="53"/>
    </row>
    <row r="669" spans="2:5" ht="20" customHeight="1">
      <c r="B669" s="26" t="s">
        <v>2861</v>
      </c>
      <c r="C669" s="22" t="str">
        <f>VLOOKUP(INT(RIGHT(sample_wld_az1_vrms_cidr,LEN(sample_wld_az1_vrms_cidr)-FIND("/",sample_wld_az1_vrms_cidr))),table_cidr_to_mask,2,FALSE)</f>
        <v>255.255.255.0</v>
      </c>
      <c r="D669" s="18" t="str">
        <f>wld_vrms_mask</f>
        <v>Value Missing</v>
      </c>
      <c r="E669" s="53"/>
    </row>
    <row r="670" spans="2:5" ht="20" customHeight="1">
      <c r="B670" s="26" t="s">
        <v>2862</v>
      </c>
      <c r="C670" s="22" t="str">
        <f>_xlfn.CONCAT(sample_wld_az1_host2_hostname,".",sample_child_dns_zone)</f>
        <v>sfo01-w01-r01-esx02.sfo.rainpole.io</v>
      </c>
      <c r="D670" s="18" t="str">
        <f>wld_az1_host2_fqdn</f>
        <v>Value Missing.Value Missing</v>
      </c>
      <c r="E670" s="53"/>
    </row>
    <row r="671" spans="2:5" ht="20" customHeight="1">
      <c r="B671" s="26" t="s">
        <v>2863</v>
      </c>
      <c r="C671" s="22" t="str">
        <f>sample_wld_az1_host2_vrms_ip</f>
        <v>10.13.16.102</v>
      </c>
      <c r="D671" s="18" t="str">
        <f>wld_az1_host2_vrms_ip</f>
        <v>Value Missing</v>
      </c>
      <c r="E671" s="53"/>
    </row>
    <row r="672" spans="2:5" ht="20" customHeight="1">
      <c r="B672" s="26" t="s">
        <v>2864</v>
      </c>
      <c r="C672" s="22" t="str">
        <f>VLOOKUP(INT(RIGHT(sample_wld_az1_vrms_cidr,LEN(sample_wld_az1_vrms_cidr)-FIND("/",sample_wld_az1_vrms_cidr))),table_cidr_to_mask,2,FALSE)</f>
        <v>255.255.255.0</v>
      </c>
      <c r="D672" s="18" t="str">
        <f>wld_vrms_mask</f>
        <v>Value Missing</v>
      </c>
      <c r="E672" s="53"/>
    </row>
    <row r="673" spans="2:5" ht="20" customHeight="1">
      <c r="B673" s="21" t="s">
        <v>2865</v>
      </c>
      <c r="C673" s="22" t="str">
        <f>_xlfn.CONCAT(sample_wld_az1_host3_hostname,".",sample_child_dns_zone)</f>
        <v>sfo01-w01-r01-esx03.sfo.rainpole.io</v>
      </c>
      <c r="D673" s="18" t="str">
        <f>wld_az1_host3_fqdn</f>
        <v>Value Missing.Value Missing</v>
      </c>
      <c r="E673" s="53"/>
    </row>
    <row r="674" spans="2:5" ht="20" customHeight="1">
      <c r="B674" s="21" t="s">
        <v>2866</v>
      </c>
      <c r="C674" s="22" t="str">
        <f>sample_wld_az1_host3_vrms_ip</f>
        <v>10.13.16.103</v>
      </c>
      <c r="D674" s="18" t="str">
        <f>wld_az1_host3_vrms_ip</f>
        <v>Value Missing</v>
      </c>
      <c r="E674" s="53"/>
    </row>
    <row r="675" spans="2:5" ht="20" customHeight="1">
      <c r="B675" s="21" t="s">
        <v>2867</v>
      </c>
      <c r="C675" s="22" t="str">
        <f>VLOOKUP(INT(RIGHT(sample_wld_az1_vrms_cidr,LEN(sample_wld_az1_vrms_cidr)-FIND("/",sample_wld_az1_vrms_cidr))),table_cidr_to_mask,2,FALSE)</f>
        <v>255.255.255.0</v>
      </c>
      <c r="D675" s="18" t="str">
        <f>wld_vrms_mask</f>
        <v>Value Missing</v>
      </c>
      <c r="E675" s="53"/>
    </row>
    <row r="676" spans="2:5" ht="20" customHeight="1">
      <c r="B676" s="26" t="s">
        <v>2868</v>
      </c>
      <c r="C676" s="22" t="str">
        <f>_xlfn.CONCAT(sample_wld_az1_host4_hostname,".",sample_child_dns_zone)</f>
        <v>sfo01-w01-r01-esx04.sfo.rainpole.io</v>
      </c>
      <c r="D676" s="18" t="str">
        <f>wld_az1_host4_fqdn</f>
        <v>Value Missing.Value Missing</v>
      </c>
      <c r="E676" s="53"/>
    </row>
    <row r="677" spans="2:5" ht="20" customHeight="1">
      <c r="B677" s="26" t="s">
        <v>2869</v>
      </c>
      <c r="C677" s="22" t="str">
        <f>sample_wld_az1_host4_vrms_ip</f>
        <v>10.13.16.104</v>
      </c>
      <c r="D677" s="18" t="str">
        <f>wld_az1_host4_vrms_ip</f>
        <v>Value Missing</v>
      </c>
      <c r="E677" s="53"/>
    </row>
    <row r="678" spans="2:5" ht="20" customHeight="1">
      <c r="B678" s="26" t="s">
        <v>2870</v>
      </c>
      <c r="C678" s="22" t="str">
        <f>VLOOKUP(INT(RIGHT(sample_wld_az1_vrms_cidr,LEN(sample_wld_az1_vrms_cidr)-FIND("/",sample_wld_az1_vrms_cidr))),table_cidr_to_mask,2,FALSE)</f>
        <v>255.255.255.0</v>
      </c>
      <c r="D678" s="18" t="str">
        <f>wld_vrms_mask</f>
        <v>Value Missing</v>
      </c>
      <c r="E678" s="53"/>
    </row>
    <row r="679" spans="2:5" ht="20" customHeight="1">
      <c r="B679" s="553" t="s">
        <v>2871</v>
      </c>
      <c r="C679" s="572"/>
      <c r="D679" s="572"/>
      <c r="E679" s="573"/>
    </row>
    <row r="680" spans="2:5" ht="20" customHeight="1">
      <c r="B680" s="26" t="s">
        <v>2859</v>
      </c>
      <c r="C680" s="22" t="str">
        <f>_xlfn.CONCAT(sample_wld_az2_host1_hostname,".",sample_child_dns_zone)</f>
        <v>sfo02-w01-r01-esx01.sfo.rainpole.io</v>
      </c>
      <c r="D680" s="18" t="str">
        <f>wld_az2_host1_fqdn</f>
        <v>Value Missing.Value Missing</v>
      </c>
      <c r="E680" s="53"/>
    </row>
    <row r="681" spans="2:5" ht="20" customHeight="1">
      <c r="B681" s="26" t="s">
        <v>2860</v>
      </c>
      <c r="C681" s="22" t="str">
        <f>sample_wld_az2_host1_vrms_ip</f>
        <v>10.14.16.101</v>
      </c>
      <c r="D681" s="18" t="str">
        <f>wld_az2_host1_vrms_ip</f>
        <v>Value Missing</v>
      </c>
      <c r="E681" s="53"/>
    </row>
    <row r="682" spans="2:5" ht="20" customHeight="1">
      <c r="B682" s="26" t="s">
        <v>2861</v>
      </c>
      <c r="C682" s="22" t="str">
        <f>VLOOKUP(INT(RIGHT(sample_wld_az1_vrms_cidr,LEN(sample_wld_az1_vrms_cidr)-FIND("/",sample_wld_az1_vrms_cidr))),table_cidr_to_mask,2,FALSE)</f>
        <v>255.255.255.0</v>
      </c>
      <c r="D682" s="18" t="str">
        <f>wld_vrms_mask</f>
        <v>Value Missing</v>
      </c>
      <c r="E682" s="53"/>
    </row>
    <row r="683" spans="2:5" ht="20" customHeight="1">
      <c r="B683" s="26" t="s">
        <v>2862</v>
      </c>
      <c r="C683" s="22" t="str">
        <f>_xlfn.CONCAT(sample_wld_az2_host2_hostname,".",sample_child_dns_zone)</f>
        <v>sfo02-w01-r01-esx02.sfo.rainpole.io</v>
      </c>
      <c r="D683" s="18" t="str">
        <f>wld_az2_host2_fqdn</f>
        <v>Value Missing.Value Missing</v>
      </c>
      <c r="E683" s="53"/>
    </row>
    <row r="684" spans="2:5" ht="20" customHeight="1">
      <c r="B684" s="26" t="s">
        <v>2863</v>
      </c>
      <c r="C684" s="22" t="str">
        <f>sample_wld_az2_host2_vrms_ip</f>
        <v>10.14.16.102</v>
      </c>
      <c r="D684" s="18" t="str">
        <f>wld_az2_host2_vrms_ip</f>
        <v>Value Missing</v>
      </c>
      <c r="E684" s="53"/>
    </row>
    <row r="685" spans="2:5" ht="20" customHeight="1">
      <c r="B685" s="26" t="s">
        <v>2864</v>
      </c>
      <c r="C685" s="22" t="str">
        <f>VLOOKUP(INT(RIGHT(sample_wld_az1_vrms_cidr,LEN(sample_wld_az1_vrms_cidr)-FIND("/",sample_wld_az1_vrms_cidr))),table_cidr_to_mask,2,FALSE)</f>
        <v>255.255.255.0</v>
      </c>
      <c r="D685" s="18" t="str">
        <f>wld_vrms_mask</f>
        <v>Value Missing</v>
      </c>
      <c r="E685" s="53"/>
    </row>
    <row r="686" spans="2:5" ht="20" customHeight="1">
      <c r="B686" s="21" t="s">
        <v>2865</v>
      </c>
      <c r="C686" s="22" t="str">
        <f>_xlfn.CONCAT(sample_wld_az2_host3_hostname,".",sample_child_dns_zone)</f>
        <v>sfo02-w01-r01-esx03.sfo.rainpole.io</v>
      </c>
      <c r="D686" s="18" t="str">
        <f>wld_az2_host3_fqdn</f>
        <v>Value Missing.Value Missing</v>
      </c>
      <c r="E686" s="53"/>
    </row>
    <row r="687" spans="2:5" ht="20" customHeight="1">
      <c r="B687" s="21" t="s">
        <v>2866</v>
      </c>
      <c r="C687" s="22" t="str">
        <f>sample_wld_az2_host3_vrms_ip</f>
        <v>10.14.16.103</v>
      </c>
      <c r="D687" s="18" t="str">
        <f>wld_az2_host3_vrms_ip</f>
        <v>Value Missing</v>
      </c>
      <c r="E687" s="53"/>
    </row>
    <row r="688" spans="2:5" ht="20" customHeight="1">
      <c r="B688" s="21" t="s">
        <v>2867</v>
      </c>
      <c r="C688" s="22" t="str">
        <f>VLOOKUP(INT(RIGHT(sample_wld_az1_vrms_cidr,LEN(sample_wld_az1_vrms_cidr)-FIND("/",sample_wld_az1_vrms_cidr))),table_cidr_to_mask,2,FALSE)</f>
        <v>255.255.255.0</v>
      </c>
      <c r="D688" s="18" t="str">
        <f>wld_vrms_mask</f>
        <v>Value Missing</v>
      </c>
      <c r="E688" s="53"/>
    </row>
    <row r="689" spans="2:5" ht="20" customHeight="1">
      <c r="B689" s="26" t="s">
        <v>2868</v>
      </c>
      <c r="C689" s="22" t="str">
        <f>_xlfn.CONCAT(sample_wld_az2_host4_hostname,".",sample_child_dns_zone)</f>
        <v>sfo02-w01-r01-esx04.sfo.rainpole.io</v>
      </c>
      <c r="D689" s="18" t="str">
        <f>wld_az2_host4_fqdn</f>
        <v>Value Missing.Value Missing</v>
      </c>
      <c r="E689" s="53"/>
    </row>
    <row r="690" spans="2:5" ht="20" customHeight="1">
      <c r="B690" s="26" t="s">
        <v>2869</v>
      </c>
      <c r="C690" s="22" t="str">
        <f>sample_wld_az2_host4_vrms_ip</f>
        <v>10.14.16.104</v>
      </c>
      <c r="D690" s="18" t="str">
        <f>wld_az2_host4_vrms_ip</f>
        <v>Value Missing</v>
      </c>
      <c r="E690" s="53"/>
    </row>
    <row r="691" spans="2:5" ht="20" customHeight="1">
      <c r="B691" s="26" t="s">
        <v>2870</v>
      </c>
      <c r="C691" s="22" t="str">
        <f>VLOOKUP(INT(RIGHT(sample_wld_az1_vrms_cidr,LEN(sample_wld_az1_vrms_cidr)-FIND("/",sample_wld_az1_vrms_cidr))),table_cidr_to_mask,2,FALSE)</f>
        <v>255.255.255.0</v>
      </c>
      <c r="D691" s="18" t="str">
        <f>wld_vrms_mask</f>
        <v>Value Missing</v>
      </c>
      <c r="E691" s="53"/>
    </row>
    <row r="692" spans="2:5" ht="16" customHeight="1"/>
    <row r="693" spans="2:5" ht="34" customHeight="1">
      <c r="B693" s="344" t="s">
        <v>2872</v>
      </c>
      <c r="C693" s="344"/>
      <c r="D693" s="344"/>
      <c r="E693" s="344"/>
    </row>
    <row r="694" spans="2:5" ht="20" customHeight="1">
      <c r="B694" s="8" t="s">
        <v>735</v>
      </c>
      <c r="C694" s="8" t="s">
        <v>554</v>
      </c>
      <c r="D694" s="20" t="s">
        <v>555</v>
      </c>
      <c r="E694" s="8" t="s">
        <v>222</v>
      </c>
    </row>
    <row r="695" spans="2:5" ht="20" customHeight="1">
      <c r="B695" s="553" t="s">
        <v>2858</v>
      </c>
      <c r="C695" s="572"/>
      <c r="D695" s="572"/>
      <c r="E695" s="573"/>
    </row>
    <row r="696" spans="2:5" ht="20" customHeight="1">
      <c r="B696" s="21" t="s">
        <v>2859</v>
      </c>
      <c r="C696" s="22" t="str">
        <f>_xlfn.CONCAT(sample_wld_az1_host1_hostname,".",sample_child_dns_zone)</f>
        <v>sfo01-w01-r01-esx01.sfo.rainpole.io</v>
      </c>
      <c r="D696" s="18" t="str">
        <f>wld_az1_host1_fqdn</f>
        <v>Value Missing.Value Missing</v>
      </c>
      <c r="E696" s="53"/>
    </row>
    <row r="697" spans="2:5" ht="20" customHeight="1">
      <c r="B697" s="21" t="s">
        <v>2873</v>
      </c>
      <c r="C697" s="22" t="str">
        <f>sample_wld_az1_vrms_gateway_ip</f>
        <v>10.13.16.1</v>
      </c>
      <c r="D697" s="18" t="str">
        <f>wld_az1_vrms_gateway_ip</f>
        <v>Value Missing</v>
      </c>
      <c r="E697" s="53"/>
    </row>
    <row r="698" spans="2:5" ht="20" customHeight="1">
      <c r="B698" s="26" t="s">
        <v>2874</v>
      </c>
      <c r="C698" s="22" t="str">
        <f t="array" ref="C698">sample_wld_vrms_recovery_replication_cidr</f>
        <v>10.21.16.0/24</v>
      </c>
      <c r="D698" s="18" t="str">
        <f t="array" ref="D698">wld_vrms_recovery_replication_cidr</f>
        <v>Value Missing</v>
      </c>
      <c r="E698" s="53"/>
    </row>
    <row r="699" spans="2:5" ht="20" customHeight="1">
      <c r="B699" s="26" t="s">
        <v>2862</v>
      </c>
      <c r="C699" s="22" t="str">
        <f>_xlfn.CONCAT(sample_wld_az1_host2_hostname,".",sample_child_dns_zone)</f>
        <v>sfo01-w01-r01-esx02.sfo.rainpole.io</v>
      </c>
      <c r="D699" s="18" t="str">
        <f>wld_az1_host2_fqdn</f>
        <v>Value Missing.Value Missing</v>
      </c>
      <c r="E699" s="53"/>
    </row>
    <row r="700" spans="2:5" ht="20" customHeight="1">
      <c r="B700" s="26" t="s">
        <v>2875</v>
      </c>
      <c r="C700" s="22" t="str">
        <f>sample_wld_az1_vrms_gateway_ip</f>
        <v>10.13.16.1</v>
      </c>
      <c r="D700" s="18" t="str">
        <f>wld_az1_vrms_gateway_ip</f>
        <v>Value Missing</v>
      </c>
      <c r="E700" s="53"/>
    </row>
    <row r="701" spans="2:5" ht="20" customHeight="1">
      <c r="B701" s="26" t="s">
        <v>2876</v>
      </c>
      <c r="C701" s="22" t="str">
        <f t="array" ref="C701">sample_wld_vrms_recovery_replication_cidr</f>
        <v>10.21.16.0/24</v>
      </c>
      <c r="D701" s="18" t="str">
        <f t="array" ref="D701">wld_vrms_recovery_replication_cidr</f>
        <v>Value Missing</v>
      </c>
      <c r="E701" s="53"/>
    </row>
    <row r="702" spans="2:5" ht="20" customHeight="1">
      <c r="B702" s="26" t="s">
        <v>2877</v>
      </c>
      <c r="C702" s="22" t="str">
        <f>_xlfn.CONCAT(sample_wld_az1_host3_hostname,".",sample_child_dns_zone)</f>
        <v>sfo01-w01-r01-esx03.sfo.rainpole.io</v>
      </c>
      <c r="D702" s="18" t="str">
        <f>wld_az1_host3_fqdn</f>
        <v>Value Missing.Value Missing</v>
      </c>
      <c r="E702" s="53"/>
    </row>
    <row r="703" spans="2:5" ht="20" customHeight="1">
      <c r="B703" s="21" t="s">
        <v>2878</v>
      </c>
      <c r="C703" s="22" t="str">
        <f>sample_wld_az1_vrms_gateway_ip</f>
        <v>10.13.16.1</v>
      </c>
      <c r="D703" s="18" t="str">
        <f>wld_az1_vrms_gateway_ip</f>
        <v>Value Missing</v>
      </c>
      <c r="E703" s="53"/>
    </row>
    <row r="704" spans="2:5" ht="20" customHeight="1">
      <c r="B704" s="21" t="s">
        <v>2879</v>
      </c>
      <c r="C704" s="22" t="str">
        <f t="array" ref="C704">sample_wld_vrms_recovery_replication_cidr</f>
        <v>10.21.16.0/24</v>
      </c>
      <c r="D704" s="18" t="str">
        <f t="array" ref="D704">wld_vrms_recovery_replication_cidr</f>
        <v>Value Missing</v>
      </c>
      <c r="E704" s="53"/>
    </row>
    <row r="705" spans="2:5" ht="20" customHeight="1">
      <c r="B705" s="26" t="s">
        <v>2868</v>
      </c>
      <c r="C705" s="22" t="str">
        <f>_xlfn.CONCAT(sample_wld_az1_host4_hostname,".",sample_child_dns_zone)</f>
        <v>sfo01-w01-r01-esx04.sfo.rainpole.io</v>
      </c>
      <c r="D705" s="18" t="str">
        <f>wld_az1_host4_fqdn</f>
        <v>Value Missing.Value Missing</v>
      </c>
      <c r="E705" s="53"/>
    </row>
    <row r="706" spans="2:5" ht="20" customHeight="1">
      <c r="B706" s="26" t="s">
        <v>2880</v>
      </c>
      <c r="C706" s="22" t="str">
        <f>sample_wld_az1_vrms_gateway_ip</f>
        <v>10.13.16.1</v>
      </c>
      <c r="D706" s="18" t="str">
        <f>wld_az1_vrms_gateway_ip</f>
        <v>Value Missing</v>
      </c>
      <c r="E706" s="53"/>
    </row>
    <row r="707" spans="2:5" ht="20" customHeight="1">
      <c r="B707" s="21" t="s">
        <v>2881</v>
      </c>
      <c r="C707" s="22" t="str">
        <f t="array" ref="C707">sample_wld_vrms_recovery_replication_cidr</f>
        <v>10.21.16.0/24</v>
      </c>
      <c r="D707" s="18" t="str">
        <f t="array" ref="D707">wld_vrms_recovery_replication_cidr</f>
        <v>Value Missing</v>
      </c>
      <c r="E707" s="53"/>
    </row>
    <row r="708" spans="2:5" ht="20" customHeight="1">
      <c r="B708" s="553" t="s">
        <v>2871</v>
      </c>
      <c r="C708" s="572"/>
      <c r="D708" s="572"/>
      <c r="E708" s="573"/>
    </row>
    <row r="709" spans="2:5" ht="20" customHeight="1">
      <c r="B709" s="21" t="s">
        <v>2859</v>
      </c>
      <c r="C709" s="22" t="str">
        <f>_xlfn.CONCAT(sample_wld_az2_host1_hostname,".",sample_child_dns_zone)</f>
        <v>sfo02-w01-r01-esx01.sfo.rainpole.io</v>
      </c>
      <c r="D709" s="18" t="str">
        <f>wld_az2_host1_fqdn</f>
        <v>Value Missing.Value Missing</v>
      </c>
      <c r="E709" s="53"/>
    </row>
    <row r="710" spans="2:5" ht="20" customHeight="1">
      <c r="B710" s="21" t="s">
        <v>2873</v>
      </c>
      <c r="C710" s="22" t="str">
        <f>sample_wld_az1_vrms_gateway_ip</f>
        <v>10.13.16.1</v>
      </c>
      <c r="D710" s="18" t="str">
        <f>wld_az1_vrms_gateway_ip</f>
        <v>Value Missing</v>
      </c>
      <c r="E710" s="53"/>
    </row>
    <row r="711" spans="2:5" ht="20" customHeight="1">
      <c r="B711" s="26" t="s">
        <v>2874</v>
      </c>
      <c r="C711" s="22" t="str">
        <f t="array" ref="C711">sample_wld_vrms_recovery_replication_cidr</f>
        <v>10.21.16.0/24</v>
      </c>
      <c r="D711" s="18" t="str">
        <f t="array" ref="D711">wld_vrms_recovery_replication_cidr</f>
        <v>Value Missing</v>
      </c>
      <c r="E711" s="53"/>
    </row>
    <row r="712" spans="2:5" ht="20" customHeight="1">
      <c r="B712" s="26" t="s">
        <v>2862</v>
      </c>
      <c r="C712" s="22" t="str">
        <f>_xlfn.CONCAT(sample_wld_az2_host2_hostname,".",sample_child_dns_zone)</f>
        <v>sfo02-w01-r01-esx02.sfo.rainpole.io</v>
      </c>
      <c r="D712" s="18" t="str">
        <f>wld_az2_host2_fqdn</f>
        <v>Value Missing.Value Missing</v>
      </c>
      <c r="E712" s="53"/>
    </row>
    <row r="713" spans="2:5" ht="20" customHeight="1">
      <c r="B713" s="26" t="s">
        <v>2875</v>
      </c>
      <c r="C713" s="22" t="str">
        <f>sample_wld_az1_vrms_gateway_ip</f>
        <v>10.13.16.1</v>
      </c>
      <c r="D713" s="18" t="str">
        <f>wld_az1_vrms_gateway_ip</f>
        <v>Value Missing</v>
      </c>
      <c r="E713" s="53"/>
    </row>
    <row r="714" spans="2:5" ht="20" customHeight="1">
      <c r="B714" s="26" t="s">
        <v>2876</v>
      </c>
      <c r="C714" s="22" t="str">
        <f t="array" ref="C714">sample_wld_vrms_recovery_replication_cidr</f>
        <v>10.21.16.0/24</v>
      </c>
      <c r="D714" s="18" t="str">
        <f t="array" ref="D714">wld_vrms_recovery_replication_cidr</f>
        <v>Value Missing</v>
      </c>
      <c r="E714" s="53"/>
    </row>
    <row r="715" spans="2:5" ht="20" customHeight="1">
      <c r="B715" s="26" t="s">
        <v>2877</v>
      </c>
      <c r="C715" s="22" t="str">
        <f>_xlfn.CONCAT(sample_wld_az2_host3_hostname,".",sample_child_dns_zone)</f>
        <v>sfo02-w01-r01-esx03.sfo.rainpole.io</v>
      </c>
      <c r="D715" s="18" t="str">
        <f>wld_az2_host3_fqdn</f>
        <v>Value Missing.Value Missing</v>
      </c>
      <c r="E715" s="53"/>
    </row>
    <row r="716" spans="2:5" ht="20" customHeight="1">
      <c r="B716" s="21" t="s">
        <v>2878</v>
      </c>
      <c r="C716" s="22" t="str">
        <f>sample_wld_az1_vrms_gateway_ip</f>
        <v>10.13.16.1</v>
      </c>
      <c r="D716" s="18" t="str">
        <f>wld_az1_vrms_gateway_ip</f>
        <v>Value Missing</v>
      </c>
      <c r="E716" s="53"/>
    </row>
    <row r="717" spans="2:5" ht="20" customHeight="1">
      <c r="B717" s="21" t="s">
        <v>2879</v>
      </c>
      <c r="C717" s="22" t="str">
        <f t="array" ref="C717">sample_wld_vrms_recovery_replication_cidr</f>
        <v>10.21.16.0/24</v>
      </c>
      <c r="D717" s="18" t="str">
        <f t="array" ref="D717">wld_vrms_recovery_replication_cidr</f>
        <v>Value Missing</v>
      </c>
      <c r="E717" s="53"/>
    </row>
    <row r="718" spans="2:5" ht="20" customHeight="1">
      <c r="B718" s="26" t="s">
        <v>2868</v>
      </c>
      <c r="C718" s="22" t="str">
        <f>_xlfn.CONCAT(sample_wld_az2_host4_hostname,".",sample_child_dns_zone)</f>
        <v>sfo02-w01-r01-esx04.sfo.rainpole.io</v>
      </c>
      <c r="D718" s="18" t="str">
        <f>wld_az2_host4_fqdn</f>
        <v>Value Missing.Value Missing</v>
      </c>
      <c r="E718" s="53"/>
    </row>
    <row r="719" spans="2:5" ht="20" customHeight="1">
      <c r="B719" s="26" t="s">
        <v>2880</v>
      </c>
      <c r="C719" s="22" t="str">
        <f>sample_wld_az1_vrms_gateway_ip</f>
        <v>10.13.16.1</v>
      </c>
      <c r="D719" s="18" t="str">
        <f>wld_az1_vrms_gateway_ip</f>
        <v>Value Missing</v>
      </c>
      <c r="E719" s="53"/>
    </row>
    <row r="720" spans="2:5" ht="20" customHeight="1">
      <c r="B720" s="21" t="s">
        <v>2881</v>
      </c>
      <c r="C720" s="22" t="str">
        <f>sample_wld_vrms_recovery_replication_cidr</f>
        <v>10.21.16.0/24</v>
      </c>
      <c r="D720" s="18" t="str">
        <f t="array" ref="D720">wld_vrms_recovery_replication_cidr</f>
        <v>Value Missing</v>
      </c>
      <c r="E720" s="53"/>
    </row>
    <row r="721" spans="2:5" ht="16" customHeight="1"/>
    <row r="722" spans="2:5" ht="34" customHeight="1">
      <c r="B722" s="386" t="s">
        <v>2924</v>
      </c>
      <c r="C722" s="387"/>
      <c r="D722" s="387"/>
      <c r="E722" s="387"/>
    </row>
    <row r="723" spans="2:5" ht="16" customHeight="1"/>
    <row r="724" spans="2:5" ht="34" customHeight="1">
      <c r="B724" s="344" t="s">
        <v>2883</v>
      </c>
      <c r="C724" s="344"/>
      <c r="D724" s="344"/>
      <c r="E724" s="344"/>
    </row>
    <row r="725" spans="2:5" ht="20" customHeight="1">
      <c r="B725" s="8" t="s">
        <v>735</v>
      </c>
      <c r="C725" s="8" t="s">
        <v>554</v>
      </c>
      <c r="D725" s="20" t="s">
        <v>555</v>
      </c>
      <c r="E725" s="8" t="s">
        <v>222</v>
      </c>
    </row>
    <row r="726" spans="2:5" ht="20" customHeight="1">
      <c r="B726" s="26" t="s">
        <v>1938</v>
      </c>
      <c r="C726" s="22" t="str">
        <f>_xlfn.CONCAT(sample_mgmt_vc_hostname,".",sample_child_dns_zone)</f>
        <v>sfo-m01-vc01.sfo.rainpole.io</v>
      </c>
      <c r="D726" s="18" t="str">
        <f>mgmt_vc_fqdn</f>
        <v>Value Missing.Value Missing</v>
      </c>
      <c r="E726" s="53"/>
    </row>
    <row r="727" spans="2:5" ht="20" customHeight="1">
      <c r="B727" s="21" t="s">
        <v>2296</v>
      </c>
      <c r="C727" s="22" t="str">
        <f>sample_wld_srm_vm_folder</f>
        <v>sfo-w01-fd-srm</v>
      </c>
      <c r="D727" s="18" t="str">
        <f>wld_srm_vm_folder</f>
        <v>Value Missing</v>
      </c>
      <c r="E727" s="53"/>
    </row>
    <row r="728" spans="2:5" ht="16" customHeight="1"/>
    <row r="729" spans="2:5" ht="34" customHeight="1">
      <c r="B729" s="344" t="s">
        <v>2884</v>
      </c>
      <c r="C729" s="428"/>
      <c r="D729" s="428"/>
      <c r="E729" s="426"/>
    </row>
    <row r="730" spans="2:5" ht="20" customHeight="1">
      <c r="B730" s="8" t="s">
        <v>735</v>
      </c>
      <c r="C730" s="8" t="s">
        <v>554</v>
      </c>
      <c r="D730" s="20" t="s">
        <v>555</v>
      </c>
      <c r="E730" s="8" t="s">
        <v>222</v>
      </c>
    </row>
    <row r="731" spans="2:5" ht="20" customHeight="1">
      <c r="B731" s="21" t="s">
        <v>2286</v>
      </c>
      <c r="C731" s="22" t="str">
        <f>_xlfn.CONCAT(sample_mgmt_vc_hostname,".",sample_child_dns_zone)</f>
        <v>sfo-m01-vc01.sfo.rainpole.io</v>
      </c>
      <c r="D731" s="18" t="str">
        <f>mgmt_vc_fqdn</f>
        <v>Value Missing.Value Missing</v>
      </c>
      <c r="E731" s="53"/>
    </row>
    <row r="732" spans="2:5" ht="20" customHeight="1">
      <c r="B732" s="26" t="s">
        <v>843</v>
      </c>
      <c r="C732" s="22" t="str">
        <f>sample_mgmt_cl01_cluster</f>
        <v>sfo-m01-cl01</v>
      </c>
      <c r="D732" s="18" t="str">
        <f>mgmt_cl01_cluster</f>
        <v>Value Missing</v>
      </c>
      <c r="E732" s="53"/>
    </row>
    <row r="733" spans="2:5" ht="20" customHeight="1">
      <c r="B733" s="26" t="s">
        <v>2297</v>
      </c>
      <c r="C733" s="22" t="str">
        <f>sample_wld_srm_hostname</f>
        <v>sfo-w01-srm01</v>
      </c>
      <c r="D733" s="18" t="str">
        <f>wld_srm_hostname</f>
        <v>Value Missing</v>
      </c>
      <c r="E733" s="53"/>
    </row>
    <row r="734" spans="2:5" ht="20" customHeight="1">
      <c r="B734" s="26" t="s">
        <v>1797</v>
      </c>
      <c r="C734" s="22" t="str">
        <f>sample_wld_srm_vm_folder</f>
        <v>sfo-w01-fd-srm</v>
      </c>
      <c r="D734" s="18" t="str">
        <f>wld_srm_vm_folder</f>
        <v>Value Missing</v>
      </c>
      <c r="E734" s="53"/>
    </row>
    <row r="735" spans="2:5" ht="20" customHeight="1">
      <c r="B735" s="26" t="s">
        <v>2298</v>
      </c>
      <c r="C735" s="22" t="str">
        <f>sample_mgmt_cl01_cluster</f>
        <v>sfo-m01-cl01</v>
      </c>
      <c r="D735" s="18" t="str">
        <f>mgmt_cl01_cluster</f>
        <v>Value Missing</v>
      </c>
      <c r="E735" s="53"/>
    </row>
    <row r="736" spans="2:5" ht="20" customHeight="1">
      <c r="B736" s="26" t="s">
        <v>838</v>
      </c>
      <c r="C736" s="22" t="str">
        <f>sample_mgmt_cl01_vsan_datastore</f>
        <v>sfo-m01-cl01-ds-vsan01</v>
      </c>
      <c r="D736" s="18" t="str">
        <f>mgmt_cl01_vsan_datastore</f>
        <v>Value Missing</v>
      </c>
      <c r="E736" s="53"/>
    </row>
    <row r="737" spans="2:5" ht="20" customHeight="1">
      <c r="B737" s="21" t="s">
        <v>2300</v>
      </c>
      <c r="C737" s="22" t="str">
        <f>sample_mgmt_cl01_az1_mgmt_pg</f>
        <v>sfo-m01-cl01-vds01-pg-esxi-mgmt</v>
      </c>
      <c r="D737" s="18" t="str">
        <f>mgmt_cl01_az1_mgmt_pg</f>
        <v>Value Missing</v>
      </c>
      <c r="E737" s="53"/>
    </row>
    <row r="738" spans="2:5" ht="20" customHeight="1">
      <c r="B738" s="21" t="s">
        <v>2834</v>
      </c>
      <c r="C738" s="22" t="str">
        <f>sample_wld_srm_root_password</f>
        <v>VMw@re1!</v>
      </c>
      <c r="D738" s="18" t="str">
        <f>wld_srm_root_password</f>
        <v>Value Missing</v>
      </c>
      <c r="E738" s="53"/>
    </row>
    <row r="739" spans="2:5" ht="20" customHeight="1">
      <c r="B739" s="26" t="s">
        <v>2835</v>
      </c>
      <c r="C739" s="22" t="str">
        <f>sample_wld_srm_admin_password</f>
        <v>VMw@re1!</v>
      </c>
      <c r="D739" s="18" t="str">
        <f>wld_srm_admin_password</f>
        <v>Value Missing</v>
      </c>
      <c r="E739" s="53"/>
    </row>
    <row r="740" spans="2:5" ht="20" customHeight="1">
      <c r="B740" s="26" t="s">
        <v>1693</v>
      </c>
      <c r="C740" s="22" t="str">
        <f>sample_region_ntp1_server</f>
        <v>ntp.sfo.rainpole.io</v>
      </c>
      <c r="D740" s="18" t="str">
        <f>region_ntp1_server</f>
        <v>Value Missing</v>
      </c>
      <c r="E740" s="53"/>
    </row>
    <row r="741" spans="2:5" ht="20" customHeight="1">
      <c r="B741" s="21" t="s">
        <v>1686</v>
      </c>
      <c r="C741" s="22" t="str">
        <f>_xlfn.CONCAT(sample_wld_srm_hostname,".",sample_child_dns_zone)</f>
        <v>sfo-w01-srm01.sfo.rainpole.io</v>
      </c>
      <c r="D741" s="18" t="str">
        <f>wld_srm_fqdn</f>
        <v>Value Missing.Value Missing</v>
      </c>
      <c r="E741" s="53"/>
    </row>
    <row r="742" spans="2:5" ht="20" customHeight="1">
      <c r="B742" s="26" t="s">
        <v>2885</v>
      </c>
      <c r="C742" s="22" t="str">
        <f>sample_wld_srm_database_password</f>
        <v>VMw@re1!</v>
      </c>
      <c r="D742" s="18" t="str">
        <f>wld_srm_database_password</f>
        <v>Value Missing</v>
      </c>
      <c r="E742" s="53"/>
    </row>
    <row r="743" spans="2:5" ht="20" customHeight="1">
      <c r="B743" s="21" t="s">
        <v>1689</v>
      </c>
      <c r="C743" s="22" t="str">
        <f>sample_mgmt_az1_mgmt_vm_gateway_ip</f>
        <v>10.11.10.1</v>
      </c>
      <c r="D743" s="18" t="str">
        <f>mgmt_az1_mgmt_gateway_ip</f>
        <v>Value Missing</v>
      </c>
      <c r="E743" s="53"/>
    </row>
    <row r="744" spans="2:5" ht="20" customHeight="1">
      <c r="B744" s="26" t="s">
        <v>905</v>
      </c>
      <c r="C744" s="22" t="str">
        <f>sample_child_dns_zone</f>
        <v>sfo.rainpole.io</v>
      </c>
      <c r="D744" s="18" t="str">
        <f>child_dns_zone</f>
        <v>Value Missing</v>
      </c>
      <c r="E744" s="53"/>
    </row>
    <row r="745" spans="2:5" ht="20" customHeight="1">
      <c r="B745" s="26" t="s">
        <v>2836</v>
      </c>
      <c r="C745" s="22" t="str">
        <f>sample_child_dns_zone</f>
        <v>sfo.rainpole.io</v>
      </c>
      <c r="D745" s="18" t="str">
        <f>child_dns_zone</f>
        <v>Value Missing</v>
      </c>
      <c r="E745" s="53"/>
    </row>
    <row r="746" spans="2:5" ht="20" customHeight="1">
      <c r="B746" s="26" t="s">
        <v>2301</v>
      </c>
      <c r="C746" s="22" t="str">
        <f>_xlfn.CONCAT(sample_region_dns1_ip,",",sample_region_dns2_ip)</f>
        <v>10.11.10.4,10.11.10.5</v>
      </c>
      <c r="D746" s="18" t="str">
        <f>_xlfn.CONCAT(region_dns1_ip,",",region_dns2_ip)</f>
        <v>Value Missing,Value Missing</v>
      </c>
      <c r="E746" s="53"/>
    </row>
    <row r="747" spans="2:5" ht="20" customHeight="1">
      <c r="B747" s="26" t="s">
        <v>1687</v>
      </c>
      <c r="C747" s="22" t="str">
        <f>sample_wld_srm_ip</f>
        <v>10.11.10.127</v>
      </c>
      <c r="D747" s="18" t="str">
        <f>wld_srm_ip</f>
        <v>Value Missing</v>
      </c>
      <c r="E747" s="53"/>
    </row>
    <row r="748" spans="2:5" ht="20" customHeight="1">
      <c r="B748" s="26" t="s">
        <v>2837</v>
      </c>
      <c r="C748" s="22">
        <f>INT(RIGHT(sample_mgmt_az1_mgmt_cidr,LEN(sample_mgmt_az1_mgmt_cidr)-FIND("/",sample_mgmt_az1_mgmt_cidr)))</f>
        <v>24</v>
      </c>
      <c r="D748" s="18" t="str">
        <f>IF(mgmt_az1_mgmt_cidr="Value Missing","Value Missing",INT(RIGHT(mgmt_az1_mgmt_cidr,LEN(mgmt_az1_mgmt_cidr)-FIND("/",mgmt_az1_mgmt_cidr))))</f>
        <v>Value Missing</v>
      </c>
      <c r="E748" s="53"/>
    </row>
    <row r="749" spans="2:5" ht="16" customHeight="1"/>
    <row r="750" spans="2:5" ht="34" customHeight="1">
      <c r="B750" s="427" t="s">
        <v>2886</v>
      </c>
      <c r="C750" s="428"/>
      <c r="D750" s="428"/>
      <c r="E750" s="426"/>
    </row>
    <row r="751" spans="2:5" ht="20" customHeight="1">
      <c r="B751" s="8" t="s">
        <v>735</v>
      </c>
      <c r="C751" s="8" t="s">
        <v>554</v>
      </c>
      <c r="D751" s="20" t="s">
        <v>555</v>
      </c>
      <c r="E751" s="8" t="s">
        <v>222</v>
      </c>
    </row>
    <row r="752" spans="2:5" ht="20" customHeight="1">
      <c r="B752" s="21" t="s">
        <v>2887</v>
      </c>
      <c r="C752" s="22" t="str">
        <f>_xlfn.CONCAT(sample_wld_srm_hostname,".",sample_child_dns_zone)</f>
        <v>sfo-w01-srm01.sfo.rainpole.io</v>
      </c>
      <c r="D752" s="18" t="str">
        <f>wld_srm_fqdn</f>
        <v>Value Missing.Value Missing</v>
      </c>
      <c r="E752" s="53"/>
    </row>
    <row r="753" spans="2:5" ht="20" customHeight="1">
      <c r="B753" s="21" t="s">
        <v>2840</v>
      </c>
      <c r="C753" s="22" t="str">
        <f>sample_wld_srm_p12_password</f>
        <v>VMw@re1!</v>
      </c>
      <c r="D753" s="18" t="str">
        <f>wld_srm_p12_password</f>
        <v>Value Missing</v>
      </c>
      <c r="E753" s="53"/>
    </row>
    <row r="754" spans="2:5" ht="16" customHeight="1"/>
    <row r="755" spans="2:5" ht="34" customHeight="1">
      <c r="B755" s="427" t="s">
        <v>2888</v>
      </c>
      <c r="C755" s="428"/>
      <c r="D755" s="428"/>
      <c r="E755" s="426"/>
    </row>
    <row r="756" spans="2:5" ht="20" customHeight="1">
      <c r="B756" s="8" t="s">
        <v>735</v>
      </c>
      <c r="C756" s="8" t="s">
        <v>554</v>
      </c>
      <c r="D756" s="20" t="s">
        <v>555</v>
      </c>
      <c r="E756" s="8" t="s">
        <v>222</v>
      </c>
    </row>
    <row r="757" spans="2:5" ht="20" customHeight="1">
      <c r="B757" s="21" t="s">
        <v>2887</v>
      </c>
      <c r="C757" s="22" t="str">
        <f>_xlfn.CONCAT(sample_wld_srm_hostname,".",sample_child_dns_zone)</f>
        <v>sfo-w01-srm01.sfo.rainpole.io</v>
      </c>
      <c r="D757" s="18" t="str">
        <f>wld_srm_fqdn</f>
        <v>Value Missing.Value Missing</v>
      </c>
      <c r="E757" s="53"/>
    </row>
    <row r="758" spans="2:5" ht="20" customHeight="1">
      <c r="B758" s="26" t="s">
        <v>2842</v>
      </c>
      <c r="C758" s="22" t="str">
        <f>_xlfn.CONCAT(sample_wld_vc_hostname,".",sample_child_dns_zone)</f>
        <v>sfo-w01-vc01.sfo.rainpole.io</v>
      </c>
      <c r="D758" s="18" t="str">
        <f>wld_vc_fqdn</f>
        <v>Value Missing.Value Missing</v>
      </c>
      <c r="E758" s="53"/>
    </row>
    <row r="759" spans="2:5" ht="20" customHeight="1">
      <c r="B759" s="26" t="s">
        <v>1795</v>
      </c>
      <c r="C759" s="22" t="s">
        <v>1045</v>
      </c>
      <c r="D759" s="18" t="str">
        <f>C759</f>
        <v>administrator@vsphere.local</v>
      </c>
      <c r="E759" s="53"/>
    </row>
    <row r="760" spans="2:5" ht="20" customHeight="1">
      <c r="B760" s="26" t="s">
        <v>1796</v>
      </c>
      <c r="C760" s="22" t="str">
        <f>sample_administrator_vsphere_local_password</f>
        <v>VMw@re1!</v>
      </c>
      <c r="D760" s="18" t="str">
        <f>_xlfn.SINGLE(administrator_vsphere_local_password)</f>
        <v>Value Missing</v>
      </c>
      <c r="E760" s="53"/>
    </row>
    <row r="761" spans="2:5" ht="20" customHeight="1">
      <c r="B761" s="26" t="s">
        <v>637</v>
      </c>
      <c r="C761" s="22" t="str">
        <f>_xlfn.CONCAT(sample_wld_vc_hostname,".",sample_child_dns_zone)</f>
        <v>sfo-w01-vc01.sfo.rainpole.io</v>
      </c>
      <c r="D761" s="18" t="str">
        <f>wld_vc_fqdn</f>
        <v>Value Missing.Value Missing</v>
      </c>
      <c r="E761" s="53"/>
    </row>
    <row r="762" spans="2:5" ht="20" customHeight="1">
      <c r="B762" s="26" t="s">
        <v>1052</v>
      </c>
      <c r="C762" s="22" t="str">
        <f>sample_wld_srm_site_name</f>
        <v>SFO-W01</v>
      </c>
      <c r="D762" s="18" t="str">
        <f>wld_srm_site_name</f>
        <v>Value Missing</v>
      </c>
      <c r="E762" s="53"/>
    </row>
    <row r="763" spans="2:5" ht="20" customHeight="1">
      <c r="B763" s="21" t="s">
        <v>2843</v>
      </c>
      <c r="C763" s="22" t="str">
        <f>sample_wld_srm_admin_email</f>
        <v>srm-administrator@rainpole.io</v>
      </c>
      <c r="D763" s="18" t="str">
        <f>wld_srm_admin_email</f>
        <v>Value Missing</v>
      </c>
      <c r="E763" s="53"/>
    </row>
    <row r="764" spans="2:5" ht="20" customHeight="1">
      <c r="B764" s="21" t="s">
        <v>2844</v>
      </c>
      <c r="C764" s="22" t="str">
        <f>_xlfn.CONCAT(sample_wld_srm_hostname,".",sample_child_dns_zone)</f>
        <v>sfo-w01-srm01.sfo.rainpole.io</v>
      </c>
      <c r="D764" s="18" t="str">
        <f>wld_srm_fqdn</f>
        <v>Value Missing.Value Missing</v>
      </c>
      <c r="E764" s="53"/>
    </row>
    <row r="765" spans="2:5" ht="16" customHeight="1"/>
    <row r="766" spans="2:5" ht="34" customHeight="1">
      <c r="B766" s="427" t="s">
        <v>2889</v>
      </c>
      <c r="C766" s="428"/>
      <c r="D766" s="428"/>
      <c r="E766" s="426"/>
    </row>
    <row r="767" spans="2:5" ht="20" customHeight="1">
      <c r="B767" s="8" t="s">
        <v>735</v>
      </c>
      <c r="C767" s="8" t="s">
        <v>554</v>
      </c>
      <c r="D767" s="20" t="s">
        <v>555</v>
      </c>
      <c r="E767" s="8" t="s">
        <v>222</v>
      </c>
    </row>
    <row r="768" spans="2:5" ht="20" customHeight="1">
      <c r="B768" s="26" t="s">
        <v>1938</v>
      </c>
      <c r="C768" s="22" t="str">
        <f>_xlfn.CONCAT(sample_wld_vc_hostname,".",sample_child_dns_zone)</f>
        <v>sfo-w01-vc01.sfo.rainpole.io</v>
      </c>
      <c r="D768" s="18" t="str">
        <f>wld_vc_fqdn</f>
        <v>Value Missing.Value Missing</v>
      </c>
      <c r="E768" s="53"/>
    </row>
    <row r="769" spans="2:5" ht="20" customHeight="1">
      <c r="B769" s="21" t="s">
        <v>2890</v>
      </c>
      <c r="C769" s="22" t="str">
        <f>sample_srm_license</f>
        <v>N/A</v>
      </c>
      <c r="D769" s="18" t="str">
        <f>srm_license</f>
        <v>Value Missing</v>
      </c>
      <c r="E769" s="53"/>
    </row>
    <row r="770" spans="2:5" ht="20" customHeight="1">
      <c r="B770" s="26" t="s">
        <v>2891</v>
      </c>
      <c r="C770" s="22" t="s">
        <v>717</v>
      </c>
      <c r="D770" s="18" t="str">
        <f>C770</f>
        <v>Site Recovery Manager</v>
      </c>
      <c r="E770" s="53"/>
    </row>
    <row r="771" spans="2:5" ht="20" customHeight="1">
      <c r="B771" s="26" t="s">
        <v>2892</v>
      </c>
      <c r="C771" s="22" t="str">
        <f>sample_wld_srm_site_name</f>
        <v>SFO-W01</v>
      </c>
      <c r="D771" s="18" t="str">
        <f>wld_srm_site_name</f>
        <v>Value Missing</v>
      </c>
      <c r="E771" s="53"/>
    </row>
    <row r="772" spans="2:5" ht="20" customHeight="1">
      <c r="B772" s="26" t="s">
        <v>2364</v>
      </c>
      <c r="C772" s="22" t="str">
        <f>sample_srm_license</f>
        <v>N/A</v>
      </c>
      <c r="D772" s="18" t="str">
        <f>srm_license</f>
        <v>Value Missing</v>
      </c>
      <c r="E772" s="53"/>
    </row>
    <row r="773" spans="2:5" ht="16" customHeight="1"/>
    <row r="774" spans="2:5" ht="34" customHeight="1">
      <c r="B774" s="386" t="s">
        <v>2893</v>
      </c>
      <c r="C774" s="387"/>
      <c r="D774" s="387"/>
      <c r="E774" s="387"/>
    </row>
    <row r="775" spans="2:5" ht="16" customHeight="1"/>
    <row r="776" spans="2:5" ht="34" customHeight="1">
      <c r="B776" s="344" t="s">
        <v>2925</v>
      </c>
      <c r="C776" s="344"/>
      <c r="D776" s="344"/>
      <c r="E776" s="344"/>
    </row>
    <row r="777" spans="2:5" ht="20" customHeight="1">
      <c r="B777" s="8" t="s">
        <v>735</v>
      </c>
      <c r="C777" s="8" t="s">
        <v>554</v>
      </c>
      <c r="D777" s="20" t="s">
        <v>555</v>
      </c>
      <c r="E777" s="8" t="s">
        <v>222</v>
      </c>
    </row>
    <row r="778" spans="2:5" ht="20" customHeight="1">
      <c r="B778" s="26" t="s">
        <v>2719</v>
      </c>
      <c r="C778" s="22" t="str">
        <f>_xlfn.CONCAT(sample_wld_vc_hostname,".",sample_child_dns_zone)</f>
        <v>sfo-w01-vc01.sfo.rainpole.io</v>
      </c>
      <c r="D778" s="18" t="str">
        <f>wld_vc_fqdn</f>
        <v>Value Missing.Value Missing</v>
      </c>
      <c r="E778" s="53"/>
    </row>
    <row r="779" spans="2:5" ht="20" customHeight="1">
      <c r="B779" s="26" t="s">
        <v>2895</v>
      </c>
      <c r="C779" s="22" t="str">
        <f>_xlfn.CONCAT(sample_wld_vc_hostname,".",sample_child_dns_zone)</f>
        <v>sfo-w01-vc01.sfo.rainpole.io</v>
      </c>
      <c r="D779" s="18" t="str">
        <f>wld_vc_fqdn</f>
        <v>Value Missing.Value Missing</v>
      </c>
      <c r="E779" s="53"/>
    </row>
    <row r="780" spans="2:5" ht="20" customHeight="1">
      <c r="B780" s="26" t="s">
        <v>2896</v>
      </c>
      <c r="C780" s="22" t="s">
        <v>2897</v>
      </c>
      <c r="D780" s="18" t="str">
        <f>IF(wld_srm_sso_domain_membership="Value Missing","Value Missing",IF(wld_srm_sso_domain_membership="Same SSO Domain","Pair with a peer vCenter Server located in the same SSO domain","Pair with a peer vCenter Server located in a different SSO domain"))</f>
        <v>Value Missing</v>
      </c>
      <c r="E780" s="53"/>
    </row>
    <row r="781" spans="2:5" ht="20" customHeight="1">
      <c r="B781" s="26" t="s">
        <v>2842</v>
      </c>
      <c r="C781" s="22" t="str">
        <f>sample_wld_srm_recovery_vcenter_fqdn</f>
        <v>lax-w01-vc01.lax.rainpole.io</v>
      </c>
      <c r="D781" s="18" t="str">
        <f>wld_srm_recovery_vcenter_fqdn</f>
        <v>Value Missing</v>
      </c>
      <c r="E781" s="53"/>
    </row>
    <row r="782" spans="2:5" ht="20" customHeight="1">
      <c r="B782" s="26" t="s">
        <v>1795</v>
      </c>
      <c r="C782" s="22" t="str">
        <f>sample_wld_srm_recovery_vcenter_username</f>
        <v>administrator@vsphere.local</v>
      </c>
      <c r="D782" s="18" t="str">
        <f>wld_srm_recovery_vcenter_username</f>
        <v>Value Missing</v>
      </c>
      <c r="E782" s="53"/>
    </row>
    <row r="783" spans="2:5" ht="20" customHeight="1">
      <c r="B783" s="21" t="s">
        <v>1796</v>
      </c>
      <c r="C783" s="22" t="str">
        <f>sample_wld_srm_recovery_vcenter_password</f>
        <v>VMw@re1!</v>
      </c>
      <c r="D783" s="18" t="str">
        <f>wld_srm_recovery_vcenter_password</f>
        <v>Value Missing</v>
      </c>
      <c r="E783" s="53"/>
    </row>
    <row r="784" spans="2:5" ht="20" customHeight="1">
      <c r="B784" s="21" t="s">
        <v>2898</v>
      </c>
      <c r="C784" s="22" t="str">
        <f>sample_wld_srm_recovery_vcenter_fqdn</f>
        <v>lax-w01-vc01.lax.rainpole.io</v>
      </c>
      <c r="D784" s="18" t="str">
        <f>wld_srm_recovery_vcenter_fqdn</f>
        <v>Value Missing</v>
      </c>
      <c r="E784" s="53"/>
    </row>
    <row r="786" spans="2:5" ht="34" customHeight="1">
      <c r="B786" s="552" t="s">
        <v>2275</v>
      </c>
      <c r="C786" s="505"/>
      <c r="D786" s="505"/>
      <c r="E786" s="505"/>
    </row>
    <row r="788" spans="2:5" ht="34" customHeight="1">
      <c r="B788" s="344" t="s">
        <v>3424</v>
      </c>
      <c r="C788" s="344"/>
      <c r="D788" s="344"/>
      <c r="E788" s="344"/>
    </row>
    <row r="789" spans="2:5" ht="20" customHeight="1">
      <c r="B789" s="8" t="s">
        <v>735</v>
      </c>
      <c r="C789" s="8" t="s">
        <v>554</v>
      </c>
      <c r="D789" s="20" t="s">
        <v>555</v>
      </c>
      <c r="E789" s="8" t="s">
        <v>222</v>
      </c>
    </row>
    <row r="790" spans="2:5" ht="20" customHeight="1">
      <c r="B790" s="26" t="s">
        <v>2926</v>
      </c>
      <c r="C790" s="22" t="str">
        <f>_xlfn.CONCAT(sample_mgmt_vc_hostname,".",sample_child_dns_zone)</f>
        <v>sfo-m01-vc01.sfo.rainpole.io</v>
      </c>
      <c r="D790" s="18" t="str">
        <f>mgmt_vc_fqdn</f>
        <v>Value Missing.Value Missing</v>
      </c>
      <c r="E790" s="53"/>
    </row>
    <row r="791" spans="2:5" ht="20" customHeight="1">
      <c r="B791" s="21" t="s">
        <v>2927</v>
      </c>
      <c r="C791" s="22" t="str">
        <f>sample_xreg_vrops_vrms_sso_username</f>
        <v>svc-ops-vrms</v>
      </c>
      <c r="D791" s="18" t="str">
        <f>xreg_vrops_vrms_sso_username</f>
        <v>Value Missing</v>
      </c>
      <c r="E791" s="21"/>
    </row>
    <row r="792" spans="2:5" ht="20" customHeight="1">
      <c r="B792" s="21" t="s">
        <v>2928</v>
      </c>
      <c r="C792" s="22" t="str">
        <f>sample_xreg_vrops_vrms_sso_password</f>
        <v>VMw@re1!</v>
      </c>
      <c r="D792" s="18" t="str">
        <f>xreg_vrops_vrms_sso_password</f>
        <v>Value Missing</v>
      </c>
      <c r="E792" s="21"/>
    </row>
    <row r="793" spans="2:5" ht="20" customHeight="1">
      <c r="B793" s="21" t="s">
        <v>2929</v>
      </c>
      <c r="C793" s="22" t="str">
        <f>sample_xreg_vrops_srm_sso_username</f>
        <v>svc-ops-srm</v>
      </c>
      <c r="D793" s="18" t="str">
        <f>xreg_vrops_srm_sso_username</f>
        <v>Value Missing</v>
      </c>
      <c r="E793" s="21"/>
    </row>
    <row r="794" spans="2:5" ht="20" customHeight="1">
      <c r="B794" s="21" t="s">
        <v>2930</v>
      </c>
      <c r="C794" s="22" t="str">
        <f>sample_xreg_vrops_srm_sso_password</f>
        <v>VMw@re1!</v>
      </c>
      <c r="D794" s="18" t="str">
        <f>xreg_vrops_srm_sso_password</f>
        <v>Value Missing</v>
      </c>
      <c r="E794" s="21"/>
    </row>
    <row r="796" spans="2:5" ht="34" customHeight="1">
      <c r="B796" s="344" t="s">
        <v>3425</v>
      </c>
      <c r="C796" s="344"/>
      <c r="D796" s="344"/>
      <c r="E796" s="344"/>
    </row>
    <row r="797" spans="2:5" ht="20" customHeight="1">
      <c r="B797" s="8" t="s">
        <v>735</v>
      </c>
      <c r="C797" s="8" t="s">
        <v>554</v>
      </c>
      <c r="D797" s="20" t="s">
        <v>555</v>
      </c>
      <c r="E797" s="8" t="s">
        <v>1989</v>
      </c>
    </row>
    <row r="798" spans="2:5" ht="20" customHeight="1">
      <c r="B798" s="21" t="s">
        <v>2286</v>
      </c>
      <c r="C798" s="22" t="str">
        <f>_xlfn.CONCAT(sample_mgmt_vc_hostname,".",sample_child_dns_zone)</f>
        <v>sfo-m01-vc01.sfo.rainpole.io</v>
      </c>
      <c r="D798" s="18" t="str">
        <f>mgmt_vc_fqdn</f>
        <v>Value Missing.Value Missing</v>
      </c>
      <c r="E798" s="21"/>
    </row>
    <row r="799" spans="2:5" ht="20" customHeight="1">
      <c r="B799" s="21" t="s">
        <v>2931</v>
      </c>
      <c r="C799" s="22" t="str">
        <f>_xlfn.CONCAT(sample_xreg_vrops_vrms_sso_username,"@vsphere.local")</f>
        <v>svc-ops-vrms@vsphere.local</v>
      </c>
      <c r="D799" s="18" t="str">
        <f>_xlfn.CONCAT(xreg_vrops_vrms_sso_username,"@vsphere.local")</f>
        <v>Value Missing@vsphere.local</v>
      </c>
      <c r="E799" s="21"/>
    </row>
    <row r="800" spans="2:5" ht="20" customHeight="1">
      <c r="B800" s="21" t="s">
        <v>2932</v>
      </c>
      <c r="C800" s="22" t="s">
        <v>2933</v>
      </c>
      <c r="D800" s="18" t="str">
        <f>C800</f>
        <v>VRM replication viewer</v>
      </c>
      <c r="E800" s="21"/>
    </row>
    <row r="801" spans="2:5" ht="20" customHeight="1">
      <c r="B801" s="21" t="s">
        <v>2934</v>
      </c>
      <c r="C801" s="22" t="str">
        <f>_xlfn.CONCAT(sample_xreg_vrops_srm_sso_username,"@vsphere.local")</f>
        <v>svc-ops-srm@vsphere.local</v>
      </c>
      <c r="D801" s="18" t="str">
        <f>_xlfn.CONCAT(xreg_vrops_srm_sso_username,"@vsphere.local")</f>
        <v>Value Missing@vsphere.local</v>
      </c>
      <c r="E801" s="21"/>
    </row>
    <row r="802" spans="2:5" ht="20" customHeight="1">
      <c r="B802" s="21" t="s">
        <v>2935</v>
      </c>
      <c r="C802" s="22" t="s">
        <v>2936</v>
      </c>
      <c r="D802" s="18" t="str">
        <f>C802</f>
        <v>Read-Only</v>
      </c>
      <c r="E802" s="21"/>
    </row>
    <row r="804" spans="2:5" ht="34" customHeight="1">
      <c r="B804" s="344" t="s">
        <v>3426</v>
      </c>
      <c r="C804" s="344"/>
      <c r="D804" s="344"/>
      <c r="E804" s="344"/>
    </row>
    <row r="805" spans="2:5" ht="20" customHeight="1">
      <c r="B805" s="8" t="s">
        <v>735</v>
      </c>
      <c r="C805" s="8" t="s">
        <v>554</v>
      </c>
      <c r="D805" s="20" t="s">
        <v>555</v>
      </c>
      <c r="E805" s="8" t="s">
        <v>222</v>
      </c>
    </row>
    <row r="806" spans="2:5" ht="20" customHeight="1">
      <c r="B806" s="21" t="s">
        <v>3369</v>
      </c>
      <c r="C806" s="22" t="str">
        <f>_xlfn.CONCAT(sample_xreg_vrops_virtual_hostname,".",sample_parent_dns_zone)</f>
        <v>xint-ops01.rainpole.io</v>
      </c>
      <c r="D806" s="18" t="str">
        <f>IF(intelligent_operations_chosen="Initial Deployment",xreg_vrops_virtual_fqdn,xreg_vrops_existing_virtual_server_fqdn)</f>
        <v>Value Missing</v>
      </c>
      <c r="E806" s="53"/>
    </row>
    <row r="808" spans="2:5" ht="34" customHeight="1">
      <c r="B808" s="344" t="s">
        <v>3427</v>
      </c>
      <c r="C808" s="344"/>
      <c r="D808" s="344"/>
      <c r="E808" s="344"/>
    </row>
    <row r="809" spans="2:5" ht="20" customHeight="1">
      <c r="B809" s="8" t="s">
        <v>735</v>
      </c>
      <c r="C809" s="8" t="s">
        <v>554</v>
      </c>
      <c r="D809" s="20" t="s">
        <v>555</v>
      </c>
      <c r="E809" s="8" t="s">
        <v>222</v>
      </c>
    </row>
    <row r="810" spans="2:5" ht="20" customHeight="1">
      <c r="B810" s="21" t="s">
        <v>3369</v>
      </c>
      <c r="C810" s="22" t="str">
        <f>_xlfn.CONCAT(sample_xreg_vrops_virtual_hostname,".",sample_parent_dns_zone)</f>
        <v>xint-ops01.rainpole.io</v>
      </c>
      <c r="D810" s="18" t="str">
        <f>IF(intelligent_operations_chosen="Initial Deployment",xreg_vrops_virtual_fqdn,xreg_vrops_existing_virtual_server_fqdn)</f>
        <v>Value Missing</v>
      </c>
      <c r="E810" s="53"/>
    </row>
    <row r="811" spans="2:5" ht="20" customHeight="1">
      <c r="B811" s="26" t="s">
        <v>2937</v>
      </c>
      <c r="C811" s="22" t="str">
        <f>_xlfn.CONCAT(sample_mgmt_srm_hostname,".",sample_child_dns_zone)</f>
        <v>sfo-m01-srm01.sfo.rainpole.io</v>
      </c>
      <c r="D811" s="18" t="str">
        <f>mgmt_srm_fqdn</f>
        <v>Value Missing.Value Missing</v>
      </c>
      <c r="E811" s="53"/>
    </row>
    <row r="812" spans="2:5" ht="20" customHeight="1">
      <c r="B812" s="26" t="s">
        <v>2938</v>
      </c>
      <c r="C812" s="22" t="str">
        <f>_xlfn.CONCAT(sample_mgmt_srm_hostname,".",sample_child_dns_zone)</f>
        <v>sfo-m01-srm01.sfo.rainpole.io</v>
      </c>
      <c r="D812" s="18" t="str">
        <f>mgmt_srm_fqdn</f>
        <v>Value Missing.Value Missing</v>
      </c>
      <c r="E812" s="53"/>
    </row>
    <row r="813" spans="2:5" ht="20" customHeight="1">
      <c r="B813" s="26" t="s">
        <v>2939</v>
      </c>
      <c r="C813" s="22">
        <v>443</v>
      </c>
      <c r="D813" s="18">
        <f>C813</f>
        <v>443</v>
      </c>
      <c r="E813" s="53"/>
    </row>
    <row r="814" spans="2:5" ht="20" customHeight="1">
      <c r="B814" s="26" t="s">
        <v>2940</v>
      </c>
      <c r="C814" s="22" t="str">
        <f>_xlfn.CONCAT(sample_xreg_vrops_srm_sso_username,"@vsphere.local")</f>
        <v>svc-ops-srm@vsphere.local</v>
      </c>
      <c r="D814" s="18" t="str">
        <f>_xlfn.CONCAT(xreg_vrops_srm_sso_username,"@vsphere.local")</f>
        <v>Value Missing@vsphere.local</v>
      </c>
      <c r="E814" s="53"/>
    </row>
    <row r="815" spans="2:5" ht="20" customHeight="1">
      <c r="B815" s="26" t="s">
        <v>2941</v>
      </c>
      <c r="C815" s="22" t="str">
        <f>_xlfn.CONCAT(sample_xreg_vrops_srm_sso_username,"@vsphere.local")</f>
        <v>svc-ops-srm@vsphere.local</v>
      </c>
      <c r="D815" s="18" t="str">
        <f>_xlfn.CONCAT(xreg_vrops_srm_sso_username,"@vsphere.local")</f>
        <v>Value Missing@vsphere.local</v>
      </c>
      <c r="E815" s="53"/>
    </row>
    <row r="816" spans="2:5" ht="20" customHeight="1">
      <c r="B816" s="26" t="s">
        <v>2618</v>
      </c>
      <c r="C816" s="22" t="str">
        <f>sample_xreg_vrops_srm_sso_password</f>
        <v>VMw@re1!</v>
      </c>
      <c r="D816" s="18" t="str">
        <f>xreg_vrops_srm_sso_password</f>
        <v>Value Missing</v>
      </c>
      <c r="E816" s="53"/>
    </row>
    <row r="817" spans="2:5" ht="20" customHeight="1">
      <c r="B817" s="26" t="s">
        <v>2942</v>
      </c>
      <c r="C817" s="22" t="str">
        <f>_xlfn.CONCAT(sample_mgmt_sddc_domain,"-collector-group")</f>
        <v>sfo-m01-collector-group</v>
      </c>
      <c r="D817" s="18" t="str">
        <f>_xlfn.CONCAT(mgmt_sddc_domain,"-collector-group")</f>
        <v>Value Missing-collector-group</v>
      </c>
      <c r="E817" s="53"/>
    </row>
    <row r="818" spans="2:5" ht="20" customHeight="1">
      <c r="B818" s="26" t="s">
        <v>2943</v>
      </c>
      <c r="C818" s="22" t="str">
        <f>_xlfn.CONCAT(sample_wld_srm_hostname,".",sample_child_dns_zone)</f>
        <v>sfo-w01-srm01.sfo.rainpole.io</v>
      </c>
      <c r="D818" s="18" t="str">
        <f>wld_srm_fqdn</f>
        <v>Value Missing.Value Missing</v>
      </c>
      <c r="E818" s="53"/>
    </row>
    <row r="819" spans="2:5" ht="20" customHeight="1">
      <c r="B819" s="26" t="s">
        <v>2944</v>
      </c>
      <c r="C819" s="22" t="str">
        <f>_xlfn.CONCAT(sample_wld_srm_hostname,".",sample_child_dns_zone)</f>
        <v>sfo-w01-srm01.sfo.rainpole.io</v>
      </c>
      <c r="D819" s="18" t="str">
        <f>wld_srm_fqdn</f>
        <v>Value Missing.Value Missing</v>
      </c>
      <c r="E819" s="53"/>
    </row>
    <row r="820" spans="2:5" ht="20" customHeight="1">
      <c r="B820" s="26" t="s">
        <v>2945</v>
      </c>
      <c r="C820" s="22">
        <v>443</v>
      </c>
      <c r="D820" s="18">
        <f>C820</f>
        <v>443</v>
      </c>
      <c r="E820" s="53"/>
    </row>
    <row r="821" spans="2:5" ht="20" customHeight="1">
      <c r="B821" s="26" t="s">
        <v>2946</v>
      </c>
      <c r="C821" s="22" t="str">
        <f>_xlfn.CONCAT(sample_xreg_vrops_srm_sso_username,"@vsphere.local")</f>
        <v>svc-ops-srm@vsphere.local</v>
      </c>
      <c r="D821" s="18" t="str">
        <f>_xlfn.CONCAT(xreg_vrops_srm_sso_username,"@vsphere.local")</f>
        <v>Value Missing@vsphere.local</v>
      </c>
      <c r="E821" s="53"/>
    </row>
    <row r="822" spans="2:5" ht="20" customHeight="1">
      <c r="B822" s="26" t="s">
        <v>2947</v>
      </c>
      <c r="C822" s="22" t="str">
        <f>_xlfn.CONCAT(sample_xreg_vrops_srm_sso_username,"@vsphere.local")</f>
        <v>svc-ops-srm@vsphere.local</v>
      </c>
      <c r="D822" s="18" t="str">
        <f>_xlfn.CONCAT(xreg_vrops_srm_sso_username,"@vsphere.local")</f>
        <v>Value Missing@vsphere.local</v>
      </c>
      <c r="E822" s="53"/>
    </row>
    <row r="823" spans="2:5" ht="20" customHeight="1">
      <c r="B823" s="26" t="s">
        <v>2625</v>
      </c>
      <c r="C823" s="22" t="str">
        <f>sample_xreg_vrops_srm_sso_password</f>
        <v>VMw@re1!</v>
      </c>
      <c r="D823" s="18" t="str">
        <f>xreg_vrops_srm_sso_password</f>
        <v>Value Missing</v>
      </c>
      <c r="E823" s="53"/>
    </row>
    <row r="824" spans="2:5" ht="20" customHeight="1">
      <c r="B824" s="26" t="s">
        <v>2948</v>
      </c>
      <c r="C824" s="22" t="str">
        <f>_xlfn.CONCAT(sample_mgmt_sddc_domain,"-collector-group")</f>
        <v>sfo-m01-collector-group</v>
      </c>
      <c r="D824" s="18" t="str">
        <f>_xlfn.CONCAT(mgmt_sddc_domain,"-collector-grouo")</f>
        <v>Value Missing-collector-grouo</v>
      </c>
      <c r="E824" s="53"/>
    </row>
    <row r="826" spans="2:5" ht="34" customHeight="1">
      <c r="B826" s="344" t="s">
        <v>3428</v>
      </c>
      <c r="C826" s="344"/>
      <c r="D826" s="344"/>
      <c r="E826" s="344"/>
    </row>
    <row r="827" spans="2:5" ht="20" customHeight="1">
      <c r="B827" s="8" t="s">
        <v>735</v>
      </c>
      <c r="C827" s="8" t="s">
        <v>554</v>
      </c>
      <c r="D827" s="20" t="s">
        <v>555</v>
      </c>
      <c r="E827" s="8" t="s">
        <v>222</v>
      </c>
    </row>
    <row r="828" spans="2:5" ht="20" customHeight="1">
      <c r="B828" s="21" t="s">
        <v>3369</v>
      </c>
      <c r="C828" s="22" t="str">
        <f>_xlfn.CONCAT(sample_xreg_vrops_virtual_hostname,".",sample_parent_dns_zone)</f>
        <v>xint-ops01.rainpole.io</v>
      </c>
      <c r="D828" s="18" t="str">
        <f>IF(intelligent_operations_chosen="Initial Deployment",xreg_vrops_virtual_fqdn,xreg_vrops_existing_virtual_server_fqdn)</f>
        <v>Value Missing</v>
      </c>
      <c r="E828" s="53"/>
    </row>
    <row r="829" spans="2:5" ht="20" customHeight="1">
      <c r="B829" s="26" t="s">
        <v>2937</v>
      </c>
      <c r="C829" s="22" t="str">
        <f>_xlfn.CONCAT(sample_mgmt_vrms_hostname,".",sample_child_dns_zone)</f>
        <v>sfo-m01-vrms01.sfo.rainpole.io</v>
      </c>
      <c r="D829" s="18" t="str">
        <f>mgmt_vrms_fqdn</f>
        <v>Value Missing.Value Missing</v>
      </c>
      <c r="E829" s="53"/>
    </row>
    <row r="830" spans="2:5" ht="20" customHeight="1">
      <c r="B830" s="102" t="s">
        <v>4493</v>
      </c>
      <c r="C830" s="22" t="str">
        <f>_xlfn.CONCAT(sample_mgmt_vc_hostname,".",sample_child_dns_zone)</f>
        <v>sfo-m01-vc01.sfo.rainpole.io</v>
      </c>
      <c r="D830" s="18" t="str">
        <f>mgmt_vc_fqdn</f>
        <v>Value Missing.Value Missing</v>
      </c>
      <c r="E830" s="53"/>
    </row>
    <row r="831" spans="2:5" ht="20" customHeight="1">
      <c r="B831" s="26" t="s">
        <v>2940</v>
      </c>
      <c r="C831" s="22" t="str">
        <f>_xlfn.CONCAT(sample_xreg_vrops_vrms_sso_username,"@vsphere.local")</f>
        <v>svc-ops-vrms@vsphere.local</v>
      </c>
      <c r="D831" s="18" t="str">
        <f>_xlfn.CONCAT(xreg_vrops_vrms_sso_username,"@vsphere.local")</f>
        <v>Value Missing@vsphere.local</v>
      </c>
      <c r="E831" s="53"/>
    </row>
    <row r="832" spans="2:5" ht="20" customHeight="1">
      <c r="B832" s="26" t="s">
        <v>2949</v>
      </c>
      <c r="C832" s="22" t="str">
        <f>_xlfn.CONCAT(sample_xreg_vrops_vrms_sso_username,"@vsphere.local")</f>
        <v>svc-ops-vrms@vsphere.local</v>
      </c>
      <c r="D832" s="18" t="str">
        <f>_xlfn.CONCAT(xreg_vrops_vrms_sso_username,"@vsphere.local")</f>
        <v>Value Missing@vsphere.local</v>
      </c>
      <c r="E832" s="53"/>
    </row>
    <row r="833" spans="2:5" ht="20" customHeight="1">
      <c r="B833" s="26" t="s">
        <v>2618</v>
      </c>
      <c r="C833" s="22" t="str">
        <f>sample_xreg_vrops_vrms_sso_password</f>
        <v>VMw@re1!</v>
      </c>
      <c r="D833" s="18" t="str">
        <f>xreg_vrops_vrms_sso_password</f>
        <v>Value Missing</v>
      </c>
      <c r="E833" s="53"/>
    </row>
    <row r="834" spans="2:5" ht="20" customHeight="1">
      <c r="B834" s="26" t="s">
        <v>2942</v>
      </c>
      <c r="C834" s="22" t="str">
        <f>_xlfn.CONCAT(sample_mgmt_sddc_domain,"-collector-group")</f>
        <v>sfo-m01-collector-group</v>
      </c>
      <c r="D834" s="18" t="str">
        <f>_xlfn.CONCAT(mgmt_sddc_domain,"-collector-group")</f>
        <v>Value Missing-collector-group</v>
      </c>
      <c r="E834" s="53"/>
    </row>
    <row r="835" spans="2:5" ht="20" customHeight="1">
      <c r="B835" s="26" t="s">
        <v>2943</v>
      </c>
      <c r="C835" s="22" t="str">
        <f>_xlfn.CONCAT(sample_wld_vrms_hostname,".",sample_child_dns_zone)</f>
        <v>sfo-w01-vrms01.sfo.rainpole.io</v>
      </c>
      <c r="D835" s="18" t="str">
        <f>mgmt_vrms_fqdn</f>
        <v>Value Missing.Value Missing</v>
      </c>
      <c r="E835" s="53"/>
    </row>
    <row r="836" spans="2:5" ht="20" customHeight="1">
      <c r="B836" s="102" t="s">
        <v>4494</v>
      </c>
      <c r="C836" s="22" t="str">
        <f>_xlfn.CONCAT(sample_wld_vc_hostname,".",sample_child_dns_zone)</f>
        <v>sfo-w01-vc01.sfo.rainpole.io</v>
      </c>
      <c r="D836" s="18" t="str">
        <f>wld_vc_fqdn</f>
        <v>Value Missing.Value Missing</v>
      </c>
      <c r="E836" s="53"/>
    </row>
    <row r="837" spans="2:5" ht="20" customHeight="1">
      <c r="B837" s="26" t="s">
        <v>2946</v>
      </c>
      <c r="C837" s="22" t="str">
        <f>_xlfn.CONCAT(sample_xreg_vrops_vrms_sso_username,"@vsphere.local")</f>
        <v>svc-ops-vrms@vsphere.local</v>
      </c>
      <c r="D837" s="18" t="str">
        <f>_xlfn.CONCAT(xreg_vrops_vrms_sso_username,"@vsphere.local")</f>
        <v>Value Missing@vsphere.local</v>
      </c>
      <c r="E837" s="53"/>
    </row>
    <row r="838" spans="2:5" ht="20" customHeight="1">
      <c r="B838" s="26" t="s">
        <v>2950</v>
      </c>
      <c r="C838" s="22" t="str">
        <f>_xlfn.CONCAT(sample_xreg_vrops_vrms_sso_username,"@vsphere.local")</f>
        <v>svc-ops-vrms@vsphere.local</v>
      </c>
      <c r="D838" s="18" t="str">
        <f>_xlfn.CONCAT(xreg_vrops_vrms_sso_username,"@vsphere.local")</f>
        <v>Value Missing@vsphere.local</v>
      </c>
      <c r="E838" s="53"/>
    </row>
    <row r="839" spans="2:5" ht="20" customHeight="1">
      <c r="B839" s="26" t="s">
        <v>2625</v>
      </c>
      <c r="C839" s="22" t="str">
        <f>sample_xreg_vrops_vrms_sso_password</f>
        <v>VMw@re1!</v>
      </c>
      <c r="D839" s="18" t="str">
        <f>xreg_vrops_vrms_sso_password</f>
        <v>Value Missing</v>
      </c>
      <c r="E839" s="53"/>
    </row>
    <row r="840" spans="2:5" ht="20" customHeight="1">
      <c r="B840" s="26" t="s">
        <v>2948</v>
      </c>
      <c r="C840" s="22" t="str">
        <f>_xlfn.CONCAT(sample_mgmt_sddc_domain,"-collector-group")</f>
        <v>sfo-m01-collector-group</v>
      </c>
      <c r="D840" s="18" t="str">
        <f>_xlfn.CONCAT(mgmt_sddc_domain,"-collector-group")</f>
        <v>Value Missing-collector-group</v>
      </c>
      <c r="E840" s="53"/>
    </row>
    <row r="842" spans="2:5" ht="34" customHeight="1">
      <c r="B842" s="344" t="s">
        <v>3429</v>
      </c>
      <c r="C842" s="344"/>
      <c r="D842" s="344"/>
      <c r="E842" s="344"/>
    </row>
    <row r="843" spans="2:5" ht="20" customHeight="1">
      <c r="B843" s="8" t="s">
        <v>735</v>
      </c>
      <c r="C843" s="8" t="s">
        <v>554</v>
      </c>
      <c r="D843" s="20" t="s">
        <v>555</v>
      </c>
      <c r="E843" s="8" t="s">
        <v>222</v>
      </c>
    </row>
    <row r="844" spans="2:5" ht="20" customHeight="1">
      <c r="B844" s="21" t="s">
        <v>3369</v>
      </c>
      <c r="C844" s="22" t="str">
        <f>_xlfn.CONCAT(sample_xreg_vrops_virtual_hostname,".",sample_parent_dns_zone)</f>
        <v>xint-ops01.rainpole.io</v>
      </c>
      <c r="D844" s="18" t="str">
        <f>xreg_vrops_virtual_fqdn</f>
        <v>Value Missing.Value Missing</v>
      </c>
      <c r="E844" s="53"/>
    </row>
    <row r="845" spans="2:5">
      <c r="B845" t="s">
        <v>335</v>
      </c>
    </row>
    <row r="846" spans="2:5" ht="34" customHeight="1">
      <c r="B846" s="427" t="s">
        <v>3205</v>
      </c>
      <c r="C846" s="428"/>
      <c r="D846" s="428"/>
      <c r="E846" s="426"/>
    </row>
    <row r="847" spans="2:5" ht="20" customHeight="1">
      <c r="B847" s="8" t="s">
        <v>735</v>
      </c>
      <c r="C847" s="8" t="s">
        <v>554</v>
      </c>
      <c r="D847" s="20" t="s">
        <v>555</v>
      </c>
      <c r="E847" s="8" t="s">
        <v>222</v>
      </c>
    </row>
    <row r="848" spans="2:5" ht="20" customHeight="1">
      <c r="B848" s="21" t="s">
        <v>3370</v>
      </c>
      <c r="C848" s="22" t="str">
        <f>_xlfn.CONCAT(sample_region_vrli_virtual_hostname,".",sample_child_dns_zone)</f>
        <v>sfo-logs01.sfo.rainpole.io</v>
      </c>
      <c r="D848" s="18" t="str">
        <f>region_vrli_virtual_fqdn</f>
        <v>Value Missing.Value Missing</v>
      </c>
      <c r="E848" s="53"/>
    </row>
    <row r="849" spans="2:5" ht="20" customHeight="1">
      <c r="B849" s="26" t="s">
        <v>2951</v>
      </c>
      <c r="C849" s="22" t="str">
        <f>_xlfn.CONCAT(sample_mgmt_srm_hostname,".",sample_child_dns_zone)</f>
        <v>sfo-m01-srm01.sfo.rainpole.io</v>
      </c>
      <c r="D849" s="18" t="str">
        <f>mgmt_srm_fqdn</f>
        <v>Value Missing.Value Missing</v>
      </c>
      <c r="E849" s="53"/>
    </row>
    <row r="850" spans="2:5" ht="20" customHeight="1">
      <c r="B850" s="26" t="s">
        <v>2952</v>
      </c>
      <c r="C850" s="22" t="str">
        <f>sample_mgmt_srm_admin_password</f>
        <v>VMw@re1!</v>
      </c>
      <c r="D850" s="18" t="str">
        <f>mgmt_srm_admin_password</f>
        <v>Value Missing</v>
      </c>
      <c r="E850" s="53"/>
    </row>
    <row r="851" spans="2:5" ht="20" customHeight="1">
      <c r="B851" s="26" t="s">
        <v>2953</v>
      </c>
      <c r="C851" s="22" t="str">
        <f>_xlfn.CONCAT(sample_wld_srm_hostname,".",sample_child_dns_zone)</f>
        <v>sfo-w01-srm01.sfo.rainpole.io</v>
      </c>
      <c r="D851" s="18" t="str">
        <f>wld_srm_fqdn</f>
        <v>Value Missing.Value Missing</v>
      </c>
      <c r="E851" s="53"/>
    </row>
    <row r="852" spans="2:5" ht="20" customHeight="1">
      <c r="B852" s="26" t="s">
        <v>2954</v>
      </c>
      <c r="C852" s="22" t="str">
        <f>sample_wld_srm_admin_password</f>
        <v>VMw@re1!</v>
      </c>
      <c r="D852" s="18" t="str">
        <f>wld_srm_admin_password</f>
        <v>Value Missing</v>
      </c>
      <c r="E852" s="53"/>
    </row>
    <row r="853" spans="2:5" ht="20" customHeight="1">
      <c r="B853" s="26" t="s">
        <v>2955</v>
      </c>
      <c r="C853" s="22" t="str">
        <f>_xlfn.CONCAT(sample_mgmt_vrms_hostname,".",sample_child_dns_zone)</f>
        <v>sfo-m01-vrms01.sfo.rainpole.io</v>
      </c>
      <c r="D853" s="18" t="str">
        <f>mgmt_vrms_fqdn</f>
        <v>Value Missing.Value Missing</v>
      </c>
      <c r="E853" s="53"/>
    </row>
    <row r="854" spans="2:5" ht="20" customHeight="1">
      <c r="B854" s="26" t="s">
        <v>2956</v>
      </c>
      <c r="C854" s="22" t="str">
        <f>sample_mgmt_vrms_admin_password</f>
        <v>VMw@re1!</v>
      </c>
      <c r="D854" s="18" t="str">
        <f>mgmt_vrms_admin_password</f>
        <v>Value Missing</v>
      </c>
      <c r="E854" s="53"/>
    </row>
    <row r="855" spans="2:5" ht="20" customHeight="1">
      <c r="B855" s="26" t="s">
        <v>2957</v>
      </c>
      <c r="C855" s="22" t="str">
        <f>_xlfn.CONCAT(sample_wld_vrms_hostname,".",sample_child_dns_zone)</f>
        <v>sfo-w01-vrms01.sfo.rainpole.io</v>
      </c>
      <c r="D855" s="18" t="str">
        <f>wld_vrms_fqdn</f>
        <v>Value Missing.Value Missing</v>
      </c>
      <c r="E855" s="53"/>
    </row>
    <row r="856" spans="2:5" ht="20" customHeight="1">
      <c r="B856" s="26" t="s">
        <v>2958</v>
      </c>
      <c r="C856" s="22" t="str">
        <f>sample_wld_vrms_admin_password</f>
        <v>VMw@re1!</v>
      </c>
      <c r="D856" s="18" t="str">
        <f>wld_vrms_admin_password</f>
        <v>Value Missing</v>
      </c>
      <c r="E856" s="53"/>
    </row>
    <row r="858" spans="2:5" ht="34" customHeight="1">
      <c r="B858" s="427" t="s">
        <v>3206</v>
      </c>
      <c r="C858" s="428"/>
      <c r="D858" s="428"/>
      <c r="E858" s="426"/>
    </row>
    <row r="859" spans="2:5" ht="20" customHeight="1">
      <c r="B859" s="8" t="s">
        <v>735</v>
      </c>
      <c r="C859" s="8" t="s">
        <v>554</v>
      </c>
      <c r="D859" s="20" t="s">
        <v>555</v>
      </c>
      <c r="E859" s="8" t="s">
        <v>222</v>
      </c>
    </row>
    <row r="860" spans="2:5" ht="20" customHeight="1">
      <c r="B860" s="21" t="s">
        <v>3370</v>
      </c>
      <c r="C860" s="22" t="str">
        <f>_xlfn.CONCAT(sample_region_vrli_virtual_hostname,".",sample_child_dns_zone)</f>
        <v>sfo-logs01.sfo.rainpole.io</v>
      </c>
      <c r="D860" s="18" t="str">
        <f>region_vrli_virtual_fqdn</f>
        <v>Value Missing.Value Missing</v>
      </c>
      <c r="E860" s="53"/>
    </row>
    <row r="861" spans="2:5" ht="20" customHeight="1">
      <c r="B861" s="21" t="s">
        <v>2325</v>
      </c>
      <c r="C861" s="22" t="s">
        <v>2959</v>
      </c>
      <c r="D861" s="18" t="str">
        <f>C861</f>
        <v>Photon OS (PDR) - Appliance Agent Group</v>
      </c>
      <c r="E861" s="53"/>
    </row>
    <row r="862" spans="2:5" ht="20" customHeight="1">
      <c r="B862" s="21" t="s">
        <v>2960</v>
      </c>
      <c r="C862" s="22" t="str">
        <f>_xlfn.CONCAT(sample_mgmt_srm_hostname,".",sample_child_dns_zone)</f>
        <v>sfo-m01-srm01.sfo.rainpole.io</v>
      </c>
      <c r="D862" s="18" t="str">
        <f>mgmt_srm_fqdn</f>
        <v>Value Missing.Value Missing</v>
      </c>
      <c r="E862" s="53"/>
    </row>
    <row r="863" spans="2:5" ht="20" customHeight="1">
      <c r="B863" s="21" t="s">
        <v>2961</v>
      </c>
      <c r="C863" s="22" t="str">
        <f>_xlfn.CONCAT(sample_mgmt_vrms_hostname,".",sample_child_dns_zone)</f>
        <v>sfo-m01-vrms01.sfo.rainpole.io</v>
      </c>
      <c r="D863" s="18" t="str">
        <f>mgmt_vrms_fqdn</f>
        <v>Value Missing.Value Missing</v>
      </c>
      <c r="E863" s="53"/>
    </row>
    <row r="864" spans="2:5" ht="20" customHeight="1">
      <c r="B864" s="21" t="s">
        <v>2962</v>
      </c>
      <c r="C864" s="22" t="str">
        <f>_xlfn.CONCAT(sample_wld_srm_hostname,".",sample_child_dns_zone)</f>
        <v>sfo-w01-srm01.sfo.rainpole.io</v>
      </c>
      <c r="D864" s="18" t="str">
        <f>wld_srm_fqdn</f>
        <v>Value Missing.Value Missing</v>
      </c>
      <c r="E864" s="53"/>
    </row>
    <row r="865" spans="2:5" ht="20" customHeight="1">
      <c r="B865" s="21" t="s">
        <v>2963</v>
      </c>
      <c r="C865" s="22" t="str">
        <f>_xlfn.CONCAT(sample_wld_vrms_hostname,".",sample_child_dns_zone)</f>
        <v>sfo-w01-vrms01.sfo.rainpole.io</v>
      </c>
      <c r="D865" s="18" t="str">
        <f>wld_vrms_fqdn</f>
        <v>Value Missing.Value Missing</v>
      </c>
      <c r="E865" s="53"/>
    </row>
  </sheetData>
  <sheetProtection algorithmName="SHA-512" hashValue="grei+cKK6Pq3c2AfO4FIxt1lJUENlRw0geu5cYTTbZ3+j3b09hv0TAY5JvDF08BXtivYNlILjF1DyBLJDI6HsA==" saltValue="rZf57ZVGqAFDZ1odOIZK5w==" spinCount="100000" sheet="1" objects="1" scenarios="1"/>
  <mergeCells count="100">
    <mergeCell ref="B640:E640"/>
    <mergeCell ref="B858:E858"/>
    <mergeCell ref="B826:E826"/>
    <mergeCell ref="B846:E846"/>
    <mergeCell ref="B776:E776"/>
    <mergeCell ref="B755:E755"/>
    <mergeCell ref="B766:E766"/>
    <mergeCell ref="B774:E774"/>
    <mergeCell ref="B661:E661"/>
    <mergeCell ref="B666:E666"/>
    <mergeCell ref="B722:E722"/>
    <mergeCell ref="B693:E693"/>
    <mergeCell ref="B695:E695"/>
    <mergeCell ref="B750:E750"/>
    <mergeCell ref="B679:E679"/>
    <mergeCell ref="B842:E842"/>
    <mergeCell ref="B425:E425"/>
    <mergeCell ref="B423:E423"/>
    <mergeCell ref="B107:E107"/>
    <mergeCell ref="B328:E328"/>
    <mergeCell ref="B344:E344"/>
    <mergeCell ref="B373:E373"/>
    <mergeCell ref="B278:E278"/>
    <mergeCell ref="B371:E371"/>
    <mergeCell ref="B175:E175"/>
    <mergeCell ref="B189:E189"/>
    <mergeCell ref="B197:E197"/>
    <mergeCell ref="B273:E273"/>
    <mergeCell ref="B194:E194"/>
    <mergeCell ref="B155:E155"/>
    <mergeCell ref="B149:E149"/>
    <mergeCell ref="B708:E708"/>
    <mergeCell ref="B724:E724"/>
    <mergeCell ref="B647:E647"/>
    <mergeCell ref="B786:E786"/>
    <mergeCell ref="B788:E788"/>
    <mergeCell ref="B796:E796"/>
    <mergeCell ref="B804:E804"/>
    <mergeCell ref="B808:E808"/>
    <mergeCell ref="B729:E729"/>
    <mergeCell ref="B168:E168"/>
    <mergeCell ref="B220:E220"/>
    <mergeCell ref="B357:E357"/>
    <mergeCell ref="B404:E404"/>
    <mergeCell ref="B378:E378"/>
    <mergeCell ref="B342:E342"/>
    <mergeCell ref="B241:E241"/>
    <mergeCell ref="B203:E203"/>
    <mergeCell ref="B539:E539"/>
    <mergeCell ref="B556:E556"/>
    <mergeCell ref="B581:E581"/>
    <mergeCell ref="B523:E523"/>
    <mergeCell ref="B624:E624"/>
    <mergeCell ref="B595:E595"/>
    <mergeCell ref="B537:E537"/>
    <mergeCell ref="B573:E573"/>
    <mergeCell ref="B2:C2"/>
    <mergeCell ref="D2:E2"/>
    <mergeCell ref="B3:E3"/>
    <mergeCell ref="B10:E10"/>
    <mergeCell ref="B12:E12"/>
    <mergeCell ref="B8:E8"/>
    <mergeCell ref="B50:E50"/>
    <mergeCell ref="B18:E18"/>
    <mergeCell ref="B38:E38"/>
    <mergeCell ref="B26:E26"/>
    <mergeCell ref="B28:E28"/>
    <mergeCell ref="B69:E69"/>
    <mergeCell ref="B82:E82"/>
    <mergeCell ref="B514:E514"/>
    <mergeCell ref="B500:E500"/>
    <mergeCell ref="B296:E296"/>
    <mergeCell ref="B310:E310"/>
    <mergeCell ref="B477:E477"/>
    <mergeCell ref="B491:E491"/>
    <mergeCell ref="B134:E134"/>
    <mergeCell ref="B113:E113"/>
    <mergeCell ref="B435:E435"/>
    <mergeCell ref="B452:E452"/>
    <mergeCell ref="B192:E192"/>
    <mergeCell ref="B289:E289"/>
    <mergeCell ref="B399:E399"/>
    <mergeCell ref="B213:E213"/>
    <mergeCell ref="B415:E415"/>
    <mergeCell ref="B56:E56"/>
    <mergeCell ref="B62:E62"/>
    <mergeCell ref="B629:E629"/>
    <mergeCell ref="B597:E597"/>
    <mergeCell ref="B599:E599"/>
    <mergeCell ref="B604:E604"/>
    <mergeCell ref="B560:E560"/>
    <mergeCell ref="B228:E228"/>
    <mergeCell ref="B233:E233"/>
    <mergeCell ref="B246:E246"/>
    <mergeCell ref="B248:E248"/>
    <mergeCell ref="B253:E253"/>
    <mergeCell ref="B315:E315"/>
    <mergeCell ref="B467:E467"/>
    <mergeCell ref="B90:E90"/>
    <mergeCell ref="B126:E126"/>
  </mergeCells>
  <conditionalFormatting sqref="B8:E8 B248:E251 B253:E271 B273:E276 B278:E287 B289:E294 B296:E308 B310:E340 B342:E369 B373:E376 B378:E397 B399:E402 B404:E413 B415:E421">
    <cfRule type="expression" dxfId="586" priority="1111">
      <formula>AND((spr_mo_result="False"),(spr_mw_result="False"))</formula>
    </cfRule>
  </conditionalFormatting>
  <conditionalFormatting sqref="B10:E10 B12:E16 B18:E24 B189:E195 B197:E201 B203:E211 B213:E218 B425:E433 B435:E450 B523:E529 B539:E554 B556:E579 B581:E593">
    <cfRule type="expression" dxfId="585" priority="58">
      <formula>(protected_mgmt_result="False")</formula>
    </cfRule>
  </conditionalFormatting>
  <conditionalFormatting sqref="B23:E23 B220:E226 B228:E231">
    <cfRule type="expression" dxfId="584" priority="1151">
      <formula>OR((protected_mgmt_result="False"),(iom_id_result="False"))</formula>
    </cfRule>
  </conditionalFormatting>
  <conditionalFormatting sqref="B24:E24 B233:E239 B241:E244">
    <cfRule type="expression" dxfId="583" priority="1152">
      <formula>OR((protected_mgmt_result="False"),(pca_id_result="False"))</formula>
    </cfRule>
  </conditionalFormatting>
  <conditionalFormatting sqref="B26:E36">
    <cfRule type="expression" dxfId="582" priority="1090">
      <formula>(mgmt_recovery_lb_creation_method&lt;&gt;"PowerShell")</formula>
    </cfRule>
    <cfRule type="expression" dxfId="581" priority="1178">
      <formula>(protected_mgmt_result="False")</formula>
    </cfRule>
  </conditionalFormatting>
  <conditionalFormatting sqref="B38:E48">
    <cfRule type="expression" dxfId="580" priority="1177">
      <formula>OR((protected_mgmt_result="False"),(mgmt_recovery_lb_creation_method="PowerShell"))</formula>
    </cfRule>
  </conditionalFormatting>
  <conditionalFormatting sqref="B50:E54">
    <cfRule type="expression" dxfId="579" priority="1176">
      <formula>OR((protected_mgmt_result="False"),(mgmt_recovery_lb_creation_method="PowerShell"))</formula>
    </cfRule>
  </conditionalFormatting>
  <conditionalFormatting sqref="B56:E60">
    <cfRule type="expression" dxfId="578" priority="1175">
      <formula>OR((protected_mgmt_result="False"),(mgmt_recovery_lb_creation_method="PowerShell"))</formula>
    </cfRule>
  </conditionalFormatting>
  <conditionalFormatting sqref="B62:E67">
    <cfRule type="expression" dxfId="577" priority="1174">
      <formula>OR((protected_mgmt_result="False"),(mgmt_recovery_lb_creation_method="PowerShell"))</formula>
    </cfRule>
  </conditionalFormatting>
  <conditionalFormatting sqref="B69:E80">
    <cfRule type="expression" dxfId="576" priority="1173">
      <formula>OR((protected_mgmt_result="False"),(mgmt_recovery_lb_creation_method="PowerShell"))</formula>
    </cfRule>
  </conditionalFormatting>
  <conditionalFormatting sqref="B82:E88">
    <cfRule type="expression" dxfId="575" priority="1172">
      <formula>OR((protected_mgmt_result="False"),(mgmt_recovery_lb_creation_method="PowerShell"))</formula>
    </cfRule>
  </conditionalFormatting>
  <conditionalFormatting sqref="B90:E105">
    <cfRule type="expression" dxfId="574" priority="1171">
      <formula>OR((protected_mgmt_result="False"),(mgmt_recovery_lb_creation_method="PowerShell"))</formula>
    </cfRule>
  </conditionalFormatting>
  <conditionalFormatting sqref="B107:E111">
    <cfRule type="expression" dxfId="573" priority="1170">
      <formula>OR((protected_mgmt_result="False"),(iom_id_result="False"),(mgmt_recovery_lb_creation_method="PowerShell"))</formula>
    </cfRule>
  </conditionalFormatting>
  <conditionalFormatting sqref="B113:E124">
    <cfRule type="expression" dxfId="572" priority="1110">
      <formula>OR((protected_mgmt_result="False"),(iom_id_result="False"),(mgmt_recovery_lb_creation_method="PowerShell"))</formula>
    </cfRule>
  </conditionalFormatting>
  <conditionalFormatting sqref="B126:E132">
    <cfRule type="expression" dxfId="571" priority="1168">
      <formula>OR((protected_mgmt_result="False"),(iom_id_result="False"),(mgmt_recovery_lb_creation_method="PowerShell"))</formula>
    </cfRule>
  </conditionalFormatting>
  <conditionalFormatting sqref="B134:E147">
    <cfRule type="expression" dxfId="570" priority="1167">
      <formula>OR((protected_mgmt_result="False"),(iom_id_result="False"),(mgmt_recovery_lb_creation_method="PowerShell"))</formula>
    </cfRule>
  </conditionalFormatting>
  <conditionalFormatting sqref="B149:E153">
    <cfRule type="expression" dxfId="569" priority="1166">
      <formula>OR((protected_mgmt_result="False"),(pca_id_result="False"),(mgmt_recovery_lb_creation_method="PowerShell"))</formula>
    </cfRule>
  </conditionalFormatting>
  <conditionalFormatting sqref="B155:E166">
    <cfRule type="expression" dxfId="568" priority="1165">
      <formula>OR((protected_mgmt_result="False"),(pca_id_result="False"),(mgmt_recovery_lb_creation_method="PowerShell"))</formula>
    </cfRule>
  </conditionalFormatting>
  <conditionalFormatting sqref="B168:E173">
    <cfRule type="expression" dxfId="567" priority="1164">
      <formula>OR((protected_mgmt_result="False"),(pca_id_result="False"),(mgmt_recovery_lb_creation_method="PowerShell"))</formula>
    </cfRule>
  </conditionalFormatting>
  <conditionalFormatting sqref="B175:E187">
    <cfRule type="expression" dxfId="566" priority="1163">
      <formula>OR((protected_mgmt_result="False"),(pca_id_result="False"),(mgmt_recovery_lb_creation_method="PowerShell"))</formula>
    </cfRule>
  </conditionalFormatting>
  <conditionalFormatting sqref="B246:E246">
    <cfRule type="expression" dxfId="565" priority="1114">
      <formula>AND((spr_mo_result="False"),(spr_mw_result="False"))</formula>
    </cfRule>
  </conditionalFormatting>
  <conditionalFormatting sqref="B357:E369">
    <cfRule type="expression" dxfId="564" priority="1">
      <formula>AND((spr_mo_result="False"),(spr_mw_result="False"),(mgmt_stretched_cluster_result="Excluded"))</formula>
    </cfRule>
  </conditionalFormatting>
  <conditionalFormatting sqref="B371:E371">
    <cfRule type="expression" dxfId="563" priority="1115">
      <formula>AND((spr_mo_result="False"),(spr_mw_result="False"))</formula>
    </cfRule>
  </conditionalFormatting>
  <conditionalFormatting sqref="B423:E423">
    <cfRule type="expression" dxfId="562" priority="1116">
      <formula>(protected_mgmt_result="False")</formula>
    </cfRule>
  </conditionalFormatting>
  <conditionalFormatting sqref="B445:E446">
    <cfRule type="expression" dxfId="561" priority="1134">
      <formula>OR((protected_mgmt_result="False"),(iom_id_result="False"))</formula>
    </cfRule>
  </conditionalFormatting>
  <conditionalFormatting sqref="B447:E448">
    <cfRule type="expression" dxfId="560" priority="1133">
      <formula>OR((protected_mgmt_result="False"),(pca_id_result="False"))</formula>
    </cfRule>
  </conditionalFormatting>
  <conditionalFormatting sqref="B452:E465">
    <cfRule type="expression" dxfId="559" priority="47">
      <formula>(protected_mgmt_result="False")</formula>
    </cfRule>
  </conditionalFormatting>
  <conditionalFormatting sqref="B467:E475">
    <cfRule type="expression" dxfId="558" priority="37">
      <formula>(protected_mgmt_result="False")</formula>
    </cfRule>
  </conditionalFormatting>
  <conditionalFormatting sqref="B477:E489">
    <cfRule type="expression" dxfId="557" priority="28">
      <formula>OR((protected_mgmt_result="False"),(iom_id_result="False"))</formula>
    </cfRule>
  </conditionalFormatting>
  <conditionalFormatting sqref="B491:E498">
    <cfRule type="expression" dxfId="556" priority="22">
      <formula>OR((protected_mgmt_result="False"),(iom_id_result="False"))</formula>
    </cfRule>
  </conditionalFormatting>
  <conditionalFormatting sqref="B500:E512">
    <cfRule type="expression" dxfId="555" priority="9">
      <formula>OR((protected_mgmt_result="False"),(pca_id_result="False"))</formula>
    </cfRule>
  </conditionalFormatting>
  <conditionalFormatting sqref="B514:E521">
    <cfRule type="expression" dxfId="554" priority="2">
      <formula>OR((protected_mgmt_result="False"),(pca_id_result="False"))</formula>
    </cfRule>
  </conditionalFormatting>
  <conditionalFormatting sqref="B530:E532">
    <cfRule type="expression" dxfId="553" priority="1124">
      <formula>OR((protected_mgmt_result="False"),(iom_id_result="False"))</formula>
    </cfRule>
  </conditionalFormatting>
  <conditionalFormatting sqref="B533:E535">
    <cfRule type="expression" dxfId="552" priority="1123">
      <formula>OR((protected_mgmt_result="False"),(pca_id_result="False"))</formula>
    </cfRule>
  </conditionalFormatting>
  <conditionalFormatting sqref="B537:E537">
    <cfRule type="expression" dxfId="551" priority="1117">
      <formula>(protected_mgmt_result="False")</formula>
    </cfRule>
  </conditionalFormatting>
  <conditionalFormatting sqref="B595:E595 B599:E602 B604:E622 B624:E627 B629:E638 B640:E645 B647:E659 B661:E691 B693:E720 B724:E727 B729:E748 B750:E753 B755:E764 B766:E772">
    <cfRule type="expression" dxfId="550" priority="1109">
      <formula>AND((spr_wo_result="False"),(spr_mw_result="False"))</formula>
    </cfRule>
  </conditionalFormatting>
  <conditionalFormatting sqref="B597:E597">
    <cfRule type="expression" dxfId="549" priority="1108">
      <formula>AND((spr_wo_result="False"),(spr_mw_result="False"))</formula>
    </cfRule>
  </conditionalFormatting>
  <conditionalFormatting sqref="B722:E722">
    <cfRule type="expression" dxfId="548" priority="1098">
      <formula>AND((spr_wo_result="False"),(spr_mw_result="False"))</formula>
    </cfRule>
  </conditionalFormatting>
  <conditionalFormatting sqref="B774:E774">
    <cfRule type="expression" dxfId="547" priority="1092">
      <formula>(protected_wld_result="False")</formula>
    </cfRule>
  </conditionalFormatting>
  <conditionalFormatting sqref="B776:E784">
    <cfRule type="expression" dxfId="546" priority="1091">
      <formula>(protected_wld_result="False")</formula>
    </cfRule>
  </conditionalFormatting>
  <conditionalFormatting sqref="B786:E786">
    <cfRule type="expression" dxfId="545" priority="770">
      <formula>OR((spr_result="Excluded"),(AND((intelligent_operations_result="Excluded"),(intelligent_logging_result="Excluded"))))</formula>
    </cfRule>
  </conditionalFormatting>
  <conditionalFormatting sqref="B788:E794 B796:E802 B804:E806 B808:E810 B826:E828 B842:E844">
    <cfRule type="expression" dxfId="544" priority="212">
      <formula>OR((spr_result="Excluded"),(intelligent_operations_result="Excluded"))</formula>
    </cfRule>
  </conditionalFormatting>
  <conditionalFormatting sqref="B811:E817">
    <cfRule type="expression" dxfId="543" priority="195">
      <formula>OR((AND((spr_mo_result="False"),(spr_mw_result="False"))),(intelligent_operations_result="Excluded"))</formula>
    </cfRule>
  </conditionalFormatting>
  <conditionalFormatting sqref="B818:E824">
    <cfRule type="expression" dxfId="542" priority="168">
      <formula>OR((AND((spr_wo_result="False"),(spr_mw_result="False"))),(intelligent_operations_result="Excluded"))</formula>
    </cfRule>
  </conditionalFormatting>
  <conditionalFormatting sqref="B829:E834">
    <cfRule type="expression" dxfId="541" priority="179">
      <formula>OR((AND((spr_mo_result="False"),(spr_mw_result="False"))),(intelligent_operations_result="Excluded"))</formula>
    </cfRule>
  </conditionalFormatting>
  <conditionalFormatting sqref="B835:E840">
    <cfRule type="expression" dxfId="540" priority="184">
      <formula>OR((AND((spr_wo_result="False"),(spr_mw_result="False"))),(intelligent_operations_result="Excluded"))</formula>
    </cfRule>
  </conditionalFormatting>
  <conditionalFormatting sqref="B846:E856 B858:E861">
    <cfRule type="expression" dxfId="539" priority="618">
      <formula>OR((spr_result="Excluded"),(intelligent_logging_result="Excluded"))</formula>
    </cfRule>
  </conditionalFormatting>
  <conditionalFormatting sqref="B849:E850 B853:E854">
    <cfRule type="expression" dxfId="538" priority="622">
      <formula>OR((AND((spr_mo_result="False"),(spr_mw_result="False"))),(intelligent_logging_result="Excluded"))</formula>
    </cfRule>
  </conditionalFormatting>
  <conditionalFormatting sqref="B851:E852 B855:E856">
    <cfRule type="expression" dxfId="537" priority="617">
      <formula>OR((AND((spr_wo_result="False"),(spr_mw_result="False"))),(intelligent_logging_result="Excluded"))</formula>
    </cfRule>
  </conditionalFormatting>
  <conditionalFormatting sqref="B862:E863">
    <cfRule type="expression" dxfId="536" priority="656">
      <formula>OR((AND((spr_mo_result="False"),(spr_mw_result="False"))),(intelligent_logging_result="Excluded"))</formula>
    </cfRule>
  </conditionalFormatting>
  <conditionalFormatting sqref="B864:E865">
    <cfRule type="expression" dxfId="535" priority="653">
      <formula>OR((AND((spr_wo_result="False"),(spr_mw_result="False"))),(intelligent_logging_result="Excluded"))</formula>
    </cfRule>
  </conditionalFormatting>
  <conditionalFormatting sqref="C5">
    <cfRule type="expression" dxfId="534" priority="1112">
      <formula>AND((spr_mo_result="False"),(spr_mw_result="False"))</formula>
    </cfRule>
  </conditionalFormatting>
  <conditionalFormatting sqref="D5">
    <cfRule type="expression" dxfId="533" priority="1107">
      <formula>AND((spr_wo_result="False"),(spr_mw_result="False"))</formula>
    </cfRule>
  </conditionalFormatting>
  <conditionalFormatting sqref="E5">
    <cfRule type="expression" dxfId="111" priority="769">
      <formula>OR((spr_result="Excluded"),(AND((intelligent_operations_result="Excluded"),(intelligent_logging_result="Excluded"))))</formula>
    </cfRule>
  </conditionalFormatting>
  <hyperlinks>
    <hyperlink ref="C5" location="'Site Protection &amp; DR'!navigation_site_protection_mgmt" display="Management Domain" xr:uid="{00000000-0004-0000-1700-000000000000}"/>
    <hyperlink ref="D5" location="'Site Protection &amp; DR'!navigation_site_protection_wld" display="VI Workload Domain" xr:uid="{00000000-0004-0000-1700-000001000000}"/>
    <hyperlink ref="E5" location="'Site Protection &amp; DR'!navigation_site_protection_solution_interop" display="Solution Interoperability" xr:uid="{00000000-0004-0000-1700-000002000000}"/>
    <hyperlink ref="B5" location="'Deployment Options'!H50" display="Section Navigation (Click to Navigate)" xr:uid="{45366349-7C40-874E-BE5C-DDDE56EEC1FF}"/>
  </hyperlinks>
  <pageMargins left="0.7" right="0.7" top="0.75" bottom="0.75" header="0.3" footer="0.3"/>
  <pageSetup paperSize="9" orientation="portrait" horizontalDpi="0" verticalDpi="0"/>
  <ignoredErrors>
    <ignoredError sqref="D43 D75:D80 D103 D95 D119 D121 D123 D139 D145 D161:D165 D180:D185 D420 D771 D801" formula="1"/>
  </ignoredErrors>
  <drawing r:id="rId1"/>
  <extLst>
    <ext xmlns:x14="http://schemas.microsoft.com/office/spreadsheetml/2009/9/main" uri="{78C0D931-6437-407d-A8EE-F0AAD7539E65}">
      <x14:conditionalFormattings>
        <x14:conditionalFormatting xmlns:xm="http://schemas.microsoft.com/office/excel/2006/main">
          <x14:cfRule type="notContainsText" priority="3815" operator="notContains" id="{911D6203-C862-6E41-8647-A78D7E2CF8E6}">
            <xm:f>ISERROR(SEARCH("Value Missing",D14))</xm:f>
            <xm:f>"Value Missing"</xm:f>
            <x14:dxf>
              <font>
                <color rgb="FF006100"/>
              </font>
              <fill>
                <patternFill>
                  <bgColor rgb="FFC6EFCE"/>
                </patternFill>
              </fill>
            </x14:dxf>
          </x14:cfRule>
          <x14:cfRule type="containsText" priority="3816" operator="containsText" id="{1B33FF9B-40DF-8944-AE22-0A2024DCC19A}">
            <xm:f>NOT(ISERROR(SEARCH("Value Missing",D14)))</xm:f>
            <xm:f>"Value Missing"</xm:f>
            <x14:dxf>
              <font>
                <color rgb="FF9C0006"/>
              </font>
              <fill>
                <patternFill>
                  <bgColor rgb="FFFFC7CE"/>
                </patternFill>
              </fill>
            </x14:dxf>
          </x14:cfRule>
          <xm:sqref>D14:D16</xm:sqref>
        </x14:conditionalFormatting>
        <x14:conditionalFormatting xmlns:xm="http://schemas.microsoft.com/office/excel/2006/main">
          <x14:cfRule type="containsText" priority="3826" operator="containsText" id="{9C29D15A-099B-B044-AB07-B9F3B58DDC9F}">
            <xm:f>NOT(ISERROR(SEARCH("Value Missing",D20)))</xm:f>
            <xm:f>"Value Missing"</xm:f>
            <x14:dxf>
              <font>
                <color rgb="FF9C0006"/>
              </font>
              <fill>
                <patternFill>
                  <bgColor rgb="FFFFC7CE"/>
                </patternFill>
              </fill>
            </x14:dxf>
          </x14:cfRule>
          <x14:cfRule type="notContainsText" priority="3825" operator="notContains" id="{7362265C-06D8-AE4E-990A-BBF25C8D72BE}">
            <xm:f>ISERROR(SEARCH("Value Missing",D20))</xm:f>
            <xm:f>"Value Missing"</xm:f>
            <x14:dxf>
              <font>
                <color rgb="FF006100"/>
              </font>
              <fill>
                <patternFill>
                  <bgColor rgb="FFC6EFCE"/>
                </patternFill>
              </fill>
            </x14:dxf>
          </x14:cfRule>
          <xm:sqref>D20:D24</xm:sqref>
        </x14:conditionalFormatting>
        <x14:conditionalFormatting xmlns:xm="http://schemas.microsoft.com/office/excel/2006/main">
          <x14:cfRule type="notContainsText" priority="1230" operator="notContains" id="{5892AD48-847C-CA4F-A541-B15C01C39353}">
            <xm:f>ISERROR(SEARCH("Value Missing",D29))</xm:f>
            <xm:f>"Value Missing"</xm:f>
            <x14:dxf>
              <font>
                <color rgb="FF006100"/>
              </font>
              <fill>
                <patternFill>
                  <bgColor rgb="FFC6EFCE"/>
                </patternFill>
              </fill>
            </x14:dxf>
          </x14:cfRule>
          <x14:cfRule type="containsText" priority="1231" operator="containsText" id="{6030ACE8-5FF8-714C-9D5C-74E78FEDFCFC}">
            <xm:f>NOT(ISERROR(SEARCH("Value Missing",D29)))</xm:f>
            <xm:f>"Value Missing"</xm:f>
            <x14:dxf>
              <font>
                <color rgb="FF9C0006"/>
              </font>
              <fill>
                <patternFill>
                  <bgColor rgb="FFFFC7CE"/>
                </patternFill>
              </fill>
            </x14:dxf>
          </x14:cfRule>
          <xm:sqref>D29:D35</xm:sqref>
        </x14:conditionalFormatting>
        <x14:conditionalFormatting xmlns:xm="http://schemas.microsoft.com/office/excel/2006/main">
          <x14:cfRule type="notContainsText" priority="1228" operator="notContains" id="{31407448-2A30-664A-86E9-F38643EC845E}">
            <xm:f>ISERROR(SEARCH("Value Missing",D31))</xm:f>
            <xm:f>"Value Missing"</xm:f>
            <x14:dxf>
              <font>
                <color rgb="FF006100"/>
              </font>
              <fill>
                <patternFill>
                  <bgColor rgb="FFC6EFCE"/>
                </patternFill>
              </fill>
            </x14:dxf>
          </x14:cfRule>
          <x14:cfRule type="containsText" priority="1229" operator="containsText" id="{EFEFD851-9AB1-F440-B578-46707E4B04A8}">
            <xm:f>NOT(ISERROR(SEARCH("Value Missing",D31)))</xm:f>
            <xm:f>"Value Missing"</xm:f>
            <x14:dxf>
              <font>
                <color rgb="FF9C0006"/>
              </font>
              <fill>
                <patternFill>
                  <bgColor rgb="FFFFC7CE"/>
                </patternFill>
              </fill>
            </x14:dxf>
          </x14:cfRule>
          <xm:sqref>D31</xm:sqref>
        </x14:conditionalFormatting>
        <x14:conditionalFormatting xmlns:xm="http://schemas.microsoft.com/office/excel/2006/main">
          <x14:cfRule type="notContainsText" priority="1226" operator="notContains" id="{2C819833-26D7-D344-A72C-E1F90F437418}">
            <xm:f>ISERROR(SEARCH("Value Missing",D36))</xm:f>
            <xm:f>"Value Missing"</xm:f>
            <x14:dxf>
              <font>
                <color rgb="FF006100"/>
              </font>
              <fill>
                <patternFill>
                  <bgColor rgb="FFC6EFCE"/>
                </patternFill>
              </fill>
            </x14:dxf>
          </x14:cfRule>
          <x14:cfRule type="containsText" priority="1227" operator="containsText" id="{7446A1EB-C440-B141-9363-C0F322F9B6F7}">
            <xm:f>NOT(ISERROR(SEARCH("Value Missing",D36)))</xm:f>
            <xm:f>"Value Missing"</xm:f>
            <x14:dxf>
              <font>
                <color rgb="FF9C0006"/>
              </font>
              <fill>
                <patternFill>
                  <bgColor rgb="FFFFC7CE"/>
                </patternFill>
              </fill>
            </x14:dxf>
          </x14:cfRule>
          <xm:sqref>D36</xm:sqref>
        </x14:conditionalFormatting>
        <x14:conditionalFormatting xmlns:xm="http://schemas.microsoft.com/office/excel/2006/main">
          <x14:cfRule type="containsText" priority="3810" operator="containsText" id="{40200ED1-0740-534B-9699-AE19705B870C}">
            <xm:f>NOT(ISERROR(SEARCH("Value Missing",D40)))</xm:f>
            <xm:f>"Value Missing"</xm:f>
            <x14:dxf>
              <font>
                <color rgb="FF9C0006"/>
              </font>
              <fill>
                <patternFill>
                  <bgColor rgb="FFFFC7CE"/>
                </patternFill>
              </fill>
            </x14:dxf>
          </x14:cfRule>
          <x14:cfRule type="notContainsText" priority="3809" operator="notContains" id="{6792032B-2B36-3C4D-8653-F5476AD04EAF}">
            <xm:f>ISERROR(SEARCH("Value Missing",D40))</xm:f>
            <xm:f>"Value Missing"</xm:f>
            <x14:dxf>
              <font>
                <color rgb="FF006100"/>
              </font>
              <fill>
                <patternFill>
                  <bgColor rgb="FFC6EFCE"/>
                </patternFill>
              </fill>
            </x14:dxf>
          </x14:cfRule>
          <xm:sqref>D40:D44</xm:sqref>
        </x14:conditionalFormatting>
        <x14:conditionalFormatting xmlns:xm="http://schemas.microsoft.com/office/excel/2006/main">
          <x14:cfRule type="containsText" priority="3807" operator="containsText" id="{293FA059-79F2-934A-B8CF-B12C49F9DBDF}">
            <xm:f>NOT(ISERROR(SEARCH("Value Missing",D44)))</xm:f>
            <xm:f>"Value Missing"</xm:f>
            <x14:dxf>
              <font>
                <color rgb="FF9C0006"/>
              </font>
              <fill>
                <patternFill>
                  <bgColor rgb="FFFFC7CE"/>
                </patternFill>
              </fill>
            </x14:dxf>
          </x14:cfRule>
          <x14:cfRule type="notContainsText" priority="3806" operator="notContains" id="{E58ED574-C088-2343-BA5C-E99ED59C38E2}">
            <xm:f>ISERROR(SEARCH("Value Missing",D44))</xm:f>
            <xm:f>"Value Missing"</xm:f>
            <x14:dxf>
              <font>
                <color rgb="FF006100"/>
              </font>
              <fill>
                <patternFill>
                  <bgColor rgb="FFC6EFCE"/>
                </patternFill>
              </fill>
            </x14:dxf>
          </x14:cfRule>
          <xm:sqref>D44:D45</xm:sqref>
        </x14:conditionalFormatting>
        <x14:conditionalFormatting xmlns:xm="http://schemas.microsoft.com/office/excel/2006/main">
          <x14:cfRule type="containsText" priority="3814" operator="containsText" id="{2A8BA908-4319-184E-A049-919DF23B4EDC}">
            <xm:f>NOT(ISERROR(SEARCH("Value Missing",D46)))</xm:f>
            <xm:f>"Value Missing"</xm:f>
            <x14:dxf>
              <font>
                <color rgb="FF9C0006"/>
              </font>
              <fill>
                <patternFill>
                  <bgColor rgb="FFFFC7CE"/>
                </patternFill>
              </fill>
            </x14:dxf>
          </x14:cfRule>
          <x14:cfRule type="notContainsText" priority="3813" operator="notContains" id="{9D9E952F-E0A1-FD41-9276-D0CA5A336B33}">
            <xm:f>ISERROR(SEARCH("Value Missing",D46))</xm:f>
            <xm:f>"Value Missing"</xm:f>
            <x14:dxf>
              <font>
                <color rgb="FF006100"/>
              </font>
              <fill>
                <patternFill>
                  <bgColor rgb="FFC6EFCE"/>
                </patternFill>
              </fill>
            </x14:dxf>
          </x14:cfRule>
          <xm:sqref>D46:D48</xm:sqref>
        </x14:conditionalFormatting>
        <x14:conditionalFormatting xmlns:xm="http://schemas.microsoft.com/office/excel/2006/main">
          <x14:cfRule type="notContainsText" priority="3811" operator="notContains" id="{0AFF240A-54C3-4245-A166-0BCF9E6E93B2}">
            <xm:f>ISERROR(SEARCH("Value Missing",D48))</xm:f>
            <xm:f>"Value Missing"</xm:f>
            <x14:dxf>
              <font>
                <color rgb="FF006100"/>
              </font>
              <fill>
                <patternFill>
                  <bgColor rgb="FFC6EFCE"/>
                </patternFill>
              </fill>
            </x14:dxf>
          </x14:cfRule>
          <x14:cfRule type="containsText" priority="3812" operator="containsText" id="{27D307AC-B2A4-634C-8D84-9C98C711C41C}">
            <xm:f>NOT(ISERROR(SEARCH("Value Missing",D48)))</xm:f>
            <xm:f>"Value Missing"</xm:f>
            <x14:dxf>
              <font>
                <color rgb="FF9C0006"/>
              </font>
              <fill>
                <patternFill>
                  <bgColor rgb="FFFFC7CE"/>
                </patternFill>
              </fill>
            </x14:dxf>
          </x14:cfRule>
          <xm:sqref>D48</xm:sqref>
        </x14:conditionalFormatting>
        <x14:conditionalFormatting xmlns:xm="http://schemas.microsoft.com/office/excel/2006/main">
          <x14:cfRule type="notContainsText" priority="3802" operator="notContains" id="{BBBC79C3-BB04-3146-A161-4370D0D9BF50}">
            <xm:f>ISERROR(SEARCH("Value Missing",D52))</xm:f>
            <xm:f>"Value Missing"</xm:f>
            <x14:dxf>
              <font>
                <color rgb="FF006100"/>
              </font>
              <fill>
                <patternFill>
                  <bgColor rgb="FFC6EFCE"/>
                </patternFill>
              </fill>
            </x14:dxf>
          </x14:cfRule>
          <x14:cfRule type="containsText" priority="3803" operator="containsText" id="{59DE4EB7-AFC9-5F40-922D-07A7FA708E9A}">
            <xm:f>NOT(ISERROR(SEARCH("Value Missing",D52)))</xm:f>
            <xm:f>"Value Missing"</xm:f>
            <x14:dxf>
              <font>
                <color rgb="FF9C0006"/>
              </font>
              <fill>
                <patternFill>
                  <bgColor rgb="FFFFC7CE"/>
                </patternFill>
              </fill>
            </x14:dxf>
          </x14:cfRule>
          <xm:sqref>D52:D54</xm:sqref>
        </x14:conditionalFormatting>
        <x14:conditionalFormatting xmlns:xm="http://schemas.microsoft.com/office/excel/2006/main">
          <x14:cfRule type="notContainsText" priority="3798" operator="notContains" id="{259A5AFC-4F79-5740-A832-0D677D867CD6}">
            <xm:f>ISERROR(SEARCH("Value Missing",D58))</xm:f>
            <xm:f>"Value Missing"</xm:f>
            <x14:dxf>
              <font>
                <color rgb="FF006100"/>
              </font>
              <fill>
                <patternFill>
                  <bgColor rgb="FFC6EFCE"/>
                </patternFill>
              </fill>
            </x14:dxf>
          </x14:cfRule>
          <x14:cfRule type="containsText" priority="3799" operator="containsText" id="{94E1AFE8-F1AE-CB46-ABD1-1A303F776F1D}">
            <xm:f>NOT(ISERROR(SEARCH("Value Missing",D58)))</xm:f>
            <xm:f>"Value Missing"</xm:f>
            <x14:dxf>
              <font>
                <color rgb="FF9C0006"/>
              </font>
              <fill>
                <patternFill>
                  <bgColor rgb="FFFFC7CE"/>
                </patternFill>
              </fill>
            </x14:dxf>
          </x14:cfRule>
          <xm:sqref>D58:D60</xm:sqref>
        </x14:conditionalFormatting>
        <x14:conditionalFormatting xmlns:xm="http://schemas.microsoft.com/office/excel/2006/main">
          <x14:cfRule type="notContainsText" priority="3792" operator="notContains" id="{C4C6480E-A471-A541-99AD-EFF5B5E74224}">
            <xm:f>ISERROR(SEARCH("Value Missing",D64))</xm:f>
            <xm:f>"Value Missing"</xm:f>
            <x14:dxf>
              <font>
                <color rgb="FF006100"/>
              </font>
              <fill>
                <patternFill>
                  <bgColor rgb="FFC6EFCE"/>
                </patternFill>
              </fill>
            </x14:dxf>
          </x14:cfRule>
          <x14:cfRule type="containsText" priority="3793" operator="containsText" id="{6BE9ADCD-22EB-A149-9F4F-53C52BDA0E58}">
            <xm:f>NOT(ISERROR(SEARCH("Value Missing",D64)))</xm:f>
            <xm:f>"Value Missing"</xm:f>
            <x14:dxf>
              <font>
                <color rgb="FF9C0006"/>
              </font>
              <fill>
                <patternFill>
                  <bgColor rgb="FFFFC7CE"/>
                </patternFill>
              </fill>
            </x14:dxf>
          </x14:cfRule>
          <xm:sqref>D64:D67</xm:sqref>
        </x14:conditionalFormatting>
        <x14:conditionalFormatting xmlns:xm="http://schemas.microsoft.com/office/excel/2006/main">
          <x14:cfRule type="containsText" priority="3785" operator="containsText" id="{96631247-145D-A646-8B75-5E3D9F7DD74D}">
            <xm:f>NOT(ISERROR(SEARCH("Value Missing",D71)))</xm:f>
            <xm:f>"Value Missing"</xm:f>
            <x14:dxf>
              <font>
                <color rgb="FF9C0006"/>
              </font>
              <fill>
                <patternFill>
                  <bgColor rgb="FFFFC7CE"/>
                </patternFill>
              </fill>
            </x14:dxf>
          </x14:cfRule>
          <x14:cfRule type="notContainsText" priority="3784" operator="notContains" id="{AED042FA-47FF-D541-B352-F4EBF28A4ACA}">
            <xm:f>ISERROR(SEARCH("Value Missing",D71))</xm:f>
            <xm:f>"Value Missing"</xm:f>
            <x14:dxf>
              <font>
                <color rgb="FF006100"/>
              </font>
              <fill>
                <patternFill>
                  <bgColor rgb="FFC6EFCE"/>
                </patternFill>
              </fill>
            </x14:dxf>
          </x14:cfRule>
          <xm:sqref>D71:D80</xm:sqref>
        </x14:conditionalFormatting>
        <x14:conditionalFormatting xmlns:xm="http://schemas.microsoft.com/office/excel/2006/main">
          <x14:cfRule type="containsText" priority="3637" operator="containsText" id="{4393074F-D485-EE43-B2F9-7F66798B8611}">
            <xm:f>NOT(ISERROR(SEARCH("Value Missing",D84)))</xm:f>
            <xm:f>"Value Missing"</xm:f>
            <x14:dxf>
              <font>
                <color rgb="FF9C0006"/>
              </font>
              <fill>
                <patternFill>
                  <bgColor rgb="FFFFC7CE"/>
                </patternFill>
              </fill>
            </x14:dxf>
          </x14:cfRule>
          <x14:cfRule type="notContainsText" priority="3636" operator="notContains" id="{E65BB723-57B9-7C44-8983-435A3DEBE886}">
            <xm:f>ISERROR(SEARCH("Value Missing",D84))</xm:f>
            <xm:f>"Value Missing"</xm:f>
            <x14:dxf>
              <font>
                <color rgb="FF006100"/>
              </font>
              <fill>
                <patternFill>
                  <bgColor rgb="FFC6EFCE"/>
                </patternFill>
              </fill>
            </x14:dxf>
          </x14:cfRule>
          <xm:sqref>D84:D88</xm:sqref>
        </x14:conditionalFormatting>
        <x14:conditionalFormatting xmlns:xm="http://schemas.microsoft.com/office/excel/2006/main">
          <x14:cfRule type="notContainsText" priority="3865" operator="notContains" id="{E5DBAEC4-89DB-1E4C-A9B5-52C288AF5760}">
            <xm:f>ISERROR(SEARCH("Value Missing",D86))</xm:f>
            <xm:f>"Value Missing"</xm:f>
            <x14:dxf>
              <font>
                <color rgb="FF006100"/>
              </font>
              <fill>
                <patternFill>
                  <bgColor rgb="FFC6EFCE"/>
                </patternFill>
              </fill>
            </x14:dxf>
          </x14:cfRule>
          <x14:cfRule type="containsText" priority="3866" operator="containsText" id="{FEC0B937-2B48-2A49-8707-68D1FDBCAEB5}">
            <xm:f>NOT(ISERROR(SEARCH("Value Missing",D86)))</xm:f>
            <xm:f>"Value Missing"</xm:f>
            <x14:dxf>
              <font>
                <color rgb="FF9C0006"/>
              </font>
              <fill>
                <patternFill>
                  <bgColor rgb="FFFFC7CE"/>
                </patternFill>
              </fill>
            </x14:dxf>
          </x14:cfRule>
          <xm:sqref>D86:D88</xm:sqref>
        </x14:conditionalFormatting>
        <x14:conditionalFormatting xmlns:xm="http://schemas.microsoft.com/office/excel/2006/main">
          <x14:cfRule type="containsText" priority="3627" operator="containsText" id="{0D8182A5-F26B-3344-9979-4025203B3610}">
            <xm:f>NOT(ISERROR(SEARCH("Value Missing",D92)))</xm:f>
            <xm:f>"Value Missing"</xm:f>
            <x14:dxf>
              <font>
                <color rgb="FF9C0006"/>
              </font>
              <fill>
                <patternFill>
                  <bgColor rgb="FFFFC7CE"/>
                </patternFill>
              </fill>
            </x14:dxf>
          </x14:cfRule>
          <x14:cfRule type="notContainsText" priority="3626" operator="notContains" id="{4BE0A30D-CDD4-9D41-AB3B-AEB99DA38C4D}">
            <xm:f>ISERROR(SEARCH("Value Missing",D92))</xm:f>
            <xm:f>"Value Missing"</xm:f>
            <x14:dxf>
              <font>
                <color rgb="FF006100"/>
              </font>
              <fill>
                <patternFill>
                  <bgColor rgb="FFC6EFCE"/>
                </patternFill>
              </fill>
            </x14:dxf>
          </x14:cfRule>
          <xm:sqref>D92:D99</xm:sqref>
        </x14:conditionalFormatting>
        <x14:conditionalFormatting xmlns:xm="http://schemas.microsoft.com/office/excel/2006/main">
          <x14:cfRule type="containsText" priority="3621" operator="containsText" id="{24381145-F677-A34F-B2E9-890382F6139C}">
            <xm:f>NOT(ISERROR(SEARCH("Value Missing",D96)))</xm:f>
            <xm:f>"Value Missing"</xm:f>
            <x14:dxf>
              <font>
                <color rgb="FF9C0006"/>
              </font>
              <fill>
                <patternFill>
                  <bgColor rgb="FFFFC7CE"/>
                </patternFill>
              </fill>
            </x14:dxf>
          </x14:cfRule>
          <x14:cfRule type="notContainsText" priority="3620" operator="notContains" id="{AE0ADD9F-25F9-8943-8FAD-2B86EDCFA359}">
            <xm:f>ISERROR(SEARCH("Value Missing",D96))</xm:f>
            <xm:f>"Value Missing"</xm:f>
            <x14:dxf>
              <font>
                <color rgb="FF006100"/>
              </font>
              <fill>
                <patternFill>
                  <bgColor rgb="FFC6EFCE"/>
                </patternFill>
              </fill>
            </x14:dxf>
          </x14:cfRule>
          <xm:sqref>D96:D102</xm:sqref>
        </x14:conditionalFormatting>
        <x14:conditionalFormatting xmlns:xm="http://schemas.microsoft.com/office/excel/2006/main">
          <x14:cfRule type="containsText" priority="3609" operator="containsText" id="{D38144C8-EC1E-534D-A0B1-D2FA79BB0221}">
            <xm:f>NOT(ISERROR(SEARCH("Value Missing",D102)))</xm:f>
            <xm:f>"Value Missing"</xm:f>
            <x14:dxf>
              <font>
                <color rgb="FF9C0006"/>
              </font>
              <fill>
                <patternFill>
                  <bgColor rgb="FFFFC7CE"/>
                </patternFill>
              </fill>
            </x14:dxf>
          </x14:cfRule>
          <x14:cfRule type="notContainsText" priority="3608" operator="notContains" id="{5E96F948-5501-E942-92D7-14122AD68722}">
            <xm:f>ISERROR(SEARCH("Value Missing",D102))</xm:f>
            <xm:f>"Value Missing"</xm:f>
            <x14:dxf>
              <font>
                <color rgb="FF006100"/>
              </font>
              <fill>
                <patternFill>
                  <bgColor rgb="FFC6EFCE"/>
                </patternFill>
              </fill>
            </x14:dxf>
          </x14:cfRule>
          <xm:sqref>D102:D103</xm:sqref>
        </x14:conditionalFormatting>
        <x14:conditionalFormatting xmlns:xm="http://schemas.microsoft.com/office/excel/2006/main">
          <x14:cfRule type="containsText" priority="3617" operator="containsText" id="{8A5E26A9-3F05-8444-AC08-4BFA30981244}">
            <xm:f>NOT(ISERROR(SEARCH("Value Missing",D104)))</xm:f>
            <xm:f>"Value Missing"</xm:f>
            <x14:dxf>
              <font>
                <color rgb="FF9C0006"/>
              </font>
              <fill>
                <patternFill>
                  <bgColor rgb="FFFFC7CE"/>
                </patternFill>
              </fill>
            </x14:dxf>
          </x14:cfRule>
          <x14:cfRule type="notContainsText" priority="3616" operator="notContains" id="{6EC84115-4003-C046-9B72-ECB10E0C8FCA}">
            <xm:f>ISERROR(SEARCH("Value Missing",D104))</xm:f>
            <xm:f>"Value Missing"</xm:f>
            <x14:dxf>
              <font>
                <color rgb="FF006100"/>
              </font>
              <fill>
                <patternFill>
                  <bgColor rgb="FFC6EFCE"/>
                </patternFill>
              </fill>
            </x14:dxf>
          </x14:cfRule>
          <xm:sqref>D104</xm:sqref>
        </x14:conditionalFormatting>
        <x14:conditionalFormatting xmlns:xm="http://schemas.microsoft.com/office/excel/2006/main">
          <x14:cfRule type="notContainsText" priority="3612" operator="notContains" id="{6F4F89C4-0339-4646-B524-EF6810E6204C}">
            <xm:f>ISERROR(SEARCH("Value Missing",D104))</xm:f>
            <xm:f>"Value Missing"</xm:f>
            <x14:dxf>
              <font>
                <color rgb="FF006100"/>
              </font>
              <fill>
                <patternFill>
                  <bgColor rgb="FFC6EFCE"/>
                </patternFill>
              </fill>
            </x14:dxf>
          </x14:cfRule>
          <x14:cfRule type="containsText" priority="3613" operator="containsText" id="{195C954A-9D3F-9F4A-90F2-8AD01DAEE3AE}">
            <xm:f>NOT(ISERROR(SEARCH("Value Missing",D104)))</xm:f>
            <xm:f>"Value Missing"</xm:f>
            <x14:dxf>
              <font>
                <color rgb="FF9C0006"/>
              </font>
              <fill>
                <patternFill>
                  <bgColor rgb="FFFFC7CE"/>
                </patternFill>
              </fill>
            </x14:dxf>
          </x14:cfRule>
          <xm:sqref>D104:D105</xm:sqref>
        </x14:conditionalFormatting>
        <x14:conditionalFormatting xmlns:xm="http://schemas.microsoft.com/office/excel/2006/main">
          <x14:cfRule type="containsText" priority="3611" operator="containsText" id="{5FC33921-1B29-C540-99CF-6D0498644096}">
            <xm:f>NOT(ISERROR(SEARCH("Value Missing",D105)))</xm:f>
            <xm:f>"Value Missing"</xm:f>
            <x14:dxf>
              <font>
                <color rgb="FF9C0006"/>
              </font>
              <fill>
                <patternFill>
                  <bgColor rgb="FFFFC7CE"/>
                </patternFill>
              </fill>
            </x14:dxf>
          </x14:cfRule>
          <x14:cfRule type="notContainsText" priority="3610" operator="notContains" id="{6FC7D572-EA93-5D4C-86F2-6F622C6963B2}">
            <xm:f>ISERROR(SEARCH("Value Missing",D105))</xm:f>
            <xm:f>"Value Missing"</xm:f>
            <x14:dxf>
              <font>
                <color rgb="FF006100"/>
              </font>
              <fill>
                <patternFill>
                  <bgColor rgb="FFC6EFCE"/>
                </patternFill>
              </fill>
            </x14:dxf>
          </x14:cfRule>
          <xm:sqref>D105</xm:sqref>
        </x14:conditionalFormatting>
        <x14:conditionalFormatting xmlns:xm="http://schemas.microsoft.com/office/excel/2006/main">
          <x14:cfRule type="notContainsText" priority="3604" operator="notContains" id="{891B9D45-65F1-544C-8DB8-EFD1D91D9BAC}">
            <xm:f>ISERROR(SEARCH("Value Missing",D109))</xm:f>
            <xm:f>"Value Missing"</xm:f>
            <x14:dxf>
              <font>
                <color rgb="FF006100"/>
              </font>
              <fill>
                <patternFill>
                  <bgColor rgb="FFC6EFCE"/>
                </patternFill>
              </fill>
            </x14:dxf>
          </x14:cfRule>
          <x14:cfRule type="containsText" priority="3605" operator="containsText" id="{78D0A6B9-84CE-DC40-A96C-BED4F6EABC23}">
            <xm:f>NOT(ISERROR(SEARCH("Value Missing",D109)))</xm:f>
            <xm:f>"Value Missing"</xm:f>
            <x14:dxf>
              <font>
                <color rgb="FF9C0006"/>
              </font>
              <fill>
                <patternFill>
                  <bgColor rgb="FFFFC7CE"/>
                </patternFill>
              </fill>
            </x14:dxf>
          </x14:cfRule>
          <xm:sqref>D109:D111</xm:sqref>
        </x14:conditionalFormatting>
        <x14:conditionalFormatting xmlns:xm="http://schemas.microsoft.com/office/excel/2006/main">
          <x14:cfRule type="notContainsText" priority="3600" operator="notContains" id="{5BB8F2D6-078D-934F-919B-501236708FDB}">
            <xm:f>ISERROR(SEARCH("Value Missing",D115))</xm:f>
            <xm:f>"Value Missing"</xm:f>
            <x14:dxf>
              <font>
                <color rgb="FF006100"/>
              </font>
              <fill>
                <patternFill>
                  <bgColor rgb="FFC6EFCE"/>
                </patternFill>
              </fill>
            </x14:dxf>
          </x14:cfRule>
          <x14:cfRule type="containsText" priority="3601" operator="containsText" id="{DC5DB969-5ADF-3449-9DCE-1116527AE79E}">
            <xm:f>NOT(ISERROR(SEARCH("Value Missing",D115)))</xm:f>
            <xm:f>"Value Missing"</xm:f>
            <x14:dxf>
              <font>
                <color rgb="FF9C0006"/>
              </font>
              <fill>
                <patternFill>
                  <bgColor rgb="FFFFC7CE"/>
                </patternFill>
              </fill>
            </x14:dxf>
          </x14:cfRule>
          <xm:sqref>D115:D119</xm:sqref>
        </x14:conditionalFormatting>
        <x14:conditionalFormatting xmlns:xm="http://schemas.microsoft.com/office/excel/2006/main">
          <x14:cfRule type="notContainsText" priority="3594" operator="notContains" id="{E2A2DB45-DDEA-F847-80CE-EB6CED4531C3}">
            <xm:f>ISERROR(SEARCH("Value Missing",D119))</xm:f>
            <xm:f>"Value Missing"</xm:f>
            <x14:dxf>
              <font>
                <color rgb="FF006100"/>
              </font>
              <fill>
                <patternFill>
                  <bgColor rgb="FFC6EFCE"/>
                </patternFill>
              </fill>
            </x14:dxf>
          </x14:cfRule>
          <x14:cfRule type="containsText" priority="3595" operator="containsText" id="{F9C01284-7B1E-3B46-833A-CEA8B644349C}">
            <xm:f>NOT(ISERROR(SEARCH("Value Missing",D119)))</xm:f>
            <xm:f>"Value Missing"</xm:f>
            <x14:dxf>
              <font>
                <color rgb="FF9C0006"/>
              </font>
              <fill>
                <patternFill>
                  <bgColor rgb="FFFFC7CE"/>
                </patternFill>
              </fill>
            </x14:dxf>
          </x14:cfRule>
          <xm:sqref>D119:D124</xm:sqref>
        </x14:conditionalFormatting>
        <x14:conditionalFormatting xmlns:xm="http://schemas.microsoft.com/office/excel/2006/main">
          <x14:cfRule type="notContainsText" priority="3590" operator="notContains" id="{853F9FCA-667F-4244-9C77-57DCA35BF749}">
            <xm:f>ISERROR(SEARCH("Value Missing",D128))</xm:f>
            <xm:f>"Value Missing"</xm:f>
            <x14:dxf>
              <font>
                <color rgb="FF006100"/>
              </font>
              <fill>
                <patternFill>
                  <bgColor rgb="FFC6EFCE"/>
                </patternFill>
              </fill>
            </x14:dxf>
          </x14:cfRule>
          <x14:cfRule type="containsText" priority="3591" operator="containsText" id="{ADACB6E8-E766-2A4F-8567-4B4B84484D31}">
            <xm:f>NOT(ISERROR(SEARCH("Value Missing",D128)))</xm:f>
            <xm:f>"Value Missing"</xm:f>
            <x14:dxf>
              <font>
                <color rgb="FF9C0006"/>
              </font>
              <fill>
                <patternFill>
                  <bgColor rgb="FFFFC7CE"/>
                </patternFill>
              </fill>
            </x14:dxf>
          </x14:cfRule>
          <xm:sqref>D128:D132</xm:sqref>
        </x14:conditionalFormatting>
        <x14:conditionalFormatting xmlns:xm="http://schemas.microsoft.com/office/excel/2006/main">
          <x14:cfRule type="notContainsText" priority="3574" operator="notContains" id="{F3F1DF3F-86AA-9C4E-8AC7-45FF0D95F703}">
            <xm:f>ISERROR(SEARCH("Value Missing",D136))</xm:f>
            <xm:f>"Value Missing"</xm:f>
            <x14:dxf>
              <font>
                <color rgb="FF006100"/>
              </font>
              <fill>
                <patternFill>
                  <bgColor rgb="FFC6EFCE"/>
                </patternFill>
              </fill>
            </x14:dxf>
          </x14:cfRule>
          <x14:cfRule type="containsText" priority="3575" operator="containsText" id="{7E968F63-0A97-5F4B-B3F8-C0740D2B5019}">
            <xm:f>NOT(ISERROR(SEARCH("Value Missing",D136)))</xm:f>
            <xm:f>"Value Missing"</xm:f>
            <x14:dxf>
              <font>
                <color rgb="FF9C0006"/>
              </font>
              <fill>
                <patternFill>
                  <bgColor rgb="FFFFC7CE"/>
                </patternFill>
              </fill>
            </x14:dxf>
          </x14:cfRule>
          <xm:sqref>D136:D147</xm:sqref>
        </x14:conditionalFormatting>
        <x14:conditionalFormatting xmlns:xm="http://schemas.microsoft.com/office/excel/2006/main">
          <x14:cfRule type="containsText" priority="3379" operator="containsText" id="{17EB731A-FA64-3542-9594-6FE1948E12B8}">
            <xm:f>NOT(ISERROR(SEARCH("Value Missing",D151)))</xm:f>
            <xm:f>"Value Missing"</xm:f>
            <x14:dxf>
              <font>
                <color rgb="FF9C0006"/>
              </font>
              <fill>
                <patternFill>
                  <bgColor rgb="FFFFC7CE"/>
                </patternFill>
              </fill>
            </x14:dxf>
          </x14:cfRule>
          <x14:cfRule type="notContainsText" priority="3378" operator="notContains" id="{4F1038E4-437F-9D4E-ABE6-CF22874D2D01}">
            <xm:f>ISERROR(SEARCH("Value Missing",D151))</xm:f>
            <xm:f>"Value Missing"</xm:f>
            <x14:dxf>
              <font>
                <color rgb="FF006100"/>
              </font>
              <fill>
                <patternFill>
                  <bgColor rgb="FFC6EFCE"/>
                </patternFill>
              </fill>
            </x14:dxf>
          </x14:cfRule>
          <xm:sqref>D151:D153</xm:sqref>
        </x14:conditionalFormatting>
        <x14:conditionalFormatting xmlns:xm="http://schemas.microsoft.com/office/excel/2006/main">
          <x14:cfRule type="notContainsText" priority="3374" operator="notContains" id="{27109A3A-83C5-0E4F-BCC3-8102E7B40695}">
            <xm:f>ISERROR(SEARCH("Value Missing",D157))</xm:f>
            <xm:f>"Value Missing"</xm:f>
            <x14:dxf>
              <font>
                <color rgb="FF006100"/>
              </font>
              <fill>
                <patternFill>
                  <bgColor rgb="FFC6EFCE"/>
                </patternFill>
              </fill>
            </x14:dxf>
          </x14:cfRule>
          <x14:cfRule type="containsText" priority="3375" operator="containsText" id="{4A9CBA15-A57E-EA41-919D-EE4D16645119}">
            <xm:f>NOT(ISERROR(SEARCH("Value Missing",D157)))</xm:f>
            <xm:f>"Value Missing"</xm:f>
            <x14:dxf>
              <font>
                <color rgb="FF9C0006"/>
              </font>
              <fill>
                <patternFill>
                  <bgColor rgb="FFFFC7CE"/>
                </patternFill>
              </fill>
            </x14:dxf>
          </x14:cfRule>
          <xm:sqref>D157:D161</xm:sqref>
        </x14:conditionalFormatting>
        <x14:conditionalFormatting xmlns:xm="http://schemas.microsoft.com/office/excel/2006/main">
          <x14:cfRule type="containsText" priority="3367" operator="containsText" id="{8ABE88E5-0BD8-F24D-A93A-81C313235342}">
            <xm:f>NOT(ISERROR(SEARCH("Value Missing",D161)))</xm:f>
            <xm:f>"Value Missing"</xm:f>
            <x14:dxf>
              <font>
                <color rgb="FF9C0006"/>
              </font>
              <fill>
                <patternFill>
                  <bgColor rgb="FFFFC7CE"/>
                </patternFill>
              </fill>
            </x14:dxf>
          </x14:cfRule>
          <x14:cfRule type="notContainsText" priority="3366" operator="notContains" id="{3E923F36-3C66-474D-A081-BDE0264DE0A0}">
            <xm:f>ISERROR(SEARCH("Value Missing",D161))</xm:f>
            <xm:f>"Value Missing"</xm:f>
            <x14:dxf>
              <font>
                <color rgb="FF006100"/>
              </font>
              <fill>
                <patternFill>
                  <bgColor rgb="FFC6EFCE"/>
                </patternFill>
              </fill>
            </x14:dxf>
          </x14:cfRule>
          <xm:sqref>D161:D164</xm:sqref>
        </x14:conditionalFormatting>
        <x14:conditionalFormatting xmlns:xm="http://schemas.microsoft.com/office/excel/2006/main">
          <x14:cfRule type="containsText" priority="3365" operator="containsText" id="{4682520A-2EC1-0B48-AE3D-0D89F7E8C788}">
            <xm:f>NOT(ISERROR(SEARCH("Value Missing",D163)))</xm:f>
            <xm:f>"Value Missing"</xm:f>
            <x14:dxf>
              <font>
                <color rgb="FF9C0006"/>
              </font>
              <fill>
                <patternFill>
                  <bgColor rgb="FFFFC7CE"/>
                </patternFill>
              </fill>
            </x14:dxf>
          </x14:cfRule>
          <x14:cfRule type="notContainsText" priority="3364" operator="notContains" id="{9837E464-36A1-1F43-83D2-F778B654BC28}">
            <xm:f>ISERROR(SEARCH("Value Missing",D163))</xm:f>
            <xm:f>"Value Missing"</xm:f>
            <x14:dxf>
              <font>
                <color rgb="FF006100"/>
              </font>
              <fill>
                <patternFill>
                  <bgColor rgb="FFC6EFCE"/>
                </patternFill>
              </fill>
            </x14:dxf>
          </x14:cfRule>
          <xm:sqref>D163</xm:sqref>
        </x14:conditionalFormatting>
        <x14:conditionalFormatting xmlns:xm="http://schemas.microsoft.com/office/excel/2006/main">
          <x14:cfRule type="notContainsText" priority="3360" operator="notContains" id="{184CAF15-27C8-F243-96D7-092F1CD622AA}">
            <xm:f>ISERROR(SEARCH("Value Missing",D165))</xm:f>
            <xm:f>"Value Missing"</xm:f>
            <x14:dxf>
              <font>
                <color rgb="FF006100"/>
              </font>
              <fill>
                <patternFill>
                  <bgColor rgb="FFC6EFCE"/>
                </patternFill>
              </fill>
            </x14:dxf>
          </x14:cfRule>
          <x14:cfRule type="containsText" priority="3361" operator="containsText" id="{DA8DEE9C-658E-B741-8B02-EB7946A2FBE8}">
            <xm:f>NOT(ISERROR(SEARCH("Value Missing",D165)))</xm:f>
            <xm:f>"Value Missing"</xm:f>
            <x14:dxf>
              <font>
                <color rgb="FF9C0006"/>
              </font>
              <fill>
                <patternFill>
                  <bgColor rgb="FFFFC7CE"/>
                </patternFill>
              </fill>
            </x14:dxf>
          </x14:cfRule>
          <xm:sqref>D165</xm:sqref>
        </x14:conditionalFormatting>
        <x14:conditionalFormatting xmlns:xm="http://schemas.microsoft.com/office/excel/2006/main">
          <x14:cfRule type="notContainsText" priority="3362" operator="notContains" id="{34D5B3E1-4DD5-AA43-922A-64C48C9A71FF}">
            <xm:f>ISERROR(SEARCH("Value Missing",D165))</xm:f>
            <xm:f>"Value Missing"</xm:f>
            <x14:dxf>
              <font>
                <color rgb="FF006100"/>
              </font>
              <fill>
                <patternFill>
                  <bgColor rgb="FFC6EFCE"/>
                </patternFill>
              </fill>
            </x14:dxf>
          </x14:cfRule>
          <x14:cfRule type="containsText" priority="3363" operator="containsText" id="{368FC801-FA9D-A14B-AB88-E5D8C44883C4}">
            <xm:f>NOT(ISERROR(SEARCH("Value Missing",D165)))</xm:f>
            <xm:f>"Value Missing"</xm:f>
            <x14:dxf>
              <font>
                <color rgb="FF9C0006"/>
              </font>
              <fill>
                <patternFill>
                  <bgColor rgb="FFFFC7CE"/>
                </patternFill>
              </fill>
            </x14:dxf>
          </x14:cfRule>
          <xm:sqref>D165:D166</xm:sqref>
        </x14:conditionalFormatting>
        <x14:conditionalFormatting xmlns:xm="http://schemas.microsoft.com/office/excel/2006/main">
          <x14:cfRule type="containsText" priority="3357" operator="containsText" id="{59A3968E-59CA-BD4E-8A61-3255AC819FAD}">
            <xm:f>NOT(ISERROR(SEARCH("Value Missing",D170)))</xm:f>
            <xm:f>"Value Missing"</xm:f>
            <x14:dxf>
              <font>
                <color rgb="FF9C0006"/>
              </font>
              <fill>
                <patternFill>
                  <bgColor rgb="FFFFC7CE"/>
                </patternFill>
              </fill>
            </x14:dxf>
          </x14:cfRule>
          <x14:cfRule type="notContainsText" priority="3356" operator="notContains" id="{4E9DBF0F-E54E-4943-A515-E535A3466B84}">
            <xm:f>ISERROR(SEARCH("Value Missing",D170))</xm:f>
            <xm:f>"Value Missing"</xm:f>
            <x14:dxf>
              <font>
                <color rgb="FF006100"/>
              </font>
              <fill>
                <patternFill>
                  <bgColor rgb="FFC6EFCE"/>
                </patternFill>
              </fill>
            </x14:dxf>
          </x14:cfRule>
          <xm:sqref>D170:D173</xm:sqref>
        </x14:conditionalFormatting>
        <x14:conditionalFormatting xmlns:xm="http://schemas.microsoft.com/office/excel/2006/main">
          <x14:cfRule type="notContainsText" priority="3346" operator="notContains" id="{EF46B9BC-07A6-BC43-BF7E-86EF941A4552}">
            <xm:f>ISERROR(SEARCH("Value Missing",D177))</xm:f>
            <xm:f>"Value Missing"</xm:f>
            <x14:dxf>
              <font>
                <color rgb="FF006100"/>
              </font>
              <fill>
                <patternFill>
                  <bgColor rgb="FFC6EFCE"/>
                </patternFill>
              </fill>
            </x14:dxf>
          </x14:cfRule>
          <x14:cfRule type="containsText" priority="3347" operator="containsText" id="{AF276541-B219-524F-999B-AFF34B019A90}">
            <xm:f>NOT(ISERROR(SEARCH("Value Missing",D177)))</xm:f>
            <xm:f>"Value Missing"</xm:f>
            <x14:dxf>
              <font>
                <color rgb="FF9C0006"/>
              </font>
              <fill>
                <patternFill>
                  <bgColor rgb="FFFFC7CE"/>
                </patternFill>
              </fill>
            </x14:dxf>
          </x14:cfRule>
          <xm:sqref>D177:D187</xm:sqref>
        </x14:conditionalFormatting>
        <x14:conditionalFormatting xmlns:xm="http://schemas.microsoft.com/office/excel/2006/main">
          <x14:cfRule type="containsText" priority="1221" operator="containsText" id="{1C33DB5D-F970-9344-809F-046799B959DD}">
            <xm:f>NOT(ISERROR(SEARCH("Value Missing",D191)))</xm:f>
            <xm:f>"Value Missing"</xm:f>
            <x14:dxf>
              <font>
                <color rgb="FF9C0006"/>
              </font>
              <fill>
                <patternFill>
                  <bgColor rgb="FFFFC7CE"/>
                </patternFill>
              </fill>
            </x14:dxf>
          </x14:cfRule>
          <x14:cfRule type="notContainsText" priority="1220" operator="notContains" id="{88694718-6F0F-6245-BDD1-E7EA00B880D7}">
            <xm:f>ISERROR(SEARCH("Value Missing",D191))</xm:f>
            <xm:f>"Value Missing"</xm:f>
            <x14:dxf>
              <font>
                <color rgb="FF006100"/>
              </font>
              <fill>
                <patternFill>
                  <bgColor rgb="FFC6EFCE"/>
                </patternFill>
              </fill>
            </x14:dxf>
          </x14:cfRule>
          <xm:sqref>D191</xm:sqref>
        </x14:conditionalFormatting>
        <x14:conditionalFormatting xmlns:xm="http://schemas.microsoft.com/office/excel/2006/main">
          <x14:cfRule type="containsText" priority="1225" operator="containsText" id="{8C078971-3DD4-EB42-B4E5-E00A6D191745}">
            <xm:f>NOT(ISERROR(SEARCH("Value Missing",D193)))</xm:f>
            <xm:f>"Value Missing"</xm:f>
            <x14:dxf>
              <font>
                <color rgb="FF9C0006"/>
              </font>
              <fill>
                <patternFill>
                  <bgColor rgb="FFFFC7CE"/>
                </patternFill>
              </fill>
            </x14:dxf>
          </x14:cfRule>
          <x14:cfRule type="notContainsText" priority="1224" operator="notContains" id="{4FEDA496-2CAD-C248-8484-3A65645373C8}">
            <xm:f>ISERROR(SEARCH("Value Missing",D193))</xm:f>
            <xm:f>"Value Missing"</xm:f>
            <x14:dxf>
              <font>
                <color rgb="FF006100"/>
              </font>
              <fill>
                <patternFill>
                  <bgColor rgb="FFC6EFCE"/>
                </patternFill>
              </fill>
            </x14:dxf>
          </x14:cfRule>
          <xm:sqref>D193</xm:sqref>
        </x14:conditionalFormatting>
        <x14:conditionalFormatting xmlns:xm="http://schemas.microsoft.com/office/excel/2006/main">
          <x14:cfRule type="notContainsText" priority="766" operator="notContains" id="{E56E2CA0-8C65-5A49-9A12-D493BF20E4C6}">
            <xm:f>ISERROR(SEARCH("Value Missing",D195))</xm:f>
            <xm:f>"Value Missing"</xm:f>
            <x14:dxf>
              <font>
                <color rgb="FF006100"/>
              </font>
              <fill>
                <patternFill>
                  <bgColor rgb="FFC6EFCE"/>
                </patternFill>
              </fill>
            </x14:dxf>
          </x14:cfRule>
          <x14:cfRule type="containsText" priority="1113" operator="containsText" id="{C915CA6F-AE8D-3242-8528-FBFC6CB117B5}">
            <xm:f>NOT(ISERROR(SEARCH("Value Missing",D195)))</xm:f>
            <xm:f>"Value Missing"</xm:f>
            <x14:dxf>
              <font>
                <color rgb="FF9C0006"/>
              </font>
              <fill>
                <patternFill>
                  <bgColor rgb="FFFFC7CE"/>
                </patternFill>
              </fill>
            </x14:dxf>
          </x14:cfRule>
          <xm:sqref>D195</xm:sqref>
        </x14:conditionalFormatting>
        <x14:conditionalFormatting xmlns:xm="http://schemas.microsoft.com/office/excel/2006/main">
          <x14:cfRule type="notContainsText" priority="1200" operator="notContains" id="{A4782103-BF9F-2E45-AEF5-8B6CBAD39548}">
            <xm:f>ISERROR(SEARCH("Value Missing",D199))</xm:f>
            <xm:f>"Value Missing"</xm:f>
            <x14:dxf>
              <font>
                <color rgb="FF006100"/>
              </font>
              <fill>
                <patternFill>
                  <bgColor rgb="FFC6EFCE"/>
                </patternFill>
              </fill>
            </x14:dxf>
          </x14:cfRule>
          <x14:cfRule type="containsText" priority="1201" operator="containsText" id="{55C7C4CD-5D2D-4B47-9EB5-654ADB39DBD7}">
            <xm:f>NOT(ISERROR(SEARCH("Value Missing",D199)))</xm:f>
            <xm:f>"Value Missing"</xm:f>
            <x14:dxf>
              <font>
                <color rgb="FF9C0006"/>
              </font>
              <fill>
                <patternFill>
                  <bgColor rgb="FFFFC7CE"/>
                </patternFill>
              </fill>
            </x14:dxf>
          </x14:cfRule>
          <xm:sqref>D199:D201</xm:sqref>
        </x14:conditionalFormatting>
        <x14:conditionalFormatting xmlns:xm="http://schemas.microsoft.com/office/excel/2006/main">
          <x14:cfRule type="containsText" priority="1183" operator="containsText" id="{85FC6928-484A-464E-B0D5-2FC85E79FE38}">
            <xm:f>NOT(ISERROR(SEARCH("Value Missing",D205)))</xm:f>
            <xm:f>"Value Missing"</xm:f>
            <x14:dxf>
              <font>
                <color rgb="FF9C0006"/>
              </font>
              <fill>
                <patternFill>
                  <bgColor rgb="FFFFC7CE"/>
                </patternFill>
              </fill>
            </x14:dxf>
          </x14:cfRule>
          <x14:cfRule type="notContainsText" priority="1182" operator="notContains" id="{1CFB8F83-DDA2-C445-822F-6191B3CD8A4A}">
            <xm:f>ISERROR(SEARCH("Value Missing",D205))</xm:f>
            <xm:f>"Value Missing"</xm:f>
            <x14:dxf>
              <font>
                <color rgb="FF006100"/>
              </font>
              <fill>
                <patternFill>
                  <bgColor rgb="FFC6EFCE"/>
                </patternFill>
              </fill>
            </x14:dxf>
          </x14:cfRule>
          <xm:sqref>D205:D208</xm:sqref>
        </x14:conditionalFormatting>
        <x14:conditionalFormatting xmlns:xm="http://schemas.microsoft.com/office/excel/2006/main">
          <x14:cfRule type="containsText" priority="1191" operator="containsText" id="{8BFAC729-AD71-7145-A55D-4BAFB6677725}">
            <xm:f>NOT(ISERROR(SEARCH("Value Missing",D207)))</xm:f>
            <xm:f>"Value Missing"</xm:f>
            <x14:dxf>
              <font>
                <color rgb="FF9C0006"/>
              </font>
              <fill>
                <patternFill>
                  <bgColor rgb="FFFFC7CE"/>
                </patternFill>
              </fill>
            </x14:dxf>
          </x14:cfRule>
          <x14:cfRule type="notContainsText" priority="1190" operator="notContains" id="{8966A2C4-5950-624E-85B8-B6D7C420ACB9}">
            <xm:f>ISERROR(SEARCH("Value Missing",D207))</xm:f>
            <xm:f>"Value Missing"</xm:f>
            <x14:dxf>
              <font>
                <color rgb="FF006100"/>
              </font>
              <fill>
                <patternFill>
                  <bgColor rgb="FFC6EFCE"/>
                </patternFill>
              </fill>
            </x14:dxf>
          </x14:cfRule>
          <x14:cfRule type="notContainsText" priority="1196" operator="notContains" id="{BA5DD06A-E3F5-7F40-A55B-BB364F5D978C}">
            <xm:f>ISERROR(SEARCH("Value Missing",D207))</xm:f>
            <xm:f>"Value Missing"</xm:f>
            <x14:dxf>
              <font>
                <color rgb="FF006100"/>
              </font>
              <fill>
                <patternFill>
                  <bgColor rgb="FFC6EFCE"/>
                </patternFill>
              </fill>
            </x14:dxf>
          </x14:cfRule>
          <x14:cfRule type="containsText" priority="1197" operator="containsText" id="{F696C10C-F5EA-AB42-A08D-6B986E39617B}">
            <xm:f>NOT(ISERROR(SEARCH("Value Missing",D207)))</xm:f>
            <xm:f>"Value Missing"</xm:f>
            <x14:dxf>
              <font>
                <color rgb="FF9C0006"/>
              </font>
              <fill>
                <patternFill>
                  <bgColor rgb="FFFFC7CE"/>
                </patternFill>
              </fill>
            </x14:dxf>
          </x14:cfRule>
          <xm:sqref>D207</xm:sqref>
        </x14:conditionalFormatting>
        <x14:conditionalFormatting xmlns:xm="http://schemas.microsoft.com/office/excel/2006/main">
          <x14:cfRule type="containsText" priority="3339" operator="containsText" id="{37BD9E7A-2AD8-734E-9D17-2D85AE2DA50A}">
            <xm:f>NOT(ISERROR(SEARCH("Value Missing",D209)))</xm:f>
            <xm:f>"Value Missing"</xm:f>
            <x14:dxf>
              <font>
                <color rgb="FF9C0006"/>
              </font>
              <fill>
                <patternFill>
                  <bgColor rgb="FFFFC7CE"/>
                </patternFill>
              </fill>
            </x14:dxf>
          </x14:cfRule>
          <x14:cfRule type="notContainsText" priority="3338" operator="notContains" id="{F91E630C-6C8A-A94B-9A0B-C246F980F530}">
            <xm:f>ISERROR(SEARCH("Value Missing",D209))</xm:f>
            <xm:f>"Value Missing"</xm:f>
            <x14:dxf>
              <font>
                <color rgb="FF006100"/>
              </font>
              <fill>
                <patternFill>
                  <bgColor rgb="FFC6EFCE"/>
                </patternFill>
              </fill>
            </x14:dxf>
          </x14:cfRule>
          <xm:sqref>D209:D211</xm:sqref>
        </x14:conditionalFormatting>
        <x14:conditionalFormatting xmlns:xm="http://schemas.microsoft.com/office/excel/2006/main">
          <x14:cfRule type="notContainsText" priority="1186" operator="notContains" id="{6B97F17F-5F38-AD49-9CCB-2920470AE3D2}">
            <xm:f>ISERROR(SEARCH("Value Missing",D210))</xm:f>
            <xm:f>"Value Missing"</xm:f>
            <x14:dxf>
              <font>
                <color rgb="FF006100"/>
              </font>
              <fill>
                <patternFill>
                  <bgColor rgb="FFC6EFCE"/>
                </patternFill>
              </fill>
            </x14:dxf>
          </x14:cfRule>
          <x14:cfRule type="containsText" priority="1187" operator="containsText" id="{E7188C95-7E5E-9145-861F-3AD451D9474C}">
            <xm:f>NOT(ISERROR(SEARCH("Value Missing",D210)))</xm:f>
            <xm:f>"Value Missing"</xm:f>
            <x14:dxf>
              <font>
                <color rgb="FF9C0006"/>
              </font>
              <fill>
                <patternFill>
                  <bgColor rgb="FFFFC7CE"/>
                </patternFill>
              </fill>
            </x14:dxf>
          </x14:cfRule>
          <xm:sqref>D210:D211</xm:sqref>
        </x14:conditionalFormatting>
        <x14:conditionalFormatting xmlns:xm="http://schemas.microsoft.com/office/excel/2006/main">
          <x14:cfRule type="containsText" priority="1195" operator="containsText" id="{56A3FD92-13DD-0144-B356-E4D55E2FC07E}">
            <xm:f>NOT(ISERROR(SEARCH("Value Missing",D211)))</xm:f>
            <xm:f>"Value Missing"</xm:f>
            <x14:dxf>
              <font>
                <color rgb="FF9C0006"/>
              </font>
              <fill>
                <patternFill>
                  <bgColor rgb="FFFFC7CE"/>
                </patternFill>
              </fill>
            </x14:dxf>
          </x14:cfRule>
          <x14:cfRule type="notContainsText" priority="1194" operator="notContains" id="{55018127-EB3B-8A49-B4F1-9F636416D109}">
            <xm:f>ISERROR(SEARCH("Value Missing",D211))</xm:f>
            <xm:f>"Value Missing"</xm:f>
            <x14:dxf>
              <font>
                <color rgb="FF006100"/>
              </font>
              <fill>
                <patternFill>
                  <bgColor rgb="FFC6EFCE"/>
                </patternFill>
              </fill>
            </x14:dxf>
          </x14:cfRule>
          <xm:sqref>D211</xm:sqref>
        </x14:conditionalFormatting>
        <x14:conditionalFormatting xmlns:xm="http://schemas.microsoft.com/office/excel/2006/main">
          <x14:cfRule type="containsText" priority="3333" operator="containsText" id="{2DC81962-07AE-4641-8042-F46494CDF67B}">
            <xm:f>NOT(ISERROR(SEARCH("Value Missing",D215)))</xm:f>
            <xm:f>"Value Missing"</xm:f>
            <x14:dxf>
              <font>
                <color rgb="FF9C0006"/>
              </font>
              <fill>
                <patternFill>
                  <bgColor rgb="FFFFC7CE"/>
                </patternFill>
              </fill>
            </x14:dxf>
          </x14:cfRule>
          <x14:cfRule type="notContainsText" priority="3332" operator="notContains" id="{DBA8A9C2-0CE3-CB4B-AC75-F51E5E7AE273}">
            <xm:f>ISERROR(SEARCH("Value Missing",D215))</xm:f>
            <xm:f>"Value Missing"</xm:f>
            <x14:dxf>
              <font>
                <color rgb="FF006100"/>
              </font>
              <fill>
                <patternFill>
                  <bgColor rgb="FFC6EFCE"/>
                </patternFill>
              </fill>
            </x14:dxf>
          </x14:cfRule>
          <xm:sqref>D215:D218</xm:sqref>
        </x14:conditionalFormatting>
        <x14:conditionalFormatting xmlns:xm="http://schemas.microsoft.com/office/excel/2006/main">
          <x14:cfRule type="notContainsText" priority="3324" operator="notContains" id="{DED25315-1ED7-CF4E-8E82-C5612EAD3216}">
            <xm:f>ISERROR(SEARCH("Value Missing",D222))</xm:f>
            <xm:f>"Value Missing"</xm:f>
            <x14:dxf>
              <font>
                <color rgb="FF006100"/>
              </font>
              <fill>
                <patternFill>
                  <bgColor rgb="FFC6EFCE"/>
                </patternFill>
              </fill>
            </x14:dxf>
          </x14:cfRule>
          <x14:cfRule type="containsText" priority="3325" operator="containsText" id="{C004360A-BA62-AB46-9E48-6421CC97F73B}">
            <xm:f>NOT(ISERROR(SEARCH("Value Missing",D222)))</xm:f>
            <xm:f>"Value Missing"</xm:f>
            <x14:dxf>
              <font>
                <color rgb="FF9C0006"/>
              </font>
              <fill>
                <patternFill>
                  <bgColor rgb="FFFFC7CE"/>
                </patternFill>
              </fill>
            </x14:dxf>
          </x14:cfRule>
          <xm:sqref>D222:D226</xm:sqref>
        </x14:conditionalFormatting>
        <x14:conditionalFormatting xmlns:xm="http://schemas.microsoft.com/office/excel/2006/main">
          <x14:cfRule type="notContainsText" priority="3322" operator="notContains" id="{9C6579D6-F67D-4640-A001-FA4E7B0237DB}">
            <xm:f>ISERROR(SEARCH("Value Missing",D230))</xm:f>
            <xm:f>"Value Missing"</xm:f>
            <x14:dxf>
              <font>
                <color rgb="FF006100"/>
              </font>
              <fill>
                <patternFill>
                  <bgColor rgb="FFC6EFCE"/>
                </patternFill>
              </fill>
            </x14:dxf>
          </x14:cfRule>
          <x14:cfRule type="containsText" priority="3323" operator="containsText" id="{CCB7D1BA-B1DB-B94B-812D-9387677ABDC2}">
            <xm:f>NOT(ISERROR(SEARCH("Value Missing",D230)))</xm:f>
            <xm:f>"Value Missing"</xm:f>
            <x14:dxf>
              <font>
                <color rgb="FF9C0006"/>
              </font>
              <fill>
                <patternFill>
                  <bgColor rgb="FFFFC7CE"/>
                </patternFill>
              </fill>
            </x14:dxf>
          </x14:cfRule>
          <xm:sqref>D230:D231</xm:sqref>
        </x14:conditionalFormatting>
        <x14:conditionalFormatting xmlns:xm="http://schemas.microsoft.com/office/excel/2006/main">
          <x14:cfRule type="containsText" priority="2931" operator="containsText" id="{C7E7E855-BC50-F844-935A-664251ECB1FD}">
            <xm:f>NOT(ISERROR(SEARCH("Value Missing",D235)))</xm:f>
            <xm:f>"Value Missing"</xm:f>
            <x14:dxf>
              <font>
                <color rgb="FF9C0006"/>
              </font>
              <fill>
                <patternFill>
                  <bgColor rgb="FFFFC7CE"/>
                </patternFill>
              </fill>
            </x14:dxf>
          </x14:cfRule>
          <x14:cfRule type="notContainsText" priority="2930" operator="notContains" id="{E91539E7-FC58-5A4B-976D-53AAB42CC60C}">
            <xm:f>ISERROR(SEARCH("Value Missing",D235))</xm:f>
            <xm:f>"Value Missing"</xm:f>
            <x14:dxf>
              <font>
                <color rgb="FF006100"/>
              </font>
              <fill>
                <patternFill>
                  <bgColor rgb="FFC6EFCE"/>
                </patternFill>
              </fill>
            </x14:dxf>
          </x14:cfRule>
          <xm:sqref>D235:D239</xm:sqref>
        </x14:conditionalFormatting>
        <x14:conditionalFormatting xmlns:xm="http://schemas.microsoft.com/office/excel/2006/main">
          <x14:cfRule type="notContainsText" priority="3400" operator="notContains" id="{120416A9-07E9-844B-9AD0-68D37AFF90A5}">
            <xm:f>ISERROR(SEARCH("Value Missing",D243))</xm:f>
            <xm:f>"Value Missing"</xm:f>
            <x14:dxf>
              <font>
                <color rgb="FF006100"/>
              </font>
              <fill>
                <patternFill>
                  <bgColor rgb="FFC6EFCE"/>
                </patternFill>
              </fill>
            </x14:dxf>
          </x14:cfRule>
          <x14:cfRule type="containsText" priority="3401" operator="containsText" id="{10458244-9E31-8445-A4A8-7243A586CB62}">
            <xm:f>NOT(ISERROR(SEARCH("Value Missing",D243)))</xm:f>
            <xm:f>"Value Missing"</xm:f>
            <x14:dxf>
              <font>
                <color rgb="FF9C0006"/>
              </font>
              <fill>
                <patternFill>
                  <bgColor rgb="FFFFC7CE"/>
                </patternFill>
              </fill>
            </x14:dxf>
          </x14:cfRule>
          <xm:sqref>D243:D244</xm:sqref>
        </x14:conditionalFormatting>
        <x14:conditionalFormatting xmlns:xm="http://schemas.microsoft.com/office/excel/2006/main">
          <x14:cfRule type="containsText" priority="2929" operator="containsText" id="{4430927E-53BC-2E4F-8F74-3D864B6A9010}">
            <xm:f>NOT(ISERROR(SEARCH("Value Missing",D250)))</xm:f>
            <xm:f>"Value Missing"</xm:f>
            <x14:dxf>
              <font>
                <color rgb="FF9C0006"/>
              </font>
              <fill>
                <patternFill>
                  <bgColor rgb="FFFFC7CE"/>
                </patternFill>
              </fill>
            </x14:dxf>
          </x14:cfRule>
          <x14:cfRule type="notContainsText" priority="2928" operator="notContains" id="{3C01911B-DFCE-F449-B601-DB22733BE208}">
            <xm:f>ISERROR(SEARCH("Value Missing",D250))</xm:f>
            <xm:f>"Value Missing"</xm:f>
            <x14:dxf>
              <font>
                <color rgb="FF006100"/>
              </font>
              <fill>
                <patternFill>
                  <bgColor rgb="FFC6EFCE"/>
                </patternFill>
              </fill>
            </x14:dxf>
          </x14:cfRule>
          <xm:sqref>D250:D251</xm:sqref>
        </x14:conditionalFormatting>
        <x14:conditionalFormatting xmlns:xm="http://schemas.microsoft.com/office/excel/2006/main">
          <x14:cfRule type="notContainsText" priority="2482" operator="notContains" id="{0CF8D0BD-95AA-D04C-B512-E18E0517C086}">
            <xm:f>ISERROR(SEARCH("Value Missing",D255))</xm:f>
            <xm:f>"Value Missing"</xm:f>
            <x14:dxf>
              <font>
                <color rgb="FF006100"/>
              </font>
              <fill>
                <patternFill>
                  <bgColor rgb="FFC6EFCE"/>
                </patternFill>
              </fill>
            </x14:dxf>
          </x14:cfRule>
          <x14:cfRule type="containsText" priority="2483" operator="containsText" id="{EAF006D8-11FB-6D4D-83D4-9D37E1EB55A7}">
            <xm:f>NOT(ISERROR(SEARCH("Value Missing",D255)))</xm:f>
            <xm:f>"Value Missing"</xm:f>
            <x14:dxf>
              <font>
                <color rgb="FF9C0006"/>
              </font>
              <fill>
                <patternFill>
                  <bgColor rgb="FFFFC7CE"/>
                </patternFill>
              </fill>
            </x14:dxf>
          </x14:cfRule>
          <xm:sqref>D255:D271</xm:sqref>
        </x14:conditionalFormatting>
        <x14:conditionalFormatting xmlns:xm="http://schemas.microsoft.com/office/excel/2006/main">
          <x14:cfRule type="notContainsText" priority="2808" operator="notContains" id="{21E87AF2-EFC2-B344-8A67-CABE20137378}">
            <xm:f>ISERROR(SEARCH("Value Missing",D275))</xm:f>
            <xm:f>"Value Missing"</xm:f>
            <x14:dxf>
              <font>
                <color rgb="FF006100"/>
              </font>
              <fill>
                <patternFill>
                  <bgColor rgb="FFC6EFCE"/>
                </patternFill>
              </fill>
            </x14:dxf>
          </x14:cfRule>
          <x14:cfRule type="containsText" priority="2809" operator="containsText" id="{F03B23F7-427A-DD47-B399-977D5A2955A8}">
            <xm:f>NOT(ISERROR(SEARCH("Value Missing",D275)))</xm:f>
            <xm:f>"Value Missing"</xm:f>
            <x14:dxf>
              <font>
                <color rgb="FF9C0006"/>
              </font>
              <fill>
                <patternFill>
                  <bgColor rgb="FFFFC7CE"/>
                </patternFill>
              </fill>
            </x14:dxf>
          </x14:cfRule>
          <xm:sqref>D275:D276</xm:sqref>
        </x14:conditionalFormatting>
        <x14:conditionalFormatting xmlns:xm="http://schemas.microsoft.com/office/excel/2006/main">
          <x14:cfRule type="notContainsText" priority="2772" operator="notContains" id="{60958818-6FE3-C542-AF66-3789A1740328}">
            <xm:f>ISERROR(SEARCH("Value Missing",D280))</xm:f>
            <xm:f>"Value Missing"</xm:f>
            <x14:dxf>
              <font>
                <color rgb="FF006100"/>
              </font>
              <fill>
                <patternFill>
                  <bgColor rgb="FFC6EFCE"/>
                </patternFill>
              </fill>
            </x14:dxf>
          </x14:cfRule>
          <x14:cfRule type="containsText" priority="2773" operator="containsText" id="{2CA67A22-A718-D44D-9E13-240A492E1A46}">
            <xm:f>NOT(ISERROR(SEARCH("Value Missing",D280)))</xm:f>
            <xm:f>"Value Missing"</xm:f>
            <x14:dxf>
              <font>
                <color rgb="FF9C0006"/>
              </font>
              <fill>
                <patternFill>
                  <bgColor rgb="FFFFC7CE"/>
                </patternFill>
              </fill>
            </x14:dxf>
          </x14:cfRule>
          <xm:sqref>D280:D283</xm:sqref>
        </x14:conditionalFormatting>
        <x14:conditionalFormatting xmlns:xm="http://schemas.microsoft.com/office/excel/2006/main">
          <x14:cfRule type="notContainsText" priority="2766" operator="notContains" id="{5905F3AA-9C62-E843-9A34-8C6D36A940F8}">
            <xm:f>ISERROR(SEARCH("Value Missing",D283))</xm:f>
            <xm:f>"Value Missing"</xm:f>
            <x14:dxf>
              <font>
                <color rgb="FF006100"/>
              </font>
              <fill>
                <patternFill>
                  <bgColor rgb="FFC6EFCE"/>
                </patternFill>
              </fill>
            </x14:dxf>
          </x14:cfRule>
          <x14:cfRule type="containsText" priority="2767" operator="containsText" id="{6BC45260-4987-FD45-8125-E9740853AC02}">
            <xm:f>NOT(ISERROR(SEARCH("Value Missing",D283)))</xm:f>
            <xm:f>"Value Missing"</xm:f>
            <x14:dxf>
              <font>
                <color rgb="FF9C0006"/>
              </font>
              <fill>
                <patternFill>
                  <bgColor rgb="FFFFC7CE"/>
                </patternFill>
              </fill>
            </x14:dxf>
          </x14:cfRule>
          <xm:sqref>D283:D287</xm:sqref>
        </x14:conditionalFormatting>
        <x14:conditionalFormatting xmlns:xm="http://schemas.microsoft.com/office/excel/2006/main">
          <x14:cfRule type="notContainsText" priority="2740" operator="notContains" id="{03D29F49-FDE9-694B-A25F-1B5F4EDD732F}">
            <xm:f>ISERROR(SEARCH("Value Missing",D291))</xm:f>
            <xm:f>"Value Missing"</xm:f>
            <x14:dxf>
              <font>
                <color rgb="FF006100"/>
              </font>
              <fill>
                <patternFill>
                  <bgColor rgb="FFC6EFCE"/>
                </patternFill>
              </fill>
            </x14:dxf>
          </x14:cfRule>
          <x14:cfRule type="containsText" priority="2741" operator="containsText" id="{7BF8CD43-7834-2046-902E-00E129AB88C7}">
            <xm:f>NOT(ISERROR(SEARCH("Value Missing",D291)))</xm:f>
            <xm:f>"Value Missing"</xm:f>
            <x14:dxf>
              <font>
                <color rgb="FF9C0006"/>
              </font>
              <fill>
                <patternFill>
                  <bgColor rgb="FFFFC7CE"/>
                </patternFill>
              </fill>
            </x14:dxf>
          </x14:cfRule>
          <xm:sqref>D291</xm:sqref>
        </x14:conditionalFormatting>
        <x14:conditionalFormatting xmlns:xm="http://schemas.microsoft.com/office/excel/2006/main">
          <x14:cfRule type="containsText" priority="3207" operator="containsText" id="{C38A8DDA-173E-454F-A922-852D4DC0FD15}">
            <xm:f>NOT(ISERROR(SEARCH("Value Missing",D292)))</xm:f>
            <xm:f>"Value Missing"</xm:f>
            <x14:dxf>
              <font>
                <color rgb="FF9C0006"/>
              </font>
              <fill>
                <patternFill>
                  <bgColor rgb="FFFFC7CE"/>
                </patternFill>
              </fill>
            </x14:dxf>
          </x14:cfRule>
          <x14:cfRule type="notContainsText" priority="3206" operator="notContains" id="{4D46E981-45CA-CD44-A316-B2684D144A3F}">
            <xm:f>ISERROR(SEARCH("Value Missing",D292))</xm:f>
            <xm:f>"Value Missing"</xm:f>
            <x14:dxf>
              <font>
                <color rgb="FF006100"/>
              </font>
              <fill>
                <patternFill>
                  <bgColor rgb="FFC6EFCE"/>
                </patternFill>
              </fill>
            </x14:dxf>
          </x14:cfRule>
          <xm:sqref>D292:D293</xm:sqref>
        </x14:conditionalFormatting>
        <x14:conditionalFormatting xmlns:xm="http://schemas.microsoft.com/office/excel/2006/main">
          <x14:cfRule type="containsText" priority="3203" operator="containsText" id="{155F975E-9608-2D41-998D-F8F0D613FE62}">
            <xm:f>NOT(ISERROR(SEARCH("Value Missing",D293)))</xm:f>
            <xm:f>"Value Missing"</xm:f>
            <x14:dxf>
              <font>
                <color rgb="FF9C0006"/>
              </font>
              <fill>
                <patternFill>
                  <bgColor rgb="FFFFC7CE"/>
                </patternFill>
              </fill>
            </x14:dxf>
          </x14:cfRule>
          <x14:cfRule type="notContainsText" priority="3202" operator="notContains" id="{73904EDE-9D9A-014E-A578-80929A434C8E}">
            <xm:f>ISERROR(SEARCH("Value Missing",D293))</xm:f>
            <xm:f>"Value Missing"</xm:f>
            <x14:dxf>
              <font>
                <color rgb="FF006100"/>
              </font>
              <fill>
                <patternFill>
                  <bgColor rgb="FFC6EFCE"/>
                </patternFill>
              </fill>
            </x14:dxf>
          </x14:cfRule>
          <xm:sqref>D293:D294</xm:sqref>
        </x14:conditionalFormatting>
        <x14:conditionalFormatting xmlns:xm="http://schemas.microsoft.com/office/excel/2006/main">
          <x14:cfRule type="containsText" priority="2733" operator="containsText" id="{C65D5F74-720D-804E-9CAF-1F4C48374C39}">
            <xm:f>NOT(ISERROR(SEARCH("Value Missing",D298)))</xm:f>
            <xm:f>"Value Missing"</xm:f>
            <x14:dxf>
              <font>
                <color rgb="FF9C0006"/>
              </font>
              <fill>
                <patternFill>
                  <bgColor rgb="FFFFC7CE"/>
                </patternFill>
              </fill>
            </x14:dxf>
          </x14:cfRule>
          <x14:cfRule type="notContainsText" priority="2732" operator="notContains" id="{20838E5C-FFEA-1B4D-B201-9845934DCE93}">
            <xm:f>ISERROR(SEARCH("Value Missing",D298))</xm:f>
            <xm:f>"Value Missing"</xm:f>
            <x14:dxf>
              <font>
                <color rgb="FF006100"/>
              </font>
              <fill>
                <patternFill>
                  <bgColor rgb="FFC6EFCE"/>
                </patternFill>
              </fill>
            </x14:dxf>
          </x14:cfRule>
          <xm:sqref>D298:D301</xm:sqref>
        </x14:conditionalFormatting>
        <x14:conditionalFormatting xmlns:xm="http://schemas.microsoft.com/office/excel/2006/main">
          <x14:cfRule type="containsText" priority="2723" operator="containsText" id="{08D6943A-D143-BE42-A542-8D22ED05819D}">
            <xm:f>NOT(ISERROR(SEARCH("Value Missing",D301)))</xm:f>
            <xm:f>"Value Missing"</xm:f>
            <x14:dxf>
              <font>
                <color rgb="FF9C0006"/>
              </font>
              <fill>
                <patternFill>
                  <bgColor rgb="FFFFC7CE"/>
                </patternFill>
              </fill>
            </x14:dxf>
          </x14:cfRule>
          <x14:cfRule type="notContainsText" priority="2722" operator="notContains" id="{C219E60B-0809-3A45-A698-EB18EDDD6184}">
            <xm:f>ISERROR(SEARCH("Value Missing",D301))</xm:f>
            <xm:f>"Value Missing"</xm:f>
            <x14:dxf>
              <font>
                <color rgb="FF006100"/>
              </font>
              <fill>
                <patternFill>
                  <bgColor rgb="FFC6EFCE"/>
                </patternFill>
              </fill>
            </x14:dxf>
          </x14:cfRule>
          <xm:sqref>D301:D308</xm:sqref>
        </x14:conditionalFormatting>
        <x14:conditionalFormatting xmlns:xm="http://schemas.microsoft.com/office/excel/2006/main">
          <x14:cfRule type="containsText" priority="2707" operator="containsText" id="{DFFC4BAC-1808-434D-BFDD-8CA5877075E7}">
            <xm:f>NOT(ISERROR(SEARCH("Value Missing",D312)))</xm:f>
            <xm:f>"Value Missing"</xm:f>
            <x14:dxf>
              <font>
                <color rgb="FF9C0006"/>
              </font>
              <fill>
                <patternFill>
                  <bgColor rgb="FFFFC7CE"/>
                </patternFill>
              </fill>
            </x14:dxf>
          </x14:cfRule>
          <x14:cfRule type="notContainsText" priority="2706" operator="notContains" id="{E3547DFD-6F63-FA40-99D3-5DDC3C5292B8}">
            <xm:f>ISERROR(SEARCH("Value Missing",D312))</xm:f>
            <xm:f>"Value Missing"</xm:f>
            <x14:dxf>
              <font>
                <color rgb="FF006100"/>
              </font>
              <fill>
                <patternFill>
                  <bgColor rgb="FFC6EFCE"/>
                </patternFill>
              </fill>
            </x14:dxf>
          </x14:cfRule>
          <xm:sqref>D312:D314</xm:sqref>
        </x14:conditionalFormatting>
        <x14:conditionalFormatting xmlns:xm="http://schemas.microsoft.com/office/excel/2006/main">
          <x14:cfRule type="containsText" priority="2705" operator="containsText" id="{E0460798-F158-D244-ABBD-1F6341955EEF}">
            <xm:f>NOT(ISERROR(SEARCH("Value Missing",D314)))</xm:f>
            <xm:f>"Value Missing"</xm:f>
            <x14:dxf>
              <font>
                <color rgb="FF9C0006"/>
              </font>
              <fill>
                <patternFill>
                  <bgColor rgb="FFFFC7CE"/>
                </patternFill>
              </fill>
            </x14:dxf>
          </x14:cfRule>
          <x14:cfRule type="notContainsText" priority="2704" operator="notContains" id="{A52D6AB8-E3E1-2948-9073-741820A847BE}">
            <xm:f>ISERROR(SEARCH("Value Missing",D314))</xm:f>
            <xm:f>"Value Missing"</xm:f>
            <x14:dxf>
              <font>
                <color rgb="FF006100"/>
              </font>
              <fill>
                <patternFill>
                  <bgColor rgb="FFC6EFCE"/>
                </patternFill>
              </fill>
            </x14:dxf>
          </x14:cfRule>
          <xm:sqref>D314</xm:sqref>
        </x14:conditionalFormatting>
        <x14:conditionalFormatting xmlns:xm="http://schemas.microsoft.com/office/excel/2006/main">
          <x14:cfRule type="containsText" priority="2715" operator="containsText" id="{311F7A18-D190-9F43-A18B-E6E256D64499}">
            <xm:f>NOT(ISERROR(SEARCH("Value Missing",D316)))</xm:f>
            <xm:f>"Value Missing"</xm:f>
            <x14:dxf>
              <font>
                <color rgb="FF9C0006"/>
              </font>
              <fill>
                <patternFill>
                  <bgColor rgb="FFFFC7CE"/>
                </patternFill>
              </fill>
            </x14:dxf>
          </x14:cfRule>
          <x14:cfRule type="notContainsText" priority="2714" operator="notContains" id="{20922365-37D8-0E4B-B5EC-8FB115F994E0}">
            <xm:f>ISERROR(SEARCH("Value Missing",D316))</xm:f>
            <xm:f>"Value Missing"</xm:f>
            <x14:dxf>
              <font>
                <color rgb="FF006100"/>
              </font>
              <fill>
                <patternFill>
                  <bgColor rgb="FFC6EFCE"/>
                </patternFill>
              </fill>
            </x14:dxf>
          </x14:cfRule>
          <xm:sqref>D316:D319</xm:sqref>
        </x14:conditionalFormatting>
        <x14:conditionalFormatting xmlns:xm="http://schemas.microsoft.com/office/excel/2006/main">
          <x14:cfRule type="containsText" priority="2691" operator="containsText" id="{02892B1F-C5B9-E94C-A63E-141CF402FA5F}">
            <xm:f>NOT(ISERROR(SEARCH("Value Missing",D319)))</xm:f>
            <xm:f>"Value Missing"</xm:f>
            <x14:dxf>
              <font>
                <color rgb="FF9C0006"/>
              </font>
              <fill>
                <patternFill>
                  <bgColor rgb="FFFFC7CE"/>
                </patternFill>
              </fill>
            </x14:dxf>
          </x14:cfRule>
          <x14:cfRule type="notContainsText" priority="2690" operator="notContains" id="{B18D7952-C4F1-974D-AC05-5DAA078089CE}">
            <xm:f>ISERROR(SEARCH("Value Missing",D319))</xm:f>
            <xm:f>"Value Missing"</xm:f>
            <x14:dxf>
              <font>
                <color rgb="FF006100"/>
              </font>
              <fill>
                <patternFill>
                  <bgColor rgb="FFC6EFCE"/>
                </patternFill>
              </fill>
            </x14:dxf>
          </x14:cfRule>
          <xm:sqref>D319:D327</xm:sqref>
        </x14:conditionalFormatting>
        <x14:conditionalFormatting xmlns:xm="http://schemas.microsoft.com/office/excel/2006/main">
          <x14:cfRule type="containsText" priority="2677" operator="containsText" id="{2515E858-3DF5-D34C-B802-C3D5C378255E}">
            <xm:f>NOT(ISERROR(SEARCH("Value Missing",D329)))</xm:f>
            <xm:f>"Value Missing"</xm:f>
            <x14:dxf>
              <font>
                <color rgb="FF9C0006"/>
              </font>
              <fill>
                <patternFill>
                  <bgColor rgb="FFFFC7CE"/>
                </patternFill>
              </fill>
            </x14:dxf>
          </x14:cfRule>
          <x14:cfRule type="notContainsText" priority="2676" operator="notContains" id="{A3BAE734-CA75-7649-B0F5-C506988FAA15}">
            <xm:f>ISERROR(SEARCH("Value Missing",D329))</xm:f>
            <xm:f>"Value Missing"</xm:f>
            <x14:dxf>
              <font>
                <color rgb="FF006100"/>
              </font>
              <fill>
                <patternFill>
                  <bgColor rgb="FFC6EFCE"/>
                </patternFill>
              </fill>
            </x14:dxf>
          </x14:cfRule>
          <xm:sqref>D329:D332</xm:sqref>
        </x14:conditionalFormatting>
        <x14:conditionalFormatting xmlns:xm="http://schemas.microsoft.com/office/excel/2006/main">
          <x14:cfRule type="notContainsText" priority="2664" operator="notContains" id="{AE174B0D-8E2B-BE46-9524-152067034845}">
            <xm:f>ISERROR(SEARCH("Value Missing",D332))</xm:f>
            <xm:f>"Value Missing"</xm:f>
            <x14:dxf>
              <font>
                <color rgb="FF006100"/>
              </font>
              <fill>
                <patternFill>
                  <bgColor rgb="FFC6EFCE"/>
                </patternFill>
              </fill>
            </x14:dxf>
          </x14:cfRule>
          <x14:cfRule type="containsText" priority="2665" operator="containsText" id="{EE4ED630-3E60-1340-8BB8-7673E2EDB7A9}">
            <xm:f>NOT(ISERROR(SEARCH("Value Missing",D332)))</xm:f>
            <xm:f>"Value Missing"</xm:f>
            <x14:dxf>
              <font>
                <color rgb="FF9C0006"/>
              </font>
              <fill>
                <patternFill>
                  <bgColor rgb="FFFFC7CE"/>
                </patternFill>
              </fill>
            </x14:dxf>
          </x14:cfRule>
          <xm:sqref>D332:D340</xm:sqref>
        </x14:conditionalFormatting>
        <x14:conditionalFormatting xmlns:xm="http://schemas.microsoft.com/office/excel/2006/main">
          <x14:cfRule type="notContainsText" priority="2590" operator="notContains" id="{92D715D3-51AF-8546-B58C-45C4FD53C46E}">
            <xm:f>ISERROR(SEARCH("Value Missing",D345))</xm:f>
            <xm:f>"Value Missing"</xm:f>
            <x14:dxf>
              <font>
                <color rgb="FF006100"/>
              </font>
              <fill>
                <patternFill>
                  <bgColor rgb="FFC6EFCE"/>
                </patternFill>
              </fill>
            </x14:dxf>
          </x14:cfRule>
          <x14:cfRule type="containsText" priority="2591" operator="containsText" id="{91D2DA54-1512-5D4B-8EC2-7BF3529985E5}">
            <xm:f>NOT(ISERROR(SEARCH("Value Missing",D345)))</xm:f>
            <xm:f>"Value Missing"</xm:f>
            <x14:dxf>
              <font>
                <color rgb="FF9C0006"/>
              </font>
              <fill>
                <patternFill>
                  <bgColor rgb="FFFFC7CE"/>
                </patternFill>
              </fill>
            </x14:dxf>
          </x14:cfRule>
          <xm:sqref>D345:D356</xm:sqref>
        </x14:conditionalFormatting>
        <x14:conditionalFormatting xmlns:xm="http://schemas.microsoft.com/office/excel/2006/main">
          <x14:cfRule type="notContainsText" priority="2612" operator="notContains" id="{26E9EFAE-6C10-0D45-80C6-96C549E0178E}">
            <xm:f>ISERROR(SEARCH("Value Missing",D348))</xm:f>
            <xm:f>"Value Missing"</xm:f>
            <x14:dxf>
              <font>
                <color rgb="FF006100"/>
              </font>
              <fill>
                <patternFill>
                  <bgColor rgb="FFC6EFCE"/>
                </patternFill>
              </fill>
            </x14:dxf>
          </x14:cfRule>
          <x14:cfRule type="containsText" priority="2613" operator="containsText" id="{4B02A560-D7F6-2C40-8D93-AF67375A8B7C}">
            <xm:f>NOT(ISERROR(SEARCH("Value Missing",D348)))</xm:f>
            <xm:f>"Value Missing"</xm:f>
            <x14:dxf>
              <font>
                <color rgb="FF9C0006"/>
              </font>
              <fill>
                <patternFill>
                  <bgColor rgb="FFFFC7CE"/>
                </patternFill>
              </fill>
            </x14:dxf>
          </x14:cfRule>
          <xm:sqref>D348</xm:sqref>
        </x14:conditionalFormatting>
        <x14:conditionalFormatting xmlns:xm="http://schemas.microsoft.com/office/excel/2006/main">
          <x14:cfRule type="containsText" priority="2565" operator="containsText" id="{637E6209-815C-D741-93CF-9EB4353F6D27}">
            <xm:f>NOT(ISERROR(SEARCH("Value Missing",D358)))</xm:f>
            <xm:f>"Value Missing"</xm:f>
            <x14:dxf>
              <font>
                <color rgb="FF9C0006"/>
              </font>
              <fill>
                <patternFill>
                  <bgColor rgb="FFFFC7CE"/>
                </patternFill>
              </fill>
            </x14:dxf>
          </x14:cfRule>
          <x14:cfRule type="notContainsText" priority="2564" operator="notContains" id="{A5F475D6-40CD-E748-825B-4B72EE11D176}">
            <xm:f>ISERROR(SEARCH("Value Missing",D358))</xm:f>
            <xm:f>"Value Missing"</xm:f>
            <x14:dxf>
              <font>
                <color rgb="FF006100"/>
              </font>
              <fill>
                <patternFill>
                  <bgColor rgb="FFC6EFCE"/>
                </patternFill>
              </fill>
            </x14:dxf>
          </x14:cfRule>
          <xm:sqref>D358:D369</xm:sqref>
        </x14:conditionalFormatting>
        <x14:conditionalFormatting xmlns:xm="http://schemas.microsoft.com/office/excel/2006/main">
          <x14:cfRule type="containsText" priority="2587" operator="containsText" id="{352EB893-3324-8E4C-852D-78B832C378B9}">
            <xm:f>NOT(ISERROR(SEARCH("Value Missing",D361)))</xm:f>
            <xm:f>"Value Missing"</xm:f>
            <x14:dxf>
              <font>
                <color rgb="FF9C0006"/>
              </font>
              <fill>
                <patternFill>
                  <bgColor rgb="FFFFC7CE"/>
                </patternFill>
              </fill>
            </x14:dxf>
          </x14:cfRule>
          <x14:cfRule type="notContainsText" priority="2586" operator="notContains" id="{C5EA5EB5-DA25-A141-8145-60414315C0A5}">
            <xm:f>ISERROR(SEARCH("Value Missing",D361))</xm:f>
            <xm:f>"Value Missing"</xm:f>
            <x14:dxf>
              <font>
                <color rgb="FF006100"/>
              </font>
              <fill>
                <patternFill>
                  <bgColor rgb="FFC6EFCE"/>
                </patternFill>
              </fill>
            </x14:dxf>
          </x14:cfRule>
          <xm:sqref>D361</xm:sqref>
        </x14:conditionalFormatting>
        <x14:conditionalFormatting xmlns:xm="http://schemas.microsoft.com/office/excel/2006/main">
          <x14:cfRule type="containsText" priority="2561" operator="containsText" id="{823231A9-5505-5840-922B-A65C2300C519}">
            <xm:f>NOT(ISERROR(SEARCH("Value Missing",D375)))</xm:f>
            <xm:f>"Value Missing"</xm:f>
            <x14:dxf>
              <font>
                <color rgb="FF9C0006"/>
              </font>
              <fill>
                <patternFill>
                  <bgColor rgb="FFFFC7CE"/>
                </patternFill>
              </fill>
            </x14:dxf>
          </x14:cfRule>
          <x14:cfRule type="notContainsText" priority="2560" operator="notContains" id="{B67A9A20-0E23-D14D-8892-BF7421298730}">
            <xm:f>ISERROR(SEARCH("Value Missing",D375))</xm:f>
            <xm:f>"Value Missing"</xm:f>
            <x14:dxf>
              <font>
                <color rgb="FF006100"/>
              </font>
              <fill>
                <patternFill>
                  <bgColor rgb="FFC6EFCE"/>
                </patternFill>
              </fill>
            </x14:dxf>
          </x14:cfRule>
          <xm:sqref>D375:D376</xm:sqref>
        </x14:conditionalFormatting>
        <x14:conditionalFormatting xmlns:xm="http://schemas.microsoft.com/office/excel/2006/main">
          <x14:cfRule type="containsText" priority="2513" operator="containsText" id="{04716B59-005E-FB4D-944B-BEB4C233385B}">
            <xm:f>NOT(ISERROR(SEARCH("Value Missing",D380)))</xm:f>
            <xm:f>"Value Missing"</xm:f>
            <x14:dxf>
              <font>
                <color rgb="FF9C0006"/>
              </font>
              <fill>
                <patternFill>
                  <bgColor rgb="FFFFC7CE"/>
                </patternFill>
              </fill>
            </x14:dxf>
          </x14:cfRule>
          <x14:cfRule type="notContainsText" priority="2512" operator="notContains" id="{4DAF1F38-3D9A-A648-B7A0-1DB73FAEC282}">
            <xm:f>ISERROR(SEARCH("Value Missing",D380))</xm:f>
            <xm:f>"Value Missing"</xm:f>
            <x14:dxf>
              <font>
                <color rgb="FF006100"/>
              </font>
              <fill>
                <patternFill>
                  <bgColor rgb="FFC6EFCE"/>
                </patternFill>
              </fill>
            </x14:dxf>
          </x14:cfRule>
          <xm:sqref>D380:D397</xm:sqref>
        </x14:conditionalFormatting>
        <x14:conditionalFormatting xmlns:xm="http://schemas.microsoft.com/office/excel/2006/main">
          <x14:cfRule type="containsText" priority="2481" operator="containsText" id="{39AC3AF5-FCFC-A34A-B70D-38E66BE05413}">
            <xm:f>NOT(ISERROR(SEARCH("Value Missing",D391)))</xm:f>
            <xm:f>"Value Missing"</xm:f>
            <x14:dxf>
              <font>
                <color rgb="FF9C0006"/>
              </font>
              <fill>
                <patternFill>
                  <bgColor rgb="FFFFC7CE"/>
                </patternFill>
              </fill>
            </x14:dxf>
          </x14:cfRule>
          <x14:cfRule type="notContainsText" priority="2480" operator="notContains" id="{6B0463D5-F7B8-7D41-A54A-A2A2D92B45F3}">
            <xm:f>ISERROR(SEARCH("Value Missing",D391))</xm:f>
            <xm:f>"Value Missing"</xm:f>
            <x14:dxf>
              <font>
                <color rgb="FF006100"/>
              </font>
              <fill>
                <patternFill>
                  <bgColor rgb="FFC6EFCE"/>
                </patternFill>
              </fill>
            </x14:dxf>
          </x14:cfRule>
          <x14:cfRule type="containsText" priority="2479" operator="containsText" id="{8B6978B1-69B8-224B-8B93-4E23391FE584}">
            <xm:f>NOT(ISERROR(SEARCH("Value Missing",D391)))</xm:f>
            <xm:f>"Value Missing"</xm:f>
            <x14:dxf>
              <font>
                <color rgb="FF9C0006"/>
              </font>
              <fill>
                <patternFill>
                  <bgColor rgb="FFFFC7CE"/>
                </patternFill>
              </fill>
            </x14:dxf>
          </x14:cfRule>
          <x14:cfRule type="notContainsText" priority="2478" operator="notContains" id="{8B5AFED1-1071-E644-AF20-8AD837FFEBAD}">
            <xm:f>ISERROR(SEARCH("Value Missing",D391))</xm:f>
            <xm:f>"Value Missing"</xm:f>
            <x14:dxf>
              <font>
                <color rgb="FF006100"/>
              </font>
              <fill>
                <patternFill>
                  <bgColor rgb="FFC6EFCE"/>
                </patternFill>
              </fill>
            </x14:dxf>
          </x14:cfRule>
          <xm:sqref>D391</xm:sqref>
        </x14:conditionalFormatting>
        <x14:conditionalFormatting xmlns:xm="http://schemas.microsoft.com/office/excel/2006/main">
          <x14:cfRule type="containsText" priority="2467" operator="containsText" id="{7CEADDF2-631A-3F41-B12F-259B03FCD32A}">
            <xm:f>NOT(ISERROR(SEARCH("Value Missing",D401)))</xm:f>
            <xm:f>"Value Missing"</xm:f>
            <x14:dxf>
              <font>
                <color rgb="FF9C0006"/>
              </font>
              <fill>
                <patternFill>
                  <bgColor rgb="FFFFC7CE"/>
                </patternFill>
              </fill>
            </x14:dxf>
          </x14:cfRule>
          <x14:cfRule type="notContainsText" priority="2466" operator="notContains" id="{552CAA3E-D391-2E4C-975D-488393AADF76}">
            <xm:f>ISERROR(SEARCH("Value Missing",D401))</xm:f>
            <xm:f>"Value Missing"</xm:f>
            <x14:dxf>
              <font>
                <color rgb="FF006100"/>
              </font>
              <fill>
                <patternFill>
                  <bgColor rgb="FFC6EFCE"/>
                </patternFill>
              </fill>
            </x14:dxf>
          </x14:cfRule>
          <xm:sqref>D401:D402</xm:sqref>
        </x14:conditionalFormatting>
        <x14:conditionalFormatting xmlns:xm="http://schemas.microsoft.com/office/excel/2006/main">
          <x14:cfRule type="containsText" priority="2455" operator="containsText" id="{1118BA23-CD15-464C-AFA2-EA7AF7327AA1}">
            <xm:f>NOT(ISERROR(SEARCH("Value Missing",D406)))</xm:f>
            <xm:f>"Value Missing"</xm:f>
            <x14:dxf>
              <font>
                <color rgb="FF9C0006"/>
              </font>
              <fill>
                <patternFill>
                  <bgColor rgb="FFFFC7CE"/>
                </patternFill>
              </fill>
            </x14:dxf>
          </x14:cfRule>
          <x14:cfRule type="notContainsText" priority="2454" operator="notContains" id="{FA5A7E22-4905-0D46-AD14-179B4CB9F918}">
            <xm:f>ISERROR(SEARCH("Value Missing",D406))</xm:f>
            <xm:f>"Value Missing"</xm:f>
            <x14:dxf>
              <font>
                <color rgb="FF006100"/>
              </font>
              <fill>
                <patternFill>
                  <bgColor rgb="FFC6EFCE"/>
                </patternFill>
              </fill>
            </x14:dxf>
          </x14:cfRule>
          <xm:sqref>D406:D409</xm:sqref>
        </x14:conditionalFormatting>
        <x14:conditionalFormatting xmlns:xm="http://schemas.microsoft.com/office/excel/2006/main">
          <x14:cfRule type="notContainsText" priority="1264" operator="notContains" id="{F7B2E5D4-9CC7-374C-B944-4D5DF512EA2A}">
            <xm:f>ISERROR(SEARCH("Value Missing",D409))</xm:f>
            <xm:f>"Value Missing"</xm:f>
            <x14:dxf>
              <font>
                <color rgb="FF006100"/>
              </font>
              <fill>
                <patternFill>
                  <bgColor rgb="FFC6EFCE"/>
                </patternFill>
              </fill>
            </x14:dxf>
          </x14:cfRule>
          <x14:cfRule type="containsText" priority="1265" operator="containsText" id="{7E036EA1-DF7B-2244-AD29-CE62EF2ECFEB}">
            <xm:f>NOT(ISERROR(SEARCH("Value Missing",D409)))</xm:f>
            <xm:f>"Value Missing"</xm:f>
            <x14:dxf>
              <font>
                <color rgb="FF9C0006"/>
              </font>
              <fill>
                <patternFill>
                  <bgColor rgb="FFFFC7CE"/>
                </patternFill>
              </fill>
            </x14:dxf>
          </x14:cfRule>
          <xm:sqref>D409:D413</xm:sqref>
        </x14:conditionalFormatting>
        <x14:conditionalFormatting xmlns:xm="http://schemas.microsoft.com/office/excel/2006/main">
          <x14:cfRule type="containsText" priority="2419" operator="containsText" id="{47E31B45-A439-D640-A683-8B5B3F3CC517}">
            <xm:f>NOT(ISERROR(SEARCH("Value Missing",D417)))</xm:f>
            <xm:f>"Value Missing"</xm:f>
            <x14:dxf>
              <font>
                <color rgb="FF9C0006"/>
              </font>
              <fill>
                <patternFill>
                  <bgColor rgb="FFFFC7CE"/>
                </patternFill>
              </fill>
            </x14:dxf>
          </x14:cfRule>
          <x14:cfRule type="notContainsText" priority="2418" operator="notContains" id="{7A8E5AA3-B555-BF4D-9004-FF1287300C16}">
            <xm:f>ISERROR(SEARCH("Value Missing",D417))</xm:f>
            <xm:f>"Value Missing"</xm:f>
            <x14:dxf>
              <font>
                <color rgb="FF006100"/>
              </font>
              <fill>
                <patternFill>
                  <bgColor rgb="FFC6EFCE"/>
                </patternFill>
              </fill>
            </x14:dxf>
          </x14:cfRule>
          <xm:sqref>D417:D421</xm:sqref>
        </x14:conditionalFormatting>
        <x14:conditionalFormatting xmlns:xm="http://schemas.microsoft.com/office/excel/2006/main">
          <x14:cfRule type="notContainsText" priority="2172" operator="notContains" id="{83BD8F55-3EB8-9544-9481-88400202F998}">
            <xm:f>ISERROR(SEARCH("Value Missing",D427))</xm:f>
            <xm:f>"Value Missing"</xm:f>
            <x14:dxf>
              <font>
                <color rgb="FF006100"/>
              </font>
              <fill>
                <patternFill>
                  <bgColor rgb="FFC6EFCE"/>
                </patternFill>
              </fill>
            </x14:dxf>
          </x14:cfRule>
          <x14:cfRule type="containsText" priority="2173" operator="containsText" id="{400A5682-68DF-7248-A25E-585DF9B75D00}">
            <xm:f>NOT(ISERROR(SEARCH("Value Missing",D427)))</xm:f>
            <xm:f>"Value Missing"</xm:f>
            <x14:dxf>
              <font>
                <color rgb="FF9C0006"/>
              </font>
              <fill>
                <patternFill>
                  <bgColor rgb="FFFFC7CE"/>
                </patternFill>
              </fill>
            </x14:dxf>
          </x14:cfRule>
          <xm:sqref>D427:D433</xm:sqref>
        </x14:conditionalFormatting>
        <x14:conditionalFormatting xmlns:xm="http://schemas.microsoft.com/office/excel/2006/main">
          <x14:cfRule type="containsText" priority="2991" operator="containsText" id="{35E583D3-E8F3-324F-8124-EA36219968B9}">
            <xm:f>NOT(ISERROR(SEARCH("Value Missing",D429)))</xm:f>
            <xm:f>"Value Missing"</xm:f>
            <x14:dxf>
              <font>
                <color rgb="FF9C0006"/>
              </font>
              <fill>
                <patternFill>
                  <bgColor rgb="FFFFC7CE"/>
                </patternFill>
              </fill>
            </x14:dxf>
          </x14:cfRule>
          <x14:cfRule type="notContainsText" priority="2990" operator="notContains" id="{961CF050-7559-1646-AEE8-B94702330E52}">
            <xm:f>ISERROR(SEARCH("Value Missing",D429))</xm:f>
            <xm:f>"Value Missing"</xm:f>
            <x14:dxf>
              <font>
                <color rgb="FF006100"/>
              </font>
              <fill>
                <patternFill>
                  <bgColor rgb="FFC6EFCE"/>
                </patternFill>
              </fill>
            </x14:dxf>
          </x14:cfRule>
          <xm:sqref>D429</xm:sqref>
        </x14:conditionalFormatting>
        <x14:conditionalFormatting xmlns:xm="http://schemas.microsoft.com/office/excel/2006/main">
          <x14:cfRule type="containsText" priority="2161" operator="containsText" id="{0334F8AA-193F-3343-A941-F959AD5F644A}">
            <xm:f>NOT(ISERROR(SEARCH("Value Missing",D437)))</xm:f>
            <xm:f>"Value Missing"</xm:f>
            <x14:dxf>
              <font>
                <color rgb="FF9C0006"/>
              </font>
              <fill>
                <patternFill>
                  <bgColor rgb="FFFFC7CE"/>
                </patternFill>
              </fill>
            </x14:dxf>
          </x14:cfRule>
          <x14:cfRule type="notContainsText" priority="2160" operator="notContains" id="{8C681870-DEB2-0D43-9F3D-9BE569266DDA}">
            <xm:f>ISERROR(SEARCH("Value Missing",D437))</xm:f>
            <xm:f>"Value Missing"</xm:f>
            <x14:dxf>
              <font>
                <color rgb="FF006100"/>
              </font>
              <fill>
                <patternFill>
                  <bgColor rgb="FFC6EFCE"/>
                </patternFill>
              </fill>
            </x14:dxf>
          </x14:cfRule>
          <xm:sqref>D437:D446</xm:sqref>
        </x14:conditionalFormatting>
        <x14:conditionalFormatting xmlns:xm="http://schemas.microsoft.com/office/excel/2006/main">
          <x14:cfRule type="containsText" priority="2139" operator="containsText" id="{62167291-3AB9-B94B-8D15-7BBF03E56C6C}">
            <xm:f>NOT(ISERROR(SEARCH("Value Missing",D441)))</xm:f>
            <xm:f>"Value Missing"</xm:f>
            <x14:dxf>
              <font>
                <color rgb="FF9C0006"/>
              </font>
              <fill>
                <patternFill>
                  <bgColor rgb="FFFFC7CE"/>
                </patternFill>
              </fill>
            </x14:dxf>
          </x14:cfRule>
          <x14:cfRule type="notContainsText" priority="2138" operator="notContains" id="{2007879B-CDD0-9D46-BD87-8D8B28FEF31A}">
            <xm:f>ISERROR(SEARCH("Value Missing",D441))</xm:f>
            <xm:f>"Value Missing"</xm:f>
            <x14:dxf>
              <font>
                <color rgb="FF006100"/>
              </font>
              <fill>
                <patternFill>
                  <bgColor rgb="FFC6EFCE"/>
                </patternFill>
              </fill>
            </x14:dxf>
          </x14:cfRule>
          <xm:sqref>D441:D443</xm:sqref>
        </x14:conditionalFormatting>
        <x14:conditionalFormatting xmlns:xm="http://schemas.microsoft.com/office/excel/2006/main">
          <x14:cfRule type="containsText" priority="2149" operator="containsText" id="{571FA208-822C-AE41-9179-13E21AE52F1C}">
            <xm:f>NOT(ISERROR(SEARCH("Value Missing",D444)))</xm:f>
            <xm:f>"Value Missing"</xm:f>
            <x14:dxf>
              <font>
                <color rgb="FF9C0006"/>
              </font>
              <fill>
                <patternFill>
                  <bgColor rgb="FFFFC7CE"/>
                </patternFill>
              </fill>
            </x14:dxf>
          </x14:cfRule>
          <x14:cfRule type="notContainsText" priority="2148" operator="notContains" id="{D2D96B28-FA08-D04C-8F67-8AF00B0359B5}">
            <xm:f>ISERROR(SEARCH("Value Missing",D444))</xm:f>
            <xm:f>"Value Missing"</xm:f>
            <x14:dxf>
              <font>
                <color rgb="FF006100"/>
              </font>
              <fill>
                <patternFill>
                  <bgColor rgb="FFC6EFCE"/>
                </patternFill>
              </fill>
            </x14:dxf>
          </x14:cfRule>
          <xm:sqref>D444:D448</xm:sqref>
        </x14:conditionalFormatting>
        <x14:conditionalFormatting xmlns:xm="http://schemas.microsoft.com/office/excel/2006/main">
          <x14:cfRule type="containsText" priority="2145" operator="containsText" id="{6ABDA9CA-CB56-914B-98EC-E983C0866968}">
            <xm:f>NOT(ISERROR(SEARCH("Value Missing",D445)))</xm:f>
            <xm:f>"Value Missing"</xm:f>
            <x14:dxf>
              <font>
                <color rgb="FF9C0006"/>
              </font>
              <fill>
                <patternFill>
                  <bgColor rgb="FFFFC7CE"/>
                </patternFill>
              </fill>
            </x14:dxf>
          </x14:cfRule>
          <x14:cfRule type="notContainsText" priority="2144" operator="notContains" id="{FC953FE8-A09D-3442-87F6-7A68FF02A043}">
            <xm:f>ISERROR(SEARCH("Value Missing",D445))</xm:f>
            <xm:f>"Value Missing"</xm:f>
            <x14:dxf>
              <font>
                <color rgb="FF006100"/>
              </font>
              <fill>
                <patternFill>
                  <bgColor rgb="FFC6EFCE"/>
                </patternFill>
              </fill>
            </x14:dxf>
          </x14:cfRule>
          <xm:sqref>D445:D446</xm:sqref>
        </x14:conditionalFormatting>
        <x14:conditionalFormatting xmlns:xm="http://schemas.microsoft.com/office/excel/2006/main">
          <x14:cfRule type="containsText" priority="2137" operator="containsText" id="{401033A0-01AC-744C-8C49-8930DE445C48}">
            <xm:f>NOT(ISERROR(SEARCH("Value Missing",D449)))</xm:f>
            <xm:f>"Value Missing"</xm:f>
            <x14:dxf>
              <font>
                <color rgb="FF9C0006"/>
              </font>
              <fill>
                <patternFill>
                  <bgColor rgb="FFFFC7CE"/>
                </patternFill>
              </fill>
            </x14:dxf>
          </x14:cfRule>
          <x14:cfRule type="notContainsText" priority="2136" operator="notContains" id="{8250B42B-C3D4-B14C-9C59-7B0DAA59A38F}">
            <xm:f>ISERROR(SEARCH("Value Missing",D449))</xm:f>
            <xm:f>"Value Missing"</xm:f>
            <x14:dxf>
              <font>
                <color rgb="FF006100"/>
              </font>
              <fill>
                <patternFill>
                  <bgColor rgb="FFC6EFCE"/>
                </patternFill>
              </fill>
            </x14:dxf>
          </x14:cfRule>
          <xm:sqref>D449</xm:sqref>
        </x14:conditionalFormatting>
        <x14:conditionalFormatting xmlns:xm="http://schemas.microsoft.com/office/excel/2006/main">
          <x14:cfRule type="notContainsText" priority="2120" operator="notContains" id="{4F2A074C-BABF-D544-97C0-B8921DE3BFA4}">
            <xm:f>ISERROR(SEARCH("Value Missing",D454))</xm:f>
            <xm:f>"Value Missing"</xm:f>
            <x14:dxf>
              <font>
                <color rgb="FF006100"/>
              </font>
              <fill>
                <patternFill>
                  <bgColor rgb="FFC6EFCE"/>
                </patternFill>
              </fill>
            </x14:dxf>
          </x14:cfRule>
          <x14:cfRule type="containsText" priority="2121" operator="containsText" id="{D98E8314-9FAE-064B-8CFA-CD54738613C9}">
            <xm:f>NOT(ISERROR(SEARCH("Value Missing",D454)))</xm:f>
            <xm:f>"Value Missing"</xm:f>
            <x14:dxf>
              <font>
                <color rgb="FF9C0006"/>
              </font>
              <fill>
                <patternFill>
                  <bgColor rgb="FFFFC7CE"/>
                </patternFill>
              </fill>
            </x14:dxf>
          </x14:cfRule>
          <xm:sqref>D454:D458</xm:sqref>
        </x14:conditionalFormatting>
        <x14:conditionalFormatting xmlns:xm="http://schemas.microsoft.com/office/excel/2006/main">
          <x14:cfRule type="containsText" priority="2129" operator="containsText" id="{5FAFD203-F274-DB4F-B063-052DAC59908A}">
            <xm:f>NOT(ISERROR(SEARCH("Value Missing",D456)))</xm:f>
            <xm:f>"Value Missing"</xm:f>
            <x14:dxf>
              <font>
                <color rgb="FF9C0006"/>
              </font>
              <fill>
                <patternFill>
                  <bgColor rgb="FFFFC7CE"/>
                </patternFill>
              </fill>
            </x14:dxf>
          </x14:cfRule>
          <x14:cfRule type="notContainsText" priority="2960" operator="notContains" id="{C22A9840-A09E-CE4D-9C34-A1D2D299A0AF}">
            <xm:f>ISERROR(SEARCH("Value Missing",D456))</xm:f>
            <xm:f>"Value Missing"</xm:f>
            <x14:dxf>
              <font>
                <color rgb="FF006100"/>
              </font>
              <fill>
                <patternFill>
                  <bgColor rgb="FFC6EFCE"/>
                </patternFill>
              </fill>
            </x14:dxf>
          </x14:cfRule>
          <x14:cfRule type="containsText" priority="2961" operator="containsText" id="{28FEBB69-FB91-D248-B878-F9907792CABA}">
            <xm:f>NOT(ISERROR(SEARCH("Value Missing",D456)))</xm:f>
            <xm:f>"Value Missing"</xm:f>
            <x14:dxf>
              <font>
                <color rgb="FF9C0006"/>
              </font>
              <fill>
                <patternFill>
                  <bgColor rgb="FFFFC7CE"/>
                </patternFill>
              </fill>
            </x14:dxf>
          </x14:cfRule>
          <x14:cfRule type="notContainsText" priority="2128" operator="notContains" id="{1C4BF9ED-11A8-DD40-B2FE-B5E552113FCC}">
            <xm:f>ISERROR(SEARCH("Value Missing",D456))</xm:f>
            <xm:f>"Value Missing"</xm:f>
            <x14:dxf>
              <font>
                <color rgb="FF006100"/>
              </font>
              <fill>
                <patternFill>
                  <bgColor rgb="FFC6EFCE"/>
                </patternFill>
              </fill>
            </x14:dxf>
          </x14:cfRule>
          <xm:sqref>D456</xm:sqref>
        </x14:conditionalFormatting>
        <x14:conditionalFormatting xmlns:xm="http://schemas.microsoft.com/office/excel/2006/main">
          <x14:cfRule type="notContainsText" priority="2942" operator="notContains" id="{5C8E38AB-CF3E-BB41-A313-BCAE9C19AD4C}">
            <xm:f>ISERROR(SEARCH("Value Missing",D458))</xm:f>
            <xm:f>"Value Missing"</xm:f>
            <x14:dxf>
              <font>
                <color rgb="FF006100"/>
              </font>
              <fill>
                <patternFill>
                  <bgColor rgb="FFC6EFCE"/>
                </patternFill>
              </fill>
            </x14:dxf>
          </x14:cfRule>
          <x14:cfRule type="containsText" priority="2943" operator="containsText" id="{E3F2A021-3D3B-3841-A340-42E879C0B79E}">
            <xm:f>NOT(ISERROR(SEARCH("Value Missing",D458)))</xm:f>
            <xm:f>"Value Missing"</xm:f>
            <x14:dxf>
              <font>
                <color rgb="FF9C0006"/>
              </font>
              <fill>
                <patternFill>
                  <bgColor rgb="FFFFC7CE"/>
                </patternFill>
              </fill>
            </x14:dxf>
          </x14:cfRule>
          <xm:sqref>D458:D460</xm:sqref>
        </x14:conditionalFormatting>
        <x14:conditionalFormatting xmlns:xm="http://schemas.microsoft.com/office/excel/2006/main">
          <x14:cfRule type="notContainsText" priority="2938" operator="notContains" id="{B8DB1B6D-456E-864A-A6A4-C8424E480686}">
            <xm:f>ISERROR(SEARCH("Value Missing",D460))</xm:f>
            <xm:f>"Value Missing"</xm:f>
            <x14:dxf>
              <font>
                <color rgb="FF006100"/>
              </font>
              <fill>
                <patternFill>
                  <bgColor rgb="FFC6EFCE"/>
                </patternFill>
              </fill>
            </x14:dxf>
          </x14:cfRule>
          <x14:cfRule type="containsText" priority="2939" operator="containsText" id="{68D32019-7611-034B-A591-79961ECCAF21}">
            <xm:f>NOT(ISERROR(SEARCH("Value Missing",D460)))</xm:f>
            <xm:f>"Value Missing"</xm:f>
            <x14:dxf>
              <font>
                <color rgb="FF9C0006"/>
              </font>
              <fill>
                <patternFill>
                  <bgColor rgb="FFFFC7CE"/>
                </patternFill>
              </fill>
            </x14:dxf>
          </x14:cfRule>
          <xm:sqref>D460:D465</xm:sqref>
        </x14:conditionalFormatting>
        <x14:conditionalFormatting xmlns:xm="http://schemas.microsoft.com/office/excel/2006/main">
          <x14:cfRule type="notContainsText" priority="2110" operator="notContains" id="{CAE7FD9A-44AA-634F-9437-52CE5A5882C1}">
            <xm:f>ISERROR(SEARCH("Value Missing",D469))</xm:f>
            <xm:f>"Value Missing"</xm:f>
            <x14:dxf>
              <font>
                <color rgb="FF006100"/>
              </font>
              <fill>
                <patternFill>
                  <bgColor rgb="FFC6EFCE"/>
                </patternFill>
              </fill>
            </x14:dxf>
          </x14:cfRule>
          <x14:cfRule type="containsText" priority="2111" operator="containsText" id="{F816F468-C414-A846-8072-1FF7098256E0}">
            <xm:f>NOT(ISERROR(SEARCH("Value Missing",D469)))</xm:f>
            <xm:f>"Value Missing"</xm:f>
            <x14:dxf>
              <font>
                <color rgb="FF9C0006"/>
              </font>
              <fill>
                <patternFill>
                  <bgColor rgb="FFFFC7CE"/>
                </patternFill>
              </fill>
            </x14:dxf>
          </x14:cfRule>
          <xm:sqref>D469:D473</xm:sqref>
        </x14:conditionalFormatting>
        <x14:conditionalFormatting xmlns:xm="http://schemas.microsoft.com/office/excel/2006/main">
          <x14:cfRule type="notContainsText" priority="2104" operator="notContains" id="{87857F0B-7F10-9841-B26C-9762842B2388}">
            <xm:f>ISERROR(SEARCH("Value Missing",D473))</xm:f>
            <xm:f>"Value Missing"</xm:f>
            <x14:dxf>
              <font>
                <color rgb="FF006100"/>
              </font>
              <fill>
                <patternFill>
                  <bgColor rgb="FFC6EFCE"/>
                </patternFill>
              </fill>
            </x14:dxf>
          </x14:cfRule>
          <x14:cfRule type="containsText" priority="2105" operator="containsText" id="{4C5AD12E-6216-1B41-9A6F-7A25E5FD7D15}">
            <xm:f>NOT(ISERROR(SEARCH("Value Missing",D473)))</xm:f>
            <xm:f>"Value Missing"</xm:f>
            <x14:dxf>
              <font>
                <color rgb="FF9C0006"/>
              </font>
              <fill>
                <patternFill>
                  <bgColor rgb="FFFFC7CE"/>
                </patternFill>
              </fill>
            </x14:dxf>
          </x14:cfRule>
          <xm:sqref>D473</xm:sqref>
        </x14:conditionalFormatting>
        <x14:conditionalFormatting xmlns:xm="http://schemas.microsoft.com/office/excel/2006/main">
          <x14:cfRule type="containsText" priority="2101" operator="containsText" id="{243729FF-C5C4-0F4D-94A7-6D310A858AA5}">
            <xm:f>NOT(ISERROR(SEARCH("Value Missing",D473)))</xm:f>
            <xm:f>"Value Missing"</xm:f>
            <x14:dxf>
              <font>
                <color rgb="FF9C0006"/>
              </font>
              <fill>
                <patternFill>
                  <bgColor rgb="FFFFC7CE"/>
                </patternFill>
              </fill>
            </x14:dxf>
          </x14:cfRule>
          <x14:cfRule type="notContainsText" priority="2100" operator="notContains" id="{5122A425-BDCC-4045-89C3-E7BFCB7FD940}">
            <xm:f>ISERROR(SEARCH("Value Missing",D473))</xm:f>
            <xm:f>"Value Missing"</xm:f>
            <x14:dxf>
              <font>
                <color rgb="FF006100"/>
              </font>
              <fill>
                <patternFill>
                  <bgColor rgb="FFC6EFCE"/>
                </patternFill>
              </fill>
            </x14:dxf>
          </x14:cfRule>
          <xm:sqref>D473:D475</xm:sqref>
        </x14:conditionalFormatting>
        <x14:conditionalFormatting xmlns:xm="http://schemas.microsoft.com/office/excel/2006/main">
          <x14:cfRule type="containsText" priority="2109" operator="containsText" id="{5FAC5642-8E0E-B447-948F-61C101738F57}">
            <xm:f>NOT(ISERROR(SEARCH("Value Missing",D475)))</xm:f>
            <xm:f>"Value Missing"</xm:f>
            <x14:dxf>
              <font>
                <color rgb="FF9C0006"/>
              </font>
              <fill>
                <patternFill>
                  <bgColor rgb="FFFFC7CE"/>
                </patternFill>
              </fill>
            </x14:dxf>
          </x14:cfRule>
          <x14:cfRule type="notContainsText" priority="2108" operator="notContains" id="{35F6EBDE-0ACA-DA44-9112-EF37CA28DE1A}">
            <xm:f>ISERROR(SEARCH("Value Missing",D475))</xm:f>
            <xm:f>"Value Missing"</xm:f>
            <x14:dxf>
              <font>
                <color rgb="FF006100"/>
              </font>
              <fill>
                <patternFill>
                  <bgColor rgb="FFC6EFCE"/>
                </patternFill>
              </fill>
            </x14:dxf>
          </x14:cfRule>
          <xm:sqref>D475</xm:sqref>
        </x14:conditionalFormatting>
        <x14:conditionalFormatting xmlns:xm="http://schemas.microsoft.com/office/excel/2006/main">
          <x14:cfRule type="containsText" priority="2069" operator="containsText" id="{D829156E-2578-A146-8A4C-1015390E37FA}">
            <xm:f>NOT(ISERROR(SEARCH("Value Missing",D479)))</xm:f>
            <xm:f>"Value Missing"</xm:f>
            <x14:dxf>
              <font>
                <color rgb="FF9C0006"/>
              </font>
              <fill>
                <patternFill>
                  <bgColor rgb="FFFFC7CE"/>
                </patternFill>
              </fill>
            </x14:dxf>
          </x14:cfRule>
          <x14:cfRule type="notContainsText" priority="2068" operator="notContains" id="{666AC3BE-CA94-684E-857F-1AE378687721}">
            <xm:f>ISERROR(SEARCH("Value Missing",D479))</xm:f>
            <xm:f>"Value Missing"</xm:f>
            <x14:dxf>
              <font>
                <color rgb="FF006100"/>
              </font>
              <fill>
                <patternFill>
                  <bgColor rgb="FFC6EFCE"/>
                </patternFill>
              </fill>
            </x14:dxf>
          </x14:cfRule>
          <xm:sqref>D479:D489</xm:sqref>
        </x14:conditionalFormatting>
        <x14:conditionalFormatting xmlns:xm="http://schemas.microsoft.com/office/excel/2006/main">
          <x14:cfRule type="containsText" priority="2099" operator="containsText" id="{B7AE5BCE-FA7B-4D48-A16F-673F18FA005D}">
            <xm:f>NOT(ISERROR(SEARCH("Value Missing",D481)))</xm:f>
            <xm:f>"Value Missing"</xm:f>
            <x14:dxf>
              <font>
                <color rgb="FF9C0006"/>
              </font>
              <fill>
                <patternFill>
                  <bgColor rgb="FFFFC7CE"/>
                </patternFill>
              </fill>
            </x14:dxf>
          </x14:cfRule>
          <x14:cfRule type="notContainsText" priority="2098" operator="notContains" id="{3F224439-80D6-5D4A-BFCD-E4262352DA5C}">
            <xm:f>ISERROR(SEARCH("Value Missing",D481))</xm:f>
            <xm:f>"Value Missing"</xm:f>
            <x14:dxf>
              <font>
                <color rgb="FF006100"/>
              </font>
              <fill>
                <patternFill>
                  <bgColor rgb="FFC6EFCE"/>
                </patternFill>
              </fill>
            </x14:dxf>
          </x14:cfRule>
          <x14:cfRule type="containsText" priority="2077" operator="containsText" id="{2ECCB1D8-C4D8-9D43-BBF7-D1CF46C309EB}">
            <xm:f>NOT(ISERROR(SEARCH("Value Missing",D481)))</xm:f>
            <xm:f>"Value Missing"</xm:f>
            <x14:dxf>
              <font>
                <color rgb="FF9C0006"/>
              </font>
              <fill>
                <patternFill>
                  <bgColor rgb="FFFFC7CE"/>
                </patternFill>
              </fill>
            </x14:dxf>
          </x14:cfRule>
          <x14:cfRule type="notContainsText" priority="2076" operator="notContains" id="{ADFC6468-3B18-9342-968C-03EF79A90684}">
            <xm:f>ISERROR(SEARCH("Value Missing",D481))</xm:f>
            <xm:f>"Value Missing"</xm:f>
            <x14:dxf>
              <font>
                <color rgb="FF006100"/>
              </font>
              <fill>
                <patternFill>
                  <bgColor rgb="FFC6EFCE"/>
                </patternFill>
              </fill>
            </x14:dxf>
          </x14:cfRule>
          <xm:sqref>D481</xm:sqref>
        </x14:conditionalFormatting>
        <x14:conditionalFormatting xmlns:xm="http://schemas.microsoft.com/office/excel/2006/main">
          <x14:cfRule type="containsText" priority="2085" operator="containsText" id="{E12A98DB-1886-0C44-BB07-BA27391CD8C8}">
            <xm:f>NOT(ISERROR(SEARCH("Value Missing",D483)))</xm:f>
            <xm:f>"Value Missing"</xm:f>
            <x14:dxf>
              <font>
                <color rgb="FF9C0006"/>
              </font>
              <fill>
                <patternFill>
                  <bgColor rgb="FFFFC7CE"/>
                </patternFill>
              </fill>
            </x14:dxf>
          </x14:cfRule>
          <x14:cfRule type="notContainsText" priority="2084" operator="notContains" id="{B84BDE56-F953-FB43-B887-4A02A8DAC981}">
            <xm:f>ISERROR(SEARCH("Value Missing",D483))</xm:f>
            <xm:f>"Value Missing"</xm:f>
            <x14:dxf>
              <font>
                <color rgb="FF006100"/>
              </font>
              <fill>
                <patternFill>
                  <bgColor rgb="FFC6EFCE"/>
                </patternFill>
              </fill>
            </x14:dxf>
          </x14:cfRule>
          <xm:sqref>D483:D484</xm:sqref>
        </x14:conditionalFormatting>
        <x14:conditionalFormatting xmlns:xm="http://schemas.microsoft.com/office/excel/2006/main">
          <x14:cfRule type="containsText" priority="2035" operator="containsText" id="{5E95BDB0-BC3C-E745-B3E9-C5483FF59B1E}">
            <xm:f>NOT(ISERROR(SEARCH("Value Missing",D493)))</xm:f>
            <xm:f>"Value Missing"</xm:f>
            <x14:dxf>
              <font>
                <color rgb="FF9C0006"/>
              </font>
              <fill>
                <patternFill>
                  <bgColor rgb="FFFFC7CE"/>
                </patternFill>
              </fill>
            </x14:dxf>
          </x14:cfRule>
          <x14:cfRule type="notContainsText" priority="2034" operator="notContains" id="{91893DDE-0B8A-1745-99BC-66031CC2FA56}">
            <xm:f>ISERROR(SEARCH("Value Missing",D493))</xm:f>
            <xm:f>"Value Missing"</xm:f>
            <x14:dxf>
              <font>
                <color rgb="FF006100"/>
              </font>
              <fill>
                <patternFill>
                  <bgColor rgb="FFC6EFCE"/>
                </patternFill>
              </fill>
            </x14:dxf>
          </x14:cfRule>
          <xm:sqref>D493:D498</xm:sqref>
        </x14:conditionalFormatting>
        <x14:conditionalFormatting xmlns:xm="http://schemas.microsoft.com/office/excel/2006/main">
          <x14:cfRule type="containsText" priority="2047" operator="containsText" id="{5E094645-3FC4-E741-B520-1914F69B7EBF}">
            <xm:f>NOT(ISERROR(SEARCH("Value Missing",D496)))</xm:f>
            <xm:f>"Value Missing"</xm:f>
            <x14:dxf>
              <font>
                <color rgb="FF9C0006"/>
              </font>
              <fill>
                <patternFill>
                  <bgColor rgb="FFFFC7CE"/>
                </patternFill>
              </fill>
            </x14:dxf>
          </x14:cfRule>
          <x14:cfRule type="notContainsText" priority="2046" operator="notContains" id="{67C597FE-83AA-3649-A55D-593AEECAD7A3}">
            <xm:f>ISERROR(SEARCH("Value Missing",D496))</xm:f>
            <xm:f>"Value Missing"</xm:f>
            <x14:dxf>
              <font>
                <color rgb="FF006100"/>
              </font>
              <fill>
                <patternFill>
                  <bgColor rgb="FFC6EFCE"/>
                </patternFill>
              </fill>
            </x14:dxf>
          </x14:cfRule>
          <x14:cfRule type="containsText" priority="2041" operator="containsText" id="{C07A9A87-AADD-4940-A8ED-F8017A3F5B7C}">
            <xm:f>NOT(ISERROR(SEARCH("Value Missing",D496)))</xm:f>
            <xm:f>"Value Missing"</xm:f>
            <x14:dxf>
              <font>
                <color rgb="FF9C0006"/>
              </font>
              <fill>
                <patternFill>
                  <bgColor rgb="FFFFC7CE"/>
                </patternFill>
              </fill>
            </x14:dxf>
          </x14:cfRule>
          <x14:cfRule type="notContainsText" priority="2040" operator="notContains" id="{72CAE21D-50ED-A24B-9FCD-244B88E8D700}">
            <xm:f>ISERROR(SEARCH("Value Missing",D496))</xm:f>
            <xm:f>"Value Missing"</xm:f>
            <x14:dxf>
              <font>
                <color rgb="FF006100"/>
              </font>
              <fill>
                <patternFill>
                  <bgColor rgb="FFC6EFCE"/>
                </patternFill>
              </fill>
            </x14:dxf>
          </x14:cfRule>
          <xm:sqref>D496</xm:sqref>
        </x14:conditionalFormatting>
        <x14:conditionalFormatting xmlns:xm="http://schemas.microsoft.com/office/excel/2006/main">
          <x14:cfRule type="containsText" priority="2045" operator="containsText" id="{F78F07E7-E9CA-1842-8DC0-AF3CD91E54A6}">
            <xm:f>NOT(ISERROR(SEARCH("Value Missing",D498)))</xm:f>
            <xm:f>"Value Missing"</xm:f>
            <x14:dxf>
              <font>
                <color rgb="FF9C0006"/>
              </font>
              <fill>
                <patternFill>
                  <bgColor rgb="FFFFC7CE"/>
                </patternFill>
              </fill>
            </x14:dxf>
          </x14:cfRule>
          <x14:cfRule type="notContainsText" priority="2044" operator="notContains" id="{AAA02A84-2856-D240-B268-1D7B264B1B9B}">
            <xm:f>ISERROR(SEARCH("Value Missing",D498))</xm:f>
            <xm:f>"Value Missing"</xm:f>
            <x14:dxf>
              <font>
                <color rgb="FF006100"/>
              </font>
              <fill>
                <patternFill>
                  <bgColor rgb="FFC6EFCE"/>
                </patternFill>
              </fill>
            </x14:dxf>
          </x14:cfRule>
          <xm:sqref>D498</xm:sqref>
        </x14:conditionalFormatting>
        <x14:conditionalFormatting xmlns:xm="http://schemas.microsoft.com/office/excel/2006/main">
          <x14:cfRule type="containsText" priority="2005" operator="containsText" id="{2F726FF2-FE43-1E47-B7FF-BE92AC75F1F4}">
            <xm:f>NOT(ISERROR(SEARCH("Value Missing",D502)))</xm:f>
            <xm:f>"Value Missing"</xm:f>
            <x14:dxf>
              <font>
                <color rgb="FF9C0006"/>
              </font>
              <fill>
                <patternFill>
                  <bgColor rgb="FFFFC7CE"/>
                </patternFill>
              </fill>
            </x14:dxf>
          </x14:cfRule>
          <x14:cfRule type="notContainsText" priority="2004" operator="notContains" id="{F7D6AEFB-9A8B-4A44-91B6-588A114DE5BC}">
            <xm:f>ISERROR(SEARCH("Value Missing",D502))</xm:f>
            <xm:f>"Value Missing"</xm:f>
            <x14:dxf>
              <font>
                <color rgb="FF006100"/>
              </font>
              <fill>
                <patternFill>
                  <bgColor rgb="FFC6EFCE"/>
                </patternFill>
              </fill>
            </x14:dxf>
          </x14:cfRule>
          <xm:sqref>D502:D512</xm:sqref>
        </x14:conditionalFormatting>
        <x14:conditionalFormatting xmlns:xm="http://schemas.microsoft.com/office/excel/2006/main">
          <x14:cfRule type="containsText" priority="2033" operator="containsText" id="{03D9BCE7-A32C-F943-BA29-A93372919EA3}">
            <xm:f>NOT(ISERROR(SEARCH("Value Missing",D504)))</xm:f>
            <xm:f>"Value Missing"</xm:f>
            <x14:dxf>
              <font>
                <color rgb="FF9C0006"/>
              </font>
              <fill>
                <patternFill>
                  <bgColor rgb="FFFFC7CE"/>
                </patternFill>
              </fill>
            </x14:dxf>
          </x14:cfRule>
          <x14:cfRule type="notContainsText" priority="2032" operator="notContains" id="{6B47E2B3-52A8-D443-9A2A-B27761F38424}">
            <xm:f>ISERROR(SEARCH("Value Missing",D504))</xm:f>
            <xm:f>"Value Missing"</xm:f>
            <x14:dxf>
              <font>
                <color rgb="FF006100"/>
              </font>
              <fill>
                <patternFill>
                  <bgColor rgb="FFC6EFCE"/>
                </patternFill>
              </fill>
            </x14:dxf>
          </x14:cfRule>
          <x14:cfRule type="containsText" priority="2013" operator="containsText" id="{DB339137-44B8-3042-BA2D-493426D60867}">
            <xm:f>NOT(ISERROR(SEARCH("Value Missing",D504)))</xm:f>
            <xm:f>"Value Missing"</xm:f>
            <x14:dxf>
              <font>
                <color rgb="FF9C0006"/>
              </font>
              <fill>
                <patternFill>
                  <bgColor rgb="FFFFC7CE"/>
                </patternFill>
              </fill>
            </x14:dxf>
          </x14:cfRule>
          <x14:cfRule type="notContainsText" priority="2012" operator="notContains" id="{3F5D54B6-B069-3644-9416-870BC2B1FC0C}">
            <xm:f>ISERROR(SEARCH("Value Missing",D504))</xm:f>
            <xm:f>"Value Missing"</xm:f>
            <x14:dxf>
              <font>
                <color rgb="FF006100"/>
              </font>
              <fill>
                <patternFill>
                  <bgColor rgb="FFC6EFCE"/>
                </patternFill>
              </fill>
            </x14:dxf>
          </x14:cfRule>
          <xm:sqref>D504</xm:sqref>
        </x14:conditionalFormatting>
        <x14:conditionalFormatting xmlns:xm="http://schemas.microsoft.com/office/excel/2006/main">
          <x14:cfRule type="containsText" priority="2021" operator="containsText" id="{0F34215F-1024-514E-A6F3-B2D0CA047184}">
            <xm:f>NOT(ISERROR(SEARCH("Value Missing",D506)))</xm:f>
            <xm:f>"Value Missing"</xm:f>
            <x14:dxf>
              <font>
                <color rgb="FF9C0006"/>
              </font>
              <fill>
                <patternFill>
                  <bgColor rgb="FFFFC7CE"/>
                </patternFill>
              </fill>
            </x14:dxf>
          </x14:cfRule>
          <x14:cfRule type="notContainsText" priority="2020" operator="notContains" id="{CB6BB01E-D425-6F4D-B90B-D285B156FBB8}">
            <xm:f>ISERROR(SEARCH("Value Missing",D506))</xm:f>
            <xm:f>"Value Missing"</xm:f>
            <x14:dxf>
              <font>
                <color rgb="FF006100"/>
              </font>
              <fill>
                <patternFill>
                  <bgColor rgb="FFC6EFCE"/>
                </patternFill>
              </fill>
            </x14:dxf>
          </x14:cfRule>
          <xm:sqref>D506:D507</xm:sqref>
        </x14:conditionalFormatting>
        <x14:conditionalFormatting xmlns:xm="http://schemas.microsoft.com/office/excel/2006/main">
          <x14:cfRule type="containsText" priority="1987" operator="containsText" id="{3A775C02-A2F5-4E46-BC05-1BC8C315A7D2}">
            <xm:f>NOT(ISERROR(SEARCH("Value Missing",D516)))</xm:f>
            <xm:f>"Value Missing"</xm:f>
            <x14:dxf>
              <font>
                <color rgb="FF9C0006"/>
              </font>
              <fill>
                <patternFill>
                  <bgColor rgb="FFFFC7CE"/>
                </patternFill>
              </fill>
            </x14:dxf>
          </x14:cfRule>
          <x14:cfRule type="notContainsText" priority="1986" operator="notContains" id="{4860617B-ECBE-0648-B25C-D2A3B50E80E9}">
            <xm:f>ISERROR(SEARCH("Value Missing",D516))</xm:f>
            <xm:f>"Value Missing"</xm:f>
            <x14:dxf>
              <font>
                <color rgb="FF006100"/>
              </font>
              <fill>
                <patternFill>
                  <bgColor rgb="FFC6EFCE"/>
                </patternFill>
              </fill>
            </x14:dxf>
          </x14:cfRule>
          <xm:sqref>D516:D521</xm:sqref>
        </x14:conditionalFormatting>
        <x14:conditionalFormatting xmlns:xm="http://schemas.microsoft.com/office/excel/2006/main">
          <x14:cfRule type="notContainsText" priority="1992" operator="notContains" id="{90285E0F-BDAB-6445-900D-ACF8F8D4FA84}">
            <xm:f>ISERROR(SEARCH("Value Missing",D519))</xm:f>
            <xm:f>"Value Missing"</xm:f>
            <x14:dxf>
              <font>
                <color rgb="FF006100"/>
              </font>
              <fill>
                <patternFill>
                  <bgColor rgb="FFC6EFCE"/>
                </patternFill>
              </fill>
            </x14:dxf>
          </x14:cfRule>
          <x14:cfRule type="notContainsText" priority="1998" operator="notContains" id="{606B2B09-CA36-5649-9A32-41CBA4890FE5}">
            <xm:f>ISERROR(SEARCH("Value Missing",D519))</xm:f>
            <xm:f>"Value Missing"</xm:f>
            <x14:dxf>
              <font>
                <color rgb="FF006100"/>
              </font>
              <fill>
                <patternFill>
                  <bgColor rgb="FFC6EFCE"/>
                </patternFill>
              </fill>
            </x14:dxf>
          </x14:cfRule>
          <x14:cfRule type="containsText" priority="1993" operator="containsText" id="{61B31935-0814-FA47-A4F0-D5785B15D718}">
            <xm:f>NOT(ISERROR(SEARCH("Value Missing",D519)))</xm:f>
            <xm:f>"Value Missing"</xm:f>
            <x14:dxf>
              <font>
                <color rgb="FF9C0006"/>
              </font>
              <fill>
                <patternFill>
                  <bgColor rgb="FFFFC7CE"/>
                </patternFill>
              </fill>
            </x14:dxf>
          </x14:cfRule>
          <x14:cfRule type="containsText" priority="1999" operator="containsText" id="{4F404E94-5C1C-D743-A5D5-887BACDAB80E}">
            <xm:f>NOT(ISERROR(SEARCH("Value Missing",D519)))</xm:f>
            <xm:f>"Value Missing"</xm:f>
            <x14:dxf>
              <font>
                <color rgb="FF9C0006"/>
              </font>
              <fill>
                <patternFill>
                  <bgColor rgb="FFFFC7CE"/>
                </patternFill>
              </fill>
            </x14:dxf>
          </x14:cfRule>
          <xm:sqref>D519</xm:sqref>
        </x14:conditionalFormatting>
        <x14:conditionalFormatting xmlns:xm="http://schemas.microsoft.com/office/excel/2006/main">
          <x14:cfRule type="containsText" priority="1997" operator="containsText" id="{C78D8A6C-606C-644B-B3BA-F4B4BA95BF69}">
            <xm:f>NOT(ISERROR(SEARCH("Value Missing",D521)))</xm:f>
            <xm:f>"Value Missing"</xm:f>
            <x14:dxf>
              <font>
                <color rgb="FF9C0006"/>
              </font>
              <fill>
                <patternFill>
                  <bgColor rgb="FFFFC7CE"/>
                </patternFill>
              </fill>
            </x14:dxf>
          </x14:cfRule>
          <x14:cfRule type="notContainsText" priority="1996" operator="notContains" id="{D952222F-B6FB-0543-BDBA-E7A01EA9D950}">
            <xm:f>ISERROR(SEARCH("Value Missing",D521))</xm:f>
            <xm:f>"Value Missing"</xm:f>
            <x14:dxf>
              <font>
                <color rgb="FF006100"/>
              </font>
              <fill>
                <patternFill>
                  <bgColor rgb="FFC6EFCE"/>
                </patternFill>
              </fill>
            </x14:dxf>
          </x14:cfRule>
          <xm:sqref>D521</xm:sqref>
        </x14:conditionalFormatting>
        <x14:conditionalFormatting xmlns:xm="http://schemas.microsoft.com/office/excel/2006/main">
          <x14:cfRule type="notContainsText" priority="1972" operator="notContains" id="{FA53AB6D-565F-A443-9FCA-1F083E40C2BB}">
            <xm:f>ISERROR(SEARCH("Value Missing",D525))</xm:f>
            <xm:f>"Value Missing"</xm:f>
            <x14:dxf>
              <font>
                <color rgb="FF006100"/>
              </font>
              <fill>
                <patternFill>
                  <bgColor rgb="FFC6EFCE"/>
                </patternFill>
              </fill>
            </x14:dxf>
          </x14:cfRule>
          <x14:cfRule type="containsText" priority="1973" operator="containsText" id="{0E8B7DDD-A473-9A4C-AEE8-C8E291E0596B}">
            <xm:f>NOT(ISERROR(SEARCH("Value Missing",D525)))</xm:f>
            <xm:f>"Value Missing"</xm:f>
            <x14:dxf>
              <font>
                <color rgb="FF9C0006"/>
              </font>
              <fill>
                <patternFill>
                  <bgColor rgb="FFFFC7CE"/>
                </patternFill>
              </fill>
            </x14:dxf>
          </x14:cfRule>
          <xm:sqref>D525:D527</xm:sqref>
        </x14:conditionalFormatting>
        <x14:conditionalFormatting xmlns:xm="http://schemas.microsoft.com/office/excel/2006/main">
          <x14:cfRule type="notContainsText" priority="1966" operator="notContains" id="{401B40CC-4904-A64A-9543-0FB92F4A856D}">
            <xm:f>ISERROR(SEARCH("Value Missing",D527))</xm:f>
            <xm:f>"Value Missing"</xm:f>
            <x14:dxf>
              <font>
                <color rgb="FF006100"/>
              </font>
              <fill>
                <patternFill>
                  <bgColor rgb="FFC6EFCE"/>
                </patternFill>
              </fill>
            </x14:dxf>
          </x14:cfRule>
          <x14:cfRule type="containsText" priority="1967" operator="containsText" id="{DF4647E4-F6B5-944A-81CB-AA335539A206}">
            <xm:f>NOT(ISERROR(SEARCH("Value Missing",D527)))</xm:f>
            <xm:f>"Value Missing"</xm:f>
            <x14:dxf>
              <font>
                <color rgb="FF9C0006"/>
              </font>
              <fill>
                <patternFill>
                  <bgColor rgb="FFFFC7CE"/>
                </patternFill>
              </fill>
            </x14:dxf>
          </x14:cfRule>
          <xm:sqref>D527</xm:sqref>
        </x14:conditionalFormatting>
        <x14:conditionalFormatting xmlns:xm="http://schemas.microsoft.com/office/excel/2006/main">
          <x14:cfRule type="notContainsText" priority="1960" operator="notContains" id="{13E8C44B-CEAC-B84B-B856-AAA83BB8F09E}">
            <xm:f>ISERROR(SEARCH("Value Missing",D527))</xm:f>
            <xm:f>"Value Missing"</xm:f>
            <x14:dxf>
              <font>
                <color rgb="FF006100"/>
              </font>
              <fill>
                <patternFill>
                  <bgColor rgb="FFC6EFCE"/>
                </patternFill>
              </fill>
            </x14:dxf>
          </x14:cfRule>
          <x14:cfRule type="containsText" priority="1961" operator="containsText" id="{44BE0848-F9FD-A743-9E19-C9CAEA29F11F}">
            <xm:f>NOT(ISERROR(SEARCH("Value Missing",D527)))</xm:f>
            <xm:f>"Value Missing"</xm:f>
            <x14:dxf>
              <font>
                <color rgb="FF9C0006"/>
              </font>
              <fill>
                <patternFill>
                  <bgColor rgb="FFFFC7CE"/>
                </patternFill>
              </fill>
            </x14:dxf>
          </x14:cfRule>
          <xm:sqref>D527:D530</xm:sqref>
        </x14:conditionalFormatting>
        <x14:conditionalFormatting xmlns:xm="http://schemas.microsoft.com/office/excel/2006/main">
          <x14:cfRule type="notContainsText" priority="1970" operator="notContains" id="{73339357-A222-7348-81E5-159FE000551E}">
            <xm:f>ISERROR(SEARCH("Value Missing",D529))</xm:f>
            <xm:f>"Value Missing"</xm:f>
            <x14:dxf>
              <font>
                <color rgb="FF006100"/>
              </font>
              <fill>
                <patternFill>
                  <bgColor rgb="FFC6EFCE"/>
                </patternFill>
              </fill>
            </x14:dxf>
          </x14:cfRule>
          <x14:cfRule type="containsText" priority="1971" operator="containsText" id="{8FA2E01C-729C-DC4F-B929-EC4616FFF9E7}">
            <xm:f>NOT(ISERROR(SEARCH("Value Missing",D529)))</xm:f>
            <xm:f>"Value Missing"</xm:f>
            <x14:dxf>
              <font>
                <color rgb="FF9C0006"/>
              </font>
              <fill>
                <patternFill>
                  <bgColor rgb="FFFFC7CE"/>
                </patternFill>
              </fill>
            </x14:dxf>
          </x14:cfRule>
          <xm:sqref>D529</xm:sqref>
        </x14:conditionalFormatting>
        <x14:conditionalFormatting xmlns:xm="http://schemas.microsoft.com/office/excel/2006/main">
          <x14:cfRule type="containsText" priority="1955" operator="containsText" id="{9AF08C0E-D31F-3448-84C2-EEE595440FED}">
            <xm:f>NOT(ISERROR(SEARCH("Value Missing",D530)))</xm:f>
            <xm:f>"Value Missing"</xm:f>
            <x14:dxf>
              <font>
                <color rgb="FF9C0006"/>
              </font>
              <fill>
                <patternFill>
                  <bgColor rgb="FFFFC7CE"/>
                </patternFill>
              </fill>
            </x14:dxf>
          </x14:cfRule>
          <x14:cfRule type="notContainsText" priority="1954" operator="notContains" id="{2E28BC51-2CF0-BE49-9F5B-F1A8A34A5239}">
            <xm:f>ISERROR(SEARCH("Value Missing",D530))</xm:f>
            <xm:f>"Value Missing"</xm:f>
            <x14:dxf>
              <font>
                <color rgb="FF006100"/>
              </font>
              <fill>
                <patternFill>
                  <bgColor rgb="FFC6EFCE"/>
                </patternFill>
              </fill>
            </x14:dxf>
          </x14:cfRule>
          <xm:sqref>D530</xm:sqref>
        </x14:conditionalFormatting>
        <x14:conditionalFormatting xmlns:xm="http://schemas.microsoft.com/office/excel/2006/main">
          <x14:cfRule type="containsText" priority="1949" operator="containsText" id="{4E51B8D3-9703-B242-876F-2812788C3079}">
            <xm:f>NOT(ISERROR(SEARCH("Value Missing",D530)))</xm:f>
            <xm:f>"Value Missing"</xm:f>
            <x14:dxf>
              <font>
                <color rgb="FF9C0006"/>
              </font>
              <fill>
                <patternFill>
                  <bgColor rgb="FFFFC7CE"/>
                </patternFill>
              </fill>
            </x14:dxf>
          </x14:cfRule>
          <x14:cfRule type="notContainsText" priority="1948" operator="notContains" id="{8EF3A9A3-02BF-F446-BB94-F0A9CDD5A421}">
            <xm:f>ISERROR(SEARCH("Value Missing",D530))</xm:f>
            <xm:f>"Value Missing"</xm:f>
            <x14:dxf>
              <font>
                <color rgb="FF006100"/>
              </font>
              <fill>
                <patternFill>
                  <bgColor rgb="FFC6EFCE"/>
                </patternFill>
              </fill>
            </x14:dxf>
          </x14:cfRule>
          <xm:sqref>D530:D533</xm:sqref>
        </x14:conditionalFormatting>
        <x14:conditionalFormatting xmlns:xm="http://schemas.microsoft.com/office/excel/2006/main">
          <x14:cfRule type="containsText" priority="1959" operator="containsText" id="{9DF66DE0-7A29-3247-84B9-3470A8B3DC74}">
            <xm:f>NOT(ISERROR(SEARCH("Value Missing",D532)))</xm:f>
            <xm:f>"Value Missing"</xm:f>
            <x14:dxf>
              <font>
                <color rgb="FF9C0006"/>
              </font>
              <fill>
                <patternFill>
                  <bgColor rgb="FFFFC7CE"/>
                </patternFill>
              </fill>
            </x14:dxf>
          </x14:cfRule>
          <x14:cfRule type="notContainsText" priority="1958" operator="notContains" id="{06A2E428-0BCB-1448-9008-9A183F61358D}">
            <xm:f>ISERROR(SEARCH("Value Missing",D532))</xm:f>
            <xm:f>"Value Missing"</xm:f>
            <x14:dxf>
              <font>
                <color rgb="FF006100"/>
              </font>
              <fill>
                <patternFill>
                  <bgColor rgb="FFC6EFCE"/>
                </patternFill>
              </fill>
            </x14:dxf>
          </x14:cfRule>
          <xm:sqref>D532</xm:sqref>
        </x14:conditionalFormatting>
        <x14:conditionalFormatting xmlns:xm="http://schemas.microsoft.com/office/excel/2006/main">
          <x14:cfRule type="containsText" priority="1943" operator="containsText" id="{88145428-FFDE-9D43-9744-14143F0EEADE}">
            <xm:f>NOT(ISERROR(SEARCH("Value Missing",D533)))</xm:f>
            <xm:f>"Value Missing"</xm:f>
            <x14:dxf>
              <font>
                <color rgb="FF9C0006"/>
              </font>
              <fill>
                <patternFill>
                  <bgColor rgb="FFFFC7CE"/>
                </patternFill>
              </fill>
            </x14:dxf>
          </x14:cfRule>
          <x14:cfRule type="notContainsText" priority="1942" operator="notContains" id="{7D1F8958-C098-9B45-8DB0-0F7F7096F256}">
            <xm:f>ISERROR(SEARCH("Value Missing",D533))</xm:f>
            <xm:f>"Value Missing"</xm:f>
            <x14:dxf>
              <font>
                <color rgb="FF006100"/>
              </font>
              <fill>
                <patternFill>
                  <bgColor rgb="FFC6EFCE"/>
                </patternFill>
              </fill>
            </x14:dxf>
          </x14:cfRule>
          <xm:sqref>D533</xm:sqref>
        </x14:conditionalFormatting>
        <x14:conditionalFormatting xmlns:xm="http://schemas.microsoft.com/office/excel/2006/main">
          <x14:cfRule type="containsText" priority="1939" operator="containsText" id="{6EA9C8CD-E7F7-9045-9B62-D9D0830D96B8}">
            <xm:f>NOT(ISERROR(SEARCH("Value Missing",D533)))</xm:f>
            <xm:f>"Value Missing"</xm:f>
            <x14:dxf>
              <font>
                <color rgb="FF9C0006"/>
              </font>
              <fill>
                <patternFill>
                  <bgColor rgb="FFFFC7CE"/>
                </patternFill>
              </fill>
            </x14:dxf>
          </x14:cfRule>
          <x14:cfRule type="notContainsText" priority="1938" operator="notContains" id="{2AB91A46-8C22-C64F-8856-F6FCFAA84FCB}">
            <xm:f>ISERROR(SEARCH("Value Missing",D533))</xm:f>
            <xm:f>"Value Missing"</xm:f>
            <x14:dxf>
              <font>
                <color rgb="FF006100"/>
              </font>
              <fill>
                <patternFill>
                  <bgColor rgb="FFC6EFCE"/>
                </patternFill>
              </fill>
            </x14:dxf>
          </x14:cfRule>
          <xm:sqref>D533:D535</xm:sqref>
        </x14:conditionalFormatting>
        <x14:conditionalFormatting xmlns:xm="http://schemas.microsoft.com/office/excel/2006/main">
          <x14:cfRule type="containsText" priority="1947" operator="containsText" id="{F9C65038-AD73-DA46-8489-130C8391A439}">
            <xm:f>NOT(ISERROR(SEARCH("Value Missing",D535)))</xm:f>
            <xm:f>"Value Missing"</xm:f>
            <x14:dxf>
              <font>
                <color rgb="FF9C0006"/>
              </font>
              <fill>
                <patternFill>
                  <bgColor rgb="FFFFC7CE"/>
                </patternFill>
              </fill>
            </x14:dxf>
          </x14:cfRule>
          <x14:cfRule type="notContainsText" priority="1946" operator="notContains" id="{60ED6BA1-D8B9-9544-91C3-A4FD863E6FC4}">
            <xm:f>ISERROR(SEARCH("Value Missing",D535))</xm:f>
            <xm:f>"Value Missing"</xm:f>
            <x14:dxf>
              <font>
                <color rgb="FF006100"/>
              </font>
              <fill>
                <patternFill>
                  <bgColor rgb="FFC6EFCE"/>
                </patternFill>
              </fill>
            </x14:dxf>
          </x14:cfRule>
          <xm:sqref>D535</xm:sqref>
        </x14:conditionalFormatting>
        <x14:conditionalFormatting xmlns:xm="http://schemas.microsoft.com/office/excel/2006/main">
          <x14:cfRule type="containsText" priority="1905" operator="containsText" id="{0E91D471-183E-0F42-8F99-FB68D7AB02F3}">
            <xm:f>NOT(ISERROR(SEARCH("Value Missing",D541)))</xm:f>
            <xm:f>"Value Missing"</xm:f>
            <x14:dxf>
              <font>
                <color rgb="FF9C0006"/>
              </font>
              <fill>
                <patternFill>
                  <bgColor rgb="FFFFC7CE"/>
                </patternFill>
              </fill>
            </x14:dxf>
          </x14:cfRule>
          <xm:sqref>D541</xm:sqref>
        </x14:conditionalFormatting>
        <x14:conditionalFormatting xmlns:xm="http://schemas.microsoft.com/office/excel/2006/main">
          <x14:cfRule type="notContainsText" priority="765" operator="notContains" id="{3671D811-7001-564B-995D-389C42B7E69D}">
            <xm:f>ISERROR(SEARCH("Value Missing",D541))</xm:f>
            <xm:f>"Value Missing"</xm:f>
            <x14:dxf>
              <font>
                <color rgb="FF006100"/>
              </font>
              <fill>
                <patternFill>
                  <bgColor rgb="FFC6EFCE"/>
                </patternFill>
              </fill>
            </x14:dxf>
          </x14:cfRule>
          <xm:sqref>D541:D542</xm:sqref>
        </x14:conditionalFormatting>
        <x14:conditionalFormatting xmlns:xm="http://schemas.microsoft.com/office/excel/2006/main">
          <x14:cfRule type="containsText" priority="672" operator="containsText" id="{7256D237-01A6-E04B-BAB1-29850556302D}">
            <xm:f>NOT(ISERROR(SEARCH("Value Missing",D542)))</xm:f>
            <xm:f>"Value Missing"</xm:f>
            <x14:dxf>
              <font>
                <color rgb="FF9C0006"/>
              </font>
              <fill>
                <patternFill>
                  <bgColor rgb="FFFFC7CE"/>
                </patternFill>
              </fill>
            </x14:dxf>
          </x14:cfRule>
          <xm:sqref>D542</xm:sqref>
        </x14:conditionalFormatting>
        <x14:conditionalFormatting xmlns:xm="http://schemas.microsoft.com/office/excel/2006/main">
          <x14:cfRule type="notContainsText" priority="1914" operator="notContains" id="{8C1ABF28-46AE-7743-8441-C3357171D803}">
            <xm:f>ISERROR(SEARCH("Value Missing",D543))</xm:f>
            <xm:f>"Value Missing"</xm:f>
            <x14:dxf>
              <font>
                <color rgb="FF006100"/>
              </font>
              <fill>
                <patternFill>
                  <bgColor rgb="FFC6EFCE"/>
                </patternFill>
              </fill>
            </x14:dxf>
          </x14:cfRule>
          <x14:cfRule type="containsText" priority="1915" operator="containsText" id="{62228D54-0650-9146-A437-F20D606585CD}">
            <xm:f>NOT(ISERROR(SEARCH("Value Missing",D543)))</xm:f>
            <xm:f>"Value Missing"</xm:f>
            <x14:dxf>
              <font>
                <color rgb="FF9C0006"/>
              </font>
              <fill>
                <patternFill>
                  <bgColor rgb="FFFFC7CE"/>
                </patternFill>
              </fill>
            </x14:dxf>
          </x14:cfRule>
          <x14:cfRule type="containsText" priority="1899" operator="containsText" id="{56E7E8FE-DE24-D749-B041-6A99CE337FA2}">
            <xm:f>NOT(ISERROR(SEARCH("Value Missing",D543)))</xm:f>
            <xm:f>"Value Missing"</xm:f>
            <x14:dxf>
              <font>
                <color rgb="FF9C0006"/>
              </font>
              <fill>
                <patternFill>
                  <bgColor rgb="FFFFC7CE"/>
                </patternFill>
              </fill>
            </x14:dxf>
          </x14:cfRule>
          <x14:cfRule type="notContainsText" priority="1898" operator="notContains" id="{2618E75E-F737-0D42-8167-65FAAB8D834C}">
            <xm:f>ISERROR(SEARCH("Value Missing",D543))</xm:f>
            <xm:f>"Value Missing"</xm:f>
            <x14:dxf>
              <font>
                <color rgb="FF006100"/>
              </font>
              <fill>
                <patternFill>
                  <bgColor rgb="FFC6EFCE"/>
                </patternFill>
              </fill>
            </x14:dxf>
          </x14:cfRule>
          <xm:sqref>D543</xm:sqref>
        </x14:conditionalFormatting>
        <x14:conditionalFormatting xmlns:xm="http://schemas.microsoft.com/office/excel/2006/main">
          <x14:cfRule type="containsText" priority="1893" operator="containsText" id="{B839E883-5D74-C241-BDFB-FA4D5044769F}">
            <xm:f>NOT(ISERROR(SEARCH("Value Missing",D543)))</xm:f>
            <xm:f>"Value Missing"</xm:f>
            <x14:dxf>
              <font>
                <color rgb="FF9C0006"/>
              </font>
              <fill>
                <patternFill>
                  <bgColor rgb="FFFFC7CE"/>
                </patternFill>
              </fill>
            </x14:dxf>
          </x14:cfRule>
          <x14:cfRule type="notContainsText" priority="1892" operator="notContains" id="{15BBD80C-2FB0-9348-A114-C9C688248361}">
            <xm:f>ISERROR(SEARCH("Value Missing",D543))</xm:f>
            <xm:f>"Value Missing"</xm:f>
            <x14:dxf>
              <font>
                <color rgb="FF006100"/>
              </font>
              <fill>
                <patternFill>
                  <bgColor rgb="FFC6EFCE"/>
                </patternFill>
              </fill>
            </x14:dxf>
          </x14:cfRule>
          <xm:sqref>D543:D544</xm:sqref>
        </x14:conditionalFormatting>
        <x14:conditionalFormatting xmlns:xm="http://schemas.microsoft.com/office/excel/2006/main">
          <x14:cfRule type="containsText" priority="1887" operator="containsText" id="{5EE78A4D-DB4D-8042-9CA0-12A2AD2E3605}">
            <xm:f>NOT(ISERROR(SEARCH("Value Missing",D544)))</xm:f>
            <xm:f>"Value Missing"</xm:f>
            <x14:dxf>
              <font>
                <color rgb="FF9C0006"/>
              </font>
              <fill>
                <patternFill>
                  <bgColor rgb="FFFFC7CE"/>
                </patternFill>
              </fill>
            </x14:dxf>
          </x14:cfRule>
          <x14:cfRule type="notContainsText" priority="1886" operator="notContains" id="{9F4DFB66-6A00-7B45-8192-4D55C2882EE8}">
            <xm:f>ISERROR(SEARCH("Value Missing",D544))</xm:f>
            <xm:f>"Value Missing"</xm:f>
            <x14:dxf>
              <font>
                <color rgb="FF006100"/>
              </font>
              <fill>
                <patternFill>
                  <bgColor rgb="FFC6EFCE"/>
                </patternFill>
              </fill>
            </x14:dxf>
          </x14:cfRule>
          <xm:sqref>D544</xm:sqref>
        </x14:conditionalFormatting>
        <x14:conditionalFormatting xmlns:xm="http://schemas.microsoft.com/office/excel/2006/main">
          <x14:cfRule type="containsText" priority="1883" operator="containsText" id="{881CCC31-1798-1945-BF92-2744AF6BBC3C}">
            <xm:f>NOT(ISERROR(SEARCH("Value Missing",D544)))</xm:f>
            <xm:f>"Value Missing"</xm:f>
            <x14:dxf>
              <font>
                <color rgb="FF9C0006"/>
              </font>
              <fill>
                <patternFill>
                  <bgColor rgb="FFFFC7CE"/>
                </patternFill>
              </fill>
            </x14:dxf>
          </x14:cfRule>
          <x14:cfRule type="notContainsText" priority="1882" operator="notContains" id="{23C91952-4470-1048-871D-00907F77D581}">
            <xm:f>ISERROR(SEARCH("Value Missing",D544))</xm:f>
            <xm:f>"Value Missing"</xm:f>
            <x14:dxf>
              <font>
                <color rgb="FF006100"/>
              </font>
              <fill>
                <patternFill>
                  <bgColor rgb="FFC6EFCE"/>
                </patternFill>
              </fill>
            </x14:dxf>
          </x14:cfRule>
          <xm:sqref>D544:D546</xm:sqref>
        </x14:conditionalFormatting>
        <x14:conditionalFormatting xmlns:xm="http://schemas.microsoft.com/office/excel/2006/main">
          <x14:cfRule type="containsText" priority="1891" operator="containsText" id="{9DE9B73D-7B2F-6F47-B6AB-CCEC26B10152}">
            <xm:f>NOT(ISERROR(SEARCH("Value Missing",D546)))</xm:f>
            <xm:f>"Value Missing"</xm:f>
            <x14:dxf>
              <font>
                <color rgb="FF9C0006"/>
              </font>
              <fill>
                <patternFill>
                  <bgColor rgb="FFFFC7CE"/>
                </patternFill>
              </fill>
            </x14:dxf>
          </x14:cfRule>
          <x14:cfRule type="notContainsText" priority="1890" operator="notContains" id="{C1D3A54E-F045-804D-943B-3EB1EBBEA098}">
            <xm:f>ISERROR(SEARCH("Value Missing",D546))</xm:f>
            <xm:f>"Value Missing"</xm:f>
            <x14:dxf>
              <font>
                <color rgb="FF006100"/>
              </font>
              <fill>
                <patternFill>
                  <bgColor rgb="FFC6EFCE"/>
                </patternFill>
              </fill>
            </x14:dxf>
          </x14:cfRule>
          <xm:sqref>D546:D547</xm:sqref>
        </x14:conditionalFormatting>
        <x14:conditionalFormatting xmlns:xm="http://schemas.microsoft.com/office/excel/2006/main">
          <x14:cfRule type="containsText" priority="1875" operator="containsText" id="{C8ACDAAA-DE74-6947-869D-133F469ED08C}">
            <xm:f>NOT(ISERROR(SEARCH("Value Missing",D548)))</xm:f>
            <xm:f>"Value Missing"</xm:f>
            <x14:dxf>
              <font>
                <color rgb="FF9C0006"/>
              </font>
              <fill>
                <patternFill>
                  <bgColor rgb="FFFFC7CE"/>
                </patternFill>
              </fill>
            </x14:dxf>
          </x14:cfRule>
          <x14:cfRule type="notContainsText" priority="1874" operator="notContains" id="{703F9579-C089-2641-89CD-A11B0D7643B7}">
            <xm:f>ISERROR(SEARCH("Value Missing",D548))</xm:f>
            <xm:f>"Value Missing"</xm:f>
            <x14:dxf>
              <font>
                <color rgb="FF006100"/>
              </font>
              <fill>
                <patternFill>
                  <bgColor rgb="FFC6EFCE"/>
                </patternFill>
              </fill>
            </x14:dxf>
          </x14:cfRule>
          <x14:cfRule type="containsText" priority="1881" operator="containsText" id="{568A8CFB-EAAF-C14B-A1B7-72C622B31C75}">
            <xm:f>NOT(ISERROR(SEARCH("Value Missing",D548)))</xm:f>
            <xm:f>"Value Missing"</xm:f>
            <x14:dxf>
              <font>
                <color rgb="FF9C0006"/>
              </font>
              <fill>
                <patternFill>
                  <bgColor rgb="FFFFC7CE"/>
                </patternFill>
              </fill>
            </x14:dxf>
          </x14:cfRule>
          <x14:cfRule type="notContainsText" priority="1880" operator="notContains" id="{77B27689-B695-DE47-BBF4-2EF7AB498F5B}">
            <xm:f>ISERROR(SEARCH("Value Missing",D548))</xm:f>
            <xm:f>"Value Missing"</xm:f>
            <x14:dxf>
              <font>
                <color rgb="FF006100"/>
              </font>
              <fill>
                <patternFill>
                  <bgColor rgb="FFC6EFCE"/>
                </patternFill>
              </fill>
            </x14:dxf>
          </x14:cfRule>
          <xm:sqref>D548</xm:sqref>
        </x14:conditionalFormatting>
        <x14:conditionalFormatting xmlns:xm="http://schemas.microsoft.com/office/excel/2006/main">
          <x14:cfRule type="notContainsText" priority="1870" operator="notContains" id="{0E10A7C1-6B72-2347-B9C0-F3CA3D8960D6}">
            <xm:f>ISERROR(SEARCH("Value Missing",D548))</xm:f>
            <xm:f>"Value Missing"</xm:f>
            <x14:dxf>
              <font>
                <color rgb="FF006100"/>
              </font>
              <fill>
                <patternFill>
                  <bgColor rgb="FFC6EFCE"/>
                </patternFill>
              </fill>
            </x14:dxf>
          </x14:cfRule>
          <x14:cfRule type="containsText" priority="1871" operator="containsText" id="{8D85C0C4-914E-AD48-930A-403D61473C5B}">
            <xm:f>NOT(ISERROR(SEARCH("Value Missing",D548)))</xm:f>
            <xm:f>"Value Missing"</xm:f>
            <x14:dxf>
              <font>
                <color rgb="FF9C0006"/>
              </font>
              <fill>
                <patternFill>
                  <bgColor rgb="FFFFC7CE"/>
                </patternFill>
              </fill>
            </x14:dxf>
          </x14:cfRule>
          <xm:sqref>D548:D550</xm:sqref>
        </x14:conditionalFormatting>
        <x14:conditionalFormatting xmlns:xm="http://schemas.microsoft.com/office/excel/2006/main">
          <x14:cfRule type="containsText" priority="1879" operator="containsText" id="{B3EB113F-AB93-7A47-84FB-18ADB2BD673F}">
            <xm:f>NOT(ISERROR(SEARCH("Value Missing",D550)))</xm:f>
            <xm:f>"Value Missing"</xm:f>
            <x14:dxf>
              <font>
                <color rgb="FF9C0006"/>
              </font>
              <fill>
                <patternFill>
                  <bgColor rgb="FFFFC7CE"/>
                </patternFill>
              </fill>
            </x14:dxf>
          </x14:cfRule>
          <x14:cfRule type="notContainsText" priority="1878" operator="notContains" id="{2F6C4CB3-BB6B-6748-88BF-49E16EA5BF6A}">
            <xm:f>ISERROR(SEARCH("Value Missing",D550))</xm:f>
            <xm:f>"Value Missing"</xm:f>
            <x14:dxf>
              <font>
                <color rgb="FF006100"/>
              </font>
              <fill>
                <patternFill>
                  <bgColor rgb="FFC6EFCE"/>
                </patternFill>
              </fill>
            </x14:dxf>
          </x14:cfRule>
          <xm:sqref>D550:D551</xm:sqref>
        </x14:conditionalFormatting>
        <x14:conditionalFormatting xmlns:xm="http://schemas.microsoft.com/office/excel/2006/main">
          <x14:cfRule type="notContainsText" priority="2266" operator="notContains" id="{D9E68D03-5B8B-704C-A012-5045F957CA09}">
            <xm:f>ISERROR(SEARCH("Value Missing",D551))</xm:f>
            <xm:f>"Value Missing"</xm:f>
            <x14:dxf>
              <font>
                <color rgb="FF006100"/>
              </font>
              <fill>
                <patternFill>
                  <bgColor rgb="FFC6EFCE"/>
                </patternFill>
              </fill>
            </x14:dxf>
          </x14:cfRule>
          <x14:cfRule type="containsText" priority="2267" operator="containsText" id="{8DD774DF-9FFF-BA44-BCCE-F29612D572D1}">
            <xm:f>NOT(ISERROR(SEARCH("Value Missing",D551)))</xm:f>
            <xm:f>"Value Missing"</xm:f>
            <x14:dxf>
              <font>
                <color rgb="FF9C0006"/>
              </font>
              <fill>
                <patternFill>
                  <bgColor rgb="FFFFC7CE"/>
                </patternFill>
              </fill>
            </x14:dxf>
          </x14:cfRule>
          <xm:sqref>D551</xm:sqref>
        </x14:conditionalFormatting>
        <x14:conditionalFormatting xmlns:xm="http://schemas.microsoft.com/office/excel/2006/main">
          <x14:cfRule type="containsText" priority="1869" operator="containsText" id="{7FE84B27-9706-214E-B1FC-9A1EE4061E00}">
            <xm:f>NOT(ISERROR(SEARCH("Value Missing",D552)))</xm:f>
            <xm:f>"Value Missing"</xm:f>
            <x14:dxf>
              <font>
                <color rgb="FF9C0006"/>
              </font>
              <fill>
                <patternFill>
                  <bgColor rgb="FFFFC7CE"/>
                </patternFill>
              </fill>
            </x14:dxf>
          </x14:cfRule>
          <x14:cfRule type="notContainsText" priority="1868" operator="notContains" id="{BFB5E6FB-5DBB-BD49-A9BF-C62E9BA3DA07}">
            <xm:f>ISERROR(SEARCH("Value Missing",D552))</xm:f>
            <xm:f>"Value Missing"</xm:f>
            <x14:dxf>
              <font>
                <color rgb="FF006100"/>
              </font>
              <fill>
                <patternFill>
                  <bgColor rgb="FFC6EFCE"/>
                </patternFill>
              </fill>
            </x14:dxf>
          </x14:cfRule>
          <x14:cfRule type="containsText" priority="1863" operator="containsText" id="{E5AF4912-02E3-154B-A163-FC11F0CE10F1}">
            <xm:f>NOT(ISERROR(SEARCH("Value Missing",D552)))</xm:f>
            <xm:f>"Value Missing"</xm:f>
            <x14:dxf>
              <font>
                <color rgb="FF9C0006"/>
              </font>
              <fill>
                <patternFill>
                  <bgColor rgb="FFFFC7CE"/>
                </patternFill>
              </fill>
            </x14:dxf>
          </x14:cfRule>
          <x14:cfRule type="notContainsText" priority="1862" operator="notContains" id="{8127C7E3-B1BB-7B47-8FE1-7C074B170AE1}">
            <xm:f>ISERROR(SEARCH("Value Missing",D552))</xm:f>
            <xm:f>"Value Missing"</xm:f>
            <x14:dxf>
              <font>
                <color rgb="FF006100"/>
              </font>
              <fill>
                <patternFill>
                  <bgColor rgb="FFC6EFCE"/>
                </patternFill>
              </fill>
            </x14:dxf>
          </x14:cfRule>
          <xm:sqref>D552</xm:sqref>
        </x14:conditionalFormatting>
        <x14:conditionalFormatting xmlns:xm="http://schemas.microsoft.com/office/excel/2006/main">
          <x14:cfRule type="containsText" priority="1859" operator="containsText" id="{E944D3B5-77C9-7D4E-B61A-5A131A55EFD5}">
            <xm:f>NOT(ISERROR(SEARCH("Value Missing",D552)))</xm:f>
            <xm:f>"Value Missing"</xm:f>
            <x14:dxf>
              <font>
                <color rgb="FF9C0006"/>
              </font>
              <fill>
                <patternFill>
                  <bgColor rgb="FFFFC7CE"/>
                </patternFill>
              </fill>
            </x14:dxf>
          </x14:cfRule>
          <x14:cfRule type="notContainsText" priority="1858" operator="notContains" id="{46B00473-9B28-4A45-A61D-6A67E59A70A9}">
            <xm:f>ISERROR(SEARCH("Value Missing",D552))</xm:f>
            <xm:f>"Value Missing"</xm:f>
            <x14:dxf>
              <font>
                <color rgb="FF006100"/>
              </font>
              <fill>
                <patternFill>
                  <bgColor rgb="FFC6EFCE"/>
                </patternFill>
              </fill>
            </x14:dxf>
          </x14:cfRule>
          <xm:sqref>D552:D554</xm:sqref>
        </x14:conditionalFormatting>
        <x14:conditionalFormatting xmlns:xm="http://schemas.microsoft.com/office/excel/2006/main">
          <x14:cfRule type="containsText" priority="1867" operator="containsText" id="{5816063B-72FA-2545-B17F-82ED15B995E1}">
            <xm:f>NOT(ISERROR(SEARCH("Value Missing",D554)))</xm:f>
            <xm:f>"Value Missing"</xm:f>
            <x14:dxf>
              <font>
                <color rgb="FF9C0006"/>
              </font>
              <fill>
                <patternFill>
                  <bgColor rgb="FFFFC7CE"/>
                </patternFill>
              </fill>
            </x14:dxf>
          </x14:cfRule>
          <x14:cfRule type="notContainsText" priority="1866" operator="notContains" id="{7E95B924-522D-FE48-A1DD-C4F1FA1B4A39}">
            <xm:f>ISERROR(SEARCH("Value Missing",D554))</xm:f>
            <xm:f>"Value Missing"</xm:f>
            <x14:dxf>
              <font>
                <color rgb="FF006100"/>
              </font>
              <fill>
                <patternFill>
                  <bgColor rgb="FFC6EFCE"/>
                </patternFill>
              </fill>
            </x14:dxf>
          </x14:cfRule>
          <xm:sqref>D554</xm:sqref>
        </x14:conditionalFormatting>
        <x14:conditionalFormatting xmlns:xm="http://schemas.microsoft.com/office/excel/2006/main">
          <x14:cfRule type="containsText" priority="1857" operator="containsText" id="{9376F19E-34A6-F74F-8FF0-CCF3AA8A82CB}">
            <xm:f>NOT(ISERROR(SEARCH("Value Missing",D558)))</xm:f>
            <xm:f>"Value Missing"</xm:f>
            <x14:dxf>
              <font>
                <color rgb="FF9C0006"/>
              </font>
              <fill>
                <patternFill>
                  <bgColor rgb="FFFFC7CE"/>
                </patternFill>
              </fill>
            </x14:dxf>
          </x14:cfRule>
          <x14:cfRule type="notContainsText" priority="1856" operator="notContains" id="{F41034C1-25D3-E740-B7A1-A03C816AE972}">
            <xm:f>ISERROR(SEARCH("Value Missing",D558))</xm:f>
            <xm:f>"Value Missing"</xm:f>
            <x14:dxf>
              <font>
                <color rgb="FF006100"/>
              </font>
              <fill>
                <patternFill>
                  <bgColor rgb="FFC6EFCE"/>
                </patternFill>
              </fill>
            </x14:dxf>
          </x14:cfRule>
          <xm:sqref>D558</xm:sqref>
        </x14:conditionalFormatting>
        <x14:conditionalFormatting xmlns:xm="http://schemas.microsoft.com/office/excel/2006/main">
          <x14:cfRule type="containsText" priority="1815" operator="containsText" id="{B216C024-FA81-2145-AA56-F77B0403107E}">
            <xm:f>NOT(ISERROR(SEARCH("Value Missing",D561)))</xm:f>
            <xm:f>"Value Missing"</xm:f>
            <x14:dxf>
              <font>
                <color rgb="FF9C0006"/>
              </font>
              <fill>
                <patternFill>
                  <bgColor rgb="FFFFC7CE"/>
                </patternFill>
              </fill>
            </x14:dxf>
          </x14:cfRule>
          <x14:cfRule type="notContainsText" priority="1814" operator="notContains" id="{F8F9B273-3110-7C41-9EB2-FA30FDBA081C}">
            <xm:f>ISERROR(SEARCH("Value Missing",D561))</xm:f>
            <xm:f>"Value Missing"</xm:f>
            <x14:dxf>
              <font>
                <color rgb="FF006100"/>
              </font>
              <fill>
                <patternFill>
                  <bgColor rgb="FFC6EFCE"/>
                </patternFill>
              </fill>
            </x14:dxf>
          </x14:cfRule>
          <xm:sqref>D561:D562</xm:sqref>
        </x14:conditionalFormatting>
        <x14:conditionalFormatting xmlns:xm="http://schemas.microsoft.com/office/excel/2006/main">
          <x14:cfRule type="containsText" priority="1809" operator="containsText" id="{C7BF9B30-8206-6F45-B01B-145E05AAB863}">
            <xm:f>NOT(ISERROR(SEARCH("Value Missing",D562)))</xm:f>
            <xm:f>"Value Missing"</xm:f>
            <x14:dxf>
              <font>
                <color rgb="FF9C0006"/>
              </font>
              <fill>
                <patternFill>
                  <bgColor rgb="FFFFC7CE"/>
                </patternFill>
              </fill>
            </x14:dxf>
          </x14:cfRule>
          <x14:cfRule type="notContainsText" priority="1808" operator="notContains" id="{E52E1390-65AA-DA46-A0A4-62AEC686F4FC}">
            <xm:f>ISERROR(SEARCH("Value Missing",D562))</xm:f>
            <xm:f>"Value Missing"</xm:f>
            <x14:dxf>
              <font>
                <color rgb="FF006100"/>
              </font>
              <fill>
                <patternFill>
                  <bgColor rgb="FFC6EFCE"/>
                </patternFill>
              </fill>
            </x14:dxf>
          </x14:cfRule>
          <xm:sqref>D562</xm:sqref>
        </x14:conditionalFormatting>
        <x14:conditionalFormatting xmlns:xm="http://schemas.microsoft.com/office/excel/2006/main">
          <x14:cfRule type="notContainsText" priority="1804" operator="notContains" id="{42B049EA-399D-2444-86A4-38E4260C14B3}">
            <xm:f>ISERROR(SEARCH("Value Missing",D562))</xm:f>
            <xm:f>"Value Missing"</xm:f>
            <x14:dxf>
              <font>
                <color rgb="FF006100"/>
              </font>
              <fill>
                <patternFill>
                  <bgColor rgb="FFC6EFCE"/>
                </patternFill>
              </fill>
            </x14:dxf>
          </x14:cfRule>
          <x14:cfRule type="containsText" priority="1805" operator="containsText" id="{D46780E5-34EE-1149-9E8B-9D16519D9027}">
            <xm:f>NOT(ISERROR(SEARCH("Value Missing",D562)))</xm:f>
            <xm:f>"Value Missing"</xm:f>
            <x14:dxf>
              <font>
                <color rgb="FF9C0006"/>
              </font>
              <fill>
                <patternFill>
                  <bgColor rgb="FFFFC7CE"/>
                </patternFill>
              </fill>
            </x14:dxf>
          </x14:cfRule>
          <xm:sqref>D562:D564</xm:sqref>
        </x14:conditionalFormatting>
        <x14:conditionalFormatting xmlns:xm="http://schemas.microsoft.com/office/excel/2006/main">
          <x14:cfRule type="containsText" priority="1813" operator="containsText" id="{80136E06-C35A-B94A-98A6-3CE3F7DBB715}">
            <xm:f>NOT(ISERROR(SEARCH("Value Missing",D564)))</xm:f>
            <xm:f>"Value Missing"</xm:f>
            <x14:dxf>
              <font>
                <color rgb="FF9C0006"/>
              </font>
              <fill>
                <patternFill>
                  <bgColor rgb="FFFFC7CE"/>
                </patternFill>
              </fill>
            </x14:dxf>
          </x14:cfRule>
          <x14:cfRule type="notContainsText" priority="1812" operator="notContains" id="{88E48BCA-493E-364A-93E4-94D634760E1B}">
            <xm:f>ISERROR(SEARCH("Value Missing",D564))</xm:f>
            <xm:f>"Value Missing"</xm:f>
            <x14:dxf>
              <font>
                <color rgb="FF006100"/>
              </font>
              <fill>
                <patternFill>
                  <bgColor rgb="FFC6EFCE"/>
                </patternFill>
              </fill>
            </x14:dxf>
          </x14:cfRule>
          <xm:sqref>D564:D565</xm:sqref>
        </x14:conditionalFormatting>
        <x14:conditionalFormatting xmlns:xm="http://schemas.microsoft.com/office/excel/2006/main">
          <x14:cfRule type="notContainsText" priority="1802" operator="notContains" id="{E8AD2BD5-84B9-CF4E-A0CD-5061A3C26B82}">
            <xm:f>ISERROR(SEARCH("Value Missing",D566))</xm:f>
            <xm:f>"Value Missing"</xm:f>
            <x14:dxf>
              <font>
                <color rgb="FF006100"/>
              </font>
              <fill>
                <patternFill>
                  <bgColor rgb="FFC6EFCE"/>
                </patternFill>
              </fill>
            </x14:dxf>
          </x14:cfRule>
          <x14:cfRule type="containsText" priority="1797" operator="containsText" id="{B4D5DA45-2546-8A40-9BF0-E606F594E584}">
            <xm:f>NOT(ISERROR(SEARCH("Value Missing",D566)))</xm:f>
            <xm:f>"Value Missing"</xm:f>
            <x14:dxf>
              <font>
                <color rgb="FF9C0006"/>
              </font>
              <fill>
                <patternFill>
                  <bgColor rgb="FFFFC7CE"/>
                </patternFill>
              </fill>
            </x14:dxf>
          </x14:cfRule>
          <x14:cfRule type="notContainsText" priority="1796" operator="notContains" id="{A6648488-B301-494D-A86A-33A70B659A14}">
            <xm:f>ISERROR(SEARCH("Value Missing",D566))</xm:f>
            <xm:f>"Value Missing"</xm:f>
            <x14:dxf>
              <font>
                <color rgb="FF006100"/>
              </font>
              <fill>
                <patternFill>
                  <bgColor rgb="FFC6EFCE"/>
                </patternFill>
              </fill>
            </x14:dxf>
          </x14:cfRule>
          <x14:cfRule type="containsText" priority="1803" operator="containsText" id="{4CBF38D7-2559-EF42-957F-AF0204BD95B9}">
            <xm:f>NOT(ISERROR(SEARCH("Value Missing",D566)))</xm:f>
            <xm:f>"Value Missing"</xm:f>
            <x14:dxf>
              <font>
                <color rgb="FF9C0006"/>
              </font>
              <fill>
                <patternFill>
                  <bgColor rgb="FFFFC7CE"/>
                </patternFill>
              </fill>
            </x14:dxf>
          </x14:cfRule>
          <xm:sqref>D566</xm:sqref>
        </x14:conditionalFormatting>
        <x14:conditionalFormatting xmlns:xm="http://schemas.microsoft.com/office/excel/2006/main">
          <x14:cfRule type="containsText" priority="1793" operator="containsText" id="{0B782C49-A360-3147-AFAC-F36DA4702BE5}">
            <xm:f>NOT(ISERROR(SEARCH("Value Missing",D566)))</xm:f>
            <xm:f>"Value Missing"</xm:f>
            <x14:dxf>
              <font>
                <color rgb="FF9C0006"/>
              </font>
              <fill>
                <patternFill>
                  <bgColor rgb="FFFFC7CE"/>
                </patternFill>
              </fill>
            </x14:dxf>
          </x14:cfRule>
          <x14:cfRule type="notContainsText" priority="1792" operator="notContains" id="{1DEFB5DA-AB37-9D4B-AC49-59DB97892188}">
            <xm:f>ISERROR(SEARCH("Value Missing",D566))</xm:f>
            <xm:f>"Value Missing"</xm:f>
            <x14:dxf>
              <font>
                <color rgb="FF006100"/>
              </font>
              <fill>
                <patternFill>
                  <bgColor rgb="FFC6EFCE"/>
                </patternFill>
              </fill>
            </x14:dxf>
          </x14:cfRule>
          <xm:sqref>D566:D568</xm:sqref>
        </x14:conditionalFormatting>
        <x14:conditionalFormatting xmlns:xm="http://schemas.microsoft.com/office/excel/2006/main">
          <x14:cfRule type="notContainsText" priority="1800" operator="notContains" id="{FD8A567E-E200-DA46-BD78-8DC82D7BF148}">
            <xm:f>ISERROR(SEARCH("Value Missing",D568))</xm:f>
            <xm:f>"Value Missing"</xm:f>
            <x14:dxf>
              <font>
                <color rgb="FF006100"/>
              </font>
              <fill>
                <patternFill>
                  <bgColor rgb="FFC6EFCE"/>
                </patternFill>
              </fill>
            </x14:dxf>
          </x14:cfRule>
          <x14:cfRule type="containsText" priority="1801" operator="containsText" id="{EF8041B3-8F63-0F45-B962-EAE6F4675BD6}">
            <xm:f>NOT(ISERROR(SEARCH("Value Missing",D568)))</xm:f>
            <xm:f>"Value Missing"</xm:f>
            <x14:dxf>
              <font>
                <color rgb="FF9C0006"/>
              </font>
              <fill>
                <patternFill>
                  <bgColor rgb="FFFFC7CE"/>
                </patternFill>
              </fill>
            </x14:dxf>
          </x14:cfRule>
          <xm:sqref>D568:D569</xm:sqref>
        </x14:conditionalFormatting>
        <x14:conditionalFormatting xmlns:xm="http://schemas.microsoft.com/office/excel/2006/main">
          <x14:cfRule type="notContainsText" priority="1784" operator="notContains" id="{4FBFB7C9-8EF7-E24A-B9AB-C0C4AC55AFA9}">
            <xm:f>ISERROR(SEARCH("Value Missing",D570))</xm:f>
            <xm:f>"Value Missing"</xm:f>
            <x14:dxf>
              <font>
                <color rgb="FF006100"/>
              </font>
              <fill>
                <patternFill>
                  <bgColor rgb="FFC6EFCE"/>
                </patternFill>
              </fill>
            </x14:dxf>
          </x14:cfRule>
          <x14:cfRule type="containsText" priority="1791" operator="containsText" id="{792389D7-0052-6642-BB88-F1BA5BC7A0CF}">
            <xm:f>NOT(ISERROR(SEARCH("Value Missing",D570)))</xm:f>
            <xm:f>"Value Missing"</xm:f>
            <x14:dxf>
              <font>
                <color rgb="FF9C0006"/>
              </font>
              <fill>
                <patternFill>
                  <bgColor rgb="FFFFC7CE"/>
                </patternFill>
              </fill>
            </x14:dxf>
          </x14:cfRule>
          <x14:cfRule type="notContainsText" priority="1790" operator="notContains" id="{6CD34C9E-530F-9140-BB40-8DF251724F83}">
            <xm:f>ISERROR(SEARCH("Value Missing",D570))</xm:f>
            <xm:f>"Value Missing"</xm:f>
            <x14:dxf>
              <font>
                <color rgb="FF006100"/>
              </font>
              <fill>
                <patternFill>
                  <bgColor rgb="FFC6EFCE"/>
                </patternFill>
              </fill>
            </x14:dxf>
          </x14:cfRule>
          <x14:cfRule type="containsText" priority="1785" operator="containsText" id="{AFD5FAC9-D4CF-B24C-BF61-458779A7011C}">
            <xm:f>NOT(ISERROR(SEARCH("Value Missing",D570)))</xm:f>
            <xm:f>"Value Missing"</xm:f>
            <x14:dxf>
              <font>
                <color rgb="FF9C0006"/>
              </font>
              <fill>
                <patternFill>
                  <bgColor rgb="FFFFC7CE"/>
                </patternFill>
              </fill>
            </x14:dxf>
          </x14:cfRule>
          <xm:sqref>D570</xm:sqref>
        </x14:conditionalFormatting>
        <x14:conditionalFormatting xmlns:xm="http://schemas.microsoft.com/office/excel/2006/main">
          <x14:cfRule type="notContainsText" priority="1780" operator="notContains" id="{06A76326-FCFC-6843-9BE1-75FE02E0A4A6}">
            <xm:f>ISERROR(SEARCH("Value Missing",D570))</xm:f>
            <xm:f>"Value Missing"</xm:f>
            <x14:dxf>
              <font>
                <color rgb="FF006100"/>
              </font>
              <fill>
                <patternFill>
                  <bgColor rgb="FFC6EFCE"/>
                </patternFill>
              </fill>
            </x14:dxf>
          </x14:cfRule>
          <x14:cfRule type="containsText" priority="1781" operator="containsText" id="{1D8C44F1-3C10-4D40-8FB7-C8A25C65D4B6}">
            <xm:f>NOT(ISERROR(SEARCH("Value Missing",D570)))</xm:f>
            <xm:f>"Value Missing"</xm:f>
            <x14:dxf>
              <font>
                <color rgb="FF9C0006"/>
              </font>
              <fill>
                <patternFill>
                  <bgColor rgb="FFFFC7CE"/>
                </patternFill>
              </fill>
            </x14:dxf>
          </x14:cfRule>
          <xm:sqref>D570:D572</xm:sqref>
        </x14:conditionalFormatting>
        <x14:conditionalFormatting xmlns:xm="http://schemas.microsoft.com/office/excel/2006/main">
          <x14:cfRule type="containsText" priority="1789" operator="containsText" id="{9DB30BF1-68E2-8546-867F-C6FE31CB73D1}">
            <xm:f>NOT(ISERROR(SEARCH("Value Missing",D572)))</xm:f>
            <xm:f>"Value Missing"</xm:f>
            <x14:dxf>
              <font>
                <color rgb="FF9C0006"/>
              </font>
              <fill>
                <patternFill>
                  <bgColor rgb="FFFFC7CE"/>
                </patternFill>
              </fill>
            </x14:dxf>
          </x14:cfRule>
          <x14:cfRule type="notContainsText" priority="1788" operator="notContains" id="{05E64B9B-13B8-3242-B0AB-ED58F0618316}">
            <xm:f>ISERROR(SEARCH("Value Missing",D572))</xm:f>
            <xm:f>"Value Missing"</xm:f>
            <x14:dxf>
              <font>
                <color rgb="FF006100"/>
              </font>
              <fill>
                <patternFill>
                  <bgColor rgb="FFC6EFCE"/>
                </patternFill>
              </fill>
            </x14:dxf>
          </x14:cfRule>
          <xm:sqref>D572</xm:sqref>
        </x14:conditionalFormatting>
        <x14:conditionalFormatting xmlns:xm="http://schemas.microsoft.com/office/excel/2006/main">
          <x14:cfRule type="containsText" priority="2231" operator="containsText" id="{9177697A-4C50-F746-BF81-1DFF6052F465}">
            <xm:f>NOT(ISERROR(SEARCH("Value Missing",D574)))</xm:f>
            <xm:f>"Value Missing"</xm:f>
            <x14:dxf>
              <font>
                <color rgb="FF9C0006"/>
              </font>
              <fill>
                <patternFill>
                  <bgColor rgb="FFFFC7CE"/>
                </patternFill>
              </fill>
            </x14:dxf>
          </x14:cfRule>
          <x14:cfRule type="notContainsText" priority="2230" operator="notContains" id="{6709B30D-939C-C140-99A0-0C0D24BA1487}">
            <xm:f>ISERROR(SEARCH("Value Missing",D574))</xm:f>
            <xm:f>"Value Missing"</xm:f>
            <x14:dxf>
              <font>
                <color rgb="FF006100"/>
              </font>
              <fill>
                <patternFill>
                  <bgColor rgb="FFC6EFCE"/>
                </patternFill>
              </fill>
            </x14:dxf>
          </x14:cfRule>
          <x14:cfRule type="containsText" priority="2229" operator="containsText" id="{2FC130BD-F0C4-0549-A999-553FFFA3CA99}">
            <xm:f>NOT(ISERROR(SEARCH("Value Missing",D574)))</xm:f>
            <xm:f>"Value Missing"</xm:f>
            <x14:dxf>
              <font>
                <color rgb="FF9C0006"/>
              </font>
              <fill>
                <patternFill>
                  <bgColor rgb="FFFFC7CE"/>
                </patternFill>
              </fill>
            </x14:dxf>
          </x14:cfRule>
          <x14:cfRule type="notContainsText" priority="2228" operator="notContains" id="{9577ADA2-24EA-C840-BF93-B99FB68AB02A}">
            <xm:f>ISERROR(SEARCH("Value Missing",D574))</xm:f>
            <xm:f>"Value Missing"</xm:f>
            <x14:dxf>
              <font>
                <color rgb="FF006100"/>
              </font>
              <fill>
                <patternFill>
                  <bgColor rgb="FFC6EFCE"/>
                </patternFill>
              </fill>
            </x14:dxf>
          </x14:cfRule>
          <xm:sqref>D574:D579</xm:sqref>
        </x14:conditionalFormatting>
        <x14:conditionalFormatting xmlns:xm="http://schemas.microsoft.com/office/excel/2006/main">
          <x14:cfRule type="containsText" priority="1122" operator="containsText" id="{C5DB6E69-BD12-304D-9C99-399E1A9298E3}">
            <xm:f>NOT(ISERROR(SEARCH("Value Missing",D583)))</xm:f>
            <xm:f>"Value Missing"</xm:f>
            <x14:dxf>
              <font>
                <color rgb="FF9C0006"/>
              </font>
              <fill>
                <patternFill>
                  <bgColor rgb="FFFFC7CE"/>
                </patternFill>
              </fill>
            </x14:dxf>
          </x14:cfRule>
          <x14:cfRule type="notContainsText" priority="1121" operator="notContains" id="{2048606A-9208-2246-9A94-0C3D69F2CFFB}">
            <xm:f>ISERROR(SEARCH("Value Missing",D583))</xm:f>
            <xm:f>"Value Missing"</xm:f>
            <x14:dxf>
              <font>
                <color rgb="FF006100"/>
              </font>
              <fill>
                <patternFill>
                  <bgColor rgb="FFC6EFCE"/>
                </patternFill>
              </fill>
            </x14:dxf>
          </x14:cfRule>
          <xm:sqref>D583</xm:sqref>
        </x14:conditionalFormatting>
        <x14:conditionalFormatting xmlns:xm="http://schemas.microsoft.com/office/excel/2006/main">
          <x14:cfRule type="containsText" priority="1775" operator="containsText" id="{3E5BB216-8338-964C-8109-E1C9B078A69A}">
            <xm:f>NOT(ISERROR(SEARCH("Value Missing",D584)))</xm:f>
            <xm:f>"Value Missing"</xm:f>
            <x14:dxf>
              <font>
                <color rgb="FF9C0006"/>
              </font>
              <fill>
                <patternFill>
                  <bgColor rgb="FFFFC7CE"/>
                </patternFill>
              </fill>
            </x14:dxf>
          </x14:cfRule>
          <x14:cfRule type="notContainsText" priority="1774" operator="notContains" id="{2914A610-50DF-B14D-8E78-ED01104F0F45}">
            <xm:f>ISERROR(SEARCH("Value Missing",D584))</xm:f>
            <xm:f>"Value Missing"</xm:f>
            <x14:dxf>
              <font>
                <color rgb="FF006100"/>
              </font>
              <fill>
                <patternFill>
                  <bgColor rgb="FFC6EFCE"/>
                </patternFill>
              </fill>
            </x14:dxf>
          </x14:cfRule>
          <xm:sqref>D584:D585</xm:sqref>
        </x14:conditionalFormatting>
        <x14:conditionalFormatting xmlns:xm="http://schemas.microsoft.com/office/excel/2006/main">
          <x14:cfRule type="containsText" priority="1769" operator="containsText" id="{FA566847-6127-C046-9421-A6DE636205A3}">
            <xm:f>NOT(ISERROR(SEARCH("Value Missing",D585)))</xm:f>
            <xm:f>"Value Missing"</xm:f>
            <x14:dxf>
              <font>
                <color rgb="FF9C0006"/>
              </font>
              <fill>
                <patternFill>
                  <bgColor rgb="FFFFC7CE"/>
                </patternFill>
              </fill>
            </x14:dxf>
          </x14:cfRule>
          <x14:cfRule type="notContainsText" priority="1768" operator="notContains" id="{33A16AE9-47A3-9B4A-BD70-B559E76DFE93}">
            <xm:f>ISERROR(SEARCH("Value Missing",D585))</xm:f>
            <xm:f>"Value Missing"</xm:f>
            <x14:dxf>
              <font>
                <color rgb="FF006100"/>
              </font>
              <fill>
                <patternFill>
                  <bgColor rgb="FFC6EFCE"/>
                </patternFill>
              </fill>
            </x14:dxf>
          </x14:cfRule>
          <xm:sqref>D585</xm:sqref>
        </x14:conditionalFormatting>
        <x14:conditionalFormatting xmlns:xm="http://schemas.microsoft.com/office/excel/2006/main">
          <x14:cfRule type="containsText" priority="1763" operator="containsText" id="{81BB6795-D18F-5E48-9D3C-8AF775009BF7}">
            <xm:f>NOT(ISERROR(SEARCH("Value Missing",D585)))</xm:f>
            <xm:f>"Value Missing"</xm:f>
            <x14:dxf>
              <font>
                <color rgb="FF9C0006"/>
              </font>
              <fill>
                <patternFill>
                  <bgColor rgb="FFFFC7CE"/>
                </patternFill>
              </fill>
            </x14:dxf>
          </x14:cfRule>
          <x14:cfRule type="notContainsText" priority="1762" operator="notContains" id="{92B7587C-F1AC-914A-901A-0680E77076B7}">
            <xm:f>ISERROR(SEARCH("Value Missing",D585))</xm:f>
            <xm:f>"Value Missing"</xm:f>
            <x14:dxf>
              <font>
                <color rgb="FF006100"/>
              </font>
              <fill>
                <patternFill>
                  <bgColor rgb="FFC6EFCE"/>
                </patternFill>
              </fill>
            </x14:dxf>
          </x14:cfRule>
          <xm:sqref>D585:D588</xm:sqref>
        </x14:conditionalFormatting>
        <x14:conditionalFormatting xmlns:xm="http://schemas.microsoft.com/office/excel/2006/main">
          <x14:cfRule type="containsText" priority="1773" operator="containsText" id="{CD2515AA-B571-1041-A9C1-85B1DFF49E37}">
            <xm:f>NOT(ISERROR(SEARCH("Value Missing",D587)))</xm:f>
            <xm:f>"Value Missing"</xm:f>
            <x14:dxf>
              <font>
                <color rgb="FF9C0006"/>
              </font>
              <fill>
                <patternFill>
                  <bgColor rgb="FFFFC7CE"/>
                </patternFill>
              </fill>
            </x14:dxf>
          </x14:cfRule>
          <x14:cfRule type="notContainsText" priority="1772" operator="notContains" id="{FC40770F-C7D0-FF48-93D3-79732E135FD9}">
            <xm:f>ISERROR(SEARCH("Value Missing",D587))</xm:f>
            <xm:f>"Value Missing"</xm:f>
            <x14:dxf>
              <font>
                <color rgb="FF006100"/>
              </font>
              <fill>
                <patternFill>
                  <bgColor rgb="FFC6EFCE"/>
                </patternFill>
              </fill>
            </x14:dxf>
          </x14:cfRule>
          <xm:sqref>D587</xm:sqref>
        </x14:conditionalFormatting>
        <x14:conditionalFormatting xmlns:xm="http://schemas.microsoft.com/office/excel/2006/main">
          <x14:cfRule type="containsText" priority="1757" operator="containsText" id="{E8FE0779-5AAB-E542-B354-EC7C7A6ABC81}">
            <xm:f>NOT(ISERROR(SEARCH("Value Missing",D588)))</xm:f>
            <xm:f>"Value Missing"</xm:f>
            <x14:dxf>
              <font>
                <color rgb="FF9C0006"/>
              </font>
              <fill>
                <patternFill>
                  <bgColor rgb="FFFFC7CE"/>
                </patternFill>
              </fill>
            </x14:dxf>
          </x14:cfRule>
          <x14:cfRule type="notContainsText" priority="1756" operator="notContains" id="{C3518A8B-E30F-4246-9B9B-E18D3375D3DF}">
            <xm:f>ISERROR(SEARCH("Value Missing",D588))</xm:f>
            <xm:f>"Value Missing"</xm:f>
            <x14:dxf>
              <font>
                <color rgb="FF006100"/>
              </font>
              <fill>
                <patternFill>
                  <bgColor rgb="FFC6EFCE"/>
                </patternFill>
              </fill>
            </x14:dxf>
          </x14:cfRule>
          <xm:sqref>D588</xm:sqref>
        </x14:conditionalFormatting>
        <x14:conditionalFormatting xmlns:xm="http://schemas.microsoft.com/office/excel/2006/main">
          <x14:cfRule type="containsText" priority="1751" operator="containsText" id="{CCFC994E-9373-0C4E-AC5B-D6EACC33AFFD}">
            <xm:f>NOT(ISERROR(SEARCH("Value Missing",D588)))</xm:f>
            <xm:f>"Value Missing"</xm:f>
            <x14:dxf>
              <font>
                <color rgb="FF9C0006"/>
              </font>
              <fill>
                <patternFill>
                  <bgColor rgb="FFFFC7CE"/>
                </patternFill>
              </fill>
            </x14:dxf>
          </x14:cfRule>
          <x14:cfRule type="notContainsText" priority="1750" operator="notContains" id="{300DD965-67F1-3C42-9A5D-E3072F8ACE6F}">
            <xm:f>ISERROR(SEARCH("Value Missing",D588))</xm:f>
            <xm:f>"Value Missing"</xm:f>
            <x14:dxf>
              <font>
                <color rgb="FF006100"/>
              </font>
              <fill>
                <patternFill>
                  <bgColor rgb="FFC6EFCE"/>
                </patternFill>
              </fill>
            </x14:dxf>
          </x14:cfRule>
          <xm:sqref>D588:D591</xm:sqref>
        </x14:conditionalFormatting>
        <x14:conditionalFormatting xmlns:xm="http://schemas.microsoft.com/office/excel/2006/main">
          <x14:cfRule type="containsText" priority="1761" operator="containsText" id="{9504AC45-49B0-704F-B83D-A269A319B65B}">
            <xm:f>NOT(ISERROR(SEARCH("Value Missing",D590)))</xm:f>
            <xm:f>"Value Missing"</xm:f>
            <x14:dxf>
              <font>
                <color rgb="FF9C0006"/>
              </font>
              <fill>
                <patternFill>
                  <bgColor rgb="FFFFC7CE"/>
                </patternFill>
              </fill>
            </x14:dxf>
          </x14:cfRule>
          <x14:cfRule type="notContainsText" priority="1760" operator="notContains" id="{78EDB6B5-914F-8D44-A3FE-B5F85FB8054A}">
            <xm:f>ISERROR(SEARCH("Value Missing",D590))</xm:f>
            <xm:f>"Value Missing"</xm:f>
            <x14:dxf>
              <font>
                <color rgb="FF006100"/>
              </font>
              <fill>
                <patternFill>
                  <bgColor rgb="FFC6EFCE"/>
                </patternFill>
              </fill>
            </x14:dxf>
          </x14:cfRule>
          <xm:sqref>D590</xm:sqref>
        </x14:conditionalFormatting>
        <x14:conditionalFormatting xmlns:xm="http://schemas.microsoft.com/office/excel/2006/main">
          <x14:cfRule type="notContainsText" priority="1744" operator="notContains" id="{2644750C-A8C4-CD42-8375-50D22E48543F}">
            <xm:f>ISERROR(SEARCH("Value Missing",D591))</xm:f>
            <xm:f>"Value Missing"</xm:f>
            <x14:dxf>
              <font>
                <color rgb="FF006100"/>
              </font>
              <fill>
                <patternFill>
                  <bgColor rgb="FFC6EFCE"/>
                </patternFill>
              </fill>
            </x14:dxf>
          </x14:cfRule>
          <x14:cfRule type="containsText" priority="1745" operator="containsText" id="{5171A729-2D27-214A-B7A9-1AF44CF9908D}">
            <xm:f>NOT(ISERROR(SEARCH("Value Missing",D591)))</xm:f>
            <xm:f>"Value Missing"</xm:f>
            <x14:dxf>
              <font>
                <color rgb="FF9C0006"/>
              </font>
              <fill>
                <patternFill>
                  <bgColor rgb="FFFFC7CE"/>
                </patternFill>
              </fill>
            </x14:dxf>
          </x14:cfRule>
          <xm:sqref>D591</xm:sqref>
        </x14:conditionalFormatting>
        <x14:conditionalFormatting xmlns:xm="http://schemas.microsoft.com/office/excel/2006/main">
          <x14:cfRule type="containsText" priority="1741" operator="containsText" id="{44D734F0-4EFF-0945-8D72-53C5D14C9BAD}">
            <xm:f>NOT(ISERROR(SEARCH("Value Missing",D591)))</xm:f>
            <xm:f>"Value Missing"</xm:f>
            <x14:dxf>
              <font>
                <color rgb="FF9C0006"/>
              </font>
              <fill>
                <patternFill>
                  <bgColor rgb="FFFFC7CE"/>
                </patternFill>
              </fill>
            </x14:dxf>
          </x14:cfRule>
          <x14:cfRule type="notContainsText" priority="1740" operator="notContains" id="{A3126D6D-004C-EC44-9207-403868361042}">
            <xm:f>ISERROR(SEARCH("Value Missing",D591))</xm:f>
            <xm:f>"Value Missing"</xm:f>
            <x14:dxf>
              <font>
                <color rgb="FF006100"/>
              </font>
              <fill>
                <patternFill>
                  <bgColor rgb="FFC6EFCE"/>
                </patternFill>
              </fill>
            </x14:dxf>
          </x14:cfRule>
          <xm:sqref>D591:D593</xm:sqref>
        </x14:conditionalFormatting>
        <x14:conditionalFormatting xmlns:xm="http://schemas.microsoft.com/office/excel/2006/main">
          <x14:cfRule type="notContainsText" priority="1748" operator="notContains" id="{C69B3D11-8C56-4B4B-94DF-29B3CC9037B3}">
            <xm:f>ISERROR(SEARCH("Value Missing",D593))</xm:f>
            <xm:f>"Value Missing"</xm:f>
            <x14:dxf>
              <font>
                <color rgb="FF006100"/>
              </font>
              <fill>
                <patternFill>
                  <bgColor rgb="FFC6EFCE"/>
                </patternFill>
              </fill>
            </x14:dxf>
          </x14:cfRule>
          <x14:cfRule type="containsText" priority="1749" operator="containsText" id="{C3488D18-C708-D14F-B237-EA0B139B345F}">
            <xm:f>NOT(ISERROR(SEARCH("Value Missing",D593)))</xm:f>
            <xm:f>"Value Missing"</xm:f>
            <x14:dxf>
              <font>
                <color rgb="FF9C0006"/>
              </font>
              <fill>
                <patternFill>
                  <bgColor rgb="FFFFC7CE"/>
                </patternFill>
              </fill>
            </x14:dxf>
          </x14:cfRule>
          <xm:sqref>D593</xm:sqref>
        </x14:conditionalFormatting>
        <x14:conditionalFormatting xmlns:xm="http://schemas.microsoft.com/office/excel/2006/main">
          <x14:cfRule type="containsText" priority="1681" operator="containsText" id="{A840E625-328E-0643-A2D4-1795031C4030}">
            <xm:f>NOT(ISERROR(SEARCH("Value Missing",D601)))</xm:f>
            <xm:f>"Value Missing"</xm:f>
            <x14:dxf>
              <font>
                <color rgb="FF9C0006"/>
              </font>
              <fill>
                <patternFill>
                  <bgColor rgb="FFFFC7CE"/>
                </patternFill>
              </fill>
            </x14:dxf>
          </x14:cfRule>
          <x14:cfRule type="notContainsText" priority="1680" operator="notContains" id="{D674BACF-9BB4-8E4A-96D4-F7568FF93F7C}">
            <xm:f>ISERROR(SEARCH("Value Missing",D601))</xm:f>
            <xm:f>"Value Missing"</xm:f>
            <x14:dxf>
              <font>
                <color rgb="FF006100"/>
              </font>
              <fill>
                <patternFill>
                  <bgColor rgb="FFC6EFCE"/>
                </patternFill>
              </fill>
            </x14:dxf>
          </x14:cfRule>
          <xm:sqref>D601:D602</xm:sqref>
        </x14:conditionalFormatting>
        <x14:conditionalFormatting xmlns:xm="http://schemas.microsoft.com/office/excel/2006/main">
          <x14:cfRule type="containsText" priority="1365" operator="containsText" id="{9BCB793B-31F7-F548-BEB8-5AC3E876A848}">
            <xm:f>NOT(ISERROR(SEARCH("Value Missing",D606)))</xm:f>
            <xm:f>"Value Missing"</xm:f>
            <x14:dxf>
              <font>
                <color rgb="FF9C0006"/>
              </font>
              <fill>
                <patternFill>
                  <bgColor rgb="FFFFC7CE"/>
                </patternFill>
              </fill>
            </x14:dxf>
          </x14:cfRule>
          <x14:cfRule type="notContainsText" priority="1364" operator="notContains" id="{86CA0EA5-E01D-6842-82F8-C761AD34705E}">
            <xm:f>ISERROR(SEARCH("Value Missing",D606))</xm:f>
            <xm:f>"Value Missing"</xm:f>
            <x14:dxf>
              <font>
                <color rgb="FF006100"/>
              </font>
              <fill>
                <patternFill>
                  <bgColor rgb="FFC6EFCE"/>
                </patternFill>
              </fill>
            </x14:dxf>
          </x14:cfRule>
          <xm:sqref>D606:D622</xm:sqref>
        </x14:conditionalFormatting>
        <x14:conditionalFormatting xmlns:xm="http://schemas.microsoft.com/office/excel/2006/main">
          <x14:cfRule type="containsText" priority="1613" operator="containsText" id="{260C86F1-F38B-6543-BAC1-41BE33868FDC}">
            <xm:f>NOT(ISERROR(SEARCH("Value Missing",D626)))</xm:f>
            <xm:f>"Value Missing"</xm:f>
            <x14:dxf>
              <font>
                <color rgb="FF9C0006"/>
              </font>
              <fill>
                <patternFill>
                  <bgColor rgb="FFFFC7CE"/>
                </patternFill>
              </fill>
            </x14:dxf>
          </x14:cfRule>
          <x14:cfRule type="notContainsText" priority="1612" operator="notContains" id="{DBDFD2F6-CD6E-1448-BD14-E8A66443E85F}">
            <xm:f>ISERROR(SEARCH("Value Missing",D626))</xm:f>
            <xm:f>"Value Missing"</xm:f>
            <x14:dxf>
              <font>
                <color rgb="FF006100"/>
              </font>
              <fill>
                <patternFill>
                  <bgColor rgb="FFC6EFCE"/>
                </patternFill>
              </fill>
            </x14:dxf>
          </x14:cfRule>
          <xm:sqref>D626:D627</xm:sqref>
        </x14:conditionalFormatting>
        <x14:conditionalFormatting xmlns:xm="http://schemas.microsoft.com/office/excel/2006/main">
          <x14:cfRule type="containsText" priority="1597" operator="containsText" id="{04122ED3-325E-9F46-ACB2-2C804C3EEE8A}">
            <xm:f>NOT(ISERROR(SEARCH("Value Missing",D631)))</xm:f>
            <xm:f>"Value Missing"</xm:f>
            <x14:dxf>
              <font>
                <color rgb="FF9C0006"/>
              </font>
              <fill>
                <patternFill>
                  <bgColor rgb="FFFFC7CE"/>
                </patternFill>
              </fill>
            </x14:dxf>
          </x14:cfRule>
          <x14:cfRule type="notContainsText" priority="1596" operator="notContains" id="{A076F74D-2992-DD49-8C51-270953E104C5}">
            <xm:f>ISERROR(SEARCH("Value Missing",D631))</xm:f>
            <xm:f>"Value Missing"</xm:f>
            <x14:dxf>
              <font>
                <color rgb="FF006100"/>
              </font>
              <fill>
                <patternFill>
                  <bgColor rgb="FFC6EFCE"/>
                </patternFill>
              </fill>
            </x14:dxf>
          </x14:cfRule>
          <xm:sqref>D631:D634</xm:sqref>
        </x14:conditionalFormatting>
        <x14:conditionalFormatting xmlns:xm="http://schemas.microsoft.com/office/excel/2006/main">
          <x14:cfRule type="containsText" priority="1591" operator="containsText" id="{AA199CC2-00C2-D544-A32B-09E0E7546612}">
            <xm:f>NOT(ISERROR(SEARCH("Value Missing",D634)))</xm:f>
            <xm:f>"Value Missing"</xm:f>
            <x14:dxf>
              <font>
                <color rgb="FF9C0006"/>
              </font>
              <fill>
                <patternFill>
                  <bgColor rgb="FFFFC7CE"/>
                </patternFill>
              </fill>
            </x14:dxf>
          </x14:cfRule>
          <x14:cfRule type="notContainsText" priority="1590" operator="notContains" id="{A48663F2-0F86-0342-9255-A56D30424759}">
            <xm:f>ISERROR(SEARCH("Value Missing",D634))</xm:f>
            <xm:f>"Value Missing"</xm:f>
            <x14:dxf>
              <font>
                <color rgb="FF006100"/>
              </font>
              <fill>
                <patternFill>
                  <bgColor rgb="FFC6EFCE"/>
                </patternFill>
              </fill>
            </x14:dxf>
          </x14:cfRule>
          <xm:sqref>D634:D638</xm:sqref>
        </x14:conditionalFormatting>
        <x14:conditionalFormatting xmlns:xm="http://schemas.microsoft.com/office/excel/2006/main">
          <x14:cfRule type="containsText" priority="1565" operator="containsText" id="{CC3D8C31-7914-4345-A357-FE082B757C0D}">
            <xm:f>NOT(ISERROR(SEARCH("Value Missing",D642)))</xm:f>
            <xm:f>"Value Missing"</xm:f>
            <x14:dxf>
              <font>
                <color rgb="FF9C0006"/>
              </font>
              <fill>
                <patternFill>
                  <bgColor rgb="FFFFC7CE"/>
                </patternFill>
              </fill>
            </x14:dxf>
          </x14:cfRule>
          <x14:cfRule type="notContainsText" priority="1564" operator="notContains" id="{5EE27C25-8399-5F4B-B90E-B3CD8F63CFD1}">
            <xm:f>ISERROR(SEARCH("Value Missing",D642))</xm:f>
            <xm:f>"Value Missing"</xm:f>
            <x14:dxf>
              <font>
                <color rgb="FF006100"/>
              </font>
              <fill>
                <patternFill>
                  <bgColor rgb="FFC6EFCE"/>
                </patternFill>
              </fill>
            </x14:dxf>
          </x14:cfRule>
          <xm:sqref>D642</xm:sqref>
        </x14:conditionalFormatting>
        <x14:conditionalFormatting xmlns:xm="http://schemas.microsoft.com/office/excel/2006/main">
          <x14:cfRule type="containsText" priority="1723" operator="containsText" id="{AE85D440-776E-A744-A6CC-A9A705471130}">
            <xm:f>NOT(ISERROR(SEARCH("Value Missing",D643)))</xm:f>
            <xm:f>"Value Missing"</xm:f>
            <x14:dxf>
              <font>
                <color rgb="FF9C0006"/>
              </font>
              <fill>
                <patternFill>
                  <bgColor rgb="FFFFC7CE"/>
                </patternFill>
              </fill>
            </x14:dxf>
          </x14:cfRule>
          <x14:cfRule type="notContainsText" priority="1722" operator="notContains" id="{F4884833-06A2-8048-9C4C-688C7BF3A798}">
            <xm:f>ISERROR(SEARCH("Value Missing",D643))</xm:f>
            <xm:f>"Value Missing"</xm:f>
            <x14:dxf>
              <font>
                <color rgb="FF006100"/>
              </font>
              <fill>
                <patternFill>
                  <bgColor rgb="FFC6EFCE"/>
                </patternFill>
              </fill>
            </x14:dxf>
          </x14:cfRule>
          <xm:sqref>D643:D644</xm:sqref>
        </x14:conditionalFormatting>
        <x14:conditionalFormatting xmlns:xm="http://schemas.microsoft.com/office/excel/2006/main">
          <x14:cfRule type="containsText" priority="1719" operator="containsText" id="{A19FE554-D705-E843-BC80-D99EE8C074B9}">
            <xm:f>NOT(ISERROR(SEARCH("Value Missing",D644)))</xm:f>
            <xm:f>"Value Missing"</xm:f>
            <x14:dxf>
              <font>
                <color rgb="FF9C0006"/>
              </font>
              <fill>
                <patternFill>
                  <bgColor rgb="FFFFC7CE"/>
                </patternFill>
              </fill>
            </x14:dxf>
          </x14:cfRule>
          <x14:cfRule type="notContainsText" priority="1718" operator="notContains" id="{FF4CD9CF-20B0-0144-BA69-298205C8FA3E}">
            <xm:f>ISERROR(SEARCH("Value Missing",D644))</xm:f>
            <xm:f>"Value Missing"</xm:f>
            <x14:dxf>
              <font>
                <color rgb="FF006100"/>
              </font>
              <fill>
                <patternFill>
                  <bgColor rgb="FFC6EFCE"/>
                </patternFill>
              </fill>
            </x14:dxf>
          </x14:cfRule>
          <xm:sqref>D644:D645</xm:sqref>
        </x14:conditionalFormatting>
        <x14:conditionalFormatting xmlns:xm="http://schemas.microsoft.com/office/excel/2006/main">
          <x14:cfRule type="notContainsText" priority="1556" operator="notContains" id="{5963C4CE-1056-874E-A2A8-63C06B98B801}">
            <xm:f>ISERROR(SEARCH("Value Missing",D649))</xm:f>
            <xm:f>"Value Missing"</xm:f>
            <x14:dxf>
              <font>
                <color rgb="FF006100"/>
              </font>
              <fill>
                <patternFill>
                  <bgColor rgb="FFC6EFCE"/>
                </patternFill>
              </fill>
            </x14:dxf>
          </x14:cfRule>
          <x14:cfRule type="containsText" priority="1557" operator="containsText" id="{6A343A9C-1ADE-4E41-BEF3-DB0679EAE4A1}">
            <xm:f>NOT(ISERROR(SEARCH("Value Missing",D649)))</xm:f>
            <xm:f>"Value Missing"</xm:f>
            <x14:dxf>
              <font>
                <color rgb="FF9C0006"/>
              </font>
              <fill>
                <patternFill>
                  <bgColor rgb="FFFFC7CE"/>
                </patternFill>
              </fill>
            </x14:dxf>
          </x14:cfRule>
          <xm:sqref>D649:D652</xm:sqref>
        </x14:conditionalFormatting>
        <x14:conditionalFormatting xmlns:xm="http://schemas.microsoft.com/office/excel/2006/main">
          <x14:cfRule type="containsText" priority="1547" operator="containsText" id="{0D3C3E77-B4E4-B14B-B4A8-B265069D8CDF}">
            <xm:f>NOT(ISERROR(SEARCH("Value Missing",D652)))</xm:f>
            <xm:f>"Value Missing"</xm:f>
            <x14:dxf>
              <font>
                <color rgb="FF9C0006"/>
              </font>
              <fill>
                <patternFill>
                  <bgColor rgb="FFFFC7CE"/>
                </patternFill>
              </fill>
            </x14:dxf>
          </x14:cfRule>
          <x14:cfRule type="notContainsText" priority="1546" operator="notContains" id="{D2B517D9-F9D3-E34B-8429-EE8C569A35A3}">
            <xm:f>ISERROR(SEARCH("Value Missing",D652))</xm:f>
            <xm:f>"Value Missing"</xm:f>
            <x14:dxf>
              <font>
                <color rgb="FF006100"/>
              </font>
              <fill>
                <patternFill>
                  <bgColor rgb="FFC6EFCE"/>
                </patternFill>
              </fill>
            </x14:dxf>
          </x14:cfRule>
          <xm:sqref>D652:D659</xm:sqref>
        </x14:conditionalFormatting>
        <x14:conditionalFormatting xmlns:xm="http://schemas.microsoft.com/office/excel/2006/main">
          <x14:cfRule type="containsText" priority="1537" operator="containsText" id="{C5094E0C-BDFD-6446-96CB-033559219BB6}">
            <xm:f>NOT(ISERROR(SEARCH("Value Missing",D663)))</xm:f>
            <xm:f>"Value Missing"</xm:f>
            <x14:dxf>
              <font>
                <color rgb="FF9C0006"/>
              </font>
              <fill>
                <patternFill>
                  <bgColor rgb="FFFFC7CE"/>
                </patternFill>
              </fill>
            </x14:dxf>
          </x14:cfRule>
          <x14:cfRule type="notContainsText" priority="1536" operator="notContains" id="{5383DEF7-0DEB-A046-9540-E4349EFA2847}">
            <xm:f>ISERROR(SEARCH("Value Missing",D663))</xm:f>
            <xm:f>"Value Missing"</xm:f>
            <x14:dxf>
              <font>
                <color rgb="FF006100"/>
              </font>
              <fill>
                <patternFill>
                  <bgColor rgb="FFC6EFCE"/>
                </patternFill>
              </fill>
            </x14:dxf>
          </x14:cfRule>
          <xm:sqref>D663:D665</xm:sqref>
        </x14:conditionalFormatting>
        <x14:conditionalFormatting xmlns:xm="http://schemas.microsoft.com/office/excel/2006/main">
          <x14:cfRule type="containsText" priority="1535" operator="containsText" id="{E8AD40D7-FFE0-114A-869F-A39FA9DA521A}">
            <xm:f>NOT(ISERROR(SEARCH("Value Missing",D665)))</xm:f>
            <xm:f>"Value Missing"</xm:f>
            <x14:dxf>
              <font>
                <color rgb="FF9C0006"/>
              </font>
              <fill>
                <patternFill>
                  <bgColor rgb="FFFFC7CE"/>
                </patternFill>
              </fill>
            </x14:dxf>
          </x14:cfRule>
          <x14:cfRule type="notContainsText" priority="1534" operator="notContains" id="{84A5FE74-5AB4-3F4C-BC39-00082E0F88B8}">
            <xm:f>ISERROR(SEARCH("Value Missing",D665))</xm:f>
            <xm:f>"Value Missing"</xm:f>
            <x14:dxf>
              <font>
                <color rgb="FF006100"/>
              </font>
              <fill>
                <patternFill>
                  <bgColor rgb="FFC6EFCE"/>
                </patternFill>
              </fill>
            </x14:dxf>
          </x14:cfRule>
          <xm:sqref>D665</xm:sqref>
        </x14:conditionalFormatting>
        <x14:conditionalFormatting xmlns:xm="http://schemas.microsoft.com/office/excel/2006/main">
          <x14:cfRule type="containsText" priority="1543" operator="containsText" id="{6EEDBFCC-45BB-0240-AD51-A007F3B5589F}">
            <xm:f>NOT(ISERROR(SEARCH("Value Missing",D667)))</xm:f>
            <xm:f>"Value Missing"</xm:f>
            <x14:dxf>
              <font>
                <color rgb="FF9C0006"/>
              </font>
              <fill>
                <patternFill>
                  <bgColor rgb="FFFFC7CE"/>
                </patternFill>
              </fill>
            </x14:dxf>
          </x14:cfRule>
          <x14:cfRule type="notContainsText" priority="1542" operator="notContains" id="{4376371E-F741-8D4E-8B82-D97E74D94CFB}">
            <xm:f>ISERROR(SEARCH("Value Missing",D667))</xm:f>
            <xm:f>"Value Missing"</xm:f>
            <x14:dxf>
              <font>
                <color rgb="FF006100"/>
              </font>
              <fill>
                <patternFill>
                  <bgColor rgb="FFC6EFCE"/>
                </patternFill>
              </fill>
            </x14:dxf>
          </x14:cfRule>
          <xm:sqref>D667:D670</xm:sqref>
        </x14:conditionalFormatting>
        <x14:conditionalFormatting xmlns:xm="http://schemas.microsoft.com/office/excel/2006/main">
          <x14:cfRule type="containsText" priority="1523" operator="containsText" id="{663E7DF0-5411-EF4E-BF01-91E2437784E3}">
            <xm:f>NOT(ISERROR(SEARCH("Value Missing",D670)))</xm:f>
            <xm:f>"Value Missing"</xm:f>
            <x14:dxf>
              <font>
                <color rgb="FF9C0006"/>
              </font>
              <fill>
                <patternFill>
                  <bgColor rgb="FFFFC7CE"/>
                </patternFill>
              </fill>
            </x14:dxf>
          </x14:cfRule>
          <x14:cfRule type="notContainsText" priority="1522" operator="notContains" id="{13B56B5C-8CF7-2849-9624-C0980A8071F7}">
            <xm:f>ISERROR(SEARCH("Value Missing",D670))</xm:f>
            <xm:f>"Value Missing"</xm:f>
            <x14:dxf>
              <font>
                <color rgb="FF006100"/>
              </font>
              <fill>
                <patternFill>
                  <bgColor rgb="FFC6EFCE"/>
                </patternFill>
              </fill>
            </x14:dxf>
          </x14:cfRule>
          <xm:sqref>D670:D678</xm:sqref>
        </x14:conditionalFormatting>
        <x14:conditionalFormatting xmlns:xm="http://schemas.microsoft.com/office/excel/2006/main">
          <x14:cfRule type="containsText" priority="1509" operator="containsText" id="{A16E4CEB-5548-D545-95B2-1E872933433E}">
            <xm:f>NOT(ISERROR(SEARCH("Value Missing",D680)))</xm:f>
            <xm:f>"Value Missing"</xm:f>
            <x14:dxf>
              <font>
                <color rgb="FF9C0006"/>
              </font>
              <fill>
                <patternFill>
                  <bgColor rgb="FFFFC7CE"/>
                </patternFill>
              </fill>
            </x14:dxf>
          </x14:cfRule>
          <x14:cfRule type="notContainsText" priority="1508" operator="notContains" id="{5527760E-DE9B-EA4A-BACF-6CC2E1F99A1F}">
            <xm:f>ISERROR(SEARCH("Value Missing",D680))</xm:f>
            <xm:f>"Value Missing"</xm:f>
            <x14:dxf>
              <font>
                <color rgb="FF006100"/>
              </font>
              <fill>
                <patternFill>
                  <bgColor rgb="FFC6EFCE"/>
                </patternFill>
              </fill>
            </x14:dxf>
          </x14:cfRule>
          <xm:sqref>D680:D683</xm:sqref>
        </x14:conditionalFormatting>
        <x14:conditionalFormatting xmlns:xm="http://schemas.microsoft.com/office/excel/2006/main">
          <x14:cfRule type="containsText" priority="1497" operator="containsText" id="{9C4159DF-7F2D-3746-A154-E5665F2EBDA7}">
            <xm:f>NOT(ISERROR(SEARCH("Value Missing",D683)))</xm:f>
            <xm:f>"Value Missing"</xm:f>
            <x14:dxf>
              <font>
                <color rgb="FF9C0006"/>
              </font>
              <fill>
                <patternFill>
                  <bgColor rgb="FFFFC7CE"/>
                </patternFill>
              </fill>
            </x14:dxf>
          </x14:cfRule>
          <x14:cfRule type="notContainsText" priority="1496" operator="notContains" id="{7C621A0F-53DD-A543-91A5-6AE513383FDB}">
            <xm:f>ISERROR(SEARCH("Value Missing",D683))</xm:f>
            <xm:f>"Value Missing"</xm:f>
            <x14:dxf>
              <font>
                <color rgb="FF006100"/>
              </font>
              <fill>
                <patternFill>
                  <bgColor rgb="FFC6EFCE"/>
                </patternFill>
              </fill>
            </x14:dxf>
          </x14:cfRule>
          <xm:sqref>D683:D691</xm:sqref>
        </x14:conditionalFormatting>
        <x14:conditionalFormatting xmlns:xm="http://schemas.microsoft.com/office/excel/2006/main">
          <x14:cfRule type="containsText" priority="1471" operator="containsText" id="{DD1DEE47-B2B5-BB43-9A2E-4D71E9997574}">
            <xm:f>NOT(ISERROR(SEARCH("Value Missing",D696)))</xm:f>
            <xm:f>"Value Missing"</xm:f>
            <x14:dxf>
              <font>
                <color rgb="FF9C0006"/>
              </font>
              <fill>
                <patternFill>
                  <bgColor rgb="FFFFC7CE"/>
                </patternFill>
              </fill>
            </x14:dxf>
          </x14:cfRule>
          <x14:cfRule type="notContainsText" priority="1470" operator="notContains" id="{926EF23F-0BD7-F642-8EB1-58FFC321032C}">
            <xm:f>ISERROR(SEARCH("Value Missing",D696))</xm:f>
            <xm:f>"Value Missing"</xm:f>
            <x14:dxf>
              <font>
                <color rgb="FF006100"/>
              </font>
              <fill>
                <patternFill>
                  <bgColor rgb="FFC6EFCE"/>
                </patternFill>
              </fill>
            </x14:dxf>
          </x14:cfRule>
          <xm:sqref>D696:D707</xm:sqref>
        </x14:conditionalFormatting>
        <x14:conditionalFormatting xmlns:xm="http://schemas.microsoft.com/office/excel/2006/main">
          <x14:cfRule type="containsText" priority="1493" operator="containsText" id="{4E108A78-CF51-5741-845F-3C4E0A7C36CB}">
            <xm:f>NOT(ISERROR(SEARCH("Value Missing",D699)))</xm:f>
            <xm:f>"Value Missing"</xm:f>
            <x14:dxf>
              <font>
                <color rgb="FF9C0006"/>
              </font>
              <fill>
                <patternFill>
                  <bgColor rgb="FFFFC7CE"/>
                </patternFill>
              </fill>
            </x14:dxf>
          </x14:cfRule>
          <x14:cfRule type="notContainsText" priority="1492" operator="notContains" id="{10A59CBF-B5B8-C44C-AF96-B94B03036F13}">
            <xm:f>ISERROR(SEARCH("Value Missing",D699))</xm:f>
            <xm:f>"Value Missing"</xm:f>
            <x14:dxf>
              <font>
                <color rgb="FF006100"/>
              </font>
              <fill>
                <patternFill>
                  <bgColor rgb="FFC6EFCE"/>
                </patternFill>
              </fill>
            </x14:dxf>
          </x14:cfRule>
          <xm:sqref>D699</xm:sqref>
        </x14:conditionalFormatting>
        <x14:conditionalFormatting xmlns:xm="http://schemas.microsoft.com/office/excel/2006/main">
          <x14:cfRule type="notContainsText" priority="1444" operator="notContains" id="{935F8BA5-E83F-324F-8A21-287F2E1128F0}">
            <xm:f>ISERROR(SEARCH("Value Missing",D709))</xm:f>
            <xm:f>"Value Missing"</xm:f>
            <x14:dxf>
              <font>
                <color rgb="FF006100"/>
              </font>
              <fill>
                <patternFill>
                  <bgColor rgb="FFC6EFCE"/>
                </patternFill>
              </fill>
            </x14:dxf>
          </x14:cfRule>
          <x14:cfRule type="containsText" priority="1445" operator="containsText" id="{D98D897E-DAF3-8846-9C1E-F3218B8F2EA4}">
            <xm:f>NOT(ISERROR(SEARCH("Value Missing",D709)))</xm:f>
            <xm:f>"Value Missing"</xm:f>
            <x14:dxf>
              <font>
                <color rgb="FF9C0006"/>
              </font>
              <fill>
                <patternFill>
                  <bgColor rgb="FFFFC7CE"/>
                </patternFill>
              </fill>
            </x14:dxf>
          </x14:cfRule>
          <xm:sqref>D709:D720</xm:sqref>
        </x14:conditionalFormatting>
        <x14:conditionalFormatting xmlns:xm="http://schemas.microsoft.com/office/excel/2006/main">
          <x14:cfRule type="containsText" priority="1467" operator="containsText" id="{4E00177E-2811-A84B-9E13-0A362AE1C274}">
            <xm:f>NOT(ISERROR(SEARCH("Value Missing",D712)))</xm:f>
            <xm:f>"Value Missing"</xm:f>
            <x14:dxf>
              <font>
                <color rgb="FF9C0006"/>
              </font>
              <fill>
                <patternFill>
                  <bgColor rgb="FFFFC7CE"/>
                </patternFill>
              </fill>
            </x14:dxf>
          </x14:cfRule>
          <x14:cfRule type="notContainsText" priority="1466" operator="notContains" id="{D70BA430-A9CD-364C-8ABB-29580EA9189D}">
            <xm:f>ISERROR(SEARCH("Value Missing",D712))</xm:f>
            <xm:f>"Value Missing"</xm:f>
            <x14:dxf>
              <font>
                <color rgb="FF006100"/>
              </font>
              <fill>
                <patternFill>
                  <bgColor rgb="FFC6EFCE"/>
                </patternFill>
              </fill>
            </x14:dxf>
          </x14:cfRule>
          <xm:sqref>D712</xm:sqref>
        </x14:conditionalFormatting>
        <x14:conditionalFormatting xmlns:xm="http://schemas.microsoft.com/office/excel/2006/main">
          <x14:cfRule type="containsText" priority="1441" operator="containsText" id="{EEB67A4F-D224-274D-ACF3-AC1B776B942F}">
            <xm:f>NOT(ISERROR(SEARCH("Value Missing",D726)))</xm:f>
            <xm:f>"Value Missing"</xm:f>
            <x14:dxf>
              <font>
                <color rgb="FF9C0006"/>
              </font>
              <fill>
                <patternFill>
                  <bgColor rgb="FFFFC7CE"/>
                </patternFill>
              </fill>
            </x14:dxf>
          </x14:cfRule>
          <x14:cfRule type="notContainsText" priority="1440" operator="notContains" id="{310855B3-C354-6642-A3D4-DE164CB539F3}">
            <xm:f>ISERROR(SEARCH("Value Missing",D726))</xm:f>
            <xm:f>"Value Missing"</xm:f>
            <x14:dxf>
              <font>
                <color rgb="FF006100"/>
              </font>
              <fill>
                <patternFill>
                  <bgColor rgb="FFC6EFCE"/>
                </patternFill>
              </fill>
            </x14:dxf>
          </x14:cfRule>
          <xm:sqref>D726:D727</xm:sqref>
        </x14:conditionalFormatting>
        <x14:conditionalFormatting xmlns:xm="http://schemas.microsoft.com/office/excel/2006/main">
          <x14:cfRule type="containsText" priority="1295" operator="containsText" id="{3A11034F-A126-4F46-9E7E-61709BA0E6C0}">
            <xm:f>NOT(ISERROR(SEARCH("Value Missing",D731)))</xm:f>
            <xm:f>"Value Missing"</xm:f>
            <x14:dxf>
              <font>
                <color rgb="FF9C0006"/>
              </font>
              <fill>
                <patternFill>
                  <bgColor rgb="FFFFC7CE"/>
                </patternFill>
              </fill>
            </x14:dxf>
          </x14:cfRule>
          <x14:cfRule type="notContainsText" priority="1294" operator="notContains" id="{BFAE6856-5E14-064D-93D2-B2CE20285B12}">
            <xm:f>ISERROR(SEARCH("Value Missing",D731))</xm:f>
            <xm:f>"Value Missing"</xm:f>
            <x14:dxf>
              <font>
                <color rgb="FF006100"/>
              </font>
              <fill>
                <patternFill>
                  <bgColor rgb="FFC6EFCE"/>
                </patternFill>
              </fill>
            </x14:dxf>
          </x14:cfRule>
          <xm:sqref>D731:D734</xm:sqref>
        </x14:conditionalFormatting>
        <x14:conditionalFormatting xmlns:xm="http://schemas.microsoft.com/office/excel/2006/main">
          <x14:cfRule type="containsText" priority="1395" operator="containsText" id="{7E6FB674-609F-E943-9E14-C2E5D32360DB}">
            <xm:f>NOT(ISERROR(SEARCH("Value Missing",D735)))</xm:f>
            <xm:f>"Value Missing"</xm:f>
            <x14:dxf>
              <font>
                <color rgb="FF9C0006"/>
              </font>
              <fill>
                <patternFill>
                  <bgColor rgb="FFFFC7CE"/>
                </patternFill>
              </fill>
            </x14:dxf>
          </x14:cfRule>
          <x14:cfRule type="notContainsText" priority="1394" operator="notContains" id="{34E2F7D7-9FF0-A14D-9FEA-9278039066B0}">
            <xm:f>ISERROR(SEARCH("Value Missing",D735))</xm:f>
            <xm:f>"Value Missing"</xm:f>
            <x14:dxf>
              <font>
                <color rgb="FF006100"/>
              </font>
              <fill>
                <patternFill>
                  <bgColor rgb="FFC6EFCE"/>
                </patternFill>
              </fill>
            </x14:dxf>
          </x14:cfRule>
          <xm:sqref>D735:D748</xm:sqref>
        </x14:conditionalFormatting>
        <x14:conditionalFormatting xmlns:xm="http://schemas.microsoft.com/office/excel/2006/main">
          <x14:cfRule type="containsText" priority="1363" operator="containsText" id="{D013EFF0-9D73-7149-B754-6995B83D8B35}">
            <xm:f>NOT(ISERROR(SEARCH("Value Missing",D742)))</xm:f>
            <xm:f>"Value Missing"</xm:f>
            <x14:dxf>
              <font>
                <color rgb="FF9C0006"/>
              </font>
              <fill>
                <patternFill>
                  <bgColor rgb="FFFFC7CE"/>
                </patternFill>
              </fill>
            </x14:dxf>
          </x14:cfRule>
          <x14:cfRule type="notContainsText" priority="1362" operator="notContains" id="{BE9FB1F7-BB6C-CB45-B92E-75A8C38C4A73}">
            <xm:f>ISERROR(SEARCH("Value Missing",D742))</xm:f>
            <xm:f>"Value Missing"</xm:f>
            <x14:dxf>
              <font>
                <color rgb="FF006100"/>
              </font>
              <fill>
                <patternFill>
                  <bgColor rgb="FFC6EFCE"/>
                </patternFill>
              </fill>
            </x14:dxf>
          </x14:cfRule>
          <x14:cfRule type="containsText" priority="1361" operator="containsText" id="{E142378A-F10A-2C4E-A816-8CCAB1D0E06E}">
            <xm:f>NOT(ISERROR(SEARCH("Value Missing",D742)))</xm:f>
            <xm:f>"Value Missing"</xm:f>
            <x14:dxf>
              <font>
                <color rgb="FF9C0006"/>
              </font>
              <fill>
                <patternFill>
                  <bgColor rgb="FFFFC7CE"/>
                </patternFill>
              </fill>
            </x14:dxf>
          </x14:cfRule>
          <x14:cfRule type="notContainsText" priority="1360" operator="notContains" id="{BC1AA823-B7B2-444A-A1BD-059C06BAEDF4}">
            <xm:f>ISERROR(SEARCH("Value Missing",D742))</xm:f>
            <xm:f>"Value Missing"</xm:f>
            <x14:dxf>
              <font>
                <color rgb="FF006100"/>
              </font>
              <fill>
                <patternFill>
                  <bgColor rgb="FFC6EFCE"/>
                </patternFill>
              </fill>
            </x14:dxf>
          </x14:cfRule>
          <xm:sqref>D742</xm:sqref>
        </x14:conditionalFormatting>
        <x14:conditionalFormatting xmlns:xm="http://schemas.microsoft.com/office/excel/2006/main">
          <x14:cfRule type="containsText" priority="1277" operator="containsText" id="{3B9A1B3E-639F-0240-AD6D-A02453DF74B6}">
            <xm:f>NOT(ISERROR(SEARCH("Value Missing",D752)))</xm:f>
            <xm:f>"Value Missing"</xm:f>
            <x14:dxf>
              <font>
                <color rgb="FF9C0006"/>
              </font>
              <fill>
                <patternFill>
                  <bgColor rgb="FFFFC7CE"/>
                </patternFill>
              </fill>
            </x14:dxf>
          </x14:cfRule>
          <x14:cfRule type="notContainsText" priority="1276" operator="notContains" id="{B6595D06-8C2C-F84F-AE92-B2F6B6581BBC}">
            <xm:f>ISERROR(SEARCH("Value Missing",D752))</xm:f>
            <xm:f>"Value Missing"</xm:f>
            <x14:dxf>
              <font>
                <color rgb="FF006100"/>
              </font>
              <fill>
                <patternFill>
                  <bgColor rgb="FFC6EFCE"/>
                </patternFill>
              </fill>
            </x14:dxf>
          </x14:cfRule>
          <xm:sqref>D752:D753</xm:sqref>
        </x14:conditionalFormatting>
        <x14:conditionalFormatting xmlns:xm="http://schemas.microsoft.com/office/excel/2006/main">
          <x14:cfRule type="notContainsText" priority="1268" operator="notContains" id="{F2B93BC7-38F2-1146-A04C-532C00F609D9}">
            <xm:f>ISERROR(SEARCH("Value Missing",D757))</xm:f>
            <xm:f>"Value Missing"</xm:f>
            <x14:dxf>
              <font>
                <color rgb="FF006100"/>
              </font>
              <fill>
                <patternFill>
                  <bgColor rgb="FFC6EFCE"/>
                </patternFill>
              </fill>
            </x14:dxf>
          </x14:cfRule>
          <x14:cfRule type="containsText" priority="1269" operator="containsText" id="{91C5A1F5-EAA8-3041-A8E5-8BCB7AE9B3F6}">
            <xm:f>NOT(ISERROR(SEARCH("Value Missing",D757)))</xm:f>
            <xm:f>"Value Missing"</xm:f>
            <x14:dxf>
              <font>
                <color rgb="FF9C0006"/>
              </font>
              <fill>
                <patternFill>
                  <bgColor rgb="FFFFC7CE"/>
                </patternFill>
              </fill>
            </x14:dxf>
          </x14:cfRule>
          <xm:sqref>D757:D760</xm:sqref>
        </x14:conditionalFormatting>
        <x14:conditionalFormatting xmlns:xm="http://schemas.microsoft.com/office/excel/2006/main">
          <x14:cfRule type="notContainsText" priority="1262" operator="notContains" id="{B60E292E-8460-FC40-9E89-0F39EB22756E}">
            <xm:f>ISERROR(SEARCH("Value Missing",D760))</xm:f>
            <xm:f>"Value Missing"</xm:f>
            <x14:dxf>
              <font>
                <color rgb="FF006100"/>
              </font>
              <fill>
                <patternFill>
                  <bgColor rgb="FFC6EFCE"/>
                </patternFill>
              </fill>
            </x14:dxf>
          </x14:cfRule>
          <x14:cfRule type="containsText" priority="1263" operator="containsText" id="{4FAC3B20-7AFE-2A48-BE0E-EC921C2CCFF1}">
            <xm:f>NOT(ISERROR(SEARCH("Value Missing",D760)))</xm:f>
            <xm:f>"Value Missing"</xm:f>
            <x14:dxf>
              <font>
                <color rgb="FF9C0006"/>
              </font>
              <fill>
                <patternFill>
                  <bgColor rgb="FFFFC7CE"/>
                </patternFill>
              </fill>
            </x14:dxf>
          </x14:cfRule>
          <xm:sqref>D760:D764</xm:sqref>
        </x14:conditionalFormatting>
        <x14:conditionalFormatting xmlns:xm="http://schemas.microsoft.com/office/excel/2006/main">
          <x14:cfRule type="containsText" priority="1305" operator="containsText" id="{C7C08D58-CE8D-F640-B593-3783E84E537F}">
            <xm:f>NOT(ISERROR(SEARCH("Value Missing",D768)))</xm:f>
            <xm:f>"Value Missing"</xm:f>
            <x14:dxf>
              <font>
                <color rgb="FF9C0006"/>
              </font>
              <fill>
                <patternFill>
                  <bgColor rgb="FFFFC7CE"/>
                </patternFill>
              </fill>
            </x14:dxf>
          </x14:cfRule>
          <x14:cfRule type="notContainsText" priority="1304" operator="notContains" id="{FC898D48-9DDE-3244-9E37-89EAAB10D39D}">
            <xm:f>ISERROR(SEARCH("Value Missing",D768))</xm:f>
            <xm:f>"Value Missing"</xm:f>
            <x14:dxf>
              <font>
                <color rgb="FF006100"/>
              </font>
              <fill>
                <patternFill>
                  <bgColor rgb="FFC6EFCE"/>
                </patternFill>
              </fill>
            </x14:dxf>
          </x14:cfRule>
          <xm:sqref>D768:D772</xm:sqref>
        </x14:conditionalFormatting>
        <x14:conditionalFormatting xmlns:xm="http://schemas.microsoft.com/office/excel/2006/main">
          <x14:cfRule type="notContainsText" priority="1298" operator="notContains" id="{472AA8FB-2791-0542-9D12-C6E4FE14C3FD}">
            <xm:f>ISERROR(SEARCH("Value Missing",D778))</xm:f>
            <xm:f>"Value Missing"</xm:f>
            <x14:dxf>
              <font>
                <color rgb="FF006100"/>
              </font>
              <fill>
                <patternFill>
                  <bgColor rgb="FFC6EFCE"/>
                </patternFill>
              </fill>
            </x14:dxf>
          </x14:cfRule>
          <x14:cfRule type="containsText" priority="1299" operator="containsText" id="{F90B8CD5-9BE7-B948-9713-AE8DE6F8211F}">
            <xm:f>NOT(ISERROR(SEARCH("Value Missing",D778)))</xm:f>
            <xm:f>"Value Missing"</xm:f>
            <x14:dxf>
              <font>
                <color rgb="FF9C0006"/>
              </font>
              <fill>
                <patternFill>
                  <bgColor rgb="FFFFC7CE"/>
                </patternFill>
              </fill>
            </x14:dxf>
          </x14:cfRule>
          <xm:sqref>D778:D784</xm:sqref>
        </x14:conditionalFormatting>
        <x14:conditionalFormatting xmlns:xm="http://schemas.microsoft.com/office/excel/2006/main">
          <x14:cfRule type="notContainsText" priority="1686" operator="notContains" id="{BBE225D6-065E-6043-A72D-B35E6ED22B1A}">
            <xm:f>ISERROR(SEARCH("Value Missing",D780))</xm:f>
            <xm:f>"Value Missing"</xm:f>
            <x14:dxf>
              <font>
                <color rgb="FF006100"/>
              </font>
              <fill>
                <patternFill>
                  <bgColor rgb="FFC6EFCE"/>
                </patternFill>
              </fill>
            </x14:dxf>
          </x14:cfRule>
          <x14:cfRule type="containsText" priority="1687" operator="containsText" id="{5C3B76A8-BFB3-CD45-A8E6-DA830025A242}">
            <xm:f>NOT(ISERROR(SEARCH("Value Missing",D780)))</xm:f>
            <xm:f>"Value Missing"</xm:f>
            <x14:dxf>
              <font>
                <color rgb="FF9C0006"/>
              </font>
              <fill>
                <patternFill>
                  <bgColor rgb="FFFFC7CE"/>
                </patternFill>
              </fill>
            </x14:dxf>
          </x14:cfRule>
          <xm:sqref>D780</xm:sqref>
        </x14:conditionalFormatting>
        <x14:conditionalFormatting xmlns:xm="http://schemas.microsoft.com/office/excel/2006/main">
          <x14:cfRule type="notContainsText" priority="1000" operator="notContains" id="{AFB47356-8C69-2241-9EB8-BB6E42F1C176}">
            <xm:f>ISERROR(SEARCH("Value Missing",D790))</xm:f>
            <xm:f>"Value Missing"</xm:f>
            <x14:dxf>
              <font>
                <color rgb="FF006100"/>
              </font>
              <fill>
                <patternFill>
                  <bgColor rgb="FFC6EFCE"/>
                </patternFill>
              </fill>
            </x14:dxf>
          </x14:cfRule>
          <x14:cfRule type="containsText" priority="1001" operator="containsText" id="{698260F8-FC32-2E49-AC24-37A3566F6473}">
            <xm:f>NOT(ISERROR(SEARCH("Value Missing",D790)))</xm:f>
            <xm:f>"Value Missing"</xm:f>
            <x14:dxf>
              <font>
                <color rgb="FF9C0006"/>
              </font>
              <fill>
                <patternFill>
                  <bgColor rgb="FFFFC7CE"/>
                </patternFill>
              </fill>
            </x14:dxf>
          </x14:cfRule>
          <xm:sqref>D790:D794</xm:sqref>
        </x14:conditionalFormatting>
        <x14:conditionalFormatting xmlns:xm="http://schemas.microsoft.com/office/excel/2006/main">
          <x14:cfRule type="notContainsText" priority="995" operator="notContains" id="{10F77C43-400A-F246-A03A-5290B92810F2}">
            <xm:f>ISERROR(SEARCH("Value Missing",D791))</xm:f>
            <xm:f>"Value Missing"</xm:f>
            <x14:dxf>
              <font>
                <color rgb="FF006100"/>
              </font>
              <fill>
                <patternFill>
                  <bgColor rgb="FFC6EFCE"/>
                </patternFill>
              </fill>
            </x14:dxf>
          </x14:cfRule>
          <x14:cfRule type="containsText" priority="996" operator="containsText" id="{83FAF56A-4302-AF4D-929D-B1596F6D2A05}">
            <xm:f>NOT(ISERROR(SEARCH("Value Missing",D791)))</xm:f>
            <xm:f>"Value Missing"</xm:f>
            <x14:dxf>
              <font>
                <color rgb="FF9C0006"/>
              </font>
              <fill>
                <patternFill>
                  <bgColor rgb="FFFFC7CE"/>
                </patternFill>
              </fill>
            </x14:dxf>
          </x14:cfRule>
          <xm:sqref>D791:D792</xm:sqref>
        </x14:conditionalFormatting>
        <x14:conditionalFormatting xmlns:xm="http://schemas.microsoft.com/office/excel/2006/main">
          <x14:cfRule type="containsText" priority="985" operator="containsText" id="{1F53642E-0F57-EB43-9A6C-8861DCD53865}">
            <xm:f>NOT(ISERROR(SEARCH("Value Missing",D798)))</xm:f>
            <xm:f>"Value Missing"</xm:f>
            <x14:dxf>
              <font>
                <color rgb="FF9C0006"/>
              </font>
              <fill>
                <patternFill>
                  <bgColor rgb="FFFFC7CE"/>
                </patternFill>
              </fill>
            </x14:dxf>
          </x14:cfRule>
          <x14:cfRule type="notContainsText" priority="984" operator="notContains" id="{E1E40C1B-544D-DF40-9951-D8D06AF1A4A6}">
            <xm:f>ISERROR(SEARCH("Value Missing",D798))</xm:f>
            <xm:f>"Value Missing"</xm:f>
            <x14:dxf>
              <font>
                <color rgb="FF006100"/>
              </font>
              <fill>
                <patternFill>
                  <bgColor rgb="FFC6EFCE"/>
                </patternFill>
              </fill>
            </x14:dxf>
          </x14:cfRule>
          <xm:sqref>D798:D802</xm:sqref>
        </x14:conditionalFormatting>
        <x14:conditionalFormatting xmlns:xm="http://schemas.microsoft.com/office/excel/2006/main">
          <x14:cfRule type="notContainsText" priority="982" operator="notContains" id="{AC4C7264-6099-794D-ABA3-3C12A0D94861}">
            <xm:f>ISERROR(SEARCH("Value Missing",D806))</xm:f>
            <xm:f>"Value Missing"</xm:f>
            <x14:dxf>
              <font>
                <color rgb="FF006100"/>
              </font>
              <fill>
                <patternFill>
                  <bgColor rgb="FFC6EFCE"/>
                </patternFill>
              </fill>
            </x14:dxf>
          </x14:cfRule>
          <x14:cfRule type="containsText" priority="983" operator="containsText" id="{1F8A4237-917D-084F-BA80-993BDC1DED18}">
            <xm:f>NOT(ISERROR(SEARCH("Value Missing",D806)))</xm:f>
            <xm:f>"Value Missing"</xm:f>
            <x14:dxf>
              <font>
                <color rgb="FF9C0006"/>
              </font>
              <fill>
                <patternFill>
                  <bgColor rgb="FFFFC7CE"/>
                </patternFill>
              </fill>
            </x14:dxf>
          </x14:cfRule>
          <xm:sqref>D806</xm:sqref>
        </x14:conditionalFormatting>
        <x14:conditionalFormatting xmlns:xm="http://schemas.microsoft.com/office/excel/2006/main">
          <x14:cfRule type="notContainsText" priority="805" operator="notContains" id="{3A3AE97C-5883-7443-ADA4-FCCA481F78C2}">
            <xm:f>ISERROR(SEARCH("Value Missing",D810))</xm:f>
            <xm:f>"Value Missing"</xm:f>
            <x14:dxf>
              <font>
                <color rgb="FF006100"/>
              </font>
              <fill>
                <patternFill>
                  <bgColor rgb="FFC6EFCE"/>
                </patternFill>
              </fill>
            </x14:dxf>
          </x14:cfRule>
          <x14:cfRule type="containsText" priority="806" operator="containsText" id="{CD97985C-92CF-7440-9F4A-F0ED62AB43E1}">
            <xm:f>NOT(ISERROR(SEARCH("Value Missing",D810)))</xm:f>
            <xm:f>"Value Missing"</xm:f>
            <x14:dxf>
              <font>
                <color rgb="FF9C0006"/>
              </font>
              <fill>
                <patternFill>
                  <bgColor rgb="FFFFC7CE"/>
                </patternFill>
              </fill>
            </x14:dxf>
          </x14:cfRule>
          <xm:sqref>D810:D824</xm:sqref>
        </x14:conditionalFormatting>
        <x14:conditionalFormatting xmlns:xm="http://schemas.microsoft.com/office/excel/2006/main">
          <x14:cfRule type="notContainsText" priority="913" operator="notContains" id="{4A942A3B-54F8-B240-BA47-5B605349F82D}">
            <xm:f>ISERROR(SEARCH("Value Missing",D817))</xm:f>
            <xm:f>"Value Missing"</xm:f>
            <x14:dxf>
              <font>
                <color rgb="FF006100"/>
              </font>
              <fill>
                <patternFill>
                  <bgColor rgb="FFC6EFCE"/>
                </patternFill>
              </fill>
            </x14:dxf>
          </x14:cfRule>
          <x14:cfRule type="containsText" priority="914" operator="containsText" id="{7FE31F57-F084-0A4B-A9B9-9E5EC50346B9}">
            <xm:f>NOT(ISERROR(SEARCH("Value Missing",D817)))</xm:f>
            <xm:f>"Value Missing"</xm:f>
            <x14:dxf>
              <font>
                <color rgb="FF9C0006"/>
              </font>
              <fill>
                <patternFill>
                  <bgColor rgb="FFFFC7CE"/>
                </patternFill>
              </fill>
            </x14:dxf>
          </x14:cfRule>
          <xm:sqref>D817</xm:sqref>
        </x14:conditionalFormatting>
        <x14:conditionalFormatting xmlns:xm="http://schemas.microsoft.com/office/excel/2006/main">
          <x14:cfRule type="notContainsText" priority="819" operator="notContains" id="{A90A7B13-F6B8-B24D-BE82-9558B6395A03}">
            <xm:f>ISERROR(SEARCH("Value Missing",D824))</xm:f>
            <xm:f>"Value Missing"</xm:f>
            <x14:dxf>
              <font>
                <color rgb="FF006100"/>
              </font>
              <fill>
                <patternFill>
                  <bgColor rgb="FFC6EFCE"/>
                </patternFill>
              </fill>
            </x14:dxf>
          </x14:cfRule>
          <x14:cfRule type="containsText" priority="820" operator="containsText" id="{455DDB87-8F87-1B4A-A003-1B3555437CB9}">
            <xm:f>NOT(ISERROR(SEARCH("Value Missing",D824)))</xm:f>
            <xm:f>"Value Missing"</xm:f>
            <x14:dxf>
              <font>
                <color rgb="FF9C0006"/>
              </font>
              <fill>
                <patternFill>
                  <bgColor rgb="FFFFC7CE"/>
                </patternFill>
              </fill>
            </x14:dxf>
          </x14:cfRule>
          <xm:sqref>D824</xm:sqref>
        </x14:conditionalFormatting>
        <x14:conditionalFormatting xmlns:xm="http://schemas.microsoft.com/office/excel/2006/main">
          <x14:cfRule type="notContainsText" priority="842" operator="notContains" id="{FA86245B-B48E-1047-9CE2-EAA7E8E7F054}">
            <xm:f>ISERROR(SEARCH("Value Missing",D828))</xm:f>
            <xm:f>"Value Missing"</xm:f>
            <x14:dxf>
              <font>
                <color rgb="FF006100"/>
              </font>
              <fill>
                <patternFill>
                  <bgColor rgb="FFC6EFCE"/>
                </patternFill>
              </fill>
            </x14:dxf>
          </x14:cfRule>
          <x14:cfRule type="containsText" priority="843" operator="containsText" id="{696134B5-2D52-6443-B340-977C9D7B8065}">
            <xm:f>NOT(ISERROR(SEARCH("Value Missing",D828)))</xm:f>
            <xm:f>"Value Missing"</xm:f>
            <x14:dxf>
              <font>
                <color rgb="FF9C0006"/>
              </font>
              <fill>
                <patternFill>
                  <bgColor rgb="FFFFC7CE"/>
                </patternFill>
              </fill>
            </x14:dxf>
          </x14:cfRule>
          <xm:sqref>D828:D834</xm:sqref>
        </x14:conditionalFormatting>
        <x14:conditionalFormatting xmlns:xm="http://schemas.microsoft.com/office/excel/2006/main">
          <x14:cfRule type="containsText" priority="788" operator="containsText" id="{61DCA313-25E9-0240-A92F-C7B6BA628EFF}">
            <xm:f>NOT(ISERROR(SEARCH("Value Missing",D833)))</xm:f>
            <xm:f>"Value Missing"</xm:f>
            <x14:dxf>
              <font>
                <color rgb="FF9C0006"/>
              </font>
              <fill>
                <patternFill>
                  <bgColor rgb="FFFFC7CE"/>
                </patternFill>
              </fill>
            </x14:dxf>
          </x14:cfRule>
          <x14:cfRule type="notContainsText" priority="787" operator="notContains" id="{98BDCCDF-1401-8545-A846-DB67B554363A}">
            <xm:f>ISERROR(SEARCH("Value Missing",D833))</xm:f>
            <xm:f>"Value Missing"</xm:f>
            <x14:dxf>
              <font>
                <color rgb="FF006100"/>
              </font>
              <fill>
                <patternFill>
                  <bgColor rgb="FFC6EFCE"/>
                </patternFill>
              </fill>
            </x14:dxf>
          </x14:cfRule>
          <xm:sqref>D833:D836</xm:sqref>
        </x14:conditionalFormatting>
        <x14:conditionalFormatting xmlns:xm="http://schemas.microsoft.com/office/excel/2006/main">
          <x14:cfRule type="containsText" priority="890" operator="containsText" id="{1AEA5AD9-9094-ED46-8313-4BCF1242AE41}">
            <xm:f>NOT(ISERROR(SEARCH("Value Missing",D834)))</xm:f>
            <xm:f>"Value Missing"</xm:f>
            <x14:dxf>
              <font>
                <color rgb="FF9C0006"/>
              </font>
              <fill>
                <patternFill>
                  <bgColor rgb="FFFFC7CE"/>
                </patternFill>
              </fill>
            </x14:dxf>
          </x14:cfRule>
          <x14:cfRule type="notContainsText" priority="889" operator="notContains" id="{4569627D-EFF2-E243-8ABE-8FBD3502A327}">
            <xm:f>ISERROR(SEARCH("Value Missing",D834))</xm:f>
            <xm:f>"Value Missing"</xm:f>
            <x14:dxf>
              <font>
                <color rgb="FF006100"/>
              </font>
              <fill>
                <patternFill>
                  <bgColor rgb="FFC6EFCE"/>
                </patternFill>
              </fill>
            </x14:dxf>
          </x14:cfRule>
          <xm:sqref>D834</xm:sqref>
        </x14:conditionalFormatting>
        <x14:conditionalFormatting xmlns:xm="http://schemas.microsoft.com/office/excel/2006/main">
          <x14:cfRule type="notContainsText" priority="791" operator="notContains" id="{25C41EA3-796B-414B-A3D8-5F9ED01B14F8}">
            <xm:f>ISERROR(SEARCH("Value Missing",D837))</xm:f>
            <xm:f>"Value Missing"</xm:f>
            <x14:dxf>
              <font>
                <color rgb="FF006100"/>
              </font>
              <fill>
                <patternFill>
                  <bgColor rgb="FFC6EFCE"/>
                </patternFill>
              </fill>
            </x14:dxf>
          </x14:cfRule>
          <x14:cfRule type="containsText" priority="792" operator="containsText" id="{C3975C2E-F046-E645-A7C5-9C09BDDE6B5C}">
            <xm:f>NOT(ISERROR(SEARCH("Value Missing",D837)))</xm:f>
            <xm:f>"Value Missing"</xm:f>
            <x14:dxf>
              <font>
                <color rgb="FF9C0006"/>
              </font>
              <fill>
                <patternFill>
                  <bgColor rgb="FFFFC7CE"/>
                </patternFill>
              </fill>
            </x14:dxf>
          </x14:cfRule>
          <xm:sqref>D837:D840</xm:sqref>
        </x14:conditionalFormatting>
        <x14:conditionalFormatting xmlns:xm="http://schemas.microsoft.com/office/excel/2006/main">
          <x14:cfRule type="notContainsText" priority="789" operator="notContains" id="{1C4FA0B4-3F73-3D47-9DBE-DD47FFB59958}">
            <xm:f>ISERROR(SEARCH("Value Missing",D839))</xm:f>
            <xm:f>"Value Missing"</xm:f>
            <x14:dxf>
              <font>
                <color rgb="FF006100"/>
              </font>
              <fill>
                <patternFill>
                  <bgColor rgb="FFC6EFCE"/>
                </patternFill>
              </fill>
            </x14:dxf>
          </x14:cfRule>
          <x14:cfRule type="containsText" priority="790" operator="containsText" id="{025838B6-3771-B74B-BB0B-DADC56643871}">
            <xm:f>NOT(ISERROR(SEARCH("Value Missing",D839)))</xm:f>
            <xm:f>"Value Missing"</xm:f>
            <x14:dxf>
              <font>
                <color rgb="FF9C0006"/>
              </font>
              <fill>
                <patternFill>
                  <bgColor rgb="FFFFC7CE"/>
                </patternFill>
              </fill>
            </x14:dxf>
          </x14:cfRule>
          <xm:sqref>D839:D840</xm:sqref>
        </x14:conditionalFormatting>
        <x14:conditionalFormatting xmlns:xm="http://schemas.microsoft.com/office/excel/2006/main">
          <x14:cfRule type="notContainsText" priority="801" operator="notContains" id="{F92039E1-8D12-CA42-813D-D6C0E6607D4F}">
            <xm:f>ISERROR(SEARCH("Value Missing",D840))</xm:f>
            <xm:f>"Value Missing"</xm:f>
            <x14:dxf>
              <font>
                <color rgb="FF006100"/>
              </font>
              <fill>
                <patternFill>
                  <bgColor rgb="FFC6EFCE"/>
                </patternFill>
              </fill>
            </x14:dxf>
          </x14:cfRule>
          <x14:cfRule type="containsText" priority="802" operator="containsText" id="{78C33F81-22EA-6540-8754-ABC87A73A3C7}">
            <xm:f>NOT(ISERROR(SEARCH("Value Missing",D840)))</xm:f>
            <xm:f>"Value Missing"</xm:f>
            <x14:dxf>
              <font>
                <color rgb="FF9C0006"/>
              </font>
              <fill>
                <patternFill>
                  <bgColor rgb="FFFFC7CE"/>
                </patternFill>
              </fill>
            </x14:dxf>
          </x14:cfRule>
          <xm:sqref>D840</xm:sqref>
        </x14:conditionalFormatting>
        <x14:conditionalFormatting xmlns:xm="http://schemas.microsoft.com/office/excel/2006/main">
          <x14:cfRule type="containsText" priority="753" operator="containsText" id="{88E880BA-4165-CA48-A7FA-3D85C5FEE87B}">
            <xm:f>NOT(ISERROR(SEARCH("Value Missing",D844)))</xm:f>
            <xm:f>"Value Missing"</xm:f>
            <x14:dxf>
              <font>
                <color rgb="FF9C0006"/>
              </font>
              <fill>
                <patternFill>
                  <bgColor rgb="FFFFC7CE"/>
                </patternFill>
              </fill>
            </x14:dxf>
          </x14:cfRule>
          <x14:cfRule type="notContainsText" priority="752" operator="notContains" id="{97615957-16BF-E949-9973-314332B4B0EF}">
            <xm:f>ISERROR(SEARCH("Value Missing",D844))</xm:f>
            <xm:f>"Value Missing"</xm:f>
            <x14:dxf>
              <font>
                <color rgb="FF006100"/>
              </font>
              <fill>
                <patternFill>
                  <bgColor rgb="FFC6EFCE"/>
                </patternFill>
              </fill>
            </x14:dxf>
          </x14:cfRule>
          <xm:sqref>D844</xm:sqref>
        </x14:conditionalFormatting>
        <x14:conditionalFormatting xmlns:xm="http://schemas.microsoft.com/office/excel/2006/main">
          <x14:cfRule type="containsText" priority="874" operator="containsText" id="{AAF80D2D-600B-7241-9E7F-94888162A3E6}">
            <xm:f>NOT(ISERROR(SEARCH("Value Missing",D848)))</xm:f>
            <xm:f>"Value Missing"</xm:f>
            <x14:dxf>
              <font>
                <color rgb="FF9C0006"/>
              </font>
              <fill>
                <patternFill>
                  <bgColor rgb="FFFFC7CE"/>
                </patternFill>
              </fill>
            </x14:dxf>
          </x14:cfRule>
          <x14:cfRule type="notContainsText" priority="873" operator="notContains" id="{7B856E91-39D8-A04E-AFF4-B77B7B907ECF}">
            <xm:f>ISERROR(SEARCH("Value Missing",D848))</xm:f>
            <xm:f>"Value Missing"</xm:f>
            <x14:dxf>
              <font>
                <color rgb="FF006100"/>
              </font>
              <fill>
                <patternFill>
                  <bgColor rgb="FFC6EFCE"/>
                </patternFill>
              </fill>
            </x14:dxf>
          </x14:cfRule>
          <xm:sqref>D848</xm:sqref>
        </x14:conditionalFormatting>
        <x14:conditionalFormatting xmlns:xm="http://schemas.microsoft.com/office/excel/2006/main">
          <x14:cfRule type="notContainsText" priority="651" operator="notContains" id="{1F5C5796-EB02-3A4E-947D-D232EFDDA66A}">
            <xm:f>ISERROR(SEARCH("Value Missing",D848))</xm:f>
            <xm:f>"Value Missing"</xm:f>
            <x14:dxf>
              <font>
                <color rgb="FF006100"/>
              </font>
              <fill>
                <patternFill>
                  <bgColor rgb="FFC6EFCE"/>
                </patternFill>
              </fill>
            </x14:dxf>
          </x14:cfRule>
          <x14:cfRule type="containsText" priority="758" operator="containsText" id="{56900E45-212A-7C4B-B964-00F2C7EB9C1B}">
            <xm:f>NOT(ISERROR(SEARCH("Value Missing",D848)))</xm:f>
            <xm:f>"Value Missing"</xm:f>
            <x14:dxf>
              <font>
                <color rgb="FF9C0006"/>
              </font>
              <fill>
                <patternFill>
                  <bgColor rgb="FFFFC7CE"/>
                </patternFill>
              </fill>
            </x14:dxf>
          </x14:cfRule>
          <xm:sqref>D848:D856</xm:sqref>
        </x14:conditionalFormatting>
        <x14:conditionalFormatting xmlns:xm="http://schemas.microsoft.com/office/excel/2006/main">
          <x14:cfRule type="containsText" priority="734" operator="containsText" id="{E4155D46-713F-0947-AB4B-5347671A9531}">
            <xm:f>NOT(ISERROR(SEARCH("Value Missing",D860)))</xm:f>
            <xm:f>"Value Missing"</xm:f>
            <x14:dxf>
              <font>
                <color rgb="FF9C0006"/>
              </font>
              <fill>
                <patternFill>
                  <bgColor rgb="FFFFC7CE"/>
                </patternFill>
              </fill>
            </x14:dxf>
          </x14:cfRule>
          <x14:cfRule type="notContainsText" priority="733" operator="notContains" id="{942CBDEF-4FB0-2D43-8791-7EB7CB1F0486}">
            <xm:f>ISERROR(SEARCH("Value Missing",D860))</xm:f>
            <xm:f>"Value Missing"</xm:f>
            <x14:dxf>
              <font>
                <color rgb="FF006100"/>
              </font>
              <fill>
                <patternFill>
                  <bgColor rgb="FFC6EFCE"/>
                </patternFill>
              </fill>
            </x14:dxf>
          </x14:cfRule>
          <xm:sqref>D860:D861</xm:sqref>
        </x14:conditionalFormatting>
        <x14:conditionalFormatting xmlns:xm="http://schemas.microsoft.com/office/excel/2006/main">
          <x14:cfRule type="containsText" priority="723" operator="containsText" id="{FC0C4E45-A5D5-774F-B2BE-32A27E836CA3}">
            <xm:f>NOT(ISERROR(SEARCH("Value Missing",D860)))</xm:f>
            <xm:f>"Value Missing"</xm:f>
            <x14:dxf>
              <font>
                <color rgb="FF9C0006"/>
              </font>
              <fill>
                <patternFill>
                  <bgColor rgb="FFFFC7CE"/>
                </patternFill>
              </fill>
            </x14:dxf>
          </x14:cfRule>
          <x14:cfRule type="notContainsText" priority="722" operator="notContains" id="{034E318D-1187-8B46-AD7D-F0BFB69A321D}">
            <xm:f>ISERROR(SEARCH("Value Missing",D860))</xm:f>
            <xm:f>"Value Missing"</xm:f>
            <x14:dxf>
              <font>
                <color rgb="FF006100"/>
              </font>
              <fill>
                <patternFill>
                  <bgColor rgb="FFC6EFCE"/>
                </patternFill>
              </fill>
            </x14:dxf>
          </x14:cfRule>
          <xm:sqref>D860:D865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C4A4-3F0C-5645-9A18-7D2CF168C3AB}">
  <sheetPr codeName="Sheet31">
    <tabColor theme="4" tint="0.39997558519241921"/>
  </sheetPr>
  <dimension ref="A1:S1156"/>
  <sheetViews>
    <sheetView workbookViewId="0">
      <pane ySplit="6" topLeftCell="A7" activePane="bottomLeft" state="frozen"/>
      <selection pane="bottomLeft"/>
    </sheetView>
  </sheetViews>
  <sheetFormatPr baseColWidth="10" defaultColWidth="11" defaultRowHeight="16"/>
  <cols>
    <col min="1" max="1" width="2.83203125" style="103" customWidth="1"/>
    <col min="2" max="2" width="63.83203125" customWidth="1"/>
    <col min="3" max="3" width="78.83203125" customWidth="1"/>
    <col min="4" max="4" width="84.83203125" customWidth="1"/>
    <col min="5" max="5" width="60.83203125" customWidth="1"/>
    <col min="6" max="19" width="11" style="103"/>
  </cols>
  <sheetData>
    <row r="1" spans="1:6" s="103" customFormat="1">
      <c r="A1" s="120"/>
      <c r="B1" s="121"/>
      <c r="C1" s="121"/>
      <c r="D1" s="121"/>
      <c r="E1" s="121"/>
      <c r="F1" s="121"/>
    </row>
    <row r="2" spans="1:6" ht="54" customHeight="1">
      <c r="A2" s="121"/>
      <c r="B2" s="565"/>
      <c r="C2" s="575"/>
      <c r="D2" s="566" t="s">
        <v>3034</v>
      </c>
      <c r="E2" s="576"/>
      <c r="F2" s="121"/>
    </row>
    <row r="3" spans="1:6">
      <c r="A3" s="121"/>
      <c r="B3" s="567" t="s">
        <v>3035</v>
      </c>
      <c r="C3" s="577"/>
      <c r="D3" s="577"/>
      <c r="E3" s="578"/>
      <c r="F3" s="121"/>
    </row>
    <row r="4" spans="1:6">
      <c r="A4" s="122"/>
      <c r="B4" s="122"/>
      <c r="C4" s="122"/>
      <c r="D4" s="122"/>
      <c r="E4" s="122"/>
      <c r="F4" s="122"/>
    </row>
    <row r="5" spans="1:6" ht="34" customHeight="1">
      <c r="A5" s="122"/>
      <c r="B5" s="179" t="s">
        <v>2273</v>
      </c>
      <c r="C5" s="178" t="s">
        <v>32</v>
      </c>
      <c r="D5" s="127"/>
      <c r="E5" s="127"/>
      <c r="F5" s="127"/>
    </row>
    <row r="6" spans="1:6">
      <c r="A6" s="121"/>
      <c r="B6" s="121"/>
      <c r="C6" s="121"/>
      <c r="D6" s="123"/>
      <c r="E6" s="124"/>
      <c r="F6" s="124"/>
    </row>
    <row r="7" spans="1:6">
      <c r="A7" s="122"/>
      <c r="B7" s="122"/>
      <c r="C7" s="122"/>
      <c r="D7" s="122"/>
      <c r="E7" s="122"/>
      <c r="F7" s="122"/>
    </row>
    <row r="8" spans="1:6" ht="34" customHeight="1">
      <c r="A8" s="122"/>
      <c r="B8" s="564" t="s">
        <v>32</v>
      </c>
      <c r="C8" s="579"/>
      <c r="D8" s="579"/>
      <c r="E8" s="580"/>
      <c r="F8" s="122"/>
    </row>
    <row r="9" spans="1:6" s="103" customFormat="1">
      <c r="A9" s="122"/>
      <c r="B9" s="122"/>
      <c r="C9" s="122"/>
      <c r="D9" s="122"/>
      <c r="E9" s="122"/>
      <c r="F9" s="122"/>
    </row>
    <row r="10" spans="1:6" s="103" customFormat="1" ht="34" customHeight="1">
      <c r="A10" s="122"/>
      <c r="B10" s="501" t="s">
        <v>3036</v>
      </c>
      <c r="C10" s="501"/>
      <c r="D10" s="501"/>
      <c r="E10" s="501"/>
      <c r="F10" s="122"/>
    </row>
    <row r="11" spans="1:6" s="103" customFormat="1" ht="20" customHeight="1">
      <c r="A11" s="122"/>
      <c r="B11" s="112" t="s">
        <v>735</v>
      </c>
      <c r="C11" s="112" t="s">
        <v>554</v>
      </c>
      <c r="D11" s="113" t="s">
        <v>555</v>
      </c>
      <c r="E11" s="112" t="s">
        <v>222</v>
      </c>
      <c r="F11" s="122"/>
    </row>
    <row r="12" spans="1:6" s="103" customFormat="1" ht="20" customHeight="1">
      <c r="A12" s="122"/>
      <c r="B12" s="114" t="s">
        <v>2286</v>
      </c>
      <c r="C12" s="115" t="str">
        <f>sample_mgmt_vc_hostname&amp;"."&amp;sample_child_dns_zone</f>
        <v>sfo-m01-vc01.sfo.rainpole.io</v>
      </c>
      <c r="D12" s="12" t="str">
        <f>mgmt_vc_fqdn</f>
        <v>Value Missing.Value Missing</v>
      </c>
      <c r="E12"/>
      <c r="F12" s="122"/>
    </row>
    <row r="13" spans="1:6" s="103" customFormat="1" ht="20" customHeight="1">
      <c r="A13" s="122"/>
      <c r="B13" s="117" t="s">
        <v>841</v>
      </c>
      <c r="C13" s="115" t="str">
        <f>sample_mgmt_datacenter</f>
        <v>sfo-m01-dc01</v>
      </c>
      <c r="D13" s="12" t="str">
        <f>mgmt_datacenter</f>
        <v>Value Missing</v>
      </c>
      <c r="E13" s="134"/>
      <c r="F13" s="122"/>
    </row>
    <row r="14" spans="1:6" s="103" customFormat="1" ht="20" customHeight="1">
      <c r="A14" s="122"/>
      <c r="B14" s="117" t="s">
        <v>2297</v>
      </c>
      <c r="C14" s="115" t="str">
        <f>sample_hrm_vm_hostname</f>
        <v>sfo-m01-hrm01</v>
      </c>
      <c r="D14" s="12" t="str">
        <f>hrm_vm_hostname</f>
        <v>Value Missing</v>
      </c>
      <c r="E14" s="134"/>
      <c r="F14" s="122"/>
    </row>
    <row r="15" spans="1:6" s="103" customFormat="1" ht="20" customHeight="1">
      <c r="A15" s="122"/>
      <c r="B15" s="117" t="s">
        <v>2298</v>
      </c>
      <c r="C15" s="115" t="str">
        <f>sample_mgmt_datacenter</f>
        <v>sfo-m01-dc01</v>
      </c>
      <c r="D15" s="12" t="str">
        <f>mgmt_datacenter</f>
        <v>Value Missing</v>
      </c>
      <c r="E15" s="134"/>
      <c r="F15" s="122"/>
    </row>
    <row r="16" spans="1:6" s="103" customFormat="1" ht="20" customHeight="1">
      <c r="A16" s="122"/>
      <c r="B16" s="117" t="s">
        <v>2299</v>
      </c>
      <c r="C16" s="115" t="str">
        <f>sample_mgmt_cl01_vsan_datastore</f>
        <v>sfo-m01-cl01-ds-vsan01</v>
      </c>
      <c r="D16" s="12" t="str">
        <f>mgmt_cl01_vsan_datastore</f>
        <v>Value Missing</v>
      </c>
      <c r="E16" s="134"/>
      <c r="F16" s="122"/>
    </row>
    <row r="17" spans="1:6" s="103" customFormat="1" ht="20" customHeight="1">
      <c r="A17" s="122"/>
      <c r="B17" s="117" t="s">
        <v>1798</v>
      </c>
      <c r="C17" s="115" t="str">
        <f>sample_mgmt_cl01_az1_mgmt_pg</f>
        <v>sfo-m01-cl01-vds01-pg-esxi-mgmt</v>
      </c>
      <c r="D17" s="12" t="str">
        <f>mgmt_cl01_az1_mgmt_pg</f>
        <v>Value Missing</v>
      </c>
      <c r="E17" s="134"/>
      <c r="F17" s="122"/>
    </row>
    <row r="18" spans="1:6" s="103" customFormat="1" ht="20" customHeight="1">
      <c r="A18" s="122"/>
      <c r="B18" s="117" t="s">
        <v>1686</v>
      </c>
      <c r="C18" s="115" t="str">
        <f>sample_hrm_vm_hostname&amp;"."&amp;sample_child_dns_zone</f>
        <v>sfo-m01-hrm01.sfo.rainpole.io</v>
      </c>
      <c r="D18" s="12" t="str" cm="1">
        <f t="array" ref="D18">hrm_vm_fqdn</f>
        <v>Value Missing</v>
      </c>
      <c r="E18" s="134"/>
      <c r="F18" s="122"/>
    </row>
    <row r="19" spans="1:6" s="103" customFormat="1" ht="20" customHeight="1">
      <c r="A19" s="122"/>
      <c r="B19" s="117" t="s">
        <v>3037</v>
      </c>
      <c r="C19" s="115" t="str">
        <f>sample_hrm_vm_ip</f>
        <v>10.11.10.50</v>
      </c>
      <c r="D19" s="12" t="str" cm="1">
        <f t="array" ref="D19">hrm_vm_ip</f>
        <v>Value Missing</v>
      </c>
      <c r="E19" s="134"/>
      <c r="F19" s="122"/>
    </row>
    <row r="20" spans="1:6" s="103" customFormat="1" ht="20" customHeight="1">
      <c r="A20" s="122"/>
      <c r="B20" s="117" t="s">
        <v>3038</v>
      </c>
      <c r="C20" s="115" t="str">
        <f>VLOOKUP(INT(RIGHT(sample_mgmt_az1_mgmt_cidr,LEN(sample_mgmt_az1_mgmt_cidr)-FIND("/",sample_mgmt_az1_mgmt_cidr))),table_cidr_to_mask,2,FALSE)</f>
        <v>255.255.255.0</v>
      </c>
      <c r="D20" s="12" t="str">
        <f>mgmt_az1_mgmt_mask</f>
        <v>Value Missing</v>
      </c>
      <c r="E20" s="134"/>
      <c r="F20" s="122"/>
    </row>
    <row r="21" spans="1:6" s="103" customFormat="1" ht="20" customHeight="1">
      <c r="A21" s="122"/>
      <c r="B21" s="117" t="s">
        <v>1774</v>
      </c>
      <c r="C21" s="115" t="str">
        <f>sample_mgmt_az1_mgmt_gateway_ip</f>
        <v>10.11.11.1</v>
      </c>
      <c r="D21" s="12" t="str">
        <f>mgmt_az1_mgmt_gateway_ip</f>
        <v>Value Missing</v>
      </c>
      <c r="E21" s="134"/>
      <c r="F21" s="122"/>
    </row>
    <row r="22" spans="1:6" s="103" customFormat="1" ht="20" customHeight="1">
      <c r="A22" s="122"/>
      <c r="B22" s="117" t="s">
        <v>306</v>
      </c>
      <c r="C22" s="115" t="str">
        <f>sample_region_dns1_ip&amp;","&amp;sample_region_dns2_ip</f>
        <v>10.11.10.4,10.11.10.5</v>
      </c>
      <c r="D22" s="12" t="str">
        <f>region_dns1_ip&amp;","&amp;region_dns2_ip</f>
        <v>Value Missing,Value Missing</v>
      </c>
      <c r="E22" s="134"/>
      <c r="F22" s="122"/>
    </row>
    <row r="23" spans="1:6" s="103" customFormat="1" ht="20" customHeight="1">
      <c r="A23" s="122"/>
      <c r="B23" s="117" t="s">
        <v>1906</v>
      </c>
      <c r="C23" s="115" t="str">
        <f>sample_child_dns_zone</f>
        <v>sfo.rainpole.io</v>
      </c>
      <c r="D23" s="12" t="str">
        <f>child_dns_zone</f>
        <v>Value Missing</v>
      </c>
      <c r="E23" s="134"/>
      <c r="F23" s="122"/>
    </row>
    <row r="24" spans="1:6" s="103" customFormat="1" ht="20" customHeight="1">
      <c r="A24" s="122"/>
      <c r="B24" s="117" t="s">
        <v>318</v>
      </c>
      <c r="C24" s="115" t="str">
        <f>sample_region_ntp1_server</f>
        <v>ntp.sfo.rainpole.io</v>
      </c>
      <c r="D24" s="12" t="str">
        <f>region_ntp1_server</f>
        <v>Value Missing</v>
      </c>
      <c r="E24" s="134"/>
      <c r="F24" s="122"/>
    </row>
    <row r="25" spans="1:6" s="103" customFormat="1" ht="20" customHeight="1">
      <c r="A25" s="122"/>
      <c r="B25" s="117" t="s">
        <v>1684</v>
      </c>
      <c r="C25" s="115" t="str">
        <f>sample_hrm_vm_root_password</f>
        <v>VMw@re1!</v>
      </c>
      <c r="D25" s="12" t="str">
        <f>hrm_vm_root_password</f>
        <v>Value Missing</v>
      </c>
      <c r="E25" s="134"/>
      <c r="F25" s="122"/>
    </row>
    <row r="26" spans="1:6" s="103" customFormat="1" ht="20" customHeight="1">
      <c r="A26" s="122"/>
      <c r="B26" s="135" t="s">
        <v>3039</v>
      </c>
      <c r="C26" s="136" t="s">
        <v>788</v>
      </c>
      <c r="D26" s="137" t="str">
        <f>C26</f>
        <v>Yes</v>
      </c>
      <c r="E26" s="138"/>
      <c r="F26" s="122"/>
    </row>
    <row r="27" spans="1:6" s="103" customFormat="1" ht="20" customHeight="1">
      <c r="A27" s="122"/>
      <c r="B27" s="122"/>
      <c r="C27" s="122"/>
      <c r="D27" s="122"/>
      <c r="E27" s="122"/>
      <c r="F27" s="122"/>
    </row>
    <row r="28" spans="1:6" ht="34" customHeight="1">
      <c r="A28" s="125"/>
      <c r="B28" s="557" t="s">
        <v>3040</v>
      </c>
      <c r="C28" s="557"/>
      <c r="D28" s="557"/>
      <c r="E28" s="557"/>
    </row>
    <row r="29" spans="1:6" ht="20" customHeight="1">
      <c r="A29" s="125"/>
      <c r="B29" s="112" t="s">
        <v>735</v>
      </c>
      <c r="C29" s="112" t="s">
        <v>554</v>
      </c>
      <c r="D29" s="113" t="s">
        <v>555</v>
      </c>
      <c r="E29" s="112" t="s">
        <v>222</v>
      </c>
    </row>
    <row r="30" spans="1:6" ht="20" customHeight="1">
      <c r="A30" s="125"/>
      <c r="B30" s="114" t="s">
        <v>2286</v>
      </c>
      <c r="C30" s="115" t="str">
        <f>sample_mgmt_vc_hostname&amp;"."&amp;sample_child_dns_zone</f>
        <v>sfo-m01-vc01.sfo.rainpole.io</v>
      </c>
      <c r="D30" s="12" t="str">
        <f>mgmt_vc_fqdn</f>
        <v>Value Missing.Value Missing</v>
      </c>
      <c r="E30" s="116"/>
    </row>
    <row r="31" spans="1:6" ht="20" customHeight="1">
      <c r="A31" s="125"/>
      <c r="B31" s="114" t="s">
        <v>841</v>
      </c>
      <c r="C31" s="115" t="str">
        <f>sample_mgmt_datacenter</f>
        <v>sfo-m01-dc01</v>
      </c>
      <c r="D31" s="12" t="str">
        <f>mgmt_datacenter</f>
        <v>Value Missing</v>
      </c>
      <c r="E31" s="116"/>
    </row>
    <row r="32" spans="1:6" ht="20" customHeight="1">
      <c r="A32" s="125"/>
      <c r="B32" s="118" t="s">
        <v>2296</v>
      </c>
      <c r="C32" s="115" t="str" cm="1">
        <f t="array" ref="C32">sample_hrm_vm_folder</f>
        <v>sfo-m01-fd-hrm</v>
      </c>
      <c r="D32" s="12" t="str" cm="1">
        <f t="array" ref="D32">hrm_vm_folder</f>
        <v>Value Missing</v>
      </c>
      <c r="E32" s="116"/>
    </row>
    <row r="33" spans="1:6" s="103" customFormat="1" ht="20" customHeight="1"/>
    <row r="34" spans="1:6" ht="34" customHeight="1">
      <c r="B34" s="557" t="s">
        <v>3041</v>
      </c>
      <c r="C34" s="557"/>
      <c r="D34" s="557"/>
      <c r="E34" s="557"/>
    </row>
    <row r="35" spans="1:6" ht="20" customHeight="1">
      <c r="B35" s="112" t="s">
        <v>735</v>
      </c>
      <c r="C35" s="112" t="s">
        <v>554</v>
      </c>
      <c r="D35" s="113" t="s">
        <v>555</v>
      </c>
      <c r="E35" s="112" t="s">
        <v>222</v>
      </c>
    </row>
    <row r="36" spans="1:6" ht="20" customHeight="1">
      <c r="B36" s="114" t="s">
        <v>2286</v>
      </c>
      <c r="C36" s="115" t="str">
        <f>sample_mgmt_vc_hostname&amp;"."&amp;sample_child_dns_zone</f>
        <v>sfo-m01-vc01.sfo.rainpole.io</v>
      </c>
      <c r="D36" s="12" t="str">
        <f>mgmt_vc_fqdn</f>
        <v>Value Missing.Value Missing</v>
      </c>
      <c r="E36" s="116"/>
    </row>
    <row r="37" spans="1:6" ht="20" customHeight="1">
      <c r="B37" s="114" t="s">
        <v>841</v>
      </c>
      <c r="C37" s="115" t="str">
        <f>sample_mgmt_datacenter</f>
        <v>sfo-m01-dc01</v>
      </c>
      <c r="D37" s="12" t="str">
        <f>mgmt_datacenter</f>
        <v>Value Missing</v>
      </c>
      <c r="E37" s="116"/>
    </row>
    <row r="38" spans="1:6" ht="20" customHeight="1">
      <c r="B38" s="117" t="s">
        <v>2297</v>
      </c>
      <c r="C38" s="115" t="str" cm="1">
        <f t="array" ref="C38">sample_hrm_vm_hostname</f>
        <v>sfo-m01-hrm01</v>
      </c>
      <c r="D38" s="12" t="str" cm="1">
        <f t="array" ref="D38">hrm_vm_hostname</f>
        <v>Value Missing</v>
      </c>
      <c r="E38" s="116"/>
    </row>
    <row r="39" spans="1:6" ht="20" customHeight="1">
      <c r="B39" s="117" t="s">
        <v>2296</v>
      </c>
      <c r="C39" s="115" t="str" cm="1">
        <f t="array" ref="C39">sample_hrm_vm_folder</f>
        <v>sfo-m01-fd-hrm</v>
      </c>
      <c r="D39" s="12" t="str" cm="1">
        <f t="array" ref="D39">hrm_vm_folder</f>
        <v>Value Missing</v>
      </c>
      <c r="E39" s="116"/>
    </row>
    <row r="40" spans="1:6" s="103" customFormat="1" ht="20" customHeight="1">
      <c r="A40" s="125"/>
    </row>
    <row r="41" spans="1:6" ht="34" customHeight="1">
      <c r="B41" s="557" t="s">
        <v>3042</v>
      </c>
      <c r="C41" s="557"/>
      <c r="D41" s="557"/>
      <c r="E41" s="557"/>
    </row>
    <row r="42" spans="1:6" ht="20" customHeight="1">
      <c r="B42" s="112" t="s">
        <v>735</v>
      </c>
      <c r="C42" s="112" t="s">
        <v>554</v>
      </c>
      <c r="D42" s="113" t="s">
        <v>555</v>
      </c>
      <c r="E42" s="112" t="s">
        <v>222</v>
      </c>
    </row>
    <row r="43" spans="1:6" ht="20" customHeight="1">
      <c r="B43" s="114" t="s">
        <v>2286</v>
      </c>
      <c r="C43" s="115" t="str">
        <f>sample_mgmt_vc_hostname&amp;"."&amp;sample_child_dns_zone</f>
        <v>sfo-m01-vc01.sfo.rainpole.io</v>
      </c>
      <c r="D43" s="12" t="str">
        <f>mgmt_vc_fqdn</f>
        <v>Value Missing.Value Missing</v>
      </c>
      <c r="E43" s="116"/>
    </row>
    <row r="44" spans="1:6" ht="20" customHeight="1">
      <c r="B44" s="114" t="s">
        <v>841</v>
      </c>
      <c r="C44" s="115" t="str">
        <f>sample_mgmt_datacenter</f>
        <v>sfo-m01-dc01</v>
      </c>
      <c r="D44" s="12" t="str">
        <f>mgmt_datacenter</f>
        <v>Value Missing</v>
      </c>
      <c r="E44" s="116"/>
    </row>
    <row r="45" spans="1:6" ht="20" customHeight="1">
      <c r="B45" s="114" t="s">
        <v>843</v>
      </c>
      <c r="C45" s="115" t="str">
        <f>sample_mgmt_cl01_cluster</f>
        <v>sfo-m01-cl01</v>
      </c>
      <c r="D45" s="12" t="str">
        <f>mgmt_cl01_cluster</f>
        <v>Value Missing</v>
      </c>
      <c r="E45" s="116"/>
    </row>
    <row r="46" spans="1:6" ht="20" customHeight="1">
      <c r="B46" s="114" t="s">
        <v>735</v>
      </c>
      <c r="C46" s="115" t="str">
        <f>sample_mgmt_cl01_cluster&amp;"_primary-az-vmgroup"</f>
        <v>sfo-m01-cl01_primary-az-vmgroup</v>
      </c>
      <c r="D46" s="12" t="str">
        <f>mgmt_cl01_cluster&amp;"_primary-az-vmgroup"</f>
        <v>Value Missing_primary-az-vmgroup</v>
      </c>
      <c r="E46" s="116"/>
    </row>
    <row r="47" spans="1:6" ht="20" customHeight="1">
      <c r="B47" s="117" t="s">
        <v>2410</v>
      </c>
      <c r="C47" s="115" t="str" cm="1">
        <f t="array" ref="C47">sample_hrm_vm_hostname</f>
        <v>sfo-m01-hrm01</v>
      </c>
      <c r="D47" s="12" t="str" cm="1">
        <f t="array" ref="D47">hrm_vm_hostname</f>
        <v>Value Missing</v>
      </c>
      <c r="E47" s="116"/>
    </row>
    <row r="48" spans="1:6" s="103" customFormat="1" ht="20" customHeight="1">
      <c r="A48" s="122"/>
      <c r="B48" s="122"/>
      <c r="C48" s="122"/>
      <c r="D48" s="122"/>
      <c r="E48" s="122"/>
      <c r="F48" s="122"/>
    </row>
    <row r="49" spans="1:5" ht="34" customHeight="1">
      <c r="A49" s="125"/>
      <c r="B49" s="557" t="s">
        <v>3043</v>
      </c>
      <c r="C49" s="557"/>
      <c r="D49" s="557"/>
      <c r="E49" s="557"/>
    </row>
    <row r="50" spans="1:5" ht="20" customHeight="1">
      <c r="A50" s="125"/>
      <c r="B50" s="112" t="s">
        <v>735</v>
      </c>
      <c r="C50" s="112" t="s">
        <v>554</v>
      </c>
      <c r="D50" s="113" t="s">
        <v>555</v>
      </c>
      <c r="E50" s="112" t="s">
        <v>222</v>
      </c>
    </row>
    <row r="51" spans="1:5" ht="20" customHeight="1">
      <c r="A51" s="125"/>
      <c r="B51" s="114" t="s">
        <v>2292</v>
      </c>
      <c r="C51" s="115" t="str">
        <f>sample_sddc_mgr_hostname&amp;"."&amp;sample_child_dns_zone</f>
        <v>sfo-vcf01.sfo.rainpole.io</v>
      </c>
      <c r="D51" s="12" t="str">
        <f>sddc_mgr_fqdn</f>
        <v>Value Missing.Value Missing</v>
      </c>
      <c r="E51" s="116"/>
    </row>
    <row r="52" spans="1:5" ht="20" customHeight="1">
      <c r="A52" s="125"/>
      <c r="B52" s="114" t="s">
        <v>489</v>
      </c>
      <c r="C52" s="115" t="str">
        <f>sample_child_dns_zone</f>
        <v>sfo.rainpole.io</v>
      </c>
      <c r="D52" s="12" t="str">
        <f>child_dns_zone</f>
        <v>Value Missing</v>
      </c>
      <c r="E52" s="116"/>
    </row>
    <row r="53" spans="1:5" ht="20" customHeight="1">
      <c r="A53" s="125"/>
      <c r="B53" s="114" t="s">
        <v>2502</v>
      </c>
      <c r="C53" s="115" t="str" cm="1">
        <f t="array" ref="C53">sample_svc_hrm_vcf_user</f>
        <v>svc-hrm-vcf</v>
      </c>
      <c r="D53" s="12" t="str">
        <f>svc_hrm_vcf_user</f>
        <v>Value Missing</v>
      </c>
      <c r="E53" s="116"/>
    </row>
    <row r="54" spans="1:5" s="103" customFormat="1" ht="20" customHeight="1"/>
    <row r="55" spans="1:5" s="103" customFormat="1" ht="34" customHeight="1">
      <c r="B55" s="557" t="s">
        <v>3249</v>
      </c>
      <c r="C55" s="557"/>
      <c r="D55" s="557"/>
      <c r="E55" s="557"/>
    </row>
    <row r="56" spans="1:5" s="103" customFormat="1" ht="20" customHeight="1">
      <c r="B56" s="112" t="s">
        <v>735</v>
      </c>
      <c r="C56" s="112" t="s">
        <v>554</v>
      </c>
      <c r="D56" s="113" t="s">
        <v>555</v>
      </c>
      <c r="E56" s="112" t="s">
        <v>222</v>
      </c>
    </row>
    <row r="57" spans="1:5" s="103" customFormat="1" ht="20" customHeight="1">
      <c r="B57" s="114" t="s">
        <v>2414</v>
      </c>
      <c r="C57" s="115" t="str">
        <f>IF(vcf_aware_wsa_chosen="Standard",sample_xreg_wsa_virtual_hostname&amp;"."&amp;sample_parent_dns_zone,sample_xreg_wsa_nodea_hostname&amp;"."&amp;sample_parent_dns_zone)</f>
        <v>xint-idm01a.rainpole.io</v>
      </c>
      <c r="D57" s="12" t="str">
        <f>IF(vcf_aware_wsa_chosen="Standard",xreg_wsa_virtual_fqdn,xreg_wsa_nodea_fqdn)</f>
        <v>Value Missing.Value Missing</v>
      </c>
      <c r="E57" s="138"/>
    </row>
    <row r="58" spans="1:5" s="103" customFormat="1" ht="20" customHeight="1">
      <c r="B58" s="114" t="s">
        <v>2144</v>
      </c>
      <c r="C58" s="115" t="str">
        <f>sample_child_dns_zone</f>
        <v>sfo.rainpole.io</v>
      </c>
      <c r="D58" s="12" t="str">
        <f>child_dns_zone</f>
        <v>Value Missing</v>
      </c>
      <c r="E58" s="138"/>
    </row>
    <row r="59" spans="1:5" s="103" customFormat="1" ht="20" customHeight="1">
      <c r="B59" s="139" t="s">
        <v>3044</v>
      </c>
      <c r="C59" s="140" t="str">
        <f>sample_child_ad_users_ou</f>
        <v>ou=Security Users,dc=sfo,dc=rainpole,dc=io</v>
      </c>
      <c r="D59" s="141" t="str">
        <f>child_ad_users_ou</f>
        <v>Value Missing</v>
      </c>
      <c r="E59" s="142"/>
    </row>
    <row r="60" spans="1:5" s="103" customFormat="1" ht="16" customHeight="1"/>
    <row r="61" spans="1:5" s="103" customFormat="1" ht="34" customHeight="1">
      <c r="B61" s="557" t="s">
        <v>3239</v>
      </c>
      <c r="C61" s="557"/>
      <c r="D61" s="557"/>
      <c r="E61" s="557"/>
    </row>
    <row r="62" spans="1:5" s="103" customFormat="1" ht="20" customHeight="1">
      <c r="B62" s="112" t="s">
        <v>735</v>
      </c>
      <c r="C62" s="112" t="s">
        <v>554</v>
      </c>
      <c r="D62" s="113" t="s">
        <v>555</v>
      </c>
      <c r="E62" s="143" t="s">
        <v>222</v>
      </c>
    </row>
    <row r="63" spans="1:5" s="103" customFormat="1" ht="20" customHeight="1">
      <c r="B63" s="114" t="s">
        <v>3369</v>
      </c>
      <c r="C63" s="115" t="str">
        <f>sample_xreg_vrops_virtual_hostname&amp;"."&amp;sample_parent_dns_zone</f>
        <v>xint-ops01.rainpole.io</v>
      </c>
      <c r="D63" s="12" t="str">
        <f>xreg_vrops_virtual_fqdn</f>
        <v>Value Missing.Value Missing</v>
      </c>
      <c r="E63" s="138"/>
    </row>
    <row r="64" spans="1:5" s="103" customFormat="1" ht="20" customHeight="1">
      <c r="B64" s="144" t="s">
        <v>3045</v>
      </c>
      <c r="C64" s="115" t="str">
        <f>sample_hrm_vrops_role_name</f>
        <v>HRM Rest API Access</v>
      </c>
      <c r="D64" s="12" t="str">
        <f>hrm_vrops_role_name</f>
        <v>Value Missing</v>
      </c>
      <c r="E64" s="138"/>
    </row>
    <row r="65" spans="2:5" s="103" customFormat="1" ht="20" customHeight="1">
      <c r="B65" s="144" t="s">
        <v>3046</v>
      </c>
      <c r="C65" s="115" t="str">
        <f>sample_hrm_vrops_role_description</f>
        <v>REST API Access for Health Reporting and Monitoring</v>
      </c>
      <c r="D65" s="141" t="str">
        <f>hrm_vrops_role_description</f>
        <v>Value Missing</v>
      </c>
      <c r="E65" s="142"/>
    </row>
    <row r="66" spans="2:5" s="103" customFormat="1" ht="20" customHeight="1">
      <c r="B66" s="144" t="s">
        <v>3047</v>
      </c>
      <c r="C66" s="115" t="str">
        <f>sample_hrm_vrops_scope_name</f>
        <v>HRM Access Scope</v>
      </c>
      <c r="D66" s="12" t="str">
        <f>hrm_vrops_scope_name</f>
        <v>Value Missing</v>
      </c>
      <c r="E66" s="138"/>
    </row>
    <row r="67" spans="2:5" s="103" customFormat="1" ht="20" customHeight="1">
      <c r="B67" s="144" t="s">
        <v>3048</v>
      </c>
      <c r="C67" s="115" t="str">
        <f>sample_hrm_vrops_scope_description</f>
        <v>HRM Access Scope for Health Reporting and Monitoring</v>
      </c>
      <c r="D67" s="12" t="str">
        <f>hrm_vrops_scope_description</f>
        <v>Value Missing</v>
      </c>
      <c r="E67" s="138"/>
    </row>
    <row r="68" spans="2:5" s="103" customFormat="1"/>
    <row r="69" spans="2:5" s="103" customFormat="1" ht="34" customHeight="1">
      <c r="B69" s="557" t="s">
        <v>3240</v>
      </c>
      <c r="C69" s="557"/>
      <c r="D69" s="557"/>
      <c r="E69" s="557"/>
    </row>
    <row r="70" spans="2:5" s="103" customFormat="1" ht="20" customHeight="1">
      <c r="B70" s="112" t="s">
        <v>735</v>
      </c>
      <c r="C70" s="112" t="s">
        <v>554</v>
      </c>
      <c r="D70" s="113" t="s">
        <v>555</v>
      </c>
      <c r="E70" s="143" t="s">
        <v>222</v>
      </c>
    </row>
    <row r="71" spans="2:5" s="103" customFormat="1" ht="20" customHeight="1">
      <c r="B71" s="114" t="s">
        <v>3369</v>
      </c>
      <c r="C71" s="115" t="str">
        <f>sample_xreg_vrops_virtual_hostname&amp;"."&amp;sample_parent_dns_zone</f>
        <v>xint-ops01.rainpole.io</v>
      </c>
      <c r="D71" s="12" t="str">
        <f>xreg_vrops_virtual_fqdn</f>
        <v>Value Missing.Value Missing</v>
      </c>
      <c r="E71" s="138"/>
    </row>
    <row r="72" spans="2:5" s="103" customFormat="1" ht="20" customHeight="1">
      <c r="B72" s="144" t="s">
        <v>3049</v>
      </c>
      <c r="C72" s="115" t="s">
        <v>3050</v>
      </c>
      <c r="D72" s="12" t="str">
        <f>C72</f>
        <v>vIDMAuthSource - VMware Identity Manager</v>
      </c>
      <c r="E72" s="138"/>
    </row>
    <row r="73" spans="2:5" s="103" customFormat="1" ht="20" customHeight="1">
      <c r="B73" s="144" t="s">
        <v>905</v>
      </c>
      <c r="C73" s="115" t="str">
        <f>sample_child_dns_zone</f>
        <v>sfo.rainpole.io</v>
      </c>
      <c r="D73" s="141" t="str">
        <f>child_dns_zone</f>
        <v>Value Missing</v>
      </c>
      <c r="E73" s="142"/>
    </row>
    <row r="74" spans="2:5" s="103" customFormat="1" ht="20" customHeight="1">
      <c r="B74" s="144" t="s">
        <v>3051</v>
      </c>
      <c r="C74" s="115" t="str">
        <f>sample_svc_hrm_vrops_user</f>
        <v>svc-hrm-ops</v>
      </c>
      <c r="D74" s="145" t="str">
        <f>svc_hrm_vrops_user</f>
        <v>Value Missing</v>
      </c>
      <c r="E74" s="142"/>
    </row>
    <row r="75" spans="2:5" s="103" customFormat="1" ht="20" customHeight="1">
      <c r="B75" s="144" t="s">
        <v>3052</v>
      </c>
      <c r="C75" s="115" t="str">
        <f>sample_hrm_vrops_role_name</f>
        <v>HRM Rest API Access</v>
      </c>
      <c r="D75" s="145" t="str">
        <f>hrm_vrops_role_name</f>
        <v>Value Missing</v>
      </c>
      <c r="E75" s="142"/>
    </row>
    <row r="76" spans="2:5" s="103" customFormat="1" ht="20" customHeight="1">
      <c r="B76" s="144" t="s">
        <v>3053</v>
      </c>
      <c r="C76" s="115" t="str">
        <f>sample_hrm_vrops_scope_name</f>
        <v>HRM Access Scope</v>
      </c>
      <c r="D76" s="145" t="str">
        <f>hrm_vrops_scope_name</f>
        <v>Value Missing</v>
      </c>
      <c r="E76" s="142"/>
    </row>
    <row r="77" spans="2:5" s="103" customFormat="1">
      <c r="B77"/>
      <c r="C77"/>
      <c r="D77"/>
      <c r="E77"/>
    </row>
    <row r="78" spans="2:5" s="103" customFormat="1" ht="34" customHeight="1">
      <c r="B78" s="557" t="s">
        <v>3054</v>
      </c>
      <c r="C78" s="557"/>
      <c r="D78" s="557"/>
      <c r="E78" s="501"/>
    </row>
    <row r="79" spans="2:5" s="103" customFormat="1" ht="20" customHeight="1">
      <c r="B79" s="112" t="s">
        <v>735</v>
      </c>
      <c r="C79" s="112" t="s">
        <v>554</v>
      </c>
      <c r="D79" s="113" t="s">
        <v>555</v>
      </c>
      <c r="E79" s="143" t="s">
        <v>222</v>
      </c>
    </row>
    <row r="80" spans="2:5" s="103" customFormat="1" ht="20" customHeight="1">
      <c r="B80" s="558" t="s">
        <v>3055</v>
      </c>
      <c r="C80" s="558"/>
      <c r="D80" s="558"/>
      <c r="E80" s="558"/>
    </row>
    <row r="81" spans="2:5" s="103" customFormat="1" ht="20" customHeight="1">
      <c r="B81" s="114" t="s">
        <v>3056</v>
      </c>
      <c r="C81" s="115" t="str">
        <f>sample_hrm_vm_hostname&amp;"."&amp;sample_child_dns_zone</f>
        <v>sfo-m01-hrm01.sfo.rainpole.io</v>
      </c>
      <c r="D81" s="12" t="str">
        <f>hrm_vm_fqdn</f>
        <v>Value Missing</v>
      </c>
      <c r="E81" s="138"/>
    </row>
    <row r="82" spans="2:5" s="103" customFormat="1" ht="20" customHeight="1">
      <c r="B82" s="114" t="s">
        <v>1684</v>
      </c>
      <c r="C82" s="115" t="str">
        <f>sample_hrm_vm_root_password</f>
        <v>VMw@re1!</v>
      </c>
      <c r="D82" s="12" t="str">
        <f>hrm_vm_root_password</f>
        <v>Value Missing</v>
      </c>
      <c r="E82" s="138"/>
    </row>
    <row r="83" spans="2:5" s="103" customFormat="1" ht="20" customHeight="1">
      <c r="B83" s="558" t="s">
        <v>3057</v>
      </c>
      <c r="C83" s="558"/>
      <c r="D83" s="558"/>
      <c r="E83" s="558"/>
    </row>
    <row r="84" spans="2:5" s="103" customFormat="1" ht="20" customHeight="1">
      <c r="B84" s="114" t="s">
        <v>3056</v>
      </c>
      <c r="C84" s="115" t="str">
        <f>sample_hrm_vm_hostname&amp;"."&amp;sample_child_dns_zone</f>
        <v>sfo-m01-hrm01.sfo.rainpole.io</v>
      </c>
      <c r="D84" s="12" t="str">
        <f>hrm_vm_fqdn</f>
        <v>Value Missing</v>
      </c>
      <c r="E84" s="138"/>
    </row>
    <row r="85" spans="2:5" s="103" customFormat="1" ht="20" customHeight="1">
      <c r="B85" s="114" t="s">
        <v>3058</v>
      </c>
      <c r="C85" s="115" t="str">
        <f>sample_hrm_vm_administrator_password</f>
        <v>VMw@re1!</v>
      </c>
      <c r="D85" s="12" t="str">
        <f>hrm_vm_administrator_password</f>
        <v>Value Missing</v>
      </c>
      <c r="E85" s="138"/>
    </row>
    <row r="86" spans="2:5" s="103" customFormat="1"/>
    <row r="87" spans="2:5" s="103" customFormat="1" ht="34" customHeight="1">
      <c r="B87" s="557" t="s">
        <v>3241</v>
      </c>
      <c r="C87" s="557"/>
      <c r="D87" s="557"/>
      <c r="E87" s="557"/>
    </row>
    <row r="88" spans="2:5" s="103" customFormat="1" ht="20" customHeight="1">
      <c r="B88" s="112" t="s">
        <v>735</v>
      </c>
      <c r="C88" s="112" t="s">
        <v>554</v>
      </c>
      <c r="D88" s="113" t="s">
        <v>555</v>
      </c>
      <c r="E88" s="143" t="s">
        <v>222</v>
      </c>
    </row>
    <row r="89" spans="2:5" s="103" customFormat="1" ht="20" customHeight="1">
      <c r="B89" s="558" t="s">
        <v>3055</v>
      </c>
      <c r="C89" s="558"/>
      <c r="D89" s="558"/>
      <c r="E89" s="558"/>
    </row>
    <row r="90" spans="2:5" s="103" customFormat="1" ht="20" customHeight="1">
      <c r="B90" s="144" t="s">
        <v>3056</v>
      </c>
      <c r="C90" s="115" t="str">
        <f>sample_hrm_vm_hostname&amp;"."&amp;sample_child_dns_zone</f>
        <v>sfo-m01-hrm01.sfo.rainpole.io</v>
      </c>
      <c r="D90" s="12" t="str">
        <f>hrm_vm_fqdn</f>
        <v>Value Missing</v>
      </c>
      <c r="E90" s="138"/>
    </row>
    <row r="91" spans="2:5" s="103" customFormat="1" ht="20" customHeight="1">
      <c r="B91" s="144" t="s">
        <v>1684</v>
      </c>
      <c r="C91" s="115" t="str">
        <f>sample_hrm_vm_root_password</f>
        <v>VMw@re1!</v>
      </c>
      <c r="D91" s="12" t="str">
        <f>hrm_vm_root_password</f>
        <v>Value Missing</v>
      </c>
      <c r="E91" s="138"/>
    </row>
    <row r="92" spans="2:5" s="103" customFormat="1" ht="20" customHeight="1">
      <c r="B92" s="144" t="s">
        <v>3059</v>
      </c>
      <c r="C92" s="115" t="str">
        <f>sample_xreg_vrops_virtual_hostname&amp;"."&amp;sample_parent_dns_zone</f>
        <v>xint-ops01.rainpole.io</v>
      </c>
      <c r="D92" s="12" t="str">
        <f>xreg_vrops_virtual_fqdn</f>
        <v>Value Missing.Value Missing</v>
      </c>
      <c r="E92" s="138"/>
    </row>
    <row r="93" spans="2:5" s="103" customFormat="1" ht="20" customHeight="1">
      <c r="B93" s="144" t="s">
        <v>3060</v>
      </c>
      <c r="C93" s="115" t="str">
        <f>sample_svc_hrm_vrops_user&amp;"@"&amp;sample_child_dns_zone&amp;"@vIDMAuthSource"</f>
        <v>svc-hrm-ops@sfo.rainpole.io@vIDMAuthSource</v>
      </c>
      <c r="D93" s="141" t="str">
        <f>svc_hrm_vrops_user&amp;"@"&amp;child_dns_zone&amp;"@vIDMAuthSource"</f>
        <v>Value Missing@Value Missing@vIDMAuthSource</v>
      </c>
      <c r="E93" s="142"/>
    </row>
    <row r="94" spans="2:5" s="103" customFormat="1" ht="20" customHeight="1">
      <c r="B94" s="144" t="s">
        <v>3061</v>
      </c>
      <c r="C94" s="115" t="str">
        <f>sample_sddc_mgr_hostname&amp;"."&amp;sample_child_dns_zone</f>
        <v>sfo-vcf01.sfo.rainpole.io</v>
      </c>
      <c r="D94" s="12" t="str">
        <f>sddc_mgr_fqdn</f>
        <v>Value Missing.Value Missing</v>
      </c>
      <c r="E94" s="138"/>
    </row>
    <row r="95" spans="2:5" s="103" customFormat="1" ht="20" customHeight="1">
      <c r="B95" s="144" t="s">
        <v>3062</v>
      </c>
      <c r="C95" s="115" t="str">
        <f>sample_svc_hrm_vcf_user&amp;"@"&amp;sample_child_dns_zone</f>
        <v>svc-hrm-vcf@sfo.rainpole.io</v>
      </c>
      <c r="D95" s="141" t="str">
        <f>svc_hrm_vcf_user&amp;"@"&amp;child_dns_zone</f>
        <v>Value Missing@Value Missing</v>
      </c>
      <c r="E95" s="142"/>
    </row>
    <row r="96" spans="2:5" s="103" customFormat="1" ht="20" customHeight="1">
      <c r="B96" s="144" t="s">
        <v>3063</v>
      </c>
      <c r="C96" s="115" t="str">
        <f>sample_svc_hrm_vrops_password</f>
        <v>VMw@re1!</v>
      </c>
      <c r="D96" s="12" t="str">
        <f>svc_hrm_vrops_password</f>
        <v>Value Missing</v>
      </c>
      <c r="E96" s="138"/>
    </row>
    <row r="97" spans="2:5" s="103" customFormat="1" ht="20" customHeight="1">
      <c r="B97" s="144" t="s">
        <v>3064</v>
      </c>
      <c r="C97" s="115" t="str">
        <f>sample_svc_hrm_vcf_password</f>
        <v>VMw@re1!</v>
      </c>
      <c r="D97" s="12" t="str">
        <f>svc_hrm_vcf_password</f>
        <v>Value Missing</v>
      </c>
      <c r="E97" s="138"/>
    </row>
    <row r="98" spans="2:5" s="103" customFormat="1" ht="20" customHeight="1">
      <c r="B98" s="144" t="s">
        <v>3065</v>
      </c>
      <c r="C98" s="115" t="str">
        <f>sample_sddc_mgr_root_password</f>
        <v>VMw@re1!VMw@re1!</v>
      </c>
      <c r="D98" s="12" t="str">
        <f>sddc_mgr_root_password</f>
        <v>Value Missing</v>
      </c>
      <c r="E98" s="138"/>
    </row>
    <row r="99" spans="2:5" s="103" customFormat="1" ht="20" customHeight="1">
      <c r="B99" s="558" t="s">
        <v>3057</v>
      </c>
      <c r="C99" s="558"/>
      <c r="D99" s="558"/>
      <c r="E99" s="558"/>
    </row>
    <row r="100" spans="2:5" s="103" customFormat="1" ht="20" customHeight="1">
      <c r="B100" s="144" t="s">
        <v>3056</v>
      </c>
      <c r="C100" s="115" t="str">
        <f>sample_hrm_vm_hostname&amp;"."&amp;sample_child_dns_zone</f>
        <v>sfo-m01-hrm01.sfo.rainpole.io</v>
      </c>
      <c r="D100" s="12" t="str">
        <f>hrm_vm_fqdn</f>
        <v>Value Missing</v>
      </c>
      <c r="E100" s="138"/>
    </row>
    <row r="101" spans="2:5" s="103" customFormat="1" ht="20" customHeight="1">
      <c r="B101" s="144" t="s">
        <v>3058</v>
      </c>
      <c r="C101" s="115" t="str">
        <f>sample_hrm_vm_administrator_password</f>
        <v>VMw@re1!</v>
      </c>
      <c r="D101" s="12" t="str">
        <f>hrm_vm_administrator_password</f>
        <v>Value Missing</v>
      </c>
      <c r="E101" s="138"/>
    </row>
    <row r="102" spans="2:5" s="103" customFormat="1" ht="20" customHeight="1">
      <c r="B102" s="144" t="s">
        <v>3059</v>
      </c>
      <c r="C102" s="115" t="str">
        <f>sample_xreg_vrops_virtual_hostname&amp;"."&amp;sample_parent_dns_zone</f>
        <v>xint-ops01.rainpole.io</v>
      </c>
      <c r="D102" s="12" t="str">
        <f>xreg_vrops_virtual_fqdn</f>
        <v>Value Missing.Value Missing</v>
      </c>
      <c r="E102" s="138"/>
    </row>
    <row r="103" spans="2:5" s="103" customFormat="1" ht="20" customHeight="1">
      <c r="B103" s="144" t="s">
        <v>3060</v>
      </c>
      <c r="C103" s="115" t="str">
        <f>sample_svc_hrm_vrops_user&amp;"@"&amp;sample_child_dns_zone&amp;"@vIDMAuthSource"</f>
        <v>svc-hrm-ops@sfo.rainpole.io@vIDMAuthSource</v>
      </c>
      <c r="D103" s="141" t="str">
        <f>svc_hrm_vrops_user&amp;"@"&amp;child_dns_zone&amp;"@vIDMAuthSource"</f>
        <v>Value Missing@Value Missing@vIDMAuthSource</v>
      </c>
      <c r="E103" s="142"/>
    </row>
    <row r="104" spans="2:5" s="103" customFormat="1" ht="20" customHeight="1">
      <c r="B104" s="144" t="s">
        <v>3061</v>
      </c>
      <c r="C104" s="115" t="str">
        <f>sample_sddc_mgr_hostname&amp;"."&amp;sample_child_dns_zone</f>
        <v>sfo-vcf01.sfo.rainpole.io</v>
      </c>
      <c r="D104" s="12" t="str">
        <f>sddc_mgr_fqdn</f>
        <v>Value Missing.Value Missing</v>
      </c>
      <c r="E104" s="138"/>
    </row>
    <row r="105" spans="2:5" s="103" customFormat="1" ht="20" customHeight="1">
      <c r="B105" s="144" t="s">
        <v>3062</v>
      </c>
      <c r="C105" s="115" t="str">
        <f>sample_svc_hrm_vcf_user&amp;"@"&amp;sample_child_dns_zone</f>
        <v>svc-hrm-vcf@sfo.rainpole.io</v>
      </c>
      <c r="D105" s="141" t="str">
        <f>svc_hrm_vcf_user&amp;"@"&amp;child_dns_zone</f>
        <v>Value Missing@Value Missing</v>
      </c>
      <c r="E105" s="142"/>
    </row>
    <row r="106" spans="2:5" s="103" customFormat="1" ht="20" customHeight="1">
      <c r="B106" s="144" t="s">
        <v>3063</v>
      </c>
      <c r="C106" s="115" t="str">
        <f>sample_svc_hrm_vrops_password</f>
        <v>VMw@re1!</v>
      </c>
      <c r="D106" s="12" t="str">
        <f>svc_hrm_vrops_password</f>
        <v>Value Missing</v>
      </c>
      <c r="E106" s="138"/>
    </row>
    <row r="107" spans="2:5" s="103" customFormat="1" ht="20" customHeight="1">
      <c r="B107" s="144" t="s">
        <v>3064</v>
      </c>
      <c r="C107" s="115" t="str">
        <f>sample_svc_hrm_vcf_password</f>
        <v>VMw@re1!</v>
      </c>
      <c r="D107" s="12" t="str">
        <f>svc_hrm_vcf_password</f>
        <v>Value Missing</v>
      </c>
      <c r="E107" s="138"/>
    </row>
    <row r="108" spans="2:5" s="103" customFormat="1" ht="20" customHeight="1">
      <c r="B108" s="144" t="s">
        <v>3065</v>
      </c>
      <c r="C108" s="115" t="str">
        <f>sample_sddc_mgr_root_password</f>
        <v>VMw@re1!VMw@re1!</v>
      </c>
      <c r="D108" s="12" t="str">
        <f>sddc_mgr_root_password</f>
        <v>Value Missing</v>
      </c>
      <c r="E108" s="138"/>
    </row>
    <row r="109" spans="2:5" s="103" customFormat="1">
      <c r="B109" s="150"/>
      <c r="C109" s="126"/>
      <c r="D109" s="126"/>
      <c r="E109" s="151"/>
    </row>
    <row r="110" spans="2:5" s="103" customFormat="1" ht="34" customHeight="1">
      <c r="B110" s="557" t="s">
        <v>3242</v>
      </c>
      <c r="C110" s="557"/>
      <c r="D110" s="557"/>
      <c r="E110" s="501"/>
    </row>
    <row r="111" spans="2:5" s="103" customFormat="1" ht="20" customHeight="1">
      <c r="B111" s="112" t="s">
        <v>735</v>
      </c>
      <c r="C111" s="112" t="s">
        <v>554</v>
      </c>
      <c r="D111" s="113" t="s">
        <v>555</v>
      </c>
      <c r="E111" s="143" t="s">
        <v>222</v>
      </c>
    </row>
    <row r="112" spans="2:5" s="103" customFormat="1" ht="20" customHeight="1">
      <c r="B112" s="558" t="s">
        <v>3055</v>
      </c>
      <c r="C112" s="558"/>
      <c r="D112" s="558"/>
      <c r="E112" s="558"/>
    </row>
    <row r="113" spans="2:5" s="103" customFormat="1" ht="20" customHeight="1">
      <c r="B113" s="114" t="s">
        <v>3056</v>
      </c>
      <c r="C113" s="115" t="str">
        <f>sample_hrm_vm_hostname&amp;"."&amp;sample_child_dns_zone</f>
        <v>sfo-m01-hrm01.sfo.rainpole.io</v>
      </c>
      <c r="D113" s="12" t="str">
        <f>hrm_vm_fqdn</f>
        <v>Value Missing</v>
      </c>
      <c r="E113" s="138"/>
    </row>
    <row r="114" spans="2:5" s="103" customFormat="1" ht="20" customHeight="1">
      <c r="B114" s="144" t="s">
        <v>1684</v>
      </c>
      <c r="C114" s="115" t="str">
        <f>sample_hrm_vm_root_password</f>
        <v>VMw@re1!</v>
      </c>
      <c r="D114" s="12" t="str">
        <f>hrm_vm_root_password</f>
        <v>Value Missing</v>
      </c>
      <c r="E114" s="138"/>
    </row>
    <row r="115" spans="2:5" s="103" customFormat="1" ht="20" customHeight="1">
      <c r="B115" s="144" t="s">
        <v>3369</v>
      </c>
      <c r="C115" s="115" t="str">
        <f>sample_xreg_vrops_virtual_hostname&amp;"."&amp;sample_parent_dns_zone</f>
        <v>xint-ops01.rainpole.io</v>
      </c>
      <c r="D115" s="12" t="str">
        <f>xreg_vrops_virtual_fqdn</f>
        <v>Value Missing.Value Missing</v>
      </c>
      <c r="E115" s="138"/>
    </row>
    <row r="116" spans="2:5" s="103" customFormat="1" ht="20" customHeight="1">
      <c r="B116" s="558" t="s">
        <v>3057</v>
      </c>
      <c r="C116" s="558"/>
      <c r="D116" s="558"/>
      <c r="E116" s="558"/>
    </row>
    <row r="117" spans="2:5" s="103" customFormat="1" ht="20" customHeight="1">
      <c r="B117" s="114" t="s">
        <v>3056</v>
      </c>
      <c r="C117" s="115" t="str">
        <f>sample_hrm_vm_hostname&amp;"."&amp;sample_child_dns_zone</f>
        <v>sfo-m01-hrm01.sfo.rainpole.io</v>
      </c>
      <c r="D117" s="12" t="str">
        <f>hrm_vm_fqdn</f>
        <v>Value Missing</v>
      </c>
      <c r="E117" s="138"/>
    </row>
    <row r="118" spans="2:5" s="103" customFormat="1" ht="20" customHeight="1">
      <c r="B118" s="144" t="s">
        <v>3058</v>
      </c>
      <c r="C118" s="115" t="str">
        <f>sample_hrm_vm_administrator_password</f>
        <v>VMw@re1!</v>
      </c>
      <c r="D118" s="12" t="str">
        <f>hrm_vm_administrator_password</f>
        <v>Value Missing</v>
      </c>
      <c r="E118" s="138"/>
    </row>
    <row r="119" spans="2:5" s="103" customFormat="1" ht="20" customHeight="1">
      <c r="B119" s="144" t="s">
        <v>3369</v>
      </c>
      <c r="C119" s="115" t="str">
        <f>sample_xreg_vrops_virtual_hostname&amp;"."&amp;sample_parent_dns_zone</f>
        <v>xint-ops01.rainpole.io</v>
      </c>
      <c r="D119" s="12" t="str">
        <f>xreg_vrops_virtual_fqdn</f>
        <v>Value Missing.Value Missing</v>
      </c>
      <c r="E119" s="138"/>
    </row>
    <row r="120" spans="2:5" s="103" customFormat="1"/>
    <row r="121" spans="2:5" s="103" customFormat="1" ht="34" customHeight="1">
      <c r="B121" s="557" t="s">
        <v>3243</v>
      </c>
      <c r="C121" s="557"/>
      <c r="D121" s="557"/>
      <c r="E121" s="557"/>
    </row>
    <row r="122" spans="2:5" s="103" customFormat="1" ht="20" customHeight="1">
      <c r="B122" s="112" t="s">
        <v>735</v>
      </c>
      <c r="C122" s="112" t="s">
        <v>554</v>
      </c>
      <c r="D122" s="113" t="s">
        <v>555</v>
      </c>
      <c r="E122" s="143" t="s">
        <v>222</v>
      </c>
    </row>
    <row r="123" spans="2:5" s="103" customFormat="1" ht="20" customHeight="1">
      <c r="B123" s="558" t="s">
        <v>3055</v>
      </c>
      <c r="C123" s="558"/>
      <c r="D123" s="558"/>
      <c r="E123" s="558"/>
    </row>
    <row r="124" spans="2:5" s="103" customFormat="1" ht="20" customHeight="1">
      <c r="B124" s="144" t="s">
        <v>3056</v>
      </c>
      <c r="C124" s="115" t="str">
        <f>sample_hrm_vm_hostname&amp;"."&amp;sample_child_dns_zone</f>
        <v>sfo-m01-hrm01.sfo.rainpole.io</v>
      </c>
      <c r="D124" s="12" t="str">
        <f>hrm_vm_fqdn</f>
        <v>Value Missing</v>
      </c>
      <c r="E124" s="138"/>
    </row>
    <row r="125" spans="2:5" s="103" customFormat="1" ht="20" customHeight="1">
      <c r="B125" s="144" t="s">
        <v>1684</v>
      </c>
      <c r="C125" s="115" t="str">
        <f>sample_hrm_vm_root_password</f>
        <v>VMw@re1!</v>
      </c>
      <c r="D125" s="12" t="str">
        <f>hrm_vm_root_password</f>
        <v>Value Missing</v>
      </c>
      <c r="E125" s="138"/>
    </row>
    <row r="126" spans="2:5" s="103" customFormat="1" ht="20" customHeight="1">
      <c r="B126" s="144" t="s">
        <v>3369</v>
      </c>
      <c r="C126" s="115" t="str">
        <f>sample_xreg_vrops_virtual_hostname&amp;"."&amp;sample_parent_dns_zone</f>
        <v>xint-ops01.rainpole.io</v>
      </c>
      <c r="D126" s="12" t="str">
        <f>xreg_vrops_virtual_fqdn</f>
        <v>Value Missing.Value Missing</v>
      </c>
      <c r="E126" s="138"/>
    </row>
    <row r="127" spans="2:5" s="103" customFormat="1" ht="20" customHeight="1">
      <c r="B127" s="558" t="s">
        <v>3057</v>
      </c>
      <c r="C127" s="558"/>
      <c r="D127" s="558"/>
      <c r="E127" s="558"/>
    </row>
    <row r="128" spans="2:5" s="103" customFormat="1" ht="20" customHeight="1">
      <c r="B128" s="144" t="s">
        <v>3056</v>
      </c>
      <c r="C128" s="115" t="str">
        <f>sample_hrm_vm_hostname&amp;"."&amp;sample_child_dns_zone</f>
        <v>sfo-m01-hrm01.sfo.rainpole.io</v>
      </c>
      <c r="D128" s="12" t="str">
        <f>hrm_vm_fqdn</f>
        <v>Value Missing</v>
      </c>
      <c r="E128" s="138"/>
    </row>
    <row r="129" spans="2:5" s="103" customFormat="1" ht="20" customHeight="1">
      <c r="B129" s="144" t="s">
        <v>3058</v>
      </c>
      <c r="C129" s="115" t="str">
        <f>sample_hrm_vm_administrator_password</f>
        <v>VMw@re1!</v>
      </c>
      <c r="D129" s="12" t="str">
        <f>hrm_vm_administrator_password</f>
        <v>Value Missing</v>
      </c>
      <c r="E129" s="138"/>
    </row>
    <row r="130" spans="2:5" s="103" customFormat="1" ht="20" customHeight="1">
      <c r="B130" s="144" t="s">
        <v>3369</v>
      </c>
      <c r="C130" s="115" t="str">
        <f>sample_xreg_vrops_virtual_hostname&amp;"."&amp;sample_parent_dns_zone</f>
        <v>xint-ops01.rainpole.io</v>
      </c>
      <c r="D130" s="12" t="str">
        <f>xreg_vrops_virtual_fqdn</f>
        <v>Value Missing.Value Missing</v>
      </c>
      <c r="E130" s="138"/>
    </row>
    <row r="131" spans="2:5" s="103" customFormat="1"/>
    <row r="132" spans="2:5" s="103" customFormat="1" ht="34" customHeight="1">
      <c r="B132" s="557" t="s">
        <v>3244</v>
      </c>
      <c r="C132" s="557"/>
      <c r="D132" s="557"/>
      <c r="E132" s="557"/>
    </row>
    <row r="133" spans="2:5" s="103" customFormat="1" ht="20" customHeight="1">
      <c r="B133" s="112" t="s">
        <v>735</v>
      </c>
      <c r="C133" s="112" t="s">
        <v>554</v>
      </c>
      <c r="D133" s="113" t="s">
        <v>555</v>
      </c>
      <c r="E133" s="143" t="s">
        <v>222</v>
      </c>
    </row>
    <row r="134" spans="2:5" s="103" customFormat="1" ht="20" customHeight="1">
      <c r="B134" s="558" t="s">
        <v>3055</v>
      </c>
      <c r="C134" s="558"/>
      <c r="D134" s="558"/>
      <c r="E134" s="558"/>
    </row>
    <row r="135" spans="2:5" s="103" customFormat="1" ht="20" customHeight="1">
      <c r="B135" s="144" t="s">
        <v>3056</v>
      </c>
      <c r="C135" s="115" t="str">
        <f>sample_hrm_vm_hostname&amp;"."&amp;sample_child_dns_zone</f>
        <v>sfo-m01-hrm01.sfo.rainpole.io</v>
      </c>
      <c r="D135" s="12" t="str">
        <f>hrm_vm_fqdn</f>
        <v>Value Missing</v>
      </c>
      <c r="E135" s="138"/>
    </row>
    <row r="136" spans="2:5" s="103" customFormat="1" ht="20" customHeight="1">
      <c r="B136" s="144" t="s">
        <v>1684</v>
      </c>
      <c r="C136" s="115" t="str">
        <f>sample_hrm_vm_root_password</f>
        <v>VMw@re1!</v>
      </c>
      <c r="D136" s="12" t="str">
        <f>hrm_vm_root_password</f>
        <v>Value Missing</v>
      </c>
      <c r="E136" s="138"/>
    </row>
    <row r="137" spans="2:5" s="103" customFormat="1" ht="20" customHeight="1">
      <c r="B137" s="558" t="s">
        <v>3057</v>
      </c>
      <c r="C137" s="558"/>
      <c r="D137" s="558"/>
      <c r="E137" s="558"/>
    </row>
    <row r="138" spans="2:5" s="103" customFormat="1" ht="20" customHeight="1">
      <c r="B138" s="144" t="s">
        <v>3056</v>
      </c>
      <c r="C138" s="115" t="str">
        <f>sample_hrm_vm_hostname&amp;"."&amp;sample_child_dns_zone</f>
        <v>sfo-m01-hrm01.sfo.rainpole.io</v>
      </c>
      <c r="D138" s="12" t="str">
        <f>hrm_vm_hostname</f>
        <v>Value Missing</v>
      </c>
      <c r="E138" s="138"/>
    </row>
    <row r="139" spans="2:5" s="103" customFormat="1" ht="20" customHeight="1">
      <c r="B139" s="144" t="s">
        <v>3058</v>
      </c>
      <c r="C139" s="115" t="str">
        <f>sample_hrm_vm_administrator_password</f>
        <v>VMw@re1!</v>
      </c>
      <c r="D139" s="12" t="str">
        <f>hrm_vm_administrator_password</f>
        <v>Value Missing</v>
      </c>
      <c r="E139" s="138"/>
    </row>
    <row r="140" spans="2:5" s="103" customFormat="1" ht="20" customHeight="1">
      <c r="B140" s="144" t="s">
        <v>735</v>
      </c>
      <c r="C140" s="115" t="s">
        <v>3066</v>
      </c>
      <c r="D140" s="12" t="str">
        <f>C140</f>
        <v>HRM daily scheduled task</v>
      </c>
      <c r="E140" s="138"/>
    </row>
    <row r="141" spans="2:5" s="103" customFormat="1" ht="35" customHeight="1">
      <c r="B141" s="144" t="s">
        <v>1989</v>
      </c>
      <c r="C141" s="153" t="s">
        <v>3245</v>
      </c>
      <c r="D141" s="12" t="str">
        <f>C141</f>
        <v>Sending the data to VMware Aria Operations on a daily basis by scheduling the Python script to run daily.</v>
      </c>
      <c r="E141" s="138"/>
    </row>
    <row r="142" spans="2:5" s="103" customFormat="1" ht="20" customHeight="1">
      <c r="B142" s="144" t="s">
        <v>3067</v>
      </c>
      <c r="C142" s="148">
        <v>0</v>
      </c>
      <c r="D142" s="154">
        <f>C142</f>
        <v>0</v>
      </c>
      <c r="E142" s="142"/>
    </row>
    <row r="143" spans="2:5" s="103" customFormat="1" ht="20" customHeight="1">
      <c r="B143" s="144" t="s">
        <v>3068</v>
      </c>
      <c r="C143" s="115">
        <v>1</v>
      </c>
      <c r="D143" s="12">
        <f>C143</f>
        <v>1</v>
      </c>
      <c r="E143" s="138"/>
    </row>
    <row r="144" spans="2:5" s="103" customFormat="1">
      <c r="B144" s="146"/>
      <c r="C144" s="146"/>
      <c r="D144" s="146"/>
      <c r="E144" s="147"/>
    </row>
    <row r="145" spans="2:5" s="103" customFormat="1" ht="34" customHeight="1">
      <c r="B145" s="557" t="s">
        <v>3246</v>
      </c>
      <c r="C145" s="557"/>
      <c r="D145" s="557"/>
      <c r="E145" s="501"/>
    </row>
    <row r="146" spans="2:5" s="103" customFormat="1" ht="20" customHeight="1">
      <c r="B146" s="112" t="s">
        <v>735</v>
      </c>
      <c r="C146" s="112" t="s">
        <v>554</v>
      </c>
      <c r="D146" s="113" t="s">
        <v>555</v>
      </c>
      <c r="E146" s="143" t="s">
        <v>222</v>
      </c>
    </row>
    <row r="147" spans="2:5" s="103" customFormat="1" ht="20" customHeight="1">
      <c r="B147" s="114" t="s">
        <v>3369</v>
      </c>
      <c r="C147" s="115" t="str">
        <f>sample_xreg_vrops_virtual_hostname&amp;"."&amp;sample_parent_dns_zone</f>
        <v>xint-ops01.rainpole.io</v>
      </c>
      <c r="D147" s="12" t="str">
        <f>xreg_vrops_virtual_fqdn</f>
        <v>Value Missing.Value Missing</v>
      </c>
      <c r="E147" s="138"/>
    </row>
    <row r="148" spans="2:5" s="103" customFormat="1"/>
    <row r="149" spans="2:5" s="103" customFormat="1" ht="34" customHeight="1">
      <c r="B149" s="557" t="s">
        <v>3247</v>
      </c>
      <c r="C149" s="557"/>
      <c r="D149" s="557"/>
      <c r="E149" s="501"/>
    </row>
    <row r="150" spans="2:5" s="103" customFormat="1" ht="20" customHeight="1">
      <c r="B150" s="112" t="s">
        <v>735</v>
      </c>
      <c r="C150" s="112" t="s">
        <v>554</v>
      </c>
      <c r="D150" s="113" t="s">
        <v>555</v>
      </c>
      <c r="E150" s="143" t="s">
        <v>222</v>
      </c>
    </row>
    <row r="151" spans="2:5" s="103" customFormat="1" ht="20" customHeight="1">
      <c r="B151" s="114" t="s">
        <v>3369</v>
      </c>
      <c r="C151" s="115" t="str">
        <f>sample_xreg_vrops_virtual_hostname&amp;"."&amp;sample_parent_dns_zone</f>
        <v>xint-ops01.rainpole.io</v>
      </c>
      <c r="D151" s="12" t="str">
        <f>xreg_vrops_virtual_fqdn</f>
        <v>Value Missing.Value Missing</v>
      </c>
      <c r="E151" s="138"/>
    </row>
    <row r="152" spans="2:5" s="103" customFormat="1"/>
    <row r="153" spans="2:5" s="103" customFormat="1" ht="34" customHeight="1">
      <c r="B153" s="557" t="s">
        <v>3248</v>
      </c>
      <c r="C153" s="557"/>
      <c r="D153" s="557"/>
      <c r="E153" s="501"/>
    </row>
    <row r="154" spans="2:5" s="103" customFormat="1" ht="20" customHeight="1">
      <c r="B154" s="112" t="s">
        <v>735</v>
      </c>
      <c r="C154" s="112" t="s">
        <v>554</v>
      </c>
      <c r="D154" s="113" t="s">
        <v>555</v>
      </c>
      <c r="E154" s="143" t="s">
        <v>222</v>
      </c>
    </row>
    <row r="155" spans="2:5" s="103" customFormat="1" ht="20" customHeight="1">
      <c r="B155" s="114" t="s">
        <v>3369</v>
      </c>
      <c r="C155" s="115" t="str">
        <f>sample_xreg_vrops_virtual_hostname&amp;"."&amp;sample_parent_dns_zone</f>
        <v>xint-ops01.rainpole.io</v>
      </c>
      <c r="D155" s="12" t="str">
        <f>xreg_vrops_virtual_fqdn</f>
        <v>Value Missing.Value Missing</v>
      </c>
      <c r="E155" s="138"/>
    </row>
    <row r="156" spans="2:5" s="103" customFormat="1" ht="20" customHeight="1">
      <c r="B156" s="152" t="s">
        <v>3069</v>
      </c>
      <c r="C156" s="115" t="s">
        <v>3070</v>
      </c>
      <c r="D156" s="12" t="str">
        <f>C156</f>
        <v>StandardEmailPlugin</v>
      </c>
      <c r="E156" s="138"/>
    </row>
    <row r="157" spans="2:5" s="103" customFormat="1" ht="20" customHeight="1">
      <c r="B157" s="144" t="s">
        <v>3071</v>
      </c>
      <c r="C157" s="115" t="s">
        <v>3070</v>
      </c>
      <c r="D157" s="141" t="str">
        <f>C157</f>
        <v>StandardEmailPlugin</v>
      </c>
      <c r="E157" s="142"/>
    </row>
    <row r="158" spans="2:5" s="103" customFormat="1" ht="20" customHeight="1">
      <c r="B158" s="152" t="s">
        <v>3072</v>
      </c>
      <c r="C158" s="115" t="s">
        <v>3073</v>
      </c>
      <c r="D158" s="12" t="str">
        <f>C158</f>
        <v>Alert Mail Relay</v>
      </c>
      <c r="E158" s="138"/>
    </row>
    <row r="159" spans="2:5" s="103" customFormat="1" ht="20" customHeight="1">
      <c r="B159" s="149" t="s">
        <v>3074</v>
      </c>
      <c r="C159" s="115" t="str">
        <f>sample_hrm_notification_email</f>
        <v>administrator@rainpole.io</v>
      </c>
      <c r="D159" s="145" t="str">
        <f>hrm_notification_email</f>
        <v>Value Missing</v>
      </c>
      <c r="E159" s="142"/>
    </row>
    <row r="160" spans="2:5" s="103" customFormat="1"/>
    <row r="161" s="103" customFormat="1"/>
    <row r="162" s="103" customFormat="1"/>
    <row r="163" s="103" customFormat="1"/>
    <row r="164" s="103" customFormat="1"/>
    <row r="165" s="103" customFormat="1"/>
    <row r="166" s="103" customFormat="1"/>
    <row r="167" s="103" customFormat="1"/>
    <row r="168" s="103" customFormat="1"/>
    <row r="169" s="103" customFormat="1"/>
    <row r="170" s="103" customFormat="1"/>
    <row r="171" s="103" customFormat="1"/>
    <row r="172" s="103" customFormat="1"/>
    <row r="173" s="103" customFormat="1"/>
    <row r="174" s="103" customFormat="1"/>
    <row r="175" s="103" customFormat="1"/>
    <row r="176" s="103" customFormat="1"/>
    <row r="177" s="103" customFormat="1"/>
    <row r="178" s="103" customFormat="1"/>
    <row r="179" s="103" customFormat="1"/>
    <row r="180" s="103" customFormat="1"/>
    <row r="181" s="103" customFormat="1"/>
    <row r="182" s="103" customFormat="1"/>
    <row r="183" s="103" customFormat="1"/>
    <row r="184" s="103" customFormat="1"/>
    <row r="185" s="103" customFormat="1"/>
    <row r="186" s="103" customFormat="1"/>
    <row r="187" s="103" customFormat="1"/>
    <row r="188" s="103" customFormat="1"/>
    <row r="189" s="103" customFormat="1"/>
    <row r="190" s="103" customFormat="1"/>
    <row r="191" s="103" customFormat="1"/>
    <row r="192" s="103" customFormat="1"/>
    <row r="193" s="103" customFormat="1"/>
    <row r="194" s="103" customFormat="1"/>
    <row r="195" s="103" customFormat="1"/>
    <row r="196" s="103" customFormat="1"/>
    <row r="197" s="103" customFormat="1"/>
    <row r="198" s="103" customFormat="1"/>
    <row r="199" s="103" customFormat="1"/>
    <row r="200" s="103" customFormat="1"/>
    <row r="201" s="103" customFormat="1"/>
    <row r="202" s="103" customFormat="1"/>
    <row r="203" s="103" customFormat="1"/>
    <row r="204" s="103" customFormat="1"/>
    <row r="205" s="103" customFormat="1"/>
    <row r="206" s="103" customFormat="1"/>
    <row r="207" s="103" customFormat="1"/>
    <row r="208" s="103" customFormat="1"/>
    <row r="209" s="103" customFormat="1"/>
    <row r="210" s="103" customFormat="1"/>
    <row r="211" s="103" customFormat="1"/>
    <row r="212" s="103" customFormat="1"/>
    <row r="213" s="103" customFormat="1"/>
    <row r="214" s="103" customFormat="1"/>
    <row r="215" s="103" customFormat="1"/>
    <row r="216" s="103" customFormat="1"/>
    <row r="217" s="103" customFormat="1"/>
    <row r="218" s="103" customFormat="1"/>
    <row r="219" s="103" customFormat="1"/>
    <row r="220" s="103" customFormat="1"/>
    <row r="221" s="103" customFormat="1"/>
    <row r="222" s="103" customFormat="1"/>
    <row r="223" s="103" customFormat="1"/>
    <row r="224" s="103" customFormat="1"/>
    <row r="225" s="103" customFormat="1"/>
    <row r="226" s="103" customFormat="1"/>
    <row r="227" s="103" customFormat="1"/>
    <row r="228" s="103" customFormat="1"/>
    <row r="229" s="103" customFormat="1"/>
    <row r="230" s="103" customFormat="1"/>
    <row r="231" s="103" customFormat="1"/>
    <row r="232" s="103" customFormat="1"/>
    <row r="233" s="103" customFormat="1"/>
    <row r="234" s="103" customFormat="1"/>
    <row r="235" s="103" customFormat="1"/>
    <row r="236" s="103" customFormat="1"/>
    <row r="237" s="103" customFormat="1"/>
    <row r="238" s="103" customFormat="1"/>
    <row r="239" s="103" customFormat="1"/>
    <row r="240" s="103" customFormat="1"/>
    <row r="241" s="103" customFormat="1"/>
    <row r="242" s="103" customFormat="1"/>
    <row r="243" s="103" customFormat="1"/>
    <row r="244" s="103" customFormat="1"/>
    <row r="245" s="103" customFormat="1"/>
    <row r="246" s="103" customFormat="1"/>
    <row r="247" s="103" customFormat="1"/>
    <row r="248" s="103" customFormat="1"/>
    <row r="249" s="103" customFormat="1"/>
    <row r="250" s="103" customFormat="1"/>
    <row r="251" s="103" customFormat="1"/>
    <row r="252" s="103" customFormat="1"/>
    <row r="253" s="103" customFormat="1"/>
    <row r="254" s="103" customFormat="1"/>
    <row r="255" s="103" customFormat="1"/>
    <row r="256" s="103" customFormat="1"/>
    <row r="257" s="103" customFormat="1"/>
    <row r="258" s="103" customFormat="1"/>
    <row r="259" s="103" customFormat="1"/>
    <row r="260" s="103" customFormat="1"/>
    <row r="261" s="103" customFormat="1"/>
    <row r="262" s="103" customFormat="1"/>
    <row r="263" s="103" customFormat="1"/>
    <row r="264" s="103" customFormat="1"/>
    <row r="265" s="103" customFormat="1"/>
    <row r="266" s="103" customFormat="1"/>
    <row r="267" s="103" customFormat="1"/>
    <row r="268" s="103" customFormat="1"/>
    <row r="269" s="103" customFormat="1"/>
    <row r="270" s="103" customFormat="1"/>
    <row r="271" s="103" customFormat="1"/>
    <row r="272" s="103" customFormat="1"/>
    <row r="273" s="103" customFormat="1"/>
    <row r="274" s="103" customFormat="1"/>
    <row r="275" s="103" customForma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row r="573" s="103" customFormat="1"/>
    <row r="574" s="103" customFormat="1"/>
    <row r="575" s="103" customFormat="1"/>
    <row r="576" s="103" customFormat="1"/>
    <row r="577" s="103" customFormat="1"/>
    <row r="578" s="103" customFormat="1"/>
    <row r="579" s="103" customFormat="1"/>
    <row r="580" s="103" customFormat="1"/>
    <row r="581" s="103" customFormat="1"/>
    <row r="582" s="103" customFormat="1"/>
    <row r="583" s="103" customFormat="1"/>
    <row r="584" s="103" customFormat="1"/>
    <row r="585" s="103" customFormat="1"/>
    <row r="586" s="103" customFormat="1"/>
    <row r="587" s="103" customFormat="1"/>
    <row r="588" s="103" customFormat="1"/>
    <row r="589" s="103" customFormat="1"/>
    <row r="590" s="103" customFormat="1"/>
    <row r="591" s="103" customFormat="1"/>
    <row r="592" s="103" customFormat="1"/>
    <row r="593" s="103" customFormat="1"/>
    <row r="594" s="103" customFormat="1"/>
    <row r="595" s="103" customFormat="1"/>
    <row r="596" s="103" customFormat="1"/>
    <row r="597" s="103" customFormat="1"/>
    <row r="598" s="103" customFormat="1"/>
    <row r="599" s="103" customFormat="1"/>
    <row r="600" s="103" customFormat="1"/>
    <row r="601" s="103" customFormat="1"/>
    <row r="602" s="103" customFormat="1"/>
    <row r="603" s="103" customFormat="1"/>
    <row r="604" s="103" customFormat="1"/>
    <row r="605" s="103" customFormat="1"/>
    <row r="606" s="103" customFormat="1"/>
    <row r="607" s="103" customFormat="1"/>
    <row r="608" s="103" customFormat="1"/>
    <row r="609" s="103" customFormat="1"/>
    <row r="610" s="103" customFormat="1"/>
    <row r="611" s="103" customFormat="1"/>
    <row r="612" s="103" customFormat="1"/>
    <row r="613" s="103" customFormat="1"/>
    <row r="614" s="103" customFormat="1"/>
    <row r="615" s="103" customFormat="1"/>
    <row r="616" s="103" customFormat="1"/>
    <row r="617" s="103" customFormat="1"/>
    <row r="618" s="103" customFormat="1"/>
    <row r="619" s="103" customFormat="1"/>
    <row r="620" s="103" customFormat="1"/>
    <row r="621" s="103" customFormat="1"/>
    <row r="622" s="103" customFormat="1"/>
    <row r="623" s="103" customFormat="1"/>
    <row r="624" s="103" customFormat="1"/>
    <row r="625" s="103" customFormat="1"/>
    <row r="626" s="103" customFormat="1"/>
    <row r="627" s="103" customFormat="1"/>
    <row r="628" s="103" customFormat="1"/>
    <row r="629" s="103" customFormat="1"/>
    <row r="630" s="103" customFormat="1"/>
    <row r="631" s="103" customFormat="1"/>
    <row r="632" s="103" customFormat="1"/>
    <row r="633" s="103" customFormat="1"/>
    <row r="634" s="103" customFormat="1"/>
    <row r="635" s="103" customFormat="1"/>
    <row r="636" s="103" customFormat="1"/>
    <row r="637" s="103" customFormat="1"/>
    <row r="638" s="103" customFormat="1"/>
    <row r="639" s="103" customFormat="1"/>
    <row r="640" s="103" customFormat="1"/>
    <row r="641" s="103" customFormat="1"/>
    <row r="642" s="103" customFormat="1"/>
    <row r="643" s="103" customFormat="1"/>
    <row r="644" s="103" customFormat="1"/>
    <row r="645" s="103" customFormat="1"/>
    <row r="646" s="103" customFormat="1"/>
    <row r="647" s="103" customFormat="1"/>
    <row r="648" s="103" customFormat="1"/>
    <row r="649" s="103" customFormat="1"/>
    <row r="650" s="103" customFormat="1"/>
    <row r="651" s="103" customFormat="1"/>
    <row r="652" s="103" customFormat="1"/>
    <row r="653" s="103" customFormat="1"/>
    <row r="654" s="103" customFormat="1"/>
    <row r="655" s="103" customFormat="1"/>
    <row r="656" s="103" customFormat="1"/>
    <row r="657" s="103" customFormat="1"/>
    <row r="658" s="103" customFormat="1"/>
    <row r="659" s="103" customFormat="1"/>
    <row r="660" s="103" customFormat="1"/>
    <row r="661" s="103" customFormat="1"/>
    <row r="662" s="103" customFormat="1"/>
    <row r="663" s="103" customFormat="1"/>
    <row r="664" s="103" customFormat="1"/>
    <row r="665" s="103" customFormat="1"/>
    <row r="666" s="103" customFormat="1"/>
    <row r="667" s="103" customFormat="1"/>
    <row r="668" s="103" customFormat="1"/>
    <row r="669" s="103" customFormat="1"/>
    <row r="670" s="103" customFormat="1"/>
    <row r="671" s="103" customFormat="1"/>
    <row r="672" s="103" customFormat="1"/>
    <row r="673" s="103" customFormat="1"/>
    <row r="674" s="103" customFormat="1"/>
    <row r="675" s="103" customFormat="1"/>
    <row r="676" s="103" customFormat="1"/>
    <row r="677" s="103" customFormat="1"/>
    <row r="678" s="103" customFormat="1"/>
    <row r="679" s="103" customFormat="1"/>
    <row r="680" s="103" customFormat="1"/>
    <row r="681" s="103" customFormat="1"/>
    <row r="682" s="103" customFormat="1"/>
    <row r="683" s="103" customFormat="1"/>
    <row r="684" s="103" customFormat="1"/>
    <row r="685" s="103" customFormat="1"/>
    <row r="686" s="103" customFormat="1"/>
    <row r="687" s="103" customFormat="1"/>
    <row r="688" s="103" customFormat="1"/>
    <row r="689" s="103" customFormat="1"/>
    <row r="690" s="103" customFormat="1"/>
    <row r="691" s="103" customFormat="1"/>
    <row r="692" s="103" customFormat="1"/>
    <row r="693" s="103" customFormat="1"/>
    <row r="694" s="103" customFormat="1"/>
    <row r="695" s="103" customFormat="1"/>
    <row r="696" s="103" customFormat="1"/>
    <row r="697" s="103" customFormat="1"/>
    <row r="698" s="103" customFormat="1"/>
    <row r="699" s="103" customFormat="1"/>
    <row r="700" s="103" customFormat="1"/>
    <row r="701" s="103" customFormat="1"/>
    <row r="702" s="103" customFormat="1"/>
    <row r="703" s="103" customFormat="1"/>
    <row r="704" s="103" customFormat="1"/>
    <row r="705" s="103" customFormat="1"/>
    <row r="706" s="103" customFormat="1"/>
    <row r="707" s="103" customFormat="1"/>
    <row r="708" s="103" customFormat="1"/>
    <row r="709" s="103" customFormat="1"/>
    <row r="710" s="103" customFormat="1"/>
    <row r="711" s="103" customFormat="1"/>
    <row r="712" s="103" customFormat="1"/>
    <row r="713" s="103" customFormat="1"/>
    <row r="714" s="103" customFormat="1"/>
    <row r="715" s="103" customFormat="1"/>
    <row r="716" s="103" customFormat="1"/>
    <row r="717" s="103" customFormat="1"/>
    <row r="718" s="103" customFormat="1"/>
    <row r="719" s="103" customFormat="1"/>
    <row r="720" s="103" customFormat="1"/>
    <row r="721" s="103" customFormat="1"/>
    <row r="722" s="103" customFormat="1"/>
    <row r="723" s="103" customFormat="1"/>
    <row r="724" s="103" customFormat="1"/>
    <row r="725" s="103" customFormat="1"/>
    <row r="726" s="103" customFormat="1"/>
    <row r="727" s="103" customFormat="1"/>
    <row r="728" s="103" customFormat="1"/>
    <row r="729" s="103" customFormat="1"/>
    <row r="730" s="103" customFormat="1"/>
    <row r="731" s="103" customFormat="1"/>
    <row r="732" s="103" customFormat="1"/>
    <row r="733" s="103" customFormat="1"/>
    <row r="734" s="103" customFormat="1"/>
    <row r="735" s="103" customFormat="1"/>
    <row r="736" s="103" customFormat="1"/>
    <row r="737" s="103" customFormat="1"/>
    <row r="738" s="103" customFormat="1"/>
    <row r="739" s="103" customFormat="1"/>
    <row r="740" s="103" customFormat="1"/>
    <row r="741" s="103" customFormat="1"/>
    <row r="742" s="103" customFormat="1"/>
    <row r="743" s="103" customFormat="1"/>
    <row r="744" s="103" customFormat="1"/>
    <row r="745" s="103" customFormat="1"/>
    <row r="746" s="103" customFormat="1"/>
    <row r="747" s="103" customFormat="1"/>
    <row r="748" s="103" customFormat="1"/>
    <row r="749" s="103" customFormat="1"/>
    <row r="750" s="103" customFormat="1"/>
    <row r="751" s="103" customFormat="1"/>
    <row r="752" s="103" customFormat="1"/>
    <row r="753" s="103" customFormat="1"/>
    <row r="754" s="103" customFormat="1"/>
    <row r="755" s="103" customFormat="1"/>
    <row r="756" s="103" customFormat="1"/>
    <row r="757" s="103" customFormat="1"/>
    <row r="758" s="103" customFormat="1"/>
    <row r="759" s="103" customFormat="1"/>
    <row r="760" s="103" customFormat="1"/>
    <row r="761" s="103" customFormat="1"/>
    <row r="762" s="103" customFormat="1"/>
    <row r="763" s="103" customFormat="1"/>
    <row r="764" s="103" customFormat="1"/>
    <row r="765" s="103" customFormat="1"/>
    <row r="766" s="103" customFormat="1"/>
    <row r="767" s="103" customFormat="1"/>
    <row r="768" s="103" customFormat="1"/>
    <row r="769" s="103" customFormat="1"/>
    <row r="770" s="103" customFormat="1"/>
    <row r="771" s="103" customFormat="1"/>
    <row r="772" s="103" customFormat="1"/>
    <row r="773" s="103" customFormat="1"/>
    <row r="774" s="103" customFormat="1"/>
    <row r="775" s="103" customFormat="1"/>
    <row r="776" s="103" customFormat="1"/>
    <row r="777" s="103" customFormat="1"/>
    <row r="778" s="103" customFormat="1"/>
    <row r="779" s="103" customFormat="1"/>
    <row r="780" s="103" customFormat="1"/>
    <row r="781" s="103" customFormat="1"/>
    <row r="782" s="103" customFormat="1"/>
    <row r="783" s="103" customFormat="1"/>
    <row r="784" s="103" customFormat="1"/>
    <row r="785" s="103" customFormat="1"/>
    <row r="786" s="103" customFormat="1"/>
    <row r="787" s="103" customFormat="1"/>
    <row r="788" s="103" customFormat="1"/>
    <row r="789" s="103" customFormat="1"/>
    <row r="790" s="103" customFormat="1"/>
    <row r="791" s="103" customFormat="1"/>
    <row r="792" s="103" customFormat="1"/>
    <row r="793" s="103" customFormat="1"/>
    <row r="794" s="103" customFormat="1"/>
    <row r="795" s="103" customFormat="1"/>
    <row r="796" s="103" customFormat="1"/>
    <row r="797" s="103" customFormat="1"/>
    <row r="798" s="103" customFormat="1"/>
    <row r="799" s="103" customFormat="1"/>
    <row r="800" s="103" customFormat="1"/>
    <row r="801" s="103" customFormat="1"/>
    <row r="802" s="103" customFormat="1"/>
    <row r="803" s="103" customFormat="1"/>
    <row r="804" s="103" customFormat="1"/>
    <row r="805" s="103" customFormat="1"/>
    <row r="806" s="103" customFormat="1"/>
    <row r="807" s="103" customFormat="1"/>
    <row r="808" s="103" customFormat="1"/>
    <row r="809" s="103" customFormat="1"/>
    <row r="810" s="103" customFormat="1"/>
    <row r="811" s="103" customFormat="1"/>
    <row r="812" s="103" customFormat="1"/>
    <row r="813" s="103" customFormat="1"/>
    <row r="814" s="103" customFormat="1"/>
    <row r="815" s="103" customFormat="1"/>
    <row r="816" s="103" customFormat="1"/>
    <row r="817" s="103" customFormat="1"/>
    <row r="818" s="103" customFormat="1"/>
    <row r="819" s="103" customFormat="1"/>
    <row r="820" s="103" customFormat="1"/>
    <row r="821" s="103" customFormat="1"/>
    <row r="822" s="103" customFormat="1"/>
    <row r="823" s="103" customFormat="1"/>
    <row r="824" s="103" customFormat="1"/>
    <row r="825" s="103" customFormat="1"/>
    <row r="826" s="103" customFormat="1"/>
    <row r="827" s="103" customFormat="1"/>
    <row r="828" s="103" customFormat="1"/>
    <row r="829" s="103" customFormat="1"/>
    <row r="830" s="103" customFormat="1"/>
    <row r="831" s="103" customFormat="1"/>
    <row r="832" s="103" customFormat="1"/>
    <row r="833" s="103" customFormat="1"/>
    <row r="834" s="103" customFormat="1"/>
    <row r="835" s="103" customFormat="1"/>
    <row r="836" s="103" customFormat="1"/>
    <row r="837" s="103" customFormat="1"/>
    <row r="838" s="103" customFormat="1"/>
    <row r="839" s="103" customFormat="1"/>
    <row r="840" s="103" customFormat="1"/>
    <row r="841" s="103" customFormat="1"/>
    <row r="842" s="103" customFormat="1"/>
    <row r="843" s="103" customFormat="1"/>
    <row r="844" s="103" customFormat="1"/>
    <row r="845" s="103" customFormat="1"/>
    <row r="846" s="103" customFormat="1"/>
    <row r="847" s="103" customFormat="1"/>
    <row r="848" s="103" customFormat="1"/>
    <row r="849" s="103" customFormat="1"/>
    <row r="850" s="103" customFormat="1"/>
    <row r="851" s="103" customFormat="1"/>
    <row r="852" s="103" customFormat="1"/>
    <row r="853" s="103" customFormat="1"/>
    <row r="854" s="103" customFormat="1"/>
    <row r="855" s="103" customFormat="1"/>
    <row r="856" s="103" customFormat="1"/>
    <row r="857" s="103" customFormat="1"/>
    <row r="858" s="103" customFormat="1"/>
    <row r="859" s="103" customFormat="1"/>
    <row r="860" s="103" customFormat="1"/>
    <row r="861" s="103" customFormat="1"/>
    <row r="862" s="103" customFormat="1"/>
    <row r="863" s="103" customFormat="1"/>
    <row r="864" s="103" customFormat="1"/>
    <row r="865" s="103" customFormat="1"/>
    <row r="866" s="103" customFormat="1"/>
    <row r="867" s="103" customFormat="1"/>
    <row r="868" s="103" customFormat="1"/>
    <row r="869" s="103" customFormat="1"/>
    <row r="870" s="103" customFormat="1"/>
    <row r="871" s="103" customFormat="1"/>
    <row r="872" s="103" customFormat="1"/>
    <row r="873" s="103" customFormat="1"/>
    <row r="874" s="103" customFormat="1"/>
    <row r="875" s="103" customFormat="1"/>
    <row r="876" s="103" customFormat="1"/>
    <row r="877" s="103" customFormat="1"/>
    <row r="878" s="103" customFormat="1"/>
    <row r="879" s="103" customFormat="1"/>
    <row r="880" s="103" customFormat="1"/>
    <row r="881" s="103" customFormat="1"/>
    <row r="882" s="103" customFormat="1"/>
    <row r="883" s="103" customFormat="1"/>
    <row r="884" s="103" customFormat="1"/>
    <row r="885" s="103" customFormat="1"/>
    <row r="886" s="103" customFormat="1"/>
    <row r="887" s="103" customFormat="1"/>
    <row r="888" s="103" customFormat="1"/>
    <row r="889" s="103" customFormat="1"/>
    <row r="890" s="103" customFormat="1"/>
    <row r="891" s="103" customFormat="1"/>
    <row r="892" s="103" customFormat="1"/>
    <row r="893" s="103" customFormat="1"/>
    <row r="894" s="103" customFormat="1"/>
    <row r="895" s="103" customFormat="1"/>
    <row r="896" s="103" customFormat="1"/>
    <row r="897" s="103" customFormat="1"/>
    <row r="898" s="103" customFormat="1"/>
    <row r="899" s="103" customFormat="1"/>
    <row r="900" s="103" customFormat="1"/>
    <row r="901" s="103" customFormat="1"/>
    <row r="902" s="103" customFormat="1"/>
    <row r="903" s="103" customFormat="1"/>
    <row r="904" s="103" customFormat="1"/>
    <row r="905" s="103" customFormat="1"/>
    <row r="906" s="103" customFormat="1"/>
    <row r="907" s="103" customFormat="1"/>
    <row r="908" s="103" customFormat="1"/>
    <row r="909" s="103" customFormat="1"/>
    <row r="910" s="103" customFormat="1"/>
    <row r="911" s="103" customFormat="1"/>
    <row r="912" s="103" customFormat="1"/>
    <row r="913" s="103" customFormat="1"/>
    <row r="914" s="103" customFormat="1"/>
    <row r="915" s="103" customFormat="1"/>
    <row r="916" s="103" customFormat="1"/>
    <row r="917" s="103" customFormat="1"/>
    <row r="918" s="103" customFormat="1"/>
    <row r="919" s="103" customFormat="1"/>
    <row r="920" s="103" customFormat="1"/>
    <row r="921" s="103" customFormat="1"/>
    <row r="922" s="103" customFormat="1"/>
    <row r="923" s="103" customFormat="1"/>
    <row r="924" s="103" customFormat="1"/>
    <row r="925" s="103" customFormat="1"/>
    <row r="926" s="103" customFormat="1"/>
    <row r="927" s="103" customFormat="1"/>
    <row r="928" s="103" customFormat="1"/>
    <row r="929" s="103" customFormat="1"/>
    <row r="930" s="103" customFormat="1"/>
    <row r="931" s="103" customFormat="1"/>
    <row r="932" s="103" customFormat="1"/>
    <row r="933" s="103" customFormat="1"/>
    <row r="934" s="103" customFormat="1"/>
    <row r="935" s="103" customFormat="1"/>
    <row r="936" s="103" customFormat="1"/>
    <row r="937" s="103" customFormat="1"/>
    <row r="938" s="103" customFormat="1"/>
    <row r="939" s="103" customFormat="1"/>
    <row r="940" s="103" customFormat="1"/>
    <row r="941" s="103" customFormat="1"/>
    <row r="942" s="103" customFormat="1"/>
    <row r="943" s="103" customFormat="1"/>
    <row r="944" s="103" customFormat="1"/>
    <row r="945" s="103" customFormat="1"/>
    <row r="946" s="103" customFormat="1"/>
    <row r="947" s="103" customFormat="1"/>
    <row r="948" s="103" customFormat="1"/>
    <row r="949" s="103" customFormat="1"/>
    <row r="950" s="103" customFormat="1"/>
    <row r="951" s="103" customFormat="1"/>
    <row r="952" s="103" customFormat="1"/>
    <row r="953" s="103" customFormat="1"/>
    <row r="954" s="103" customFormat="1"/>
    <row r="955" s="103" customFormat="1"/>
    <row r="956" s="103" customFormat="1"/>
    <row r="957" s="103" customFormat="1"/>
    <row r="958" s="103" customFormat="1"/>
    <row r="959" s="103" customFormat="1"/>
    <row r="960" s="103" customFormat="1"/>
    <row r="961" s="103" customFormat="1"/>
    <row r="962" s="103" customFormat="1"/>
    <row r="963" s="103" customFormat="1"/>
    <row r="964" s="103" customFormat="1"/>
    <row r="965" s="103" customFormat="1"/>
    <row r="966" s="103" customFormat="1"/>
    <row r="967" s="103" customFormat="1"/>
    <row r="968" s="103" customFormat="1"/>
    <row r="969" s="103" customFormat="1"/>
    <row r="970" s="103" customFormat="1"/>
    <row r="971" s="103" customFormat="1"/>
    <row r="972" s="103" customFormat="1"/>
    <row r="973" s="103" customFormat="1"/>
    <row r="974" s="103" customFormat="1"/>
    <row r="975" s="103" customFormat="1"/>
    <row r="976" s="103" customFormat="1"/>
    <row r="977" s="103" customFormat="1"/>
    <row r="978" s="103" customFormat="1"/>
    <row r="979" s="103" customFormat="1"/>
    <row r="980" s="103" customFormat="1"/>
    <row r="981" s="103" customFormat="1"/>
    <row r="982" s="103" customFormat="1"/>
    <row r="983" s="103" customFormat="1"/>
    <row r="984" s="103" customFormat="1"/>
    <row r="985" s="103" customFormat="1"/>
    <row r="986" s="103" customFormat="1"/>
    <row r="987" s="103" customFormat="1"/>
    <row r="988" s="103" customFormat="1"/>
    <row r="989" s="103" customFormat="1"/>
    <row r="990" s="103" customFormat="1"/>
    <row r="991" s="103" customFormat="1"/>
    <row r="992" s="103" customFormat="1"/>
    <row r="993" s="103" customFormat="1"/>
    <row r="994" s="103" customFormat="1"/>
    <row r="995" s="103" customFormat="1"/>
    <row r="996" s="103" customFormat="1"/>
    <row r="997" s="103" customFormat="1"/>
    <row r="998" s="103" customFormat="1"/>
    <row r="999" s="103" customFormat="1"/>
    <row r="1000" s="103" customFormat="1"/>
    <row r="1001" s="103" customFormat="1"/>
    <row r="1002" s="103" customFormat="1"/>
    <row r="1003" s="103" customFormat="1"/>
    <row r="1004" s="103" customFormat="1"/>
    <row r="1005" s="103" customFormat="1"/>
    <row r="1006" s="103" customFormat="1"/>
    <row r="1007" s="103" customFormat="1"/>
    <row r="1008" s="103" customFormat="1"/>
    <row r="1009" s="103" customFormat="1"/>
    <row r="1010" s="103" customFormat="1"/>
    <row r="1011" s="103" customFormat="1"/>
    <row r="1012" s="103" customFormat="1"/>
    <row r="1013" s="103" customFormat="1"/>
    <row r="1014" s="103" customFormat="1"/>
    <row r="1015" s="103" customFormat="1"/>
    <row r="1016" s="103" customFormat="1"/>
    <row r="1017" s="103" customFormat="1"/>
    <row r="1018" s="103" customFormat="1"/>
    <row r="1019" s="103" customFormat="1"/>
    <row r="1020" s="103" customFormat="1"/>
    <row r="1021" s="103" customFormat="1"/>
    <row r="1022" s="103" customFormat="1"/>
    <row r="1023" s="103" customFormat="1"/>
    <row r="1024" s="103" customFormat="1"/>
    <row r="1025" s="103" customFormat="1"/>
    <row r="1026" s="103" customFormat="1"/>
    <row r="1027" s="103" customFormat="1"/>
    <row r="1028" s="103" customFormat="1"/>
    <row r="1029" s="103" customFormat="1"/>
    <row r="1030" s="103" customFormat="1"/>
    <row r="1031" s="103" customFormat="1"/>
    <row r="1032" s="103" customFormat="1"/>
    <row r="1033" s="103" customFormat="1"/>
    <row r="1034" s="103" customFormat="1"/>
    <row r="1035" s="103" customFormat="1"/>
    <row r="1036" s="103" customFormat="1"/>
    <row r="1037" s="103" customFormat="1"/>
    <row r="1038" s="103" customFormat="1"/>
    <row r="1039" s="103" customFormat="1"/>
    <row r="1040" s="103" customFormat="1"/>
    <row r="1041" s="103" customFormat="1"/>
    <row r="1042" s="103" customFormat="1"/>
    <row r="1043" s="103" customFormat="1"/>
    <row r="1044" s="103" customFormat="1"/>
    <row r="1045" s="103" customFormat="1"/>
    <row r="1046" s="103" customFormat="1"/>
    <row r="1047" s="103" customFormat="1"/>
    <row r="1048" s="103" customFormat="1"/>
    <row r="1049" s="103" customFormat="1"/>
    <row r="1050" s="103" customFormat="1"/>
    <row r="1051" s="103" customFormat="1"/>
    <row r="1052" s="103" customFormat="1"/>
    <row r="1053" s="103" customFormat="1"/>
    <row r="1054" s="103" customFormat="1"/>
    <row r="1055" s="103" customFormat="1"/>
    <row r="1056" s="103" customFormat="1"/>
    <row r="1057" s="103" customFormat="1"/>
    <row r="1058" s="103" customFormat="1"/>
    <row r="1059" s="103" customFormat="1"/>
    <row r="1060" s="103" customFormat="1"/>
    <row r="1061" s="103" customFormat="1"/>
    <row r="1062" s="103" customFormat="1"/>
    <row r="1063" s="103" customFormat="1"/>
    <row r="1064" s="103" customFormat="1"/>
    <row r="1065" s="103" customFormat="1"/>
    <row r="1066" s="103" customFormat="1"/>
    <row r="1067" s="103" customFormat="1"/>
    <row r="1068" s="103" customFormat="1"/>
    <row r="1069" s="103" customFormat="1"/>
    <row r="1070" s="103" customFormat="1"/>
    <row r="1071" s="103" customFormat="1"/>
    <row r="1072" s="103" customFormat="1"/>
    <row r="1073" s="103" customFormat="1"/>
    <row r="1074" s="103" customFormat="1"/>
    <row r="1075" s="103" customFormat="1"/>
    <row r="1076" s="103" customFormat="1"/>
    <row r="1077" s="103" customFormat="1"/>
    <row r="1078" s="103" customFormat="1"/>
    <row r="1079" s="103" customFormat="1"/>
    <row r="1080" s="103" customFormat="1"/>
    <row r="1081" s="103" customFormat="1"/>
    <row r="1082" s="103" customFormat="1"/>
    <row r="1083" s="103" customFormat="1"/>
    <row r="1084" s="103" customFormat="1"/>
    <row r="1085" s="103" customFormat="1"/>
    <row r="1086" s="103" customFormat="1"/>
    <row r="1087" s="103" customFormat="1"/>
    <row r="1088" s="103" customFormat="1"/>
    <row r="1089" s="103" customFormat="1"/>
    <row r="1090" s="103" customFormat="1"/>
    <row r="1091" s="103" customFormat="1"/>
    <row r="1092" s="103" customFormat="1"/>
    <row r="1093" s="103" customFormat="1"/>
    <row r="1094" s="103" customFormat="1"/>
    <row r="1095" s="103" customFormat="1"/>
    <row r="1096" s="103" customFormat="1"/>
    <row r="1097" s="103" customFormat="1"/>
    <row r="1098" s="103" customFormat="1"/>
    <row r="1099" s="103" customFormat="1"/>
    <row r="1100" s="103" customFormat="1"/>
    <row r="1101" s="103" customFormat="1"/>
    <row r="1102" s="103" customFormat="1"/>
    <row r="1103" s="103" customFormat="1"/>
    <row r="1104" s="103" customFormat="1"/>
    <row r="1105" s="103" customFormat="1"/>
    <row r="1106" s="103" customFormat="1"/>
    <row r="1107" s="103" customFormat="1"/>
    <row r="1108" s="103" customFormat="1"/>
    <row r="1109" s="103" customFormat="1"/>
    <row r="1110" s="103" customFormat="1"/>
    <row r="1111" s="103" customFormat="1"/>
    <row r="1112" s="103" customFormat="1"/>
    <row r="1113" s="103" customFormat="1"/>
    <row r="1114" s="103" customFormat="1"/>
    <row r="1115" s="103" customFormat="1"/>
    <row r="1116" s="103" customFormat="1"/>
    <row r="1117" s="103" customFormat="1"/>
    <row r="1118" s="103" customFormat="1"/>
    <row r="1119" s="103" customFormat="1"/>
    <row r="1120" s="103" customFormat="1"/>
    <row r="1121" s="103" customFormat="1"/>
    <row r="1122" s="103" customFormat="1"/>
    <row r="1123" s="103" customFormat="1"/>
    <row r="1124" s="103" customFormat="1"/>
    <row r="1125" s="103" customFormat="1"/>
    <row r="1126" s="103" customFormat="1"/>
    <row r="1127" s="103" customFormat="1"/>
    <row r="1128" s="103" customFormat="1"/>
    <row r="1129" s="103" customFormat="1"/>
    <row r="1130" s="103" customFormat="1"/>
    <row r="1131" s="103" customFormat="1"/>
    <row r="1132" s="103" customFormat="1"/>
    <row r="1133" s="103" customFormat="1"/>
    <row r="1134" s="103" customFormat="1"/>
    <row r="1135" s="103" customFormat="1"/>
    <row r="1136" s="103" customFormat="1"/>
    <row r="1137" s="103" customFormat="1"/>
    <row r="1138" s="103" customFormat="1"/>
    <row r="1139" s="103" customFormat="1"/>
    <row r="1140" s="103" customFormat="1"/>
    <row r="1141" s="103" customFormat="1"/>
    <row r="1142" s="103" customFormat="1"/>
    <row r="1143" s="103" customFormat="1"/>
    <row r="1144" s="103" customFormat="1"/>
    <row r="1145" s="103" customFormat="1"/>
    <row r="1146" s="103" customFormat="1"/>
    <row r="1147" s="103" customFormat="1"/>
    <row r="1148" s="103" customFormat="1"/>
    <row r="1149" s="103" customFormat="1"/>
    <row r="1150" s="103" customFormat="1"/>
    <row r="1151" s="103" customFormat="1"/>
    <row r="1152" s="103" customFormat="1"/>
    <row r="1153" s="103" customFormat="1"/>
    <row r="1154" s="103" customFormat="1"/>
    <row r="1155" s="103" customFormat="1"/>
    <row r="1156" s="103" customFormat="1"/>
  </sheetData>
  <sheetProtection algorithmName="SHA-512" hashValue="S1YxGWh0BbZkfVDpK1ewMgJjvWBnz/hdZ5+KOEnCXAd/Rs2xlb11LBH6b0mZvKDRnVq+jIwFq1efcuzgMWX5PQ==" saltValue="db1f4/ZRG8Yggxr7vcm0xA==" spinCount="100000" sheet="1" objects="1" scenarios="1"/>
  <mergeCells count="30">
    <mergeCell ref="B110:E110"/>
    <mergeCell ref="B80:E80"/>
    <mergeCell ref="B83:E83"/>
    <mergeCell ref="B123:E123"/>
    <mergeCell ref="B127:E127"/>
    <mergeCell ref="B55:E55"/>
    <mergeCell ref="B153:E153"/>
    <mergeCell ref="B121:E121"/>
    <mergeCell ref="B61:E61"/>
    <mergeCell ref="B89:E89"/>
    <mergeCell ref="B99:E99"/>
    <mergeCell ref="B137:E137"/>
    <mergeCell ref="B145:E145"/>
    <mergeCell ref="B112:E112"/>
    <mergeCell ref="B116:E116"/>
    <mergeCell ref="B134:E134"/>
    <mergeCell ref="B149:E149"/>
    <mergeCell ref="B69:E69"/>
    <mergeCell ref="B87:E87"/>
    <mergeCell ref="B132:E132"/>
    <mergeCell ref="B78:E78"/>
    <mergeCell ref="B2:C2"/>
    <mergeCell ref="D2:E2"/>
    <mergeCell ref="B3:E3"/>
    <mergeCell ref="B8:E8"/>
    <mergeCell ref="B49:E49"/>
    <mergeCell ref="B28:E28"/>
    <mergeCell ref="B41:E41"/>
    <mergeCell ref="B34:E34"/>
    <mergeCell ref="B10:E10"/>
  </mergeCells>
  <conditionalFormatting sqref="B10:E26 B28:E32 B34:E39 B41:E47 B49:E53 B55:E59 B61:E67 B69:E76 B78:E85 B87:E108 B110:E119 B121:E130 B132:E143 B145:E147 B149:E151 B153:E159">
    <cfRule type="expression" dxfId="110" priority="8">
      <formula>hrm_result="Excluded"</formula>
    </cfRule>
  </conditionalFormatting>
  <conditionalFormatting sqref="C5 B8:E8">
    <cfRule type="expression" dxfId="109" priority="110">
      <formula>hrm_result="Excluded"</formula>
    </cfRule>
  </conditionalFormatting>
  <hyperlinks>
    <hyperlink ref="C5" location="'Health Reporting and Monitoring'!B8" display="Deployment" xr:uid="{8C1629CB-5FB2-7F4A-9B0C-4C942CBA2631}"/>
    <hyperlink ref="B5" location="'Deployment Options'!H50" display="Section Navigation (Click to Navigate)" xr:uid="{F6F7133D-CE4E-1044-A5CD-9C985CC4A48B}"/>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06" operator="containsText" id="{D3897969-C834-B547-870B-91A882014C60}">
            <xm:f>NOT(ISERROR(SEARCH("Value Missing",D12)))</xm:f>
            <xm:f>"Value Missing"</xm:f>
            <x14:dxf>
              <font>
                <color rgb="FF9C0006"/>
              </font>
              <fill>
                <patternFill>
                  <bgColor rgb="FFFFC7CE"/>
                </patternFill>
              </fill>
            </x14:dxf>
          </x14:cfRule>
          <x14:cfRule type="notContainsText" priority="105" operator="notContains" id="{DBF9DFCD-EB13-7042-B6B8-10FCAED30118}">
            <xm:f>ISERROR(SEARCH("Value Missing",D12))</xm:f>
            <xm:f>"Value Missing"</xm:f>
            <x14:dxf>
              <font>
                <color rgb="FF006100"/>
              </font>
              <fill>
                <patternFill>
                  <bgColor rgb="FFC6EFCE"/>
                </patternFill>
              </fill>
            </x14:dxf>
          </x14:cfRule>
          <xm:sqref>D12:D13</xm:sqref>
        </x14:conditionalFormatting>
        <x14:conditionalFormatting xmlns:xm="http://schemas.microsoft.com/office/excel/2006/main">
          <x14:cfRule type="containsText" priority="108" operator="containsText" id="{E98BB991-268C-7641-8C2D-33AEA3F9062C}">
            <xm:f>NOT(ISERROR(SEARCH("Value Missing",D12)))</xm:f>
            <xm:f>"Value Missing"</xm:f>
            <x14:dxf>
              <font>
                <color rgb="FF9C0006"/>
              </font>
              <fill>
                <patternFill>
                  <bgColor rgb="FFFFC7CE"/>
                </patternFill>
              </fill>
            </x14:dxf>
          </x14:cfRule>
          <x14:cfRule type="notContainsText" priority="107" operator="notContains" id="{8CFB90D5-B7C0-FD48-9285-CBF3A17ECA1E}">
            <xm:f>ISERROR(SEARCH("Value Missing",D12))</xm:f>
            <xm:f>"Value Missing"</xm:f>
            <x14:dxf>
              <font>
                <color rgb="FF006100"/>
              </font>
              <fill>
                <patternFill>
                  <bgColor rgb="FFC6EFCE"/>
                </patternFill>
              </fill>
            </x14:dxf>
          </x14:cfRule>
          <xm:sqref>D12:D26</xm:sqref>
        </x14:conditionalFormatting>
        <x14:conditionalFormatting xmlns:xm="http://schemas.microsoft.com/office/excel/2006/main">
          <x14:cfRule type="containsText" priority="306" operator="containsText" id="{AD952861-F4DA-1F4E-9C82-4E05A35FA446}">
            <xm:f>NOT(ISERROR(SEARCH("Value Missing",D30)))</xm:f>
            <xm:f>"Value Missing"</xm:f>
            <x14:dxf>
              <font>
                <color rgb="FF9C0006"/>
              </font>
              <fill>
                <patternFill>
                  <bgColor rgb="FFFFC7CE"/>
                </patternFill>
              </fill>
            </x14:dxf>
          </x14:cfRule>
          <x14:cfRule type="notContainsText" priority="305" operator="notContains" id="{CF08B847-91DA-A549-9CDA-FC678527EF91}">
            <xm:f>ISERROR(SEARCH("Value Missing",D30))</xm:f>
            <xm:f>"Value Missing"</xm:f>
            <x14:dxf>
              <font>
                <color rgb="FF006100"/>
              </font>
              <fill>
                <patternFill>
                  <bgColor rgb="FFC6EFCE"/>
                </patternFill>
              </fill>
            </x14:dxf>
          </x14:cfRule>
          <xm:sqref>D30:D32</xm:sqref>
        </x14:conditionalFormatting>
        <x14:conditionalFormatting xmlns:xm="http://schemas.microsoft.com/office/excel/2006/main">
          <x14:cfRule type="containsText" priority="163" operator="containsText" id="{39424CD7-BF03-9E4E-83C5-253BF95ECA9E}">
            <xm:f>NOT(ISERROR(SEARCH("Value Missing",D36)))</xm:f>
            <xm:f>"Value Missing"</xm:f>
            <x14:dxf>
              <font>
                <color rgb="FF9C0006"/>
              </font>
              <fill>
                <patternFill>
                  <bgColor rgb="FFFFC7CE"/>
                </patternFill>
              </fill>
            </x14:dxf>
          </x14:cfRule>
          <x14:cfRule type="notContainsText" priority="160" operator="notContains" id="{8E37D500-7E09-A143-A446-92CD49C284FE}">
            <xm:f>ISERROR(SEARCH("Value Missing",D36))</xm:f>
            <xm:f>"Value Missing"</xm:f>
            <x14:dxf>
              <font>
                <color rgb="FF006100"/>
              </font>
              <fill>
                <patternFill>
                  <bgColor rgb="FFC6EFCE"/>
                </patternFill>
              </fill>
            </x14:dxf>
          </x14:cfRule>
          <xm:sqref>D36:D39</xm:sqref>
        </x14:conditionalFormatting>
        <x14:conditionalFormatting xmlns:xm="http://schemas.microsoft.com/office/excel/2006/main">
          <x14:cfRule type="containsText" priority="181" operator="containsText" id="{EDD94561-2C87-904C-9327-B0F98F047353}">
            <xm:f>NOT(ISERROR(SEARCH("Value Missing",D43)))</xm:f>
            <xm:f>"Value Missing"</xm:f>
            <x14:dxf>
              <font>
                <color rgb="FF9C0006"/>
              </font>
              <fill>
                <patternFill>
                  <bgColor rgb="FFFFC7CE"/>
                </patternFill>
              </fill>
            </x14:dxf>
          </x14:cfRule>
          <x14:cfRule type="notContainsText" priority="178" operator="notContains" id="{CEF475DF-1020-7241-98D5-A1A3953D53CB}">
            <xm:f>ISERROR(SEARCH("Value Missing",D43))</xm:f>
            <xm:f>"Value Missing"</xm:f>
            <x14:dxf>
              <font>
                <color rgb="FF006100"/>
              </font>
              <fill>
                <patternFill>
                  <bgColor rgb="FFC6EFCE"/>
                </patternFill>
              </fill>
            </x14:dxf>
          </x14:cfRule>
          <xm:sqref>D43:D47</xm:sqref>
        </x14:conditionalFormatting>
        <x14:conditionalFormatting xmlns:xm="http://schemas.microsoft.com/office/excel/2006/main">
          <x14:cfRule type="containsText" priority="324" operator="containsText" id="{644B7F57-D49C-B14C-B7FA-3962AF47B134}">
            <xm:f>NOT(ISERROR(SEARCH("Value Missing",D51)))</xm:f>
            <xm:f>"Value Missing"</xm:f>
            <x14:dxf>
              <font>
                <color rgb="FF9C0006"/>
              </font>
              <fill>
                <patternFill>
                  <bgColor rgb="FFFFC7CE"/>
                </patternFill>
              </fill>
            </x14:dxf>
          </x14:cfRule>
          <x14:cfRule type="notContainsText" priority="323" operator="notContains" id="{49A2B69D-7975-0348-B674-B90A0B81E2CF}">
            <xm:f>ISERROR(SEARCH("Value Missing",D51))</xm:f>
            <xm:f>"Value Missing"</xm:f>
            <x14:dxf>
              <font>
                <color rgb="FF006100"/>
              </font>
              <fill>
                <patternFill>
                  <bgColor rgb="FFC6EFCE"/>
                </patternFill>
              </fill>
            </x14:dxf>
          </x14:cfRule>
          <xm:sqref>D51:D53</xm:sqref>
        </x14:conditionalFormatting>
        <x14:conditionalFormatting xmlns:xm="http://schemas.microsoft.com/office/excel/2006/main">
          <x14:cfRule type="containsText" priority="93" operator="containsText" id="{50B261B4-E23C-3645-BCDF-DC379E11A914}">
            <xm:f>NOT(ISERROR(SEARCH("Value Missing",D57)))</xm:f>
            <xm:f>"Value Missing"</xm:f>
            <x14:dxf>
              <font>
                <color rgb="FF9C0006"/>
              </font>
              <fill>
                <patternFill>
                  <bgColor rgb="FFFFC7CE"/>
                </patternFill>
              </fill>
            </x14:dxf>
          </x14:cfRule>
          <x14:cfRule type="notContainsText" priority="92" operator="notContains" id="{A82962AF-E1C9-D846-85DD-0F4BC46EDC4B}">
            <xm:f>ISERROR(SEARCH("Value Missing",D57))</xm:f>
            <xm:f>"Value Missing"</xm:f>
            <x14:dxf>
              <font>
                <color rgb="FF006100"/>
              </font>
              <fill>
                <patternFill>
                  <bgColor rgb="FFC6EFCE"/>
                </patternFill>
              </fill>
            </x14:dxf>
          </x14:cfRule>
          <xm:sqref>D57:D59</xm:sqref>
        </x14:conditionalFormatting>
        <x14:conditionalFormatting xmlns:xm="http://schemas.microsoft.com/office/excel/2006/main">
          <x14:cfRule type="containsText" priority="87" operator="containsText" id="{2AB2ECCD-E30F-7F4E-923B-FF11F1DD3066}">
            <xm:f>NOT(ISERROR(SEARCH("Value Missing",D63)))</xm:f>
            <xm:f>"Value Missing"</xm:f>
            <x14:dxf>
              <font>
                <color rgb="FF9C0006"/>
              </font>
              <fill>
                <patternFill>
                  <bgColor rgb="FFFFC7CE"/>
                </patternFill>
              </fill>
            </x14:dxf>
          </x14:cfRule>
          <x14:cfRule type="notContainsText" priority="86" operator="notContains" id="{C9311AEC-385E-5E46-AC07-AFB7549C46A0}">
            <xm:f>ISERROR(SEARCH("Value Missing",D63))</xm:f>
            <xm:f>"Value Missing"</xm:f>
            <x14:dxf>
              <font>
                <color rgb="FF006100"/>
              </font>
              <fill>
                <patternFill>
                  <bgColor rgb="FFC6EFCE"/>
                </patternFill>
              </fill>
            </x14:dxf>
          </x14:cfRule>
          <xm:sqref>D63:D67</xm:sqref>
        </x14:conditionalFormatting>
        <x14:conditionalFormatting xmlns:xm="http://schemas.microsoft.com/office/excel/2006/main">
          <x14:cfRule type="containsText" priority="89" operator="containsText" id="{B9D8BCDF-6B73-3146-8849-81E1E8570997}">
            <xm:f>NOT(ISERROR(SEARCH("Value Missing",D65)))</xm:f>
            <xm:f>"Value Missing"</xm:f>
            <x14:dxf>
              <font>
                <color rgb="FF9C0006"/>
              </font>
              <fill>
                <patternFill>
                  <bgColor rgb="FFFFC7CE"/>
                </patternFill>
              </fill>
            </x14:dxf>
          </x14:cfRule>
          <x14:cfRule type="notContainsText" priority="88" operator="notContains" id="{78FB00BA-0934-B541-B16E-69E1F2CD5D6A}">
            <xm:f>ISERROR(SEARCH("Value Missing",D65))</xm:f>
            <xm:f>"Value Missing"</xm:f>
            <x14:dxf>
              <font>
                <color rgb="FF006100"/>
              </font>
              <fill>
                <patternFill>
                  <bgColor rgb="FFC6EFCE"/>
                </patternFill>
              </fill>
            </x14:dxf>
          </x14:cfRule>
          <xm:sqref>D65</xm:sqref>
        </x14:conditionalFormatting>
        <x14:conditionalFormatting xmlns:xm="http://schemas.microsoft.com/office/excel/2006/main">
          <x14:cfRule type="containsText" priority="81" operator="containsText" id="{9E340FD0-607E-FC4F-977B-FFC2369F331F}">
            <xm:f>NOT(ISERROR(SEARCH("Value Missing",D71)))</xm:f>
            <xm:f>"Value Missing"</xm:f>
            <x14:dxf>
              <font>
                <color rgb="FF9C0006"/>
              </font>
              <fill>
                <patternFill>
                  <bgColor rgb="FFFFC7CE"/>
                </patternFill>
              </fill>
            </x14:dxf>
          </x14:cfRule>
          <x14:cfRule type="notContainsText" priority="80" operator="notContains" id="{5BB9C9CC-3387-C140-8B46-EDC1A4A0E23E}">
            <xm:f>ISERROR(SEARCH("Value Missing",D71))</xm:f>
            <xm:f>"Value Missing"</xm:f>
            <x14:dxf>
              <font>
                <color rgb="FF006100"/>
              </font>
              <fill>
                <patternFill>
                  <bgColor rgb="FFC6EFCE"/>
                </patternFill>
              </fill>
            </x14:dxf>
          </x14:cfRule>
          <xm:sqref>D71:D76</xm:sqref>
        </x14:conditionalFormatting>
        <x14:conditionalFormatting xmlns:xm="http://schemas.microsoft.com/office/excel/2006/main">
          <x14:cfRule type="containsText" priority="98" operator="containsText" id="{7E2CD0BA-F347-DF45-BC18-E242FA7182AA}">
            <xm:f>NOT(ISERROR(SEARCH("Value Missing",D75)))</xm:f>
            <xm:f>"Value Missing"</xm:f>
            <x14:dxf>
              <font>
                <color rgb="FF9C0006"/>
              </font>
              <fill>
                <patternFill>
                  <bgColor rgb="FFFFC7CE"/>
                </patternFill>
              </fill>
            </x14:dxf>
          </x14:cfRule>
          <x14:cfRule type="notContainsText" priority="97" operator="notContains" id="{63C5DF2C-DB62-124A-B666-E6F741AD0B5D}">
            <xm:f>ISERROR(SEARCH("Value Missing",D75))</xm:f>
            <xm:f>"Value Missing"</xm:f>
            <x14:dxf>
              <font>
                <color rgb="FF006100"/>
              </font>
              <fill>
                <patternFill>
                  <bgColor rgb="FFC6EFCE"/>
                </patternFill>
              </fill>
            </x14:dxf>
          </x14:cfRule>
          <xm:sqref>D75 D157</xm:sqref>
        </x14:conditionalFormatting>
        <x14:conditionalFormatting xmlns:xm="http://schemas.microsoft.com/office/excel/2006/main">
          <x14:cfRule type="notContainsText" priority="51" operator="notContains" id="{6AA40F96-97A3-B74F-B4AB-FA38D4804FB3}">
            <xm:f>ISERROR(SEARCH("Value Missing",D81))</xm:f>
            <xm:f>"Value Missing"</xm:f>
            <x14:dxf>
              <font>
                <color rgb="FF006100"/>
              </font>
              <fill>
                <patternFill>
                  <bgColor rgb="FFC6EFCE"/>
                </patternFill>
              </fill>
            </x14:dxf>
          </x14:cfRule>
          <x14:cfRule type="containsText" priority="57" operator="containsText" id="{9C726C5D-238C-194F-8353-61BB1CC5F82C}">
            <xm:f>NOT(ISERROR(SEARCH("Value Missing",D81)))</xm:f>
            <xm:f>"Value Missing"</xm:f>
            <x14:dxf>
              <font>
                <color rgb="FF9C0006"/>
              </font>
              <fill>
                <patternFill>
                  <bgColor rgb="FFFFC7CE"/>
                </patternFill>
              </fill>
            </x14:dxf>
          </x14:cfRule>
          <xm:sqref>D81:D82 D84:D85</xm:sqref>
        </x14:conditionalFormatting>
        <x14:conditionalFormatting xmlns:xm="http://schemas.microsoft.com/office/excel/2006/main">
          <x14:cfRule type="containsText" priority="27" operator="containsText" id="{A0A9A994-6A77-F740-9920-BE81CCB4FAAA}">
            <xm:f>NOT(ISERROR(SEARCH("Value Missing",D90)))</xm:f>
            <xm:f>"Value Missing"</xm:f>
            <x14:dxf>
              <font>
                <color rgb="FF9C0006"/>
              </font>
              <fill>
                <patternFill>
                  <bgColor rgb="FFFFC7CE"/>
                </patternFill>
              </fill>
            </x14:dxf>
          </x14:cfRule>
          <x14:cfRule type="notContainsText" priority="26" operator="notContains" id="{1CB713D5-BB1F-4A46-8691-4D9E3C93AF5A}">
            <xm:f>ISERROR(SEARCH("Value Missing",D90))</xm:f>
            <xm:f>"Value Missing"</xm:f>
            <x14:dxf>
              <font>
                <color rgb="FF006100"/>
              </font>
              <fill>
                <patternFill>
                  <bgColor rgb="FFC6EFCE"/>
                </patternFill>
              </fill>
            </x14:dxf>
          </x14:cfRule>
          <xm:sqref>D90:D98</xm:sqref>
        </x14:conditionalFormatting>
        <x14:conditionalFormatting xmlns:xm="http://schemas.microsoft.com/office/excel/2006/main">
          <x14:cfRule type="containsText" priority="59" operator="containsText" id="{9EC53CF2-F900-6A42-B66F-8544E533FC44}">
            <xm:f>NOT(ISERROR(SEARCH("Value Missing",D100)))</xm:f>
            <xm:f>"Value Missing"</xm:f>
            <x14:dxf>
              <font>
                <color rgb="FF9C0006"/>
              </font>
              <fill>
                <patternFill>
                  <bgColor rgb="FFFFC7CE"/>
                </patternFill>
              </fill>
            </x14:dxf>
          </x14:cfRule>
          <x14:cfRule type="notContainsText" priority="58" operator="notContains" id="{092BFCD0-C7E5-D243-91BD-7AE5EEFA1EDB}">
            <xm:f>ISERROR(SEARCH("Value Missing",D100))</xm:f>
            <xm:f>"Value Missing"</xm:f>
            <x14:dxf>
              <font>
                <color rgb="FF006100"/>
              </font>
              <fill>
                <patternFill>
                  <bgColor rgb="FFC6EFCE"/>
                </patternFill>
              </fill>
            </x14:dxf>
          </x14:cfRule>
          <xm:sqref>D100:D108</xm:sqref>
        </x14:conditionalFormatting>
        <x14:conditionalFormatting xmlns:xm="http://schemas.microsoft.com/office/excel/2006/main">
          <x14:cfRule type="containsText" priority="48" operator="containsText" id="{654E9283-5421-B844-859B-6C468AC8C1AE}">
            <xm:f>NOT(ISERROR(SEARCH("Value Missing",D113)))</xm:f>
            <xm:f>"Value Missing"</xm:f>
            <x14:dxf>
              <font>
                <color rgb="FF9C0006"/>
              </font>
              <fill>
                <patternFill>
                  <bgColor rgb="FFFFC7CE"/>
                </patternFill>
              </fill>
            </x14:dxf>
          </x14:cfRule>
          <x14:cfRule type="notContainsText" priority="47" operator="notContains" id="{63EDCEAF-E6BD-D54A-8A51-23AAFE6E2EA9}">
            <xm:f>ISERROR(SEARCH("Value Missing",D113))</xm:f>
            <xm:f>"Value Missing"</xm:f>
            <x14:dxf>
              <font>
                <color rgb="FF006100"/>
              </font>
              <fill>
                <patternFill>
                  <bgColor rgb="FFC6EFCE"/>
                </patternFill>
              </fill>
            </x14:dxf>
          </x14:cfRule>
          <xm:sqref>D113:D115</xm:sqref>
        </x14:conditionalFormatting>
        <x14:conditionalFormatting xmlns:xm="http://schemas.microsoft.com/office/excel/2006/main">
          <x14:cfRule type="containsText" priority="46" operator="containsText" id="{C368F2F3-B4EE-4140-A538-13A33F9DE216}">
            <xm:f>NOT(ISERROR(SEARCH("Value Missing",D117)))</xm:f>
            <xm:f>"Value Missing"</xm:f>
            <x14:dxf>
              <font>
                <color rgb="FF9C0006"/>
              </font>
              <fill>
                <patternFill>
                  <bgColor rgb="FFFFC7CE"/>
                </patternFill>
              </fill>
            </x14:dxf>
          </x14:cfRule>
          <x14:cfRule type="notContainsText" priority="22" operator="notContains" id="{D0C76B63-4682-DC4A-88CF-187323442980}">
            <xm:f>ISERROR(SEARCH("Value Missing",D117))</xm:f>
            <xm:f>"Value Missing"</xm:f>
            <x14:dxf>
              <font>
                <color rgb="FF006100"/>
              </font>
              <fill>
                <patternFill>
                  <bgColor rgb="FFC6EFCE"/>
                </patternFill>
              </fill>
            </x14:dxf>
          </x14:cfRule>
          <xm:sqref>D117:D119</xm:sqref>
        </x14:conditionalFormatting>
        <x14:conditionalFormatting xmlns:xm="http://schemas.microsoft.com/office/excel/2006/main">
          <x14:cfRule type="containsText" priority="37" operator="containsText" id="{C988B9C9-6D05-4444-8F68-53211B89E416}">
            <xm:f>NOT(ISERROR(SEARCH("Value Missing",D124)))</xm:f>
            <xm:f>"Value Missing"</xm:f>
            <x14:dxf>
              <font>
                <color rgb="FF9C0006"/>
              </font>
              <fill>
                <patternFill>
                  <bgColor rgb="FFFFC7CE"/>
                </patternFill>
              </fill>
            </x14:dxf>
          </x14:cfRule>
          <x14:cfRule type="notContainsText" priority="36" operator="notContains" id="{E7398E4A-D330-BB49-8C28-58CC3B8BCFC2}">
            <xm:f>ISERROR(SEARCH("Value Missing",D124))</xm:f>
            <xm:f>"Value Missing"</xm:f>
            <x14:dxf>
              <font>
                <color rgb="FF006100"/>
              </font>
              <fill>
                <patternFill>
                  <bgColor rgb="FFC6EFCE"/>
                </patternFill>
              </fill>
            </x14:dxf>
          </x14:cfRule>
          <xm:sqref>D124:D126</xm:sqref>
        </x14:conditionalFormatting>
        <x14:conditionalFormatting xmlns:xm="http://schemas.microsoft.com/office/excel/2006/main">
          <x14:cfRule type="containsText" priority="20" operator="containsText" id="{6AE3A89A-DFA3-EA4F-AD92-5F5BCF87CEBC}">
            <xm:f>NOT(ISERROR(SEARCH("Value Missing",D128)))</xm:f>
            <xm:f>"Value Missing"</xm:f>
            <x14:dxf>
              <font>
                <color rgb="FF9C0006"/>
              </font>
              <fill>
                <patternFill>
                  <bgColor rgb="FFFFC7CE"/>
                </patternFill>
              </fill>
            </x14:dxf>
          </x14:cfRule>
          <x14:cfRule type="notContainsText" priority="19" operator="notContains" id="{CF922040-6D6D-AC41-AE9E-77ADDE72A60C}">
            <xm:f>ISERROR(SEARCH("Value Missing",D128))</xm:f>
            <xm:f>"Value Missing"</xm:f>
            <x14:dxf>
              <font>
                <color rgb="FF006100"/>
              </font>
              <fill>
                <patternFill>
                  <bgColor rgb="FFC6EFCE"/>
                </patternFill>
              </fill>
            </x14:dxf>
          </x14:cfRule>
          <xm:sqref>D128:D130</xm:sqref>
        </x14:conditionalFormatting>
        <x14:conditionalFormatting xmlns:xm="http://schemas.microsoft.com/office/excel/2006/main">
          <x14:cfRule type="containsText" priority="16" operator="containsText" id="{74559CC2-0B81-AA4E-A0EB-256BECD47089}">
            <xm:f>NOT(ISERROR(SEARCH("Value Missing",D135)))</xm:f>
            <xm:f>"Value Missing"</xm:f>
            <x14:dxf>
              <font>
                <color rgb="FF9C0006"/>
              </font>
              <fill>
                <patternFill>
                  <bgColor rgb="FFFFC7CE"/>
                </patternFill>
              </fill>
            </x14:dxf>
          </x14:cfRule>
          <x14:cfRule type="notContainsText" priority="15" operator="notContains" id="{ED16E08D-1474-1745-A052-0CB21BBF19C8}">
            <xm:f>ISERROR(SEARCH("Value Missing",D135))</xm:f>
            <xm:f>"Value Missing"</xm:f>
            <x14:dxf>
              <font>
                <color rgb="FF006100"/>
              </font>
              <fill>
                <patternFill>
                  <bgColor rgb="FFC6EFCE"/>
                </patternFill>
              </fill>
            </x14:dxf>
          </x14:cfRule>
          <xm:sqref>D135:D136</xm:sqref>
        </x14:conditionalFormatting>
        <x14:conditionalFormatting xmlns:xm="http://schemas.microsoft.com/office/excel/2006/main">
          <x14:cfRule type="containsText" priority="14" operator="containsText" id="{AE5F4FB4-5430-D749-93AA-3AEBE442F292}">
            <xm:f>NOT(ISERROR(SEARCH("Value Missing",D138)))</xm:f>
            <xm:f>"Value Missing"</xm:f>
            <x14:dxf>
              <font>
                <color rgb="FF9C0006"/>
              </font>
              <fill>
                <patternFill>
                  <bgColor rgb="FFFFC7CE"/>
                </patternFill>
              </fill>
            </x14:dxf>
          </x14:cfRule>
          <x14:cfRule type="notContainsText" priority="13" operator="notContains" id="{C2317716-495A-E845-B597-FEA21B17A79E}">
            <xm:f>ISERROR(SEARCH("Value Missing",D138))</xm:f>
            <xm:f>"Value Missing"</xm:f>
            <x14:dxf>
              <font>
                <color rgb="FF006100"/>
              </font>
              <fill>
                <patternFill>
                  <bgColor rgb="FFC6EFCE"/>
                </patternFill>
              </fill>
            </x14:dxf>
          </x14:cfRule>
          <xm:sqref>D138:D143</xm:sqref>
        </x14:conditionalFormatting>
        <x14:conditionalFormatting xmlns:xm="http://schemas.microsoft.com/office/excel/2006/main">
          <x14:cfRule type="containsText" priority="12" operator="containsText" id="{BA749514-FE7F-4849-BE59-AB1F0C47891F}">
            <xm:f>NOT(ISERROR(SEARCH("Value Missing",D147)))</xm:f>
            <xm:f>"Value Missing"</xm:f>
            <x14:dxf>
              <font>
                <color rgb="FF9C0006"/>
              </font>
              <fill>
                <patternFill>
                  <bgColor rgb="FFFFC7CE"/>
                </patternFill>
              </fill>
            </x14:dxf>
          </x14:cfRule>
          <x14:cfRule type="notContainsText" priority="11" operator="notContains" id="{14C7DB59-A70D-9945-AD12-76FE0698CB49}">
            <xm:f>ISERROR(SEARCH("Value Missing",D147))</xm:f>
            <xm:f>"Value Missing"</xm:f>
            <x14:dxf>
              <font>
                <color rgb="FF006100"/>
              </font>
              <fill>
                <patternFill>
                  <bgColor rgb="FFC6EFCE"/>
                </patternFill>
              </fill>
            </x14:dxf>
          </x14:cfRule>
          <xm:sqref>D147</xm:sqref>
        </x14:conditionalFormatting>
        <x14:conditionalFormatting xmlns:xm="http://schemas.microsoft.com/office/excel/2006/main">
          <x14:cfRule type="containsText" priority="10" operator="containsText" id="{DC3F095A-6A38-6449-99C8-9483A0095829}">
            <xm:f>NOT(ISERROR(SEARCH("Value Missing",D151)))</xm:f>
            <xm:f>"Value Missing"</xm:f>
            <x14:dxf>
              <font>
                <color rgb="FF9C0006"/>
              </font>
              <fill>
                <patternFill>
                  <bgColor rgb="FFFFC7CE"/>
                </patternFill>
              </fill>
            </x14:dxf>
          </x14:cfRule>
          <x14:cfRule type="notContainsText" priority="9" operator="notContains" id="{AB0FE995-ED4E-0949-AAFA-61FA28BEC5F7}">
            <xm:f>ISERROR(SEARCH("Value Missing",D151))</xm:f>
            <xm:f>"Value Missing"</xm:f>
            <x14:dxf>
              <font>
                <color rgb="FF006100"/>
              </font>
              <fill>
                <patternFill>
                  <bgColor rgb="FFC6EFCE"/>
                </patternFill>
              </fill>
            </x14:dxf>
          </x14:cfRule>
          <xm:sqref>D151</xm:sqref>
        </x14:conditionalFormatting>
        <x14:conditionalFormatting xmlns:xm="http://schemas.microsoft.com/office/excel/2006/main">
          <x14:cfRule type="notContainsText" priority="67" operator="notContains" id="{5629695C-E8F6-A247-963A-090C2C7B7037}">
            <xm:f>ISERROR(SEARCH("Value Missing",D155))</xm:f>
            <xm:f>"Value Missing"</xm:f>
            <x14:dxf>
              <font>
                <color rgb="FF006100"/>
              </font>
              <fill>
                <patternFill>
                  <bgColor rgb="FFC6EFCE"/>
                </patternFill>
              </fill>
            </x14:dxf>
          </x14:cfRule>
          <x14:cfRule type="containsText" priority="68" operator="containsText" id="{CB3EAA73-0457-BD44-B236-AEC7D493E445}">
            <xm:f>NOT(ISERROR(SEARCH("Value Missing",D155)))</xm:f>
            <xm:f>"Value Missing"</xm:f>
            <x14:dxf>
              <font>
                <color rgb="FF9C0006"/>
              </font>
              <fill>
                <patternFill>
                  <bgColor rgb="FFFFC7CE"/>
                </patternFill>
              </fill>
            </x14:dxf>
          </x14:cfRule>
          <xm:sqref>D155:D159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3CCE0-30AA-FF45-915D-04ED89BEAF8D}">
  <sheetPr codeName="Sheet26">
    <tabColor theme="4" tint="0.39997558519241921"/>
  </sheetPr>
  <dimension ref="A1:S903"/>
  <sheetViews>
    <sheetView workbookViewId="0">
      <pane ySplit="6" topLeftCell="A7" activePane="bottomLeft" state="frozen"/>
      <selection pane="bottomLeft"/>
    </sheetView>
  </sheetViews>
  <sheetFormatPr baseColWidth="10" defaultColWidth="11" defaultRowHeight="16"/>
  <cols>
    <col min="1" max="1" width="2.83203125" style="103" customWidth="1"/>
    <col min="2" max="2" width="63.83203125" customWidth="1"/>
    <col min="3" max="3" width="78.83203125" customWidth="1"/>
    <col min="4" max="4" width="84.83203125" customWidth="1"/>
    <col min="5" max="5" width="60.83203125" customWidth="1"/>
    <col min="6" max="19" width="11" style="103"/>
  </cols>
  <sheetData>
    <row r="1" spans="1:6" s="103" customFormat="1">
      <c r="A1" s="120"/>
      <c r="B1" s="121"/>
      <c r="C1" s="121"/>
      <c r="D1" s="121"/>
      <c r="E1" s="121"/>
      <c r="F1" s="121"/>
    </row>
    <row r="2" spans="1:6" ht="54" customHeight="1">
      <c r="A2" s="121"/>
      <c r="B2" s="565"/>
      <c r="C2" s="565"/>
      <c r="D2" s="566" t="s">
        <v>3532</v>
      </c>
      <c r="E2" s="566"/>
      <c r="F2" s="121"/>
    </row>
    <row r="3" spans="1:6">
      <c r="A3" s="121"/>
      <c r="B3" s="567" t="s">
        <v>3533</v>
      </c>
      <c r="C3" s="567"/>
      <c r="D3" s="567"/>
      <c r="E3" s="567"/>
      <c r="F3" s="121"/>
    </row>
    <row r="4" spans="1:6">
      <c r="A4" s="122"/>
      <c r="B4" s="122"/>
      <c r="C4" s="122"/>
      <c r="D4" s="122"/>
      <c r="E4" s="122"/>
      <c r="F4" s="122"/>
    </row>
    <row r="5" spans="1:6" ht="34" customHeight="1">
      <c r="A5" s="122"/>
      <c r="B5" s="179" t="s">
        <v>2273</v>
      </c>
      <c r="C5" s="178" t="s">
        <v>32</v>
      </c>
      <c r="D5" s="262" t="s">
        <v>2275</v>
      </c>
      <c r="E5" s="127"/>
      <c r="F5" s="127"/>
    </row>
    <row r="6" spans="1:6" ht="20" customHeight="1">
      <c r="A6" s="121"/>
      <c r="B6" s="121"/>
      <c r="C6" s="121"/>
      <c r="D6" s="123"/>
      <c r="E6" s="124"/>
      <c r="F6" s="124"/>
    </row>
    <row r="7" spans="1:6">
      <c r="A7" s="122"/>
      <c r="B7" s="122"/>
      <c r="C7" s="122"/>
      <c r="D7" s="122"/>
      <c r="E7" s="122"/>
      <c r="F7" s="122"/>
    </row>
    <row r="8" spans="1:6" ht="34" customHeight="1">
      <c r="A8" s="122"/>
      <c r="B8" s="564" t="s">
        <v>32</v>
      </c>
      <c r="C8" s="564"/>
      <c r="D8" s="564"/>
      <c r="E8" s="564"/>
      <c r="F8" s="122"/>
    </row>
    <row r="9" spans="1:6" s="103" customFormat="1">
      <c r="A9" s="122"/>
      <c r="B9" s="122"/>
      <c r="C9" s="122"/>
      <c r="D9" s="122"/>
      <c r="E9" s="122"/>
      <c r="F9" s="122"/>
    </row>
    <row r="10" spans="1:6" s="103" customFormat="1" ht="34" customHeight="1">
      <c r="A10" s="125"/>
      <c r="B10" s="557" t="s">
        <v>4327</v>
      </c>
      <c r="C10" s="557"/>
      <c r="D10" s="557"/>
      <c r="E10" s="557"/>
    </row>
    <row r="11" spans="1:6" s="103" customFormat="1" ht="20" customHeight="1">
      <c r="A11" s="125"/>
      <c r="B11" s="112" t="s">
        <v>735</v>
      </c>
      <c r="C11" s="112" t="s">
        <v>554</v>
      </c>
      <c r="D11" s="113" t="s">
        <v>555</v>
      </c>
      <c r="E11" s="112" t="s">
        <v>222</v>
      </c>
    </row>
    <row r="12" spans="1:6" s="103" customFormat="1" ht="20" customHeight="1">
      <c r="A12" s="125"/>
      <c r="B12" s="114" t="s">
        <v>2286</v>
      </c>
      <c r="C12" s="115" t="str">
        <f>CONCATENATE(sample_mgmt_vc_hostname,".",sample_child_dns_zone)</f>
        <v>sfo-m01-vc01.sfo.rainpole.io</v>
      </c>
      <c r="D12" s="12" t="str">
        <f>mgmt_vc_fqdn</f>
        <v>Value Missing.Value Missing</v>
      </c>
      <c r="E12" s="116"/>
    </row>
    <row r="13" spans="1:6" s="103" customFormat="1" ht="20" customHeight="1">
      <c r="A13" s="125"/>
      <c r="B13" s="114" t="s">
        <v>841</v>
      </c>
      <c r="C13" s="115" t="str">
        <f>sample_mgmt_datacenter</f>
        <v>sfo-m01-dc01</v>
      </c>
      <c r="D13" s="12" t="str">
        <f>mgmt_datacenter</f>
        <v>Value Missing</v>
      </c>
      <c r="E13" s="116"/>
    </row>
    <row r="14" spans="1:6" s="103" customFormat="1" ht="20" customHeight="1">
      <c r="A14" s="125"/>
      <c r="B14" s="118" t="s">
        <v>4328</v>
      </c>
      <c r="C14" s="115" t="str" cm="1">
        <f t="array" ref="C14">sample_cbr_vm_folder</f>
        <v>sfo-m01-fd-cbr</v>
      </c>
      <c r="D14" s="12" t="str" cm="1">
        <f t="array" ref="D14">cbr_vm_folder</f>
        <v>Value Missing</v>
      </c>
      <c r="E14" s="116"/>
    </row>
    <row r="15" spans="1:6" s="103" customFormat="1" ht="20" customHeight="1"/>
    <row r="16" spans="1:6" s="103" customFormat="1" ht="34" customHeight="1">
      <c r="B16" s="557" t="s">
        <v>3537</v>
      </c>
      <c r="C16" s="557"/>
      <c r="D16" s="557"/>
      <c r="E16" s="557"/>
    </row>
    <row r="17" spans="2:5" s="103" customFormat="1" ht="20" customHeight="1">
      <c r="B17" s="112" t="s">
        <v>735</v>
      </c>
      <c r="C17" s="112" t="s">
        <v>554</v>
      </c>
      <c r="D17" s="113" t="s">
        <v>555</v>
      </c>
      <c r="E17" s="112" t="s">
        <v>222</v>
      </c>
    </row>
    <row r="18" spans="2:5" s="103" customFormat="1" ht="20" customHeight="1">
      <c r="B18" s="114" t="s">
        <v>2964</v>
      </c>
      <c r="C18" s="115" t="s">
        <v>2965</v>
      </c>
      <c r="D18" s="12" t="str">
        <f>C18</f>
        <v>console.cloud.vmware.com</v>
      </c>
      <c r="E18" s="116"/>
    </row>
    <row r="19" spans="2:5" s="103" customFormat="1" ht="20" customHeight="1">
      <c r="B19" s="114" t="s">
        <v>2977</v>
      </c>
      <c r="C19" s="115" t="str" cm="1">
        <f t="array" ref="C19">sample_cbr_recovery_sddc_name</f>
        <v>aws-recovery-sddc</v>
      </c>
      <c r="D19" s="12" t="str">
        <f>cbr_recovery_sddc_name</f>
        <v>Value Missing</v>
      </c>
      <c r="E19" s="116"/>
    </row>
    <row r="20" spans="2:5" s="103" customFormat="1" ht="20" customHeight="1">
      <c r="B20" s="114" t="s">
        <v>1091</v>
      </c>
      <c r="C20" s="115" t="str" cm="1">
        <f t="array" ref="C20">sample_cbr_recovery_region</f>
        <v>Europe (Ireland)</v>
      </c>
      <c r="D20" s="12" t="str">
        <f>cbr_recovery_region</f>
        <v>Value Missing</v>
      </c>
      <c r="E20" s="116"/>
    </row>
    <row r="21" spans="2:5" s="103" customFormat="1" ht="20" customHeight="1">
      <c r="B21" s="114" t="s">
        <v>1093</v>
      </c>
      <c r="C21" s="115" t="str" cm="1">
        <f t="array" ref="C21">sample_cbr_recovery_host_type</f>
        <v>I4i (Local SSD)</v>
      </c>
      <c r="D21" s="12" t="str">
        <f>cbr_recovery_host_type</f>
        <v>Value Missing</v>
      </c>
      <c r="E21" s="116"/>
    </row>
    <row r="22" spans="2:5" s="103" customFormat="1" ht="20" customHeight="1">
      <c r="B22" s="114" t="s">
        <v>1095</v>
      </c>
      <c r="C22" s="115" cm="1">
        <f t="array" ref="C22">sample_cbr_recovery_host_count</f>
        <v>2</v>
      </c>
      <c r="D22" s="12" t="str">
        <f>cbr_recovery_host_count</f>
        <v>Value Missing</v>
      </c>
      <c r="E22" s="116"/>
    </row>
    <row r="23" spans="2:5" s="103" customFormat="1" ht="20" customHeight="1">
      <c r="B23" s="114" t="s">
        <v>1096</v>
      </c>
      <c r="C23" s="115" t="str" cm="1">
        <f t="array" ref="C23">sample_cbr_recovery_vpc</f>
        <v>&lt;generated&gt;</v>
      </c>
      <c r="D23" s="12" t="str">
        <f>cbr_recovery_vpc</f>
        <v>Value Missing</v>
      </c>
      <c r="E23" s="116"/>
    </row>
    <row r="24" spans="2:5" s="103" customFormat="1" ht="20" customHeight="1">
      <c r="B24" s="114" t="s">
        <v>1098</v>
      </c>
      <c r="C24" s="115" t="str" cm="1">
        <f t="array" ref="C24">sample_cbr_recovery_subnet</f>
        <v>&lt;generated&gt;</v>
      </c>
      <c r="D24" s="12" t="str" cm="1">
        <f t="array" ref="D24">cbr_recovery_subnet</f>
        <v>Value Missing</v>
      </c>
      <c r="E24" s="116"/>
    </row>
    <row r="25" spans="2:5" s="103" customFormat="1" ht="20" customHeight="1">
      <c r="B25" s="114" t="s">
        <v>1099</v>
      </c>
      <c r="C25" s="115" t="str" cm="1">
        <f t="array" ref="C25">sample_cbr_recovery_management_subnet</f>
        <v>10.2.0.0/16</v>
      </c>
      <c r="D25" s="12" t="str">
        <f>cbr_recovery_management_subnet</f>
        <v>Value Missing</v>
      </c>
      <c r="E25" s="116"/>
    </row>
    <row r="26" spans="2:5" s="103" customFormat="1" ht="20" customHeight="1"/>
    <row r="27" spans="2:5" s="103" customFormat="1" ht="34" customHeight="1">
      <c r="B27" s="557" t="s">
        <v>3538</v>
      </c>
      <c r="C27" s="557"/>
      <c r="D27" s="557"/>
      <c r="E27" s="557"/>
    </row>
    <row r="28" spans="2:5" s="103" customFormat="1" ht="20" customHeight="1">
      <c r="B28" s="112" t="s">
        <v>735</v>
      </c>
      <c r="C28" s="112" t="s">
        <v>554</v>
      </c>
      <c r="D28" s="113" t="s">
        <v>555</v>
      </c>
      <c r="E28" s="112" t="s">
        <v>222</v>
      </c>
    </row>
    <row r="29" spans="2:5" s="103" customFormat="1" ht="20" customHeight="1">
      <c r="B29" s="114" t="s">
        <v>2964</v>
      </c>
      <c r="C29" s="115" t="s">
        <v>2965</v>
      </c>
      <c r="D29" s="12" t="s">
        <v>2965</v>
      </c>
      <c r="E29" s="116"/>
    </row>
    <row r="30" spans="2:5" s="103" customFormat="1" ht="20" customHeight="1">
      <c r="B30" s="114" t="s">
        <v>2978</v>
      </c>
      <c r="C30" s="115" t="str" cm="1">
        <f t="array" ref="C30">sample_cbr_firewall_rule_vcenter</f>
        <v>vCenter Inbound Rule</v>
      </c>
      <c r="D30" s="12" t="str" cm="1">
        <f t="array" ref="D30">cbr_firewall_rule_vcenter</f>
        <v>Value Missing</v>
      </c>
      <c r="E30" s="116"/>
    </row>
    <row r="31" spans="2:5" s="103" customFormat="1" ht="20" customHeight="1">
      <c r="B31" s="114" t="s">
        <v>2979</v>
      </c>
      <c r="C31" s="115" t="str" cm="1">
        <f t="array" ref="C31">sample_cbr_firewall_group</f>
        <v>External-Access</v>
      </c>
      <c r="D31" s="12" t="str" cm="1">
        <f t="array" ref="D31">cbr_firewall_group</f>
        <v>Value Missing</v>
      </c>
      <c r="E31" s="116"/>
    </row>
    <row r="32" spans="2:5" s="103" customFormat="1" ht="20" customHeight="1">
      <c r="B32" s="114" t="s">
        <v>2980</v>
      </c>
      <c r="C32" s="115" t="s">
        <v>1802</v>
      </c>
      <c r="D32" s="12" t="str">
        <f>C32</f>
        <v>vCenter</v>
      </c>
      <c r="E32" s="116"/>
    </row>
    <row r="33" spans="2:5" s="103" customFormat="1" ht="20" customHeight="1">
      <c r="B33" s="114" t="s">
        <v>2981</v>
      </c>
      <c r="C33" s="115" t="s">
        <v>2982</v>
      </c>
      <c r="D33" s="12" t="str">
        <f>C33</f>
        <v>HTTPS (TCP 443)</v>
      </c>
      <c r="E33" s="116"/>
    </row>
    <row r="34" spans="2:5" s="103" customFormat="1" ht="20" customHeight="1">
      <c r="B34" s="114" t="s">
        <v>2981</v>
      </c>
      <c r="C34" s="115" t="s">
        <v>2983</v>
      </c>
      <c r="D34" s="12" t="str">
        <f>C34</f>
        <v>SSO (TCP 7444)</v>
      </c>
      <c r="E34" s="116"/>
    </row>
    <row r="35" spans="2:5" s="103" customFormat="1" ht="20" customHeight="1">
      <c r="B35" s="114" t="s">
        <v>2984</v>
      </c>
      <c r="C35" s="115" t="str" cm="1">
        <f t="array" ref="C35">sample_cbr_firewall_ip_addresses</f>
        <v>69.34.34.11</v>
      </c>
      <c r="D35" s="12" t="str" cm="1">
        <f t="array" ref="D35">cbr_firewall_ip_addresses</f>
        <v>Value Missing</v>
      </c>
      <c r="E35" s="116"/>
    </row>
    <row r="36" spans="2:5" s="103" customFormat="1" ht="20" customHeight="1"/>
    <row r="37" spans="2:5" s="103" customFormat="1" ht="34" customHeight="1">
      <c r="B37" s="557" t="s">
        <v>3539</v>
      </c>
      <c r="C37" s="557"/>
      <c r="D37" s="557"/>
      <c r="E37" s="557"/>
    </row>
    <row r="38" spans="2:5" s="103" customFormat="1" ht="20" customHeight="1">
      <c r="B38" s="112" t="s">
        <v>735</v>
      </c>
      <c r="C38" s="112" t="s">
        <v>554</v>
      </c>
      <c r="D38" s="113" t="s">
        <v>555</v>
      </c>
      <c r="E38" s="112" t="s">
        <v>222</v>
      </c>
    </row>
    <row r="39" spans="2:5" s="103" customFormat="1" ht="20" customHeight="1">
      <c r="B39" s="114" t="s">
        <v>2964</v>
      </c>
      <c r="C39" s="115" t="s">
        <v>2965</v>
      </c>
      <c r="D39" s="12" t="s">
        <v>2965</v>
      </c>
      <c r="E39" s="116"/>
    </row>
    <row r="40" spans="2:5" s="103" customFormat="1" ht="20" customHeight="1">
      <c r="B40" s="114" t="s">
        <v>1091</v>
      </c>
      <c r="C40" s="115" t="str">
        <f>sample_cbr_recovery_region</f>
        <v>Europe (Ireland)</v>
      </c>
      <c r="D40" s="12" t="str">
        <f>cbr_recovery_region</f>
        <v>Value Missing</v>
      </c>
      <c r="E40" s="116"/>
    </row>
    <row r="41" spans="2:5" s="103" customFormat="1" ht="20" customHeight="1"/>
    <row r="42" spans="2:5" s="103" customFormat="1" ht="34" customHeight="1">
      <c r="B42" s="501" t="s">
        <v>3540</v>
      </c>
      <c r="C42" s="502"/>
      <c r="D42" s="502"/>
      <c r="E42" s="503"/>
    </row>
    <row r="43" spans="2:5" s="103" customFormat="1" ht="20" customHeight="1">
      <c r="B43" s="112" t="s">
        <v>735</v>
      </c>
      <c r="C43" s="112" t="s">
        <v>554</v>
      </c>
      <c r="D43" s="113" t="s">
        <v>555</v>
      </c>
      <c r="E43" s="112" t="s">
        <v>222</v>
      </c>
    </row>
    <row r="44" spans="2:5" s="103" customFormat="1" ht="20" customHeight="1">
      <c r="B44" s="114" t="s">
        <v>2964</v>
      </c>
      <c r="C44" s="115" t="s">
        <v>2965</v>
      </c>
      <c r="D44" s="12" t="s">
        <v>2965</v>
      </c>
      <c r="E44" s="116"/>
    </row>
    <row r="45" spans="2:5" s="103" customFormat="1" ht="20" customHeight="1">
      <c r="B45" s="114" t="s">
        <v>3021</v>
      </c>
      <c r="C45" s="115" t="str">
        <f>sample_cbr_recovery_region</f>
        <v>Europe (Ireland)</v>
      </c>
      <c r="D45" s="12" t="str">
        <f>cbr_recovery_region</f>
        <v>Value Missing</v>
      </c>
      <c r="E45" s="116"/>
    </row>
    <row r="46" spans="2:5" s="103" customFormat="1" ht="20" customHeight="1">
      <c r="B46" s="114" t="s">
        <v>3022</v>
      </c>
      <c r="C46" s="115" t="str" cm="1">
        <f t="array" ref="C46">sample_cbr_vcdr_cloud_file_system</f>
        <v>usw2-az2-cfs01</v>
      </c>
      <c r="D46" s="12" t="str" cm="1">
        <f t="array" ref="D46">cbr_vcdr_cloud_file_system</f>
        <v>Value Missing</v>
      </c>
      <c r="E46" s="116"/>
    </row>
    <row r="47" spans="2:5" s="103" customFormat="1" ht="20" customHeight="1"/>
    <row r="48" spans="2:5" s="103" customFormat="1" ht="34" customHeight="1">
      <c r="B48" s="557" t="s">
        <v>3541</v>
      </c>
      <c r="C48" s="557"/>
      <c r="D48" s="557"/>
      <c r="E48" s="557"/>
    </row>
    <row r="49" spans="2:5" s="103" customFormat="1" ht="20" customHeight="1">
      <c r="B49" s="112" t="s">
        <v>735</v>
      </c>
      <c r="C49" s="112" t="s">
        <v>554</v>
      </c>
      <c r="D49" s="113" t="s">
        <v>555</v>
      </c>
      <c r="E49" s="112" t="s">
        <v>222</v>
      </c>
    </row>
    <row r="50" spans="2:5" s="103" customFormat="1" ht="20" customHeight="1">
      <c r="B50" s="114" t="s">
        <v>2964</v>
      </c>
      <c r="C50" s="115" t="s">
        <v>2965</v>
      </c>
      <c r="D50" s="12" t="s">
        <v>2965</v>
      </c>
      <c r="E50" s="116"/>
    </row>
    <row r="51" spans="2:5" s="103" customFormat="1" ht="20" customHeight="1">
      <c r="B51" s="114" t="s">
        <v>3023</v>
      </c>
      <c r="C51" s="115" t="str">
        <f>sample_cbr_vcdr_cloud_file_system</f>
        <v>usw2-az2-cfs01</v>
      </c>
      <c r="D51" s="12" t="str">
        <f>cbr_vcdr_cloud_file_system</f>
        <v>Value Missing</v>
      </c>
      <c r="E51" s="116"/>
    </row>
    <row r="52" spans="2:5" s="103" customFormat="1" ht="20" customHeight="1">
      <c r="B52" s="114" t="s">
        <v>1242</v>
      </c>
      <c r="C52" s="115" t="str" cm="1">
        <f t="array" ref="C52">sample_cbr_vcdr_timezone</f>
        <v>UTC</v>
      </c>
      <c r="D52" s="12" t="str" cm="1">
        <f t="array" ref="D52">cbr_vcdr_timezone</f>
        <v>Value Missing</v>
      </c>
      <c r="E52" s="116"/>
    </row>
    <row r="53" spans="2:5" s="103" customFormat="1" ht="20" customHeight="1">
      <c r="B53" s="114" t="s">
        <v>3024</v>
      </c>
      <c r="C53" s="115" t="str" cm="1">
        <f t="array" ref="C53">sample_cbr_vcdr_site_name</f>
        <v>sfo-vcf01-instance</v>
      </c>
      <c r="D53" s="12" t="str" cm="1">
        <f t="array" ref="D53">cbr_vcdr_site_name</f>
        <v>Value Missing</v>
      </c>
      <c r="E53" s="116"/>
    </row>
    <row r="54" spans="2:5" s="103" customFormat="1" ht="20" customHeight="1"/>
    <row r="55" spans="2:5" s="103" customFormat="1" ht="34" customHeight="1">
      <c r="B55" s="557" t="s">
        <v>4329</v>
      </c>
      <c r="C55" s="557"/>
      <c r="D55" s="557"/>
      <c r="E55" s="557"/>
    </row>
    <row r="56" spans="2:5" s="103" customFormat="1" ht="20" customHeight="1">
      <c r="B56" s="112" t="s">
        <v>735</v>
      </c>
      <c r="C56" s="112" t="s">
        <v>554</v>
      </c>
      <c r="D56" s="113" t="s">
        <v>555</v>
      </c>
      <c r="E56" s="112" t="s">
        <v>222</v>
      </c>
    </row>
    <row r="57" spans="2:5" s="103" customFormat="1" ht="20" customHeight="1">
      <c r="B57" s="114" t="s">
        <v>2964</v>
      </c>
      <c r="C57" s="115" t="s">
        <v>2965</v>
      </c>
      <c r="D57" s="12" t="s">
        <v>2965</v>
      </c>
      <c r="E57" s="116"/>
    </row>
    <row r="58" spans="2:5" s="103" customFormat="1" ht="20" customHeight="1">
      <c r="B58" s="114" t="s">
        <v>3025</v>
      </c>
      <c r="C58" s="115" t="str">
        <f>sample_cbr_vcdr_site_name</f>
        <v>sfo-vcf01-instance</v>
      </c>
      <c r="D58" s="12" t="str">
        <f>cbr_vcdr_site_name</f>
        <v>Value Missing</v>
      </c>
      <c r="E58" s="116"/>
    </row>
    <row r="59" spans="2:5" s="103" customFormat="1" ht="20" customHeight="1">
      <c r="B59" s="114" t="s">
        <v>4321</v>
      </c>
      <c r="C59" s="115" t="str" cm="1">
        <f t="array" ref="C59">sample_cbr_vcdr_ova</f>
        <v>https://vcdr-34-212-247-60.app.vcdr.vmware.com:443/vmware-cloud-connector.ova</v>
      </c>
      <c r="D59" s="12" t="str" cm="1">
        <f t="array" ref="D59">cbr_vcdr_ova</f>
        <v>Value Missing</v>
      </c>
      <c r="E59" s="116"/>
    </row>
    <row r="60" spans="2:5" s="103" customFormat="1" ht="20" customHeight="1">
      <c r="B60" s="114" t="s">
        <v>2286</v>
      </c>
      <c r="C60" s="115" t="str">
        <f>sample_mgmt_vc_hostname&amp;"."&amp;sample_child_dns_zone</f>
        <v>sfo-m01-vc01.sfo.rainpole.io</v>
      </c>
      <c r="D60" s="12" t="str">
        <f>mgmt_vc_fqdn</f>
        <v>Value Missing.Value Missing</v>
      </c>
      <c r="E60" s="116"/>
    </row>
    <row r="61" spans="2:5" s="103" customFormat="1" ht="20" customHeight="1">
      <c r="B61" s="114" t="s">
        <v>2296</v>
      </c>
      <c r="C61" s="115" t="str">
        <f>sample_cbr_vm_folder</f>
        <v>sfo-m01-fd-cbr</v>
      </c>
      <c r="D61" s="12" t="str">
        <f>cbr_vm_folder</f>
        <v>Value Missing</v>
      </c>
      <c r="E61" s="116"/>
    </row>
    <row r="62" spans="2:5" s="103" customFormat="1" ht="20" customHeight="1">
      <c r="B62" s="114" t="s">
        <v>2297</v>
      </c>
      <c r="C62" s="115" t="str" cm="1">
        <f t="array" ref="C62">sample_cbr_vcdr_cdp1_hostname</f>
        <v>sfo-cbr-cdp01a</v>
      </c>
      <c r="D62" s="12" t="str" cm="1">
        <f t="array" ref="D62">cbr_vcdr_cdp1_hostname</f>
        <v>Value Missing</v>
      </c>
      <c r="E62" s="116"/>
    </row>
    <row r="63" spans="2:5" s="103" customFormat="1" ht="20" customHeight="1">
      <c r="B63" s="114" t="s">
        <v>2298</v>
      </c>
      <c r="C63" s="115" t="str">
        <f>sample_mgmt_cl01_cluster</f>
        <v>sfo-m01-cl01</v>
      </c>
      <c r="D63" s="12" t="str">
        <f>mgmt_cl01_cluster</f>
        <v>Value Missing</v>
      </c>
      <c r="E63" s="116"/>
    </row>
    <row r="64" spans="2:5" s="103" customFormat="1" ht="20" customHeight="1">
      <c r="B64" s="114" t="s">
        <v>2299</v>
      </c>
      <c r="C64" s="115" t="str">
        <f>sample_mgmt_cl01_vsan_datastore</f>
        <v>sfo-m01-cl01-ds-vsan01</v>
      </c>
      <c r="D64" s="12" t="str">
        <f>mgmt_cl01_vsan_datastore</f>
        <v>Value Missing</v>
      </c>
      <c r="E64" s="116"/>
    </row>
    <row r="65" spans="1:5" s="103" customFormat="1" ht="20" customHeight="1">
      <c r="B65" s="114" t="s">
        <v>1798</v>
      </c>
      <c r="C65" s="115" t="str">
        <f>sample_mgmt_cl01_az1_mgmt_pg</f>
        <v>sfo-m01-cl01-vds01-pg-esxi-mgmt</v>
      </c>
      <c r="D65" s="12" t="str">
        <f>mgmt_cl01_az1_mgmt_pg</f>
        <v>Value Missing</v>
      </c>
      <c r="E65" s="116"/>
    </row>
    <row r="66" spans="1:5" s="103" customFormat="1" ht="20" customHeight="1">
      <c r="B66" s="114" t="s">
        <v>3026</v>
      </c>
      <c r="C66" s="115" t="s">
        <v>746</v>
      </c>
      <c r="D66" s="12" t="str">
        <f>C66</f>
        <v>admin</v>
      </c>
      <c r="E66" s="116"/>
    </row>
    <row r="67" spans="1:5" s="103" customFormat="1" ht="20" customHeight="1">
      <c r="B67" s="114" t="s">
        <v>3027</v>
      </c>
      <c r="C67" s="115" t="s">
        <v>3028</v>
      </c>
      <c r="D67" s="12" t="str">
        <f>C67</f>
        <v>vmware#1</v>
      </c>
      <c r="E67" s="116"/>
    </row>
    <row r="68" spans="1:5" s="103" customFormat="1" ht="20" customHeight="1">
      <c r="B68" s="114" t="s">
        <v>3513</v>
      </c>
      <c r="C68" s="115" t="s">
        <v>3474</v>
      </c>
      <c r="D68" s="12" t="str">
        <f>C68</f>
        <v>Static</v>
      </c>
      <c r="E68" s="116"/>
    </row>
    <row r="69" spans="1:5" s="103" customFormat="1" ht="20" customHeight="1">
      <c r="B69" s="114" t="s">
        <v>1800</v>
      </c>
      <c r="C69" s="115" t="str" cm="1">
        <f t="array" ref="C69">sample_cbr_vcdr_cdp1_ip</f>
        <v>10.11.10.44</v>
      </c>
      <c r="D69" s="12" t="str" cm="1">
        <f t="array" ref="D69">cbr_vcdr_cdp1_ip</f>
        <v>Value Missing</v>
      </c>
      <c r="E69" s="116"/>
    </row>
    <row r="70" spans="1:5" s="103" customFormat="1" ht="20" customHeight="1">
      <c r="B70" s="114" t="s">
        <v>3029</v>
      </c>
      <c r="C70" s="115" t="str">
        <f>VLOOKUP(INT(RIGHT(sample_mgmt_az1_mgmt_cidr,LEN(sample_mgmt_az1_mgmt_cidr)-FIND("/",sample_mgmt_az1_mgmt_cidr))),table_cidr_to_mask,2,FALSE)</f>
        <v>255.255.255.0</v>
      </c>
      <c r="D70" s="12" t="str">
        <f>mgmt_az1_mgmt_mask</f>
        <v>Value Missing</v>
      </c>
      <c r="E70" s="116"/>
    </row>
    <row r="71" spans="1:5" s="103" customFormat="1" ht="20" customHeight="1">
      <c r="B71" s="114" t="s">
        <v>1774</v>
      </c>
      <c r="C71" s="115" t="str">
        <f>sample_mgmt_az1_mgmt_gateway_ip</f>
        <v>10.11.11.1</v>
      </c>
      <c r="D71" s="12" t="str">
        <f>mgmt_az1_mgmt_gateway_ip</f>
        <v>Value Missing</v>
      </c>
      <c r="E71" s="116"/>
    </row>
    <row r="72" spans="1:5" s="103" customFormat="1" ht="20" customHeight="1">
      <c r="B72" s="114" t="s">
        <v>1690</v>
      </c>
      <c r="C72" s="115" t="str">
        <f>sample_region_dns1_ip&amp;" "&amp;sample_region_dns2_ip</f>
        <v>10.11.10.4 10.11.10.5</v>
      </c>
      <c r="D72" s="12" t="str">
        <f>region_dns1_ip&amp;" "&amp;region_dns2_ip</f>
        <v>Value Missing Value Missing</v>
      </c>
      <c r="E72" s="116"/>
    </row>
    <row r="73" spans="1:5" s="103" customFormat="1" ht="20" customHeight="1">
      <c r="B73" s="114" t="s">
        <v>1131</v>
      </c>
      <c r="C73" s="115" t="str" cm="1">
        <f t="array" ref="C73">sample_cbr_vcdr_orchestrator_fqdn</f>
        <v>vcdr-34-212-247-60.app.vcdr.vmware.com</v>
      </c>
      <c r="D73" s="12" t="str" cm="1">
        <f t="array" ref="D73">cbr_vcdr_orchestrator_fqdn</f>
        <v>Value Missing</v>
      </c>
      <c r="E73" s="116"/>
    </row>
    <row r="74" spans="1:5" s="103" customFormat="1" ht="20" customHeight="1">
      <c r="B74" s="114" t="s">
        <v>1133</v>
      </c>
      <c r="C74" s="115" t="str" cm="1">
        <f t="array" ref="C74">sample_cbr_vcdr_passcode</f>
        <v>&lt;generated&gt;</v>
      </c>
      <c r="D74" s="12" t="str" cm="1">
        <f t="array" ref="D74">cbr_vcdr_passcode</f>
        <v>Value Missing</v>
      </c>
      <c r="E74" s="116"/>
    </row>
    <row r="75" spans="1:5" s="103" customFormat="1" ht="20" customHeight="1">
      <c r="B75" s="114" t="s">
        <v>1134</v>
      </c>
      <c r="C75" s="115" t="str" cm="1">
        <f t="array" ref="C75">sample_cbr_vcdr_label</f>
        <v>sfo-cbr-cdp01</v>
      </c>
      <c r="D75" s="12" t="str" cm="1">
        <f t="array" ref="D75">cbr_vcdr_label</f>
        <v>Value Missing</v>
      </c>
      <c r="E75" s="116"/>
    </row>
    <row r="76" spans="1:5" s="103" customFormat="1" ht="20" customHeight="1"/>
    <row r="77" spans="1:5" ht="34.25" customHeight="1">
      <c r="A77" s="125"/>
      <c r="B77" s="557" t="s">
        <v>3543</v>
      </c>
      <c r="C77" s="557"/>
      <c r="D77" s="557"/>
      <c r="E77" s="557"/>
    </row>
    <row r="78" spans="1:5" ht="20" customHeight="1">
      <c r="A78" s="125"/>
      <c r="B78" s="112" t="s">
        <v>735</v>
      </c>
      <c r="C78" s="112" t="s">
        <v>554</v>
      </c>
      <c r="D78" s="113" t="s">
        <v>555</v>
      </c>
      <c r="E78" s="112" t="s">
        <v>222</v>
      </c>
    </row>
    <row r="79" spans="1:5" ht="20" customHeight="1">
      <c r="A79" s="125"/>
      <c r="B79" s="114" t="s">
        <v>2964</v>
      </c>
      <c r="C79" s="115" t="s">
        <v>2965</v>
      </c>
      <c r="D79" s="12" t="str">
        <f>C79</f>
        <v>console.cloud.vmware.com</v>
      </c>
      <c r="E79" s="116"/>
    </row>
    <row r="80" spans="1:5" ht="20" customHeight="1">
      <c r="A80" s="125"/>
      <c r="B80" s="114" t="s">
        <v>3025</v>
      </c>
      <c r="C80" s="115" t="str">
        <f>sample_cbr_vcdr_site_name</f>
        <v>sfo-vcf01-instance</v>
      </c>
      <c r="D80" s="12" t="str">
        <f>cbr_vcdr_site_name</f>
        <v>Value Missing</v>
      </c>
      <c r="E80" s="116"/>
    </row>
    <row r="81" spans="1:5" ht="20" customHeight="1">
      <c r="A81" s="125"/>
      <c r="B81" s="114" t="s">
        <v>3762</v>
      </c>
      <c r="C81" s="115" t="str">
        <f>sample_wld_vc_ip</f>
        <v>10.11.10.130</v>
      </c>
      <c r="D81" s="12" t="str">
        <f>wld_vc_ip</f>
        <v>Value Missing</v>
      </c>
      <c r="E81" s="116"/>
    </row>
    <row r="82" spans="1:5" ht="20" customHeight="1">
      <c r="A82" s="125"/>
      <c r="B82" s="114" t="s">
        <v>3763</v>
      </c>
      <c r="C82" s="115" t="str">
        <f>sso_default_admin</f>
        <v>administrator@vsphere.local</v>
      </c>
      <c r="D82" s="12" t="str">
        <f>sso_default_admin</f>
        <v>administrator@vsphere.local</v>
      </c>
      <c r="E82" s="116"/>
    </row>
    <row r="83" spans="1:5" ht="20" customHeight="1">
      <c r="A83" s="125"/>
      <c r="B83" s="114" t="s">
        <v>3764</v>
      </c>
      <c r="C83" s="115" t="str">
        <f>sample_administrator_vsphere_local_password</f>
        <v>VMw@re1!</v>
      </c>
      <c r="D83" s="12" t="str">
        <f>_xlfn.SINGLE(administrator_vsphere_local_password)</f>
        <v>Value Missing</v>
      </c>
      <c r="E83" s="116"/>
    </row>
    <row r="84" spans="1:5" ht="20" customHeight="1">
      <c r="A84" s="125"/>
      <c r="B84" s="114" t="s">
        <v>3765</v>
      </c>
      <c r="C84" s="115" t="str">
        <f>CONCATENATE(sample_svc_cbr_vcdr_vsphere_user,"@vsphere.local")</f>
        <v>svc-vlcr-vsphere@vsphere.local</v>
      </c>
      <c r="D84" s="12" t="str">
        <f>CONCATENATE(svc_cbr_vcdr_vsphere_user,"@vsphere.local")</f>
        <v>Value Missing@vsphere.local</v>
      </c>
      <c r="E84" s="116"/>
    </row>
    <row r="85" spans="1:5" ht="20" customHeight="1">
      <c r="A85" s="125"/>
      <c r="B85" s="114" t="s">
        <v>3766</v>
      </c>
      <c r="C85" s="115" t="str">
        <f>sample_svc_cbr_vcdr_vsphere_password</f>
        <v>VMw@re1!</v>
      </c>
      <c r="D85" s="12" t="str" cm="1">
        <f t="array" ref="D85">svc_cbr_vcdr_vsphere_password</f>
        <v>Value Missing</v>
      </c>
      <c r="E85" s="116"/>
    </row>
    <row r="86" spans="1:5" ht="20" customHeight="1">
      <c r="A86" s="125"/>
      <c r="B86" s="144" t="s">
        <v>3767</v>
      </c>
      <c r="C86" s="115" t="str">
        <f>sample_cbr_vcdr_vsphere_role</f>
        <v>VMware Live Cyber Recovery to vSphere Integration</v>
      </c>
      <c r="D86" s="12" t="str">
        <f>cbr_vcdr_vsphere_role</f>
        <v>Value Missing</v>
      </c>
      <c r="E86" s="116"/>
    </row>
    <row r="87" spans="1:5" ht="20" customHeight="1">
      <c r="A87" s="125"/>
      <c r="B87" s="173"/>
      <c r="C87" s="126"/>
      <c r="D87" s="126"/>
      <c r="E87" s="125"/>
    </row>
    <row r="88" spans="1:5" s="103" customFormat="1" ht="34" customHeight="1">
      <c r="B88" s="557" t="s">
        <v>4330</v>
      </c>
      <c r="C88" s="557"/>
      <c r="D88" s="557"/>
      <c r="E88" s="557"/>
    </row>
    <row r="89" spans="1:5" s="103" customFormat="1" ht="20" customHeight="1">
      <c r="B89" s="112" t="s">
        <v>735</v>
      </c>
      <c r="C89" s="112" t="s">
        <v>554</v>
      </c>
      <c r="D89" s="113" t="s">
        <v>555</v>
      </c>
      <c r="E89" s="112" t="s">
        <v>222</v>
      </c>
    </row>
    <row r="90" spans="1:5" s="103" customFormat="1" ht="20" customHeight="1">
      <c r="B90" s="114" t="s">
        <v>2286</v>
      </c>
      <c r="C90" s="115" t="str">
        <f>CONCATENATE(sample_mgmt_vc_hostname,".",sample_child_dns_zone)</f>
        <v>sfo-m01-vc01.sfo.rainpole.io</v>
      </c>
      <c r="D90" s="12" t="str">
        <f>mgmt_vc_fqdn</f>
        <v>Value Missing.Value Missing</v>
      </c>
      <c r="E90" s="116"/>
    </row>
    <row r="91" spans="1:5" s="103" customFormat="1" ht="20" customHeight="1">
      <c r="B91" s="114" t="s">
        <v>841</v>
      </c>
      <c r="C91" s="115" t="str">
        <f>sample_mgmt_datacenter</f>
        <v>sfo-m01-dc01</v>
      </c>
      <c r="D91" s="12" t="str">
        <f>mgmt_datacenter</f>
        <v>Value Missing</v>
      </c>
      <c r="E91" s="116"/>
    </row>
    <row r="92" spans="1:5" s="103" customFormat="1" ht="20" customHeight="1">
      <c r="B92" s="114" t="s">
        <v>843</v>
      </c>
      <c r="C92" s="115" t="str">
        <f>sample_mgmt_cl01_cluster</f>
        <v>sfo-m01-cl01</v>
      </c>
      <c r="D92" s="12" t="str">
        <f>mgmt_cl01_cluster</f>
        <v>Value Missing</v>
      </c>
      <c r="E92" s="116"/>
    </row>
    <row r="93" spans="1:5" s="103" customFormat="1" ht="20" customHeight="1">
      <c r="B93" s="114" t="s">
        <v>735</v>
      </c>
      <c r="C93" s="115" t="str">
        <f>sample_cbr_vcdr_anti_affinity</f>
        <v>sfo-m01anti-affinity-rule-cbr</v>
      </c>
      <c r="D93" s="12" t="str">
        <f>cbr_vcdr_anti_affinity</f>
        <v>Value Missing</v>
      </c>
      <c r="E93" s="116"/>
    </row>
    <row r="94" spans="1:5" s="103" customFormat="1" ht="20" customHeight="1">
      <c r="B94" s="114" t="s">
        <v>4324</v>
      </c>
      <c r="C94" s="115" t="str">
        <f>sample_cbr_vcdr_cdp1_hostname</f>
        <v>sfo-cbr-cdp01a</v>
      </c>
      <c r="D94" s="12" t="str">
        <f>cbr_vcdr_cdp1_hostname</f>
        <v>Value Missing</v>
      </c>
      <c r="E94" s="116"/>
    </row>
    <row r="95" spans="1:5" s="103" customFormat="1" ht="20" customHeight="1">
      <c r="B95" s="163" t="s">
        <v>4331</v>
      </c>
      <c r="C95" s="136" t="str">
        <f>sample_cbr_vcdr_cdp2_hostname</f>
        <v>sfo-cbr-cdp01b</v>
      </c>
      <c r="D95" s="137" t="str">
        <f>cbr_vcdr_cdp2_hostname</f>
        <v>Value Missing</v>
      </c>
      <c r="E95" s="116"/>
    </row>
    <row r="96" spans="1:5" s="103" customFormat="1" ht="20" customHeight="1"/>
    <row r="97" spans="2:5" s="103" customFormat="1" ht="34" customHeight="1">
      <c r="B97" s="557" t="s">
        <v>3544</v>
      </c>
      <c r="C97" s="557"/>
      <c r="D97" s="557"/>
      <c r="E97" s="557"/>
    </row>
    <row r="98" spans="2:5" s="103" customFormat="1" ht="20" customHeight="1">
      <c r="B98" s="112" t="s">
        <v>735</v>
      </c>
      <c r="C98" s="112" t="s">
        <v>554</v>
      </c>
      <c r="D98" s="113" t="s">
        <v>555</v>
      </c>
      <c r="E98" s="112" t="s">
        <v>222</v>
      </c>
    </row>
    <row r="99" spans="2:5" s="103" customFormat="1" ht="20" customHeight="1">
      <c r="B99" s="114" t="s">
        <v>2286</v>
      </c>
      <c r="C99" s="115" t="str">
        <f>CONCATENATE(sample_mgmt_vc_hostname,".",sample_child_dns_zone)</f>
        <v>sfo-m01-vc01.sfo.rainpole.io</v>
      </c>
      <c r="D99" s="12" t="str">
        <f>mgmt_vc_fqdn</f>
        <v>Value Missing.Value Missing</v>
      </c>
      <c r="E99" s="116"/>
    </row>
    <row r="100" spans="2:5" s="103" customFormat="1" ht="20" customHeight="1">
      <c r="B100" s="114" t="s">
        <v>735</v>
      </c>
      <c r="C100" s="115" t="str">
        <f>CONCATENATE(sample_mgmt_cl01_cluster,"_primary-az-vmgroup")</f>
        <v>sfo-m01-cl01_primary-az-vmgroup</v>
      </c>
      <c r="D100" s="12" t="str">
        <f>CONCATENATE(mgmt_cl01_cluster,"_primary-az-vmgroup")</f>
        <v>Value Missing_primary-az-vmgroup</v>
      </c>
      <c r="E100" s="116"/>
    </row>
    <row r="101" spans="2:5" s="103" customFormat="1" ht="20" customHeight="1">
      <c r="B101" s="114" t="s">
        <v>4324</v>
      </c>
      <c r="C101" s="115" t="str">
        <f>sample_cbr_vcdr_cdp1_hostname</f>
        <v>sfo-cbr-cdp01a</v>
      </c>
      <c r="D101" s="12" t="str">
        <f>cbr_vcdr_cdp1_hostname</f>
        <v>Value Missing</v>
      </c>
      <c r="E101" s="116"/>
    </row>
    <row r="102" spans="2:5" s="103" customFormat="1" ht="20" customHeight="1">
      <c r="B102" s="163" t="s">
        <v>4331</v>
      </c>
      <c r="C102" s="136" t="str">
        <f>sample_cbr_vcdr_cdp2_hostname</f>
        <v>sfo-cbr-cdp01b</v>
      </c>
      <c r="D102" s="137" t="str">
        <f>cbr_vcdr_cdp2_hostname</f>
        <v>Value Missing</v>
      </c>
      <c r="E102" s="116"/>
    </row>
    <row r="103" spans="2:5" s="103" customFormat="1" ht="20" customHeight="1"/>
    <row r="104" spans="2:5" s="103" customFormat="1" ht="34" customHeight="1">
      <c r="B104" s="557" t="s">
        <v>3545</v>
      </c>
      <c r="C104" s="557"/>
      <c r="D104" s="557"/>
      <c r="E104" s="557"/>
    </row>
    <row r="105" spans="2:5" s="103" customFormat="1" ht="20" customHeight="1">
      <c r="B105" s="112" t="s">
        <v>735</v>
      </c>
      <c r="C105" s="112" t="s">
        <v>554</v>
      </c>
      <c r="D105" s="113" t="s">
        <v>555</v>
      </c>
      <c r="E105" s="112" t="s">
        <v>222</v>
      </c>
    </row>
    <row r="106" spans="2:5" s="103" customFormat="1" ht="20" customHeight="1">
      <c r="B106" s="114" t="s">
        <v>2964</v>
      </c>
      <c r="C106" s="115" t="s">
        <v>2965</v>
      </c>
      <c r="D106" s="12" t="str">
        <f>C106</f>
        <v>console.cloud.vmware.com</v>
      </c>
      <c r="E106" s="116"/>
    </row>
    <row r="107" spans="2:5" s="103" customFormat="1" ht="20" customHeight="1">
      <c r="B107" s="114" t="s">
        <v>3025</v>
      </c>
      <c r="C107" s="115" t="str">
        <f>sample_cbr_vcdr_site_name</f>
        <v>sfo-vcf01-instance</v>
      </c>
      <c r="D107" s="12" t="str">
        <f>cbr_vcdr_site_name</f>
        <v>Value Missing</v>
      </c>
      <c r="E107" s="116"/>
    </row>
    <row r="108" spans="2:5" s="103" customFormat="1" ht="20" customHeight="1">
      <c r="B108" s="114" t="s">
        <v>3030</v>
      </c>
      <c r="C108" s="115" t="str">
        <f>sample_wld_vc_ip</f>
        <v>10.11.10.130</v>
      </c>
      <c r="D108" s="12" t="str">
        <f>wld_vc_ip</f>
        <v>Value Missing</v>
      </c>
      <c r="E108" s="116"/>
    </row>
    <row r="109" spans="2:5" s="103" customFormat="1" ht="20" customHeight="1">
      <c r="B109" s="114" t="s">
        <v>3031</v>
      </c>
      <c r="C109" s="115" t="str">
        <f>CONCATENATE(sample_svc_cbr_vcdr_vsphere_user,"@vsphere.local")</f>
        <v>svc-vlcr-vsphere@vsphere.local</v>
      </c>
      <c r="D109" s="12" t="str">
        <f>CONCATENATE(svc_cbr_vcdr_vsphere_user,"@vsphere.local")</f>
        <v>Value Missing@vsphere.local</v>
      </c>
      <c r="E109" s="116"/>
    </row>
    <row r="110" spans="2:5" s="103" customFormat="1" ht="20" customHeight="1">
      <c r="B110" s="114" t="s">
        <v>1796</v>
      </c>
      <c r="C110" s="115" t="str">
        <f>sample_svc_cbr_vcdr_vsphere_password</f>
        <v>VMw@re1!</v>
      </c>
      <c r="D110" s="12" t="str">
        <f>svc_cbr_vcdr_vsphere_password</f>
        <v>Value Missing</v>
      </c>
      <c r="E110" s="116"/>
    </row>
    <row r="111" spans="2:5" s="103" customFormat="1" ht="20" customHeight="1"/>
    <row r="112" spans="2:5" s="103" customFormat="1" ht="34" customHeight="1">
      <c r="B112" s="557" t="s">
        <v>3548</v>
      </c>
      <c r="C112" s="557"/>
      <c r="D112" s="557"/>
      <c r="E112" s="557"/>
    </row>
    <row r="113" spans="1:6" s="103" customFormat="1" ht="20" customHeight="1">
      <c r="B113" s="112" t="s">
        <v>735</v>
      </c>
      <c r="C113" s="112" t="s">
        <v>554</v>
      </c>
      <c r="D113" s="113" t="s">
        <v>555</v>
      </c>
      <c r="E113" s="112" t="s">
        <v>222</v>
      </c>
    </row>
    <row r="114" spans="1:6" s="103" customFormat="1" ht="20" customHeight="1">
      <c r="B114" s="114" t="s">
        <v>2964</v>
      </c>
      <c r="C114" s="115" t="s">
        <v>2965</v>
      </c>
      <c r="D114" s="12" t="str">
        <f>C114</f>
        <v>console.cloud.vmware.com</v>
      </c>
      <c r="E114" s="116"/>
    </row>
    <row r="115" spans="1:6" s="103" customFormat="1" ht="20" customHeight="1">
      <c r="B115" s="114" t="s">
        <v>3025</v>
      </c>
      <c r="C115" s="115" t="str">
        <f>sample_cbr_vcdr_site_name</f>
        <v>sfo-vcf01-instance</v>
      </c>
      <c r="D115" s="12" t="str">
        <f>cbr_vcdr_site_name</f>
        <v>Value Missing</v>
      </c>
      <c r="E115" s="116"/>
    </row>
    <row r="116" spans="1:6" s="103" customFormat="1" ht="20" customHeight="1"/>
    <row r="117" spans="1:6" s="103" customFormat="1" ht="34" customHeight="1">
      <c r="B117" s="557" t="s">
        <v>3549</v>
      </c>
      <c r="C117" s="557"/>
      <c r="D117" s="557"/>
      <c r="E117" s="557"/>
    </row>
    <row r="118" spans="1:6" s="103" customFormat="1" ht="20" customHeight="1">
      <c r="B118" s="112" t="s">
        <v>735</v>
      </c>
      <c r="C118" s="112" t="s">
        <v>554</v>
      </c>
      <c r="D118" s="113" t="s">
        <v>555</v>
      </c>
      <c r="E118" s="112" t="s">
        <v>222</v>
      </c>
    </row>
    <row r="119" spans="1:6" s="103" customFormat="1" ht="20" customHeight="1">
      <c r="B119" s="114" t="s">
        <v>2964</v>
      </c>
      <c r="C119" s="115" t="s">
        <v>2965</v>
      </c>
      <c r="D119" s="12" t="str">
        <f>C119</f>
        <v>console.cloud.vmware.com</v>
      </c>
      <c r="E119" s="116"/>
    </row>
    <row r="120" spans="1:6" s="103" customFormat="1" ht="20" customHeight="1">
      <c r="B120" s="114" t="s">
        <v>1136</v>
      </c>
      <c r="C120" s="115" t="str">
        <f>sample_cbr_vcdr_email_recipient</f>
        <v>cloudadmins@rainpole.io</v>
      </c>
      <c r="D120" s="12" t="str">
        <f>cbr_vcdr_email_recipient</f>
        <v>Value Missing</v>
      </c>
      <c r="E120" s="116"/>
    </row>
    <row r="121" spans="1:6" s="103" customFormat="1" ht="20" customHeight="1">
      <c r="B121" s="114" t="s">
        <v>1138</v>
      </c>
      <c r="C121" s="115" t="str">
        <f>sample_cbr_vcdr_email_sender</f>
        <v>administrator@rainpole.io</v>
      </c>
      <c r="D121" s="12" t="str">
        <f>cbr_vcdr_email_sender</f>
        <v>Value Missing</v>
      </c>
      <c r="E121" s="116"/>
    </row>
    <row r="122" spans="1:6" s="103" customFormat="1" ht="20" customHeight="1">
      <c r="B122" s="114" t="s">
        <v>3032</v>
      </c>
      <c r="C122" s="115" t="s">
        <v>4325</v>
      </c>
      <c r="D122" s="12" t="str">
        <f>C122</f>
        <v>no-reply-vlcr</v>
      </c>
      <c r="E122" s="116"/>
    </row>
    <row r="123" spans="1:6" s="103" customFormat="1" ht="20" customHeight="1"/>
    <row r="124" spans="1:6" s="103" customFormat="1" ht="34" customHeight="1">
      <c r="A124" s="122"/>
      <c r="B124" s="564" t="s">
        <v>2275</v>
      </c>
      <c r="C124" s="564"/>
      <c r="D124" s="564"/>
      <c r="E124" s="564"/>
      <c r="F124" s="122"/>
    </row>
    <row r="125" spans="1:6" s="103" customFormat="1" ht="20" customHeight="1"/>
    <row r="126" spans="1:6" s="103" customFormat="1" ht="34" customHeight="1">
      <c r="B126" s="562" t="s">
        <v>3033</v>
      </c>
      <c r="C126" s="563"/>
      <c r="D126" s="563"/>
      <c r="E126" s="563"/>
    </row>
    <row r="127" spans="1:6" s="103" customFormat="1" ht="20" customHeight="1"/>
    <row r="128" spans="1:6" s="103" customFormat="1" ht="34" customHeight="1">
      <c r="B128" s="557" t="s">
        <v>3550</v>
      </c>
      <c r="C128" s="557"/>
      <c r="D128" s="557"/>
      <c r="E128" s="557"/>
    </row>
    <row r="129" spans="2:5" s="103" customFormat="1" ht="20" customHeight="1">
      <c r="B129" s="112" t="s">
        <v>735</v>
      </c>
      <c r="C129" s="112" t="s">
        <v>554</v>
      </c>
      <c r="D129" s="113" t="s">
        <v>555</v>
      </c>
      <c r="E129" s="112" t="s">
        <v>222</v>
      </c>
    </row>
    <row r="130" spans="2:5" s="103" customFormat="1" ht="20" customHeight="1">
      <c r="B130" s="114" t="s">
        <v>3369</v>
      </c>
      <c r="C130" s="115" t="str">
        <f>CONCATENATE(sample_xreg_vrops_virtual_hostname,".",sample_parent_dns_zone)</f>
        <v>xint-ops01.rainpole.io</v>
      </c>
      <c r="D130" s="12" t="str">
        <f>xreg_vrops_virtual_fqdn</f>
        <v>Value Missing.Value Missing</v>
      </c>
      <c r="E130" s="116"/>
    </row>
    <row r="131" spans="2:5" s="103" customFormat="1" ht="20" customHeight="1">
      <c r="B131" s="114" t="s">
        <v>735</v>
      </c>
      <c r="C131" s="115" t="str">
        <f>"ransomware-recovery-proxies"</f>
        <v>ransomware-recovery-proxies</v>
      </c>
      <c r="D131" s="12" t="str">
        <f>C131</f>
        <v>ransomware-recovery-proxies</v>
      </c>
      <c r="E131" s="116"/>
    </row>
    <row r="132" spans="2:5" s="103" customFormat="1" ht="20" customHeight="1">
      <c r="B132" s="114" t="s">
        <v>2323</v>
      </c>
      <c r="C132" s="115" t="str">
        <f>C131</f>
        <v>ransomware-recovery-proxies</v>
      </c>
      <c r="D132" s="12" t="str">
        <f>C132</f>
        <v>ransomware-recovery-proxies</v>
      </c>
      <c r="E132" s="116"/>
    </row>
    <row r="133" spans="2:5" s="103" customFormat="1" ht="20" customHeight="1">
      <c r="B133" s="114" t="s">
        <v>2324</v>
      </c>
      <c r="C133" s="115" t="str">
        <f>CONCATENATE(sample_cbr_vcdr_cdp1_ip,",",sample_cbr_vcdr_cdp2_ip)</f>
        <v>10.11.10.44,10.11.10.45</v>
      </c>
      <c r="D133" s="12" t="str">
        <f>CONCATENATE(cbr_vcdr_cdp1_ip,",",cbr_vcdr_cdp2_ip)</f>
        <v>Value Missing,Value Missing</v>
      </c>
      <c r="E133" s="116"/>
    </row>
    <row r="134" spans="2:5" s="103" customFormat="1" ht="20" customHeight="1">
      <c r="B134" s="114" t="s">
        <v>2322</v>
      </c>
      <c r="C134" s="115" t="str">
        <f>CONCATENATE(sample_mgmt_sddc_domain,"-collector-group")</f>
        <v>sfo-m01-collector-group</v>
      </c>
      <c r="D134" s="12" t="str">
        <f>CONCATENATE(mgmt_sddc_domain,"-collector-group")</f>
        <v>Value Missing-collector-group</v>
      </c>
      <c r="E134" s="116"/>
    </row>
    <row r="135" spans="2:5" s="103" customFormat="1" ht="20" customHeight="1"/>
    <row r="136" spans="2:5" s="103" customFormat="1"/>
    <row r="137" spans="2:5" s="103" customFormat="1"/>
    <row r="138" spans="2:5" s="103" customFormat="1"/>
    <row r="139" spans="2:5" s="103" customFormat="1"/>
    <row r="140" spans="2:5" s="103" customFormat="1"/>
    <row r="141" spans="2:5" s="103" customFormat="1"/>
    <row r="142" spans="2:5" s="103" customFormat="1"/>
    <row r="143" spans="2:5" s="103" customFormat="1"/>
    <row r="144" spans="2:5" s="103" customFormat="1"/>
    <row r="145" s="103" customFormat="1"/>
    <row r="146" s="103" customFormat="1"/>
    <row r="147" s="103" customFormat="1"/>
    <row r="148" s="103" customFormat="1"/>
    <row r="149" s="103" customFormat="1"/>
    <row r="150" s="103" customFormat="1"/>
    <row r="151" s="103" customFormat="1"/>
    <row r="152" s="103" customFormat="1"/>
    <row r="153" s="103" customFormat="1"/>
    <row r="154" s="103" customFormat="1"/>
    <row r="155" s="103" customFormat="1"/>
    <row r="156" s="103" customFormat="1"/>
    <row r="157" s="103" customFormat="1"/>
    <row r="158" s="103" customFormat="1"/>
    <row r="159" s="103" customFormat="1"/>
    <row r="160" s="103" customFormat="1"/>
    <row r="161" s="103" customFormat="1"/>
    <row r="162" s="103" customFormat="1"/>
    <row r="163" s="103" customFormat="1"/>
    <row r="164" s="103" customFormat="1"/>
    <row r="165" s="103" customFormat="1"/>
    <row r="166" s="103" customFormat="1"/>
    <row r="167" s="103" customFormat="1"/>
    <row r="168" s="103" customFormat="1"/>
    <row r="169" s="103" customFormat="1"/>
    <row r="170" s="103" customFormat="1"/>
    <row r="171" s="103" customFormat="1"/>
    <row r="172" s="103" customFormat="1"/>
    <row r="173" s="103" customFormat="1"/>
    <row r="174" s="103" customFormat="1"/>
    <row r="175" s="103" customFormat="1"/>
    <row r="176" s="103" customFormat="1"/>
    <row r="177" s="103" customFormat="1"/>
    <row r="178" s="103" customFormat="1"/>
    <row r="179" s="103" customFormat="1"/>
    <row r="180" s="103" customFormat="1"/>
    <row r="181" s="103" customFormat="1"/>
    <row r="182" s="103" customFormat="1"/>
    <row r="183" s="103" customFormat="1"/>
    <row r="184" s="103" customFormat="1"/>
    <row r="185" s="103" customFormat="1"/>
    <row r="186" s="103" customFormat="1"/>
    <row r="187" s="103" customFormat="1"/>
    <row r="188" s="103" customFormat="1"/>
    <row r="189" s="103" customFormat="1"/>
    <row r="190" s="103" customFormat="1"/>
    <row r="191" s="103" customFormat="1"/>
    <row r="192" s="103" customFormat="1"/>
    <row r="193" s="103" customFormat="1"/>
    <row r="194" s="103" customFormat="1"/>
    <row r="195" s="103" customFormat="1"/>
    <row r="196" s="103" customFormat="1"/>
    <row r="197" s="103" customFormat="1"/>
    <row r="198" s="103" customFormat="1"/>
    <row r="199" s="103" customFormat="1"/>
    <row r="200" s="103" customFormat="1"/>
    <row r="201" s="103" customFormat="1"/>
    <row r="202" s="103" customFormat="1"/>
    <row r="203" s="103" customFormat="1"/>
    <row r="204" s="103" customFormat="1"/>
    <row r="205" s="103" customFormat="1"/>
    <row r="206" s="103" customFormat="1"/>
    <row r="207" s="103" customFormat="1"/>
    <row r="208" s="103" customFormat="1"/>
    <row r="209" s="103" customFormat="1"/>
    <row r="210" s="103" customFormat="1"/>
    <row r="211" s="103" customFormat="1"/>
    <row r="212" s="103" customFormat="1"/>
    <row r="213" s="103" customFormat="1"/>
    <row r="214" s="103" customFormat="1"/>
    <row r="215" s="103" customFormat="1"/>
    <row r="216" s="103" customFormat="1"/>
    <row r="217" s="103" customFormat="1"/>
    <row r="218" s="103" customFormat="1"/>
    <row r="219" s="103" customFormat="1"/>
    <row r="220" s="103" customFormat="1"/>
    <row r="221" s="103" customFormat="1"/>
    <row r="222" s="103" customFormat="1"/>
    <row r="223" s="103" customFormat="1"/>
    <row r="224" s="103" customFormat="1"/>
    <row r="225" s="103" customFormat="1"/>
    <row r="226" s="103" customFormat="1"/>
    <row r="227" s="103" customFormat="1"/>
    <row r="228" s="103" customFormat="1"/>
    <row r="229" s="103" customFormat="1"/>
    <row r="230" s="103" customFormat="1"/>
    <row r="231" s="103" customFormat="1"/>
    <row r="232" s="103" customFormat="1"/>
    <row r="233" s="103" customFormat="1"/>
    <row r="234" s="103" customFormat="1"/>
    <row r="235" s="103" customFormat="1"/>
    <row r="236" s="103" customFormat="1"/>
    <row r="237" s="103" customFormat="1"/>
    <row r="238" s="103" customFormat="1"/>
    <row r="239" s="103" customFormat="1"/>
    <row r="240" s="103" customFormat="1"/>
    <row r="241" s="103" customFormat="1"/>
    <row r="242" s="103" customFormat="1"/>
    <row r="243" s="103" customFormat="1"/>
    <row r="244" s="103" customFormat="1"/>
    <row r="245" s="103" customFormat="1"/>
    <row r="246" s="103" customFormat="1"/>
    <row r="247" s="103" customFormat="1"/>
    <row r="248" s="103" customFormat="1"/>
    <row r="249" s="103" customFormat="1"/>
    <row r="250" s="103" customFormat="1"/>
    <row r="251" s="103" customFormat="1"/>
    <row r="252" s="103" customFormat="1"/>
    <row r="253" s="103" customFormat="1"/>
    <row r="254" s="103" customFormat="1"/>
    <row r="255" s="103" customFormat="1"/>
    <row r="256" s="103" customFormat="1"/>
    <row r="257" s="103" customFormat="1"/>
    <row r="258" s="103" customFormat="1"/>
    <row r="259" s="103" customFormat="1"/>
    <row r="260" s="103" customFormat="1"/>
    <row r="261" s="103" customFormat="1"/>
    <row r="262" s="103" customFormat="1"/>
    <row r="263" s="103" customFormat="1"/>
    <row r="264" s="103" customFormat="1"/>
    <row r="265" s="103" customFormat="1"/>
    <row r="266" s="103" customFormat="1"/>
    <row r="267" s="103" customFormat="1"/>
    <row r="268" s="103" customFormat="1"/>
    <row r="269" s="103" customFormat="1"/>
    <row r="270" s="103" customFormat="1"/>
    <row r="271" s="103" customFormat="1"/>
    <row r="272" s="103" customFormat="1"/>
    <row r="273" s="103" customFormat="1"/>
    <row r="274" s="103" customFormat="1"/>
    <row r="275" s="103" customForma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row r="573" s="103" customFormat="1"/>
    <row r="574" s="103" customFormat="1"/>
    <row r="575" s="103" customFormat="1"/>
    <row r="576" s="103" customFormat="1"/>
    <row r="577" s="103" customFormat="1"/>
    <row r="578" s="103" customFormat="1"/>
    <row r="579" s="103" customFormat="1"/>
    <row r="580" s="103" customFormat="1"/>
    <row r="581" s="103" customFormat="1"/>
    <row r="582" s="103" customFormat="1"/>
    <row r="583" s="103" customFormat="1"/>
    <row r="584" s="103" customFormat="1"/>
    <row r="585" s="103" customFormat="1"/>
    <row r="586" s="103" customFormat="1"/>
    <row r="587" s="103" customFormat="1"/>
    <row r="588" s="103" customFormat="1"/>
    <row r="589" s="103" customFormat="1"/>
    <row r="590" s="103" customFormat="1"/>
    <row r="591" s="103" customFormat="1"/>
    <row r="592" s="103" customFormat="1"/>
    <row r="593" s="103" customFormat="1"/>
    <row r="594" s="103" customFormat="1"/>
    <row r="595" s="103" customFormat="1"/>
    <row r="596" s="103" customFormat="1"/>
    <row r="597" s="103" customFormat="1"/>
    <row r="598" s="103" customFormat="1"/>
    <row r="599" s="103" customFormat="1"/>
    <row r="600" s="103" customFormat="1"/>
    <row r="601" s="103" customFormat="1"/>
    <row r="602" s="103" customFormat="1"/>
    <row r="603" s="103" customFormat="1"/>
    <row r="604" s="103" customFormat="1"/>
    <row r="605" s="103" customFormat="1"/>
    <row r="606" s="103" customFormat="1"/>
    <row r="607" s="103" customFormat="1"/>
    <row r="608" s="103" customFormat="1"/>
    <row r="609" s="103" customFormat="1"/>
    <row r="610" s="103" customFormat="1"/>
    <row r="611" s="103" customFormat="1"/>
    <row r="612" s="103" customFormat="1"/>
    <row r="613" s="103" customFormat="1"/>
    <row r="614" s="103" customFormat="1"/>
    <row r="615" s="103" customFormat="1"/>
    <row r="616" s="103" customFormat="1"/>
    <row r="617" s="103" customFormat="1"/>
    <row r="618" s="103" customFormat="1"/>
    <row r="619" s="103" customFormat="1"/>
    <row r="620" s="103" customFormat="1"/>
    <row r="621" s="103" customFormat="1"/>
    <row r="622" s="103" customFormat="1"/>
    <row r="623" s="103" customFormat="1"/>
    <row r="624" s="103" customFormat="1"/>
    <row r="625" s="103" customFormat="1"/>
    <row r="626" s="103" customFormat="1"/>
    <row r="627" s="103" customFormat="1"/>
    <row r="628" s="103" customFormat="1"/>
    <row r="629" s="103" customFormat="1"/>
    <row r="630" s="103" customFormat="1"/>
    <row r="631" s="103" customFormat="1"/>
    <row r="632" s="103" customFormat="1"/>
    <row r="633" s="103" customFormat="1"/>
    <row r="634" s="103" customFormat="1"/>
    <row r="635" s="103" customFormat="1"/>
    <row r="636" s="103" customFormat="1"/>
    <row r="637" s="103" customFormat="1"/>
    <row r="638" s="103" customFormat="1"/>
    <row r="639" s="103" customFormat="1"/>
    <row r="640" s="103" customFormat="1"/>
    <row r="641" s="103" customFormat="1"/>
    <row r="642" s="103" customFormat="1"/>
    <row r="643" s="103" customFormat="1"/>
    <row r="644" s="103" customFormat="1"/>
    <row r="645" s="103" customFormat="1"/>
    <row r="646" s="103" customFormat="1"/>
    <row r="647" s="103" customFormat="1"/>
    <row r="648" s="103" customFormat="1"/>
    <row r="649" s="103" customFormat="1"/>
    <row r="650" s="103" customFormat="1"/>
    <row r="651" s="103" customFormat="1"/>
    <row r="652" s="103" customFormat="1"/>
    <row r="653" s="103" customFormat="1"/>
    <row r="654" s="103" customFormat="1"/>
    <row r="655" s="103" customFormat="1"/>
    <row r="656" s="103" customFormat="1"/>
    <row r="657" s="103" customFormat="1"/>
    <row r="658" s="103" customFormat="1"/>
    <row r="659" s="103" customFormat="1"/>
    <row r="660" s="103" customFormat="1"/>
    <row r="661" s="103" customFormat="1"/>
    <row r="662" s="103" customFormat="1"/>
    <row r="663" s="103" customFormat="1"/>
    <row r="664" s="103" customFormat="1"/>
    <row r="665" s="103" customFormat="1"/>
    <row r="666" s="103" customFormat="1"/>
    <row r="667" s="103" customFormat="1"/>
    <row r="668" s="103" customFormat="1"/>
    <row r="669" s="103" customFormat="1"/>
    <row r="670" s="103" customFormat="1"/>
    <row r="671" s="103" customFormat="1"/>
    <row r="672" s="103" customFormat="1"/>
    <row r="673" s="103" customFormat="1"/>
    <row r="674" s="103" customFormat="1"/>
    <row r="675" s="103" customFormat="1"/>
    <row r="676" s="103" customFormat="1"/>
    <row r="677" s="103" customFormat="1"/>
    <row r="678" s="103" customFormat="1"/>
    <row r="679" s="103" customFormat="1"/>
    <row r="680" s="103" customFormat="1"/>
    <row r="681" s="103" customFormat="1"/>
    <row r="682" s="103" customFormat="1"/>
    <row r="683" s="103" customFormat="1"/>
    <row r="684" s="103" customFormat="1"/>
    <row r="685" s="103" customFormat="1"/>
    <row r="686" s="103" customFormat="1"/>
    <row r="687" s="103" customFormat="1"/>
    <row r="688" s="103" customFormat="1"/>
    <row r="689" s="103" customFormat="1"/>
    <row r="690" s="103" customFormat="1"/>
    <row r="691" s="103" customFormat="1"/>
    <row r="692" s="103" customFormat="1"/>
    <row r="693" s="103" customFormat="1"/>
    <row r="694" s="103" customFormat="1"/>
    <row r="695" s="103" customFormat="1"/>
    <row r="696" s="103" customFormat="1"/>
    <row r="697" s="103" customFormat="1"/>
    <row r="698" s="103" customFormat="1"/>
    <row r="699" s="103" customFormat="1"/>
    <row r="700" s="103" customFormat="1"/>
    <row r="701" s="103" customFormat="1"/>
    <row r="702" s="103" customFormat="1"/>
    <row r="703" s="103" customFormat="1"/>
    <row r="704" s="103" customFormat="1"/>
    <row r="705" s="103" customFormat="1"/>
    <row r="706" s="103" customFormat="1"/>
    <row r="707" s="103" customFormat="1"/>
    <row r="708" s="103" customFormat="1"/>
    <row r="709" s="103" customFormat="1"/>
    <row r="710" s="103" customFormat="1"/>
    <row r="711" s="103" customFormat="1"/>
    <row r="712" s="103" customFormat="1"/>
    <row r="713" s="103" customFormat="1"/>
    <row r="714" s="103" customFormat="1"/>
    <row r="715" s="103" customFormat="1"/>
    <row r="716" s="103" customFormat="1"/>
    <row r="717" s="103" customFormat="1"/>
    <row r="718" s="103" customFormat="1"/>
    <row r="719" s="103" customFormat="1"/>
    <row r="720" s="103" customFormat="1"/>
    <row r="721" s="103" customFormat="1"/>
    <row r="722" s="103" customFormat="1"/>
    <row r="723" s="103" customFormat="1"/>
    <row r="724" s="103" customFormat="1"/>
    <row r="725" s="103" customFormat="1"/>
    <row r="726" s="103" customFormat="1"/>
    <row r="727" s="103" customFormat="1"/>
    <row r="728" s="103" customFormat="1"/>
    <row r="729" s="103" customFormat="1"/>
    <row r="730" s="103" customFormat="1"/>
    <row r="731" s="103" customFormat="1"/>
    <row r="732" s="103" customFormat="1"/>
    <row r="733" s="103" customFormat="1"/>
    <row r="734" s="103" customFormat="1"/>
    <row r="735" s="103" customFormat="1"/>
    <row r="736" s="103" customFormat="1"/>
    <row r="737" s="103" customFormat="1"/>
    <row r="738" s="103" customFormat="1"/>
    <row r="739" s="103" customFormat="1"/>
    <row r="740" s="103" customFormat="1"/>
    <row r="741" s="103" customFormat="1"/>
    <row r="742" s="103" customFormat="1"/>
    <row r="743" s="103" customFormat="1"/>
    <row r="744" s="103" customFormat="1"/>
    <row r="745" s="103" customFormat="1"/>
    <row r="746" s="103" customFormat="1"/>
    <row r="747" s="103" customFormat="1"/>
    <row r="748" s="103" customFormat="1"/>
    <row r="749" s="103" customFormat="1"/>
    <row r="750" s="103" customFormat="1"/>
    <row r="751" s="103" customFormat="1"/>
    <row r="752" s="103" customFormat="1"/>
    <row r="753" s="103" customFormat="1"/>
    <row r="754" s="103" customFormat="1"/>
    <row r="755" s="103" customFormat="1"/>
    <row r="756" s="103" customFormat="1"/>
    <row r="757" s="103" customFormat="1"/>
    <row r="758" s="103" customFormat="1"/>
    <row r="759" s="103" customFormat="1"/>
    <row r="760" s="103" customFormat="1"/>
    <row r="761" s="103" customFormat="1"/>
    <row r="762" s="103" customFormat="1"/>
    <row r="763" s="103" customFormat="1"/>
    <row r="764" s="103" customFormat="1"/>
    <row r="765" s="103" customFormat="1"/>
    <row r="766" s="103" customFormat="1"/>
    <row r="767" s="103" customFormat="1"/>
    <row r="768" s="103" customFormat="1"/>
    <row r="769" s="103" customFormat="1"/>
    <row r="770" s="103" customFormat="1"/>
    <row r="771" s="103" customFormat="1"/>
    <row r="772" s="103" customFormat="1"/>
    <row r="773" s="103" customFormat="1"/>
    <row r="774" s="103" customFormat="1"/>
    <row r="775" s="103" customFormat="1"/>
    <row r="776" s="103" customFormat="1"/>
    <row r="777" s="103" customFormat="1"/>
    <row r="778" s="103" customFormat="1"/>
    <row r="779" s="103" customFormat="1"/>
    <row r="780" s="103" customFormat="1"/>
    <row r="781" s="103" customFormat="1"/>
    <row r="782" s="103" customFormat="1"/>
    <row r="783" s="103" customFormat="1"/>
    <row r="784" s="103" customFormat="1"/>
    <row r="785" s="103" customFormat="1"/>
    <row r="786" s="103" customFormat="1"/>
    <row r="787" s="103" customFormat="1"/>
    <row r="788" s="103" customFormat="1"/>
    <row r="789" s="103" customFormat="1"/>
    <row r="790" s="103" customFormat="1"/>
    <row r="791" s="103" customFormat="1"/>
    <row r="792" s="103" customFormat="1"/>
    <row r="793" s="103" customFormat="1"/>
    <row r="794" s="103" customFormat="1"/>
    <row r="795" s="103" customFormat="1"/>
    <row r="796" s="103" customFormat="1"/>
    <row r="797" s="103" customFormat="1"/>
    <row r="798" s="103" customFormat="1"/>
    <row r="799" s="103" customFormat="1"/>
    <row r="800" s="103" customFormat="1"/>
    <row r="801" s="103" customFormat="1"/>
    <row r="802" s="103" customFormat="1"/>
    <row r="803" s="103" customFormat="1"/>
    <row r="804" s="103" customFormat="1"/>
    <row r="805" s="103" customFormat="1"/>
    <row r="806" s="103" customFormat="1"/>
    <row r="807" s="103" customFormat="1"/>
    <row r="808" s="103" customFormat="1"/>
    <row r="809" s="103" customFormat="1"/>
    <row r="810" s="103" customFormat="1"/>
    <row r="811" s="103" customFormat="1"/>
    <row r="812" s="103" customFormat="1"/>
    <row r="813" s="103" customFormat="1"/>
    <row r="814" s="103" customFormat="1"/>
    <row r="815" s="103" customFormat="1"/>
    <row r="816" s="103" customFormat="1"/>
    <row r="817" s="103" customFormat="1"/>
    <row r="818" s="103" customFormat="1"/>
    <row r="819" s="103" customFormat="1"/>
    <row r="820" s="103" customFormat="1"/>
    <row r="821" s="103" customFormat="1"/>
    <row r="822" s="103" customFormat="1"/>
    <row r="823" s="103" customFormat="1"/>
    <row r="824" s="103" customFormat="1"/>
    <row r="825" s="103" customFormat="1"/>
    <row r="826" s="103" customFormat="1"/>
    <row r="827" s="103" customFormat="1"/>
    <row r="828" s="103" customFormat="1"/>
    <row r="829" s="103" customFormat="1"/>
    <row r="830" s="103" customFormat="1"/>
    <row r="831" s="103" customFormat="1"/>
    <row r="832" s="103" customFormat="1"/>
    <row r="833" s="103" customFormat="1"/>
    <row r="834" s="103" customFormat="1"/>
    <row r="835" s="103" customFormat="1"/>
    <row r="836" s="103" customFormat="1"/>
    <row r="837" s="103" customFormat="1"/>
    <row r="838" s="103" customFormat="1"/>
    <row r="839" s="103" customFormat="1"/>
    <row r="840" s="103" customFormat="1"/>
    <row r="841" s="103" customFormat="1"/>
    <row r="842" s="103" customFormat="1"/>
    <row r="843" s="103" customFormat="1"/>
    <row r="844" s="103" customFormat="1"/>
    <row r="845" s="103" customFormat="1"/>
    <row r="846" s="103" customFormat="1"/>
    <row r="847" s="103" customFormat="1"/>
    <row r="848" s="103" customFormat="1"/>
    <row r="849" s="103" customFormat="1"/>
    <row r="850" s="103" customFormat="1"/>
    <row r="851" s="103" customFormat="1"/>
    <row r="852" s="103" customFormat="1"/>
    <row r="853" s="103" customFormat="1"/>
    <row r="854" s="103" customFormat="1"/>
    <row r="855" s="103" customFormat="1"/>
    <row r="856" s="103" customFormat="1"/>
    <row r="857" s="103" customFormat="1"/>
    <row r="858" s="103" customFormat="1"/>
    <row r="859" s="103" customFormat="1"/>
    <row r="860" s="103" customFormat="1"/>
    <row r="861" s="103" customFormat="1"/>
    <row r="862" s="103" customFormat="1"/>
    <row r="863" s="103" customFormat="1"/>
    <row r="864" s="103" customFormat="1"/>
    <row r="865" s="103" customFormat="1"/>
    <row r="866" s="103" customFormat="1"/>
    <row r="867" s="103" customFormat="1"/>
    <row r="868" s="103" customFormat="1"/>
    <row r="869" s="103" customFormat="1"/>
    <row r="870" s="103" customFormat="1"/>
    <row r="871" s="103" customFormat="1"/>
    <row r="872" s="103" customFormat="1"/>
    <row r="873" s="103" customFormat="1"/>
    <row r="874" s="103" customFormat="1"/>
    <row r="875" s="103" customFormat="1"/>
    <row r="876" s="103" customFormat="1"/>
    <row r="877" s="103" customFormat="1"/>
    <row r="878" s="103" customFormat="1"/>
    <row r="879" s="103" customFormat="1"/>
    <row r="880" s="103" customFormat="1"/>
    <row r="881" s="103" customFormat="1"/>
    <row r="882" s="103" customFormat="1"/>
    <row r="883" s="103" customFormat="1"/>
    <row r="884" s="103" customFormat="1"/>
    <row r="885" s="103" customFormat="1"/>
    <row r="886" s="103" customFormat="1"/>
    <row r="887" s="103" customFormat="1"/>
    <row r="888" s="103" customFormat="1"/>
    <row r="889" s="103" customFormat="1"/>
    <row r="890" s="103" customFormat="1"/>
    <row r="891" s="103" customFormat="1"/>
    <row r="892" s="103" customFormat="1"/>
    <row r="893" s="103" customFormat="1"/>
    <row r="894" s="103" customFormat="1"/>
    <row r="895" s="103" customFormat="1"/>
    <row r="896" s="103" customFormat="1"/>
    <row r="897" s="103" customFormat="1"/>
    <row r="898" s="103" customFormat="1"/>
    <row r="899" s="103" customFormat="1"/>
    <row r="900" s="103" customFormat="1"/>
    <row r="901" s="103" customFormat="1"/>
    <row r="902" s="103" customFormat="1"/>
    <row r="903" s="103" customFormat="1"/>
  </sheetData>
  <sheetProtection algorithmName="SHA-512" hashValue="g9YhZTkhWBFBH8yT3xAqlZ76VApSli5481bU0z4Qe1yJZ9aF728FZXJ6wJ8cRN1RdFzXQQrtCmkDoiDPizM1Bg==" saltValue="OEz+eFmKrbHphaKbgnTE1g==" spinCount="100000" sheet="1" objects="1" scenarios="1"/>
  <mergeCells count="20">
    <mergeCell ref="B42:E42"/>
    <mergeCell ref="B2:C2"/>
    <mergeCell ref="D2:E2"/>
    <mergeCell ref="B3:E3"/>
    <mergeCell ref="B8:E8"/>
    <mergeCell ref="B16:E16"/>
    <mergeCell ref="B27:E27"/>
    <mergeCell ref="B10:E10"/>
    <mergeCell ref="B37:E37"/>
    <mergeCell ref="B48:E48"/>
    <mergeCell ref="B55:E55"/>
    <mergeCell ref="B112:E112"/>
    <mergeCell ref="B117:E117"/>
    <mergeCell ref="B124:E124"/>
    <mergeCell ref="B77:E77"/>
    <mergeCell ref="B126:E126"/>
    <mergeCell ref="B128:E128"/>
    <mergeCell ref="B97:E97"/>
    <mergeCell ref="B104:E104"/>
    <mergeCell ref="B88:E88"/>
  </mergeCells>
  <conditionalFormatting sqref="B10:E14 B16:E25 B27:E35">
    <cfRule type="expression" dxfId="62" priority="46">
      <formula>cbr_result="Excluded"</formula>
    </cfRule>
  </conditionalFormatting>
  <conditionalFormatting sqref="B37:E40 B42:E46 B48:E53 B55:E75 B77:E86 B88:E95 B97:E102 B104:E110 B112:E115 B117:E122">
    <cfRule type="expression" dxfId="61" priority="9" stopIfTrue="1">
      <formula>cbr_result="Excluded"</formula>
    </cfRule>
  </conditionalFormatting>
  <conditionalFormatting sqref="B126:E126 B128:E134">
    <cfRule type="expression" dxfId="60" priority="11" stopIfTrue="1">
      <formula>OR((cbr_result="Excluded"),AND((intelligent_operations_result="Excluded")))</formula>
    </cfRule>
  </conditionalFormatting>
  <conditionalFormatting sqref="C5 B8:E8">
    <cfRule type="expression" dxfId="59" priority="12">
      <formula>cbr_result="Excluded"</formula>
    </cfRule>
  </conditionalFormatting>
  <conditionalFormatting sqref="D5 B124">
    <cfRule type="expression" dxfId="58" priority="71">
      <formula>OR((cbr_result="Excluded"),AND((intelligent_operations_result="Excluded")))</formula>
    </cfRule>
  </conditionalFormatting>
  <hyperlinks>
    <hyperlink ref="C5" location="'Cloud-Based Ransomware Recovery'!B8" display="Deployment" xr:uid="{DC81EC9D-2209-8145-8753-493373355CF2}"/>
    <hyperlink ref="D5" location="'Cloud-Based Ransomware Recovery'!B130" display="Solution Interoperability" xr:uid="{2F33347E-3880-DB40-9D47-2366F63BB9A5}"/>
    <hyperlink ref="B5" location="'Deployment Options'!H50" display="Section Navigation (Click to Navigate)" xr:uid="{BB3CB128-EA8A-A248-B8D3-6BC0775E5FB6}"/>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notContainsText" priority="100" operator="notContains" id="{5EB05FF1-D513-6147-837F-8DD69FEF84AC}">
            <xm:f>ISERROR(SEARCH("Value Missing",D12))</xm:f>
            <xm:f>"Value Missing"</xm:f>
            <x14:dxf>
              <font>
                <color rgb="FF006100"/>
              </font>
              <fill>
                <patternFill>
                  <bgColor rgb="FFC6EFCE"/>
                </patternFill>
              </fill>
            </x14:dxf>
          </x14:cfRule>
          <x14:cfRule type="containsText" priority="101" operator="containsText" id="{BBB58756-9F9F-3046-8EB9-6E4C7533555F}">
            <xm:f>NOT(ISERROR(SEARCH("Value Missing",D12)))</xm:f>
            <xm:f>"Value Missing"</xm:f>
            <x14:dxf>
              <font>
                <color rgb="FF9C0006"/>
              </font>
              <fill>
                <patternFill>
                  <bgColor rgb="FFFFC7CE"/>
                </patternFill>
              </fill>
            </x14:dxf>
          </x14:cfRule>
          <xm:sqref>D12:D14</xm:sqref>
        </x14:conditionalFormatting>
        <x14:conditionalFormatting xmlns:xm="http://schemas.microsoft.com/office/excel/2006/main">
          <x14:cfRule type="notContainsText" priority="108" operator="notContains" id="{11C4B106-EF7E-7A49-B99E-9B51FE3DCFBB}">
            <xm:f>ISERROR(SEARCH("Value Missing",D18))</xm:f>
            <xm:f>"Value Missing"</xm:f>
            <x14:dxf>
              <font>
                <color rgb="FF006100"/>
              </font>
              <fill>
                <patternFill>
                  <bgColor rgb="FFC6EFCE"/>
                </patternFill>
              </fill>
            </x14:dxf>
          </x14:cfRule>
          <x14:cfRule type="containsText" priority="109" operator="containsText" id="{1BAD6A97-734B-204D-85BB-80ED55AB0655}">
            <xm:f>NOT(ISERROR(SEARCH("Value Missing",D18)))</xm:f>
            <xm:f>"Value Missing"</xm:f>
            <x14:dxf>
              <font>
                <color rgb="FF9C0006"/>
              </font>
              <fill>
                <patternFill>
                  <bgColor rgb="FFFFC7CE"/>
                </patternFill>
              </fill>
            </x14:dxf>
          </x14:cfRule>
          <xm:sqref>D18:D25 D99:D102</xm:sqref>
        </x14:conditionalFormatting>
        <x14:conditionalFormatting xmlns:xm="http://schemas.microsoft.com/office/excel/2006/main">
          <x14:cfRule type="notContainsText" priority="58" operator="notContains" id="{72A3921A-D190-DA4F-982B-7F85E315EBB9}">
            <xm:f>ISERROR(SEARCH("Value Missing",D29))</xm:f>
            <xm:f>"Value Missing"</xm:f>
            <x14:dxf>
              <font>
                <color rgb="FF006100"/>
              </font>
              <fill>
                <patternFill>
                  <bgColor rgb="FFC6EFCE"/>
                </patternFill>
              </fill>
            </x14:dxf>
          </x14:cfRule>
          <x14:cfRule type="containsText" priority="61" operator="containsText" id="{822208A5-0EF4-074A-B295-C0523FD0B838}">
            <xm:f>NOT(ISERROR(SEARCH("Value Missing",D29)))</xm:f>
            <xm:f>"Value Missing"</xm:f>
            <x14:dxf>
              <font>
                <color rgb="FF9C0006"/>
              </font>
              <fill>
                <patternFill>
                  <bgColor rgb="FFFFC7CE"/>
                </patternFill>
              </fill>
            </x14:dxf>
          </x14:cfRule>
          <xm:sqref>D29:D35</xm:sqref>
        </x14:conditionalFormatting>
        <x14:conditionalFormatting xmlns:xm="http://schemas.microsoft.com/office/excel/2006/main">
          <x14:cfRule type="notContainsText" priority="24" operator="notContains" id="{C78929DC-6F12-3846-86F6-5B819067CAFE}">
            <xm:f>ISERROR(SEARCH("Value Missing",D39))</xm:f>
            <xm:f>"Value Missing"</xm:f>
            <x14:dxf>
              <font>
                <color rgb="FF006100"/>
              </font>
              <fill>
                <patternFill>
                  <bgColor rgb="FFC6EFCE"/>
                </patternFill>
              </fill>
            </x14:dxf>
          </x14:cfRule>
          <x14:cfRule type="containsText" priority="25" operator="containsText" id="{B20E6817-CD61-AA4A-8640-C0D767999EFC}">
            <xm:f>NOT(ISERROR(SEARCH("Value Missing",D39)))</xm:f>
            <xm:f>"Value Missing"</xm:f>
            <x14:dxf>
              <font>
                <color rgb="FF9C0006"/>
              </font>
              <fill>
                <patternFill>
                  <bgColor rgb="FFFFC7CE"/>
                </patternFill>
              </fill>
            </x14:dxf>
          </x14:cfRule>
          <xm:sqref>D39:D40</xm:sqref>
        </x14:conditionalFormatting>
        <x14:conditionalFormatting xmlns:xm="http://schemas.microsoft.com/office/excel/2006/main">
          <x14:cfRule type="notContainsText" priority="21" operator="notContains" id="{D5908AB7-DB26-8348-9F10-BCB94569ADC2}">
            <xm:f>ISERROR(SEARCH("Value Missing",D44))</xm:f>
            <xm:f>"Value Missing"</xm:f>
            <x14:dxf>
              <font>
                <color rgb="FF006100"/>
              </font>
              <fill>
                <patternFill>
                  <bgColor rgb="FFC6EFCE"/>
                </patternFill>
              </fill>
            </x14:dxf>
          </x14:cfRule>
          <x14:cfRule type="containsText" priority="22" operator="containsText" id="{B38C4E63-30D8-254A-8D8C-17D7EA86315C}">
            <xm:f>NOT(ISERROR(SEARCH("Value Missing",D44)))</xm:f>
            <xm:f>"Value Missing"</xm:f>
            <x14:dxf>
              <font>
                <color rgb="FF9C0006"/>
              </font>
              <fill>
                <patternFill>
                  <bgColor rgb="FFFFC7CE"/>
                </patternFill>
              </fill>
            </x14:dxf>
          </x14:cfRule>
          <xm:sqref>D44:D46 D50:D53 D57:D75 D90:D95</xm:sqref>
        </x14:conditionalFormatting>
        <x14:conditionalFormatting xmlns:xm="http://schemas.microsoft.com/office/excel/2006/main">
          <x14:cfRule type="notContainsText" priority="18" operator="notContains" id="{C45E29EB-690B-1241-B2CA-05C2D5ED7A80}">
            <xm:f>ISERROR(SEARCH("Value Missing",D79))</xm:f>
            <xm:f>"Value Missing"</xm:f>
            <x14:dxf>
              <font>
                <color rgb="FF006100"/>
              </font>
              <fill>
                <patternFill>
                  <bgColor rgb="FFC6EFCE"/>
                </patternFill>
              </fill>
            </x14:dxf>
          </x14:cfRule>
          <x14:cfRule type="containsText" priority="20" operator="containsText" id="{1215972E-0B52-E74C-9FAB-85C7D14D05DF}">
            <xm:f>NOT(ISERROR(SEARCH("Value Missing",D79)))</xm:f>
            <xm:f>"Value Missing"</xm:f>
            <x14:dxf>
              <font>
                <color rgb="FF9C0006"/>
              </font>
              <fill>
                <patternFill>
                  <bgColor rgb="FFFFC7CE"/>
                </patternFill>
              </fill>
            </x14:dxf>
          </x14:cfRule>
          <xm:sqref>D79:D86</xm:sqref>
        </x14:conditionalFormatting>
        <x14:conditionalFormatting xmlns:xm="http://schemas.microsoft.com/office/excel/2006/main">
          <x14:cfRule type="notContainsText" priority="19" operator="notContains" id="{5771AB1C-ABD9-A84F-96EE-7C89AA6676A3}">
            <xm:f>ISERROR(SEARCH("Value Missing",D106))</xm:f>
            <xm:f>"Value Missing"</xm:f>
            <x14:dxf>
              <font>
                <color rgb="FF006100"/>
              </font>
              <fill>
                <patternFill>
                  <bgColor rgb="FFC6EFCE"/>
                </patternFill>
              </fill>
            </x14:dxf>
          </x14:cfRule>
          <x14:cfRule type="containsText" priority="23" operator="containsText" id="{E58D3D5F-CC94-3143-A83E-DBDA32765795}">
            <xm:f>NOT(ISERROR(SEARCH("Value Missing",D106)))</xm:f>
            <xm:f>"Value Missing"</xm:f>
            <x14:dxf>
              <font>
                <color rgb="FF9C0006"/>
              </font>
              <fill>
                <patternFill>
                  <bgColor rgb="FFFFC7CE"/>
                </patternFill>
              </fill>
            </x14:dxf>
          </x14:cfRule>
          <xm:sqref>D106:D110 D114:D115 D119:D122</xm:sqref>
        </x14:conditionalFormatting>
        <x14:conditionalFormatting xmlns:xm="http://schemas.microsoft.com/office/excel/2006/main">
          <x14:cfRule type="notContainsText" priority="14" operator="notContains" id="{883C6AFD-6B7A-704B-AB00-97506D3C19AB}">
            <xm:f>ISERROR(SEARCH("Value Missing",D130))</xm:f>
            <xm:f>"Value Missing"</xm:f>
            <x14:dxf>
              <font>
                <color rgb="FF006100"/>
              </font>
              <fill>
                <patternFill>
                  <bgColor rgb="FFC6EFCE"/>
                </patternFill>
              </fill>
            </x14:dxf>
          </x14:cfRule>
          <x14:cfRule type="containsText" priority="15" operator="containsText" id="{5D0D170A-5100-8F48-8851-1D3F1E538BEC}">
            <xm:f>NOT(ISERROR(SEARCH("Value Missing",D130)))</xm:f>
            <xm:f>"Value Missing"</xm:f>
            <x14:dxf>
              <font>
                <color rgb="FF9C0006"/>
              </font>
              <fill>
                <patternFill>
                  <bgColor rgb="FFFFC7CE"/>
                </patternFill>
              </fill>
            </x14:dxf>
          </x14:cfRule>
          <xm:sqref>D130:D134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38AD5-C809-B944-B157-C2C0A514B93C}">
  <sheetPr codeName="Sheet27">
    <tabColor theme="4" tint="0.39997558519241921"/>
  </sheetPr>
  <dimension ref="A1:S950"/>
  <sheetViews>
    <sheetView workbookViewId="0">
      <pane ySplit="6" topLeftCell="A7" activePane="bottomLeft" state="frozen"/>
      <selection pane="bottomLeft"/>
    </sheetView>
  </sheetViews>
  <sheetFormatPr baseColWidth="10" defaultColWidth="11" defaultRowHeight="16"/>
  <cols>
    <col min="1" max="1" width="2.83203125" style="103" customWidth="1"/>
    <col min="2" max="2" width="63.83203125" customWidth="1"/>
    <col min="3" max="3" width="78.83203125" customWidth="1"/>
    <col min="4" max="4" width="84.83203125" customWidth="1"/>
    <col min="5" max="5" width="60.83203125" customWidth="1"/>
    <col min="6" max="19" width="11" style="103"/>
  </cols>
  <sheetData>
    <row r="1" spans="1:6" s="103" customFormat="1">
      <c r="A1" s="120"/>
      <c r="B1" s="121"/>
      <c r="C1" s="121"/>
      <c r="D1" s="121"/>
      <c r="E1" s="121"/>
      <c r="F1" s="121"/>
    </row>
    <row r="2" spans="1:6" ht="54" customHeight="1">
      <c r="A2" s="121"/>
      <c r="B2" s="565"/>
      <c r="C2" s="565"/>
      <c r="D2" s="566" t="s">
        <v>3136</v>
      </c>
      <c r="E2" s="566"/>
      <c r="F2" s="121"/>
    </row>
    <row r="3" spans="1:6">
      <c r="A3" s="121"/>
      <c r="B3" s="567" t="s">
        <v>3137</v>
      </c>
      <c r="C3" s="567"/>
      <c r="D3" s="567"/>
      <c r="E3" s="567"/>
      <c r="F3" s="121"/>
    </row>
    <row r="4" spans="1:6">
      <c r="A4" s="122"/>
      <c r="B4" s="122"/>
      <c r="C4" s="122"/>
      <c r="D4" s="122"/>
      <c r="E4" s="122"/>
      <c r="F4" s="122"/>
    </row>
    <row r="5" spans="1:6" ht="34" customHeight="1">
      <c r="A5" s="122"/>
      <c r="B5" s="179" t="s">
        <v>2273</v>
      </c>
      <c r="C5" s="178" t="s">
        <v>32</v>
      </c>
      <c r="D5" s="262" t="s">
        <v>2275</v>
      </c>
      <c r="E5" s="127"/>
      <c r="F5" s="127"/>
    </row>
    <row r="6" spans="1:6" ht="20" customHeight="1">
      <c r="A6" s="121"/>
      <c r="B6" s="121"/>
      <c r="C6" s="121"/>
      <c r="D6" s="123"/>
      <c r="E6" s="124"/>
      <c r="F6" s="124"/>
    </row>
    <row r="7" spans="1:6">
      <c r="A7" s="122"/>
      <c r="B7" s="122"/>
      <c r="C7" s="122"/>
      <c r="D7" s="122"/>
      <c r="E7" s="122"/>
      <c r="F7" s="122"/>
    </row>
    <row r="8" spans="1:6" ht="34" customHeight="1">
      <c r="A8" s="122"/>
      <c r="B8" s="564" t="s">
        <v>32</v>
      </c>
      <c r="C8" s="564"/>
      <c r="D8" s="564"/>
      <c r="E8" s="564"/>
      <c r="F8" s="122"/>
    </row>
    <row r="9" spans="1:6" s="103" customFormat="1">
      <c r="A9" s="122"/>
      <c r="B9" s="122"/>
      <c r="C9" s="122"/>
      <c r="D9" s="122"/>
      <c r="E9" s="122"/>
      <c r="F9" s="122"/>
    </row>
    <row r="10" spans="1:6" ht="34" customHeight="1">
      <c r="A10" s="125"/>
      <c r="B10" s="557" t="s">
        <v>3138</v>
      </c>
      <c r="C10" s="557"/>
      <c r="D10" s="557"/>
      <c r="E10" s="557"/>
    </row>
    <row r="11" spans="1:6" ht="20" customHeight="1">
      <c r="A11" s="125"/>
      <c r="B11" s="112" t="s">
        <v>735</v>
      </c>
      <c r="C11" s="112" t="s">
        <v>554</v>
      </c>
      <c r="D11" s="113" t="s">
        <v>555</v>
      </c>
      <c r="E11" s="112" t="s">
        <v>222</v>
      </c>
    </row>
    <row r="12" spans="1:6" ht="20" customHeight="1">
      <c r="A12" s="125"/>
      <c r="B12" s="114" t="s">
        <v>2286</v>
      </c>
      <c r="C12" s="115" t="str">
        <f>sample_mgmt_vc_hostname&amp;"."&amp;sample_child_dns_zone</f>
        <v>sfo-m01-vc01.sfo.rainpole.io</v>
      </c>
      <c r="D12" s="12" t="str">
        <f>mgmt_vc_fqdn</f>
        <v>Value Missing.Value Missing</v>
      </c>
      <c r="E12" s="116"/>
    </row>
    <row r="13" spans="1:6" s="103" customFormat="1" ht="20" customHeight="1">
      <c r="A13" s="125"/>
      <c r="B13" s="163" t="s">
        <v>2971</v>
      </c>
      <c r="C13" s="136" t="str">
        <f>sample_ccm_hcx_vsphere_role</f>
        <v>VMware HCX to vSphere Integration</v>
      </c>
      <c r="D13" s="137" t="str" cm="1">
        <f t="array" ref="D13">ccm_hcx_vsphere_role</f>
        <v>Value Missing</v>
      </c>
      <c r="E13" s="116"/>
    </row>
    <row r="14" spans="1:6" s="103" customFormat="1" ht="20" customHeight="1"/>
    <row r="15" spans="1:6" s="103" customFormat="1" ht="34" customHeight="1">
      <c r="B15" s="557" t="s">
        <v>3139</v>
      </c>
      <c r="C15" s="557"/>
      <c r="D15" s="557"/>
      <c r="E15" s="557"/>
    </row>
    <row r="16" spans="1:6" s="103" customFormat="1" ht="20" customHeight="1">
      <c r="B16" s="112" t="s">
        <v>735</v>
      </c>
      <c r="C16" s="112" t="s">
        <v>554</v>
      </c>
      <c r="D16" s="113" t="s">
        <v>555</v>
      </c>
      <c r="E16" s="112" t="s">
        <v>222</v>
      </c>
    </row>
    <row r="17" spans="1:5" s="103" customFormat="1" ht="20" customHeight="1">
      <c r="B17" s="114" t="s">
        <v>2286</v>
      </c>
      <c r="C17" s="115" t="str">
        <f>sample_mgmt_vc_hostname&amp;"."&amp;sample_child_dns_zone</f>
        <v>sfo-m01-vc01.sfo.rainpole.io</v>
      </c>
      <c r="D17" s="12" t="str">
        <f>mgmt_vc_fqdn</f>
        <v>Value Missing.Value Missing</v>
      </c>
      <c r="E17" s="116"/>
    </row>
    <row r="18" spans="1:5" s="103" customFormat="1" ht="20" customHeight="1">
      <c r="B18" s="114" t="s">
        <v>2972</v>
      </c>
      <c r="C18" s="115" t="str">
        <f>sample_child_dns_zone</f>
        <v>sfo.rainpole.io</v>
      </c>
      <c r="D18" s="12" t="str">
        <f>child_dns_zone</f>
        <v>Value Missing</v>
      </c>
      <c r="E18" s="116"/>
    </row>
    <row r="19" spans="1:5" s="103" customFormat="1" ht="20" customHeight="1">
      <c r="B19" s="114" t="s">
        <v>2973</v>
      </c>
      <c r="C19" s="115" t="str">
        <f>sample_svc_ccm_hcx_vsphere_user</f>
        <v>svc-hcx-vsphere</v>
      </c>
      <c r="D19" s="12" t="str">
        <f>ccm_hcx_vsphere_svc_user</f>
        <v>Value Missing</v>
      </c>
      <c r="E19" s="116"/>
    </row>
    <row r="20" spans="1:5" s="103" customFormat="1" ht="20" customHeight="1">
      <c r="B20" s="117" t="s">
        <v>2974</v>
      </c>
      <c r="C20" s="115" t="str">
        <f>sample_ccm_hcx_vsphere_role</f>
        <v>VMware HCX to vSphere Integration</v>
      </c>
      <c r="D20" s="12" t="str">
        <f>ccm_hcx_vsphere_role</f>
        <v>Value Missing</v>
      </c>
      <c r="E20" s="116"/>
    </row>
    <row r="21" spans="1:5" s="103" customFormat="1" ht="20" customHeight="1"/>
    <row r="22" spans="1:5" s="103" customFormat="1" ht="34" customHeight="1">
      <c r="A22" s="125"/>
      <c r="B22" s="557" t="s">
        <v>3140</v>
      </c>
      <c r="C22" s="557"/>
      <c r="D22" s="557"/>
      <c r="E22" s="557"/>
    </row>
    <row r="23" spans="1:5" s="103" customFormat="1" ht="20" customHeight="1">
      <c r="A23" s="125"/>
      <c r="B23" s="112" t="s">
        <v>735</v>
      </c>
      <c r="C23" s="112" t="s">
        <v>554</v>
      </c>
      <c r="D23" s="113" t="s">
        <v>555</v>
      </c>
      <c r="E23" s="112" t="s">
        <v>222</v>
      </c>
    </row>
    <row r="24" spans="1:5" s="103" customFormat="1" ht="20" customHeight="1">
      <c r="A24" s="125"/>
      <c r="B24" s="114" t="s">
        <v>2286</v>
      </c>
      <c r="C24" s="115" t="str">
        <f>sample_mgmt_vc_hostname&amp;"."&amp;sample_child_dns_zone</f>
        <v>sfo-m01-vc01.sfo.rainpole.io</v>
      </c>
      <c r="D24" s="12" t="str">
        <f>mgmt_vc_fqdn</f>
        <v>Value Missing.Value Missing</v>
      </c>
      <c r="E24" s="116"/>
    </row>
    <row r="25" spans="1:5" s="103" customFormat="1" ht="20" customHeight="1">
      <c r="A25" s="125"/>
      <c r="B25" s="114" t="s">
        <v>841</v>
      </c>
      <c r="C25" s="115" t="str">
        <f>sample_mgmt_datacenter</f>
        <v>sfo-m01-dc01</v>
      </c>
      <c r="D25" s="12" t="str">
        <f>mgmt_datacenter</f>
        <v>Value Missing</v>
      </c>
      <c r="E25" s="116"/>
    </row>
    <row r="26" spans="1:5" s="103" customFormat="1" ht="20" customHeight="1">
      <c r="A26" s="125"/>
      <c r="B26" s="118" t="s">
        <v>3155</v>
      </c>
      <c r="C26" s="115" t="str">
        <f>sample_ccm_vm_folder</f>
        <v>sfo-m01-fd-ccm</v>
      </c>
      <c r="D26" s="12" t="str">
        <f>ccm_vm_folder</f>
        <v>Value Missing</v>
      </c>
      <c r="E26" s="116"/>
    </row>
    <row r="27" spans="1:5" s="103" customFormat="1" ht="20" customHeight="1"/>
    <row r="28" spans="1:5" s="103" customFormat="1" ht="34" customHeight="1">
      <c r="B28" s="557" t="s">
        <v>3141</v>
      </c>
      <c r="C28" s="557"/>
      <c r="D28" s="557"/>
      <c r="E28" s="557"/>
    </row>
    <row r="29" spans="1:5" s="103" customFormat="1" ht="20" customHeight="1">
      <c r="B29" s="112" t="s">
        <v>735</v>
      </c>
      <c r="C29" s="112" t="s">
        <v>554</v>
      </c>
      <c r="D29" s="113" t="s">
        <v>555</v>
      </c>
      <c r="E29" s="112" t="s">
        <v>222</v>
      </c>
    </row>
    <row r="30" spans="1:5" s="103" customFormat="1" ht="20" customHeight="1">
      <c r="B30" s="114" t="s">
        <v>2441</v>
      </c>
      <c r="C30" s="115" t="str">
        <f>sample_wld_vc_hostname&amp;"."&amp;sample_child_dns_zone</f>
        <v>sfo-w01-vc01.sfo.rainpole.io</v>
      </c>
      <c r="D30" s="12" t="str">
        <f>wld_vc_fqdn</f>
        <v>Value Missing.Value Missing</v>
      </c>
      <c r="E30" s="116"/>
    </row>
    <row r="31" spans="1:5" s="103" customFormat="1" ht="20" customHeight="1">
      <c r="B31" s="114" t="s">
        <v>841</v>
      </c>
      <c r="C31" s="115" t="str">
        <f>sample_wld_datacenter</f>
        <v>sfo-w01-DC</v>
      </c>
      <c r="D31" s="12" t="str">
        <f>wld_datacenter</f>
        <v>Value Missing</v>
      </c>
      <c r="E31" s="116"/>
    </row>
    <row r="32" spans="1:5" s="103" customFormat="1" ht="20" customHeight="1">
      <c r="B32" s="114" t="s">
        <v>2975</v>
      </c>
      <c r="C32" s="115" t="str">
        <f>sample_ccm_hcx_vm_folder</f>
        <v>sfo-w01-fd-hcx</v>
      </c>
      <c r="D32" s="12" t="e" cm="1">
        <f t="array" ref="D32">cbw_hcx_vm_folder</f>
        <v>#NAME?</v>
      </c>
      <c r="E32" s="116"/>
    </row>
    <row r="33" spans="2:5" s="103" customFormat="1" ht="20" customHeight="1">
      <c r="B33" s="114" t="s">
        <v>1088</v>
      </c>
      <c r="C33" s="115" t="str">
        <f>sample_ccm_hcx_resource_pool</f>
        <v>sfo-w01-cl01-rp-hcx</v>
      </c>
      <c r="D33" s="12" t="e" cm="1">
        <f t="array" ref="D33">cbw_hcx_resource_pool</f>
        <v>#NAME?</v>
      </c>
      <c r="E33" s="116"/>
    </row>
    <row r="34" spans="2:5" s="103" customFormat="1" ht="20" customHeight="1"/>
    <row r="35" spans="2:5" s="103" customFormat="1" ht="34" customHeight="1">
      <c r="B35" s="557" t="s">
        <v>3142</v>
      </c>
      <c r="C35" s="557"/>
      <c r="D35" s="557"/>
      <c r="E35" s="557"/>
    </row>
    <row r="36" spans="2:5" s="103" customFormat="1" ht="20" customHeight="1">
      <c r="B36" s="112" t="s">
        <v>735</v>
      </c>
      <c r="C36" s="112" t="s">
        <v>554</v>
      </c>
      <c r="D36" s="113" t="s">
        <v>555</v>
      </c>
      <c r="E36" s="112" t="s">
        <v>222</v>
      </c>
    </row>
    <row r="37" spans="2:5" s="103" customFormat="1" ht="20" customHeight="1">
      <c r="B37" s="114" t="s">
        <v>2976</v>
      </c>
      <c r="C37" s="115" t="str">
        <f>sample_wld_nsxt_hostname&amp;"."&amp;sample_child_dns_zone</f>
        <v>sfo-w01-nsx01.sfo.rainpole.io</v>
      </c>
      <c r="D37" s="12" t="str">
        <f>wld_nsxt_hostname&amp;"."&amp;child_dns_zone</f>
        <v>Value Missing.Value Missing</v>
      </c>
      <c r="E37" s="116"/>
    </row>
    <row r="38" spans="2:5" s="103" customFormat="1" ht="20" customHeight="1">
      <c r="B38" s="114" t="s">
        <v>1801</v>
      </c>
      <c r="C38" s="115" t="str">
        <f>sample_svc_ccm_hcx_nsx_user&amp;"@"&amp;sample_child_dns_zone</f>
        <v>svc-hcx-nsx@sfo.rainpole.io</v>
      </c>
      <c r="D38" s="12" t="str">
        <f>ccm_hcx_nsx_svc_user&amp;"@"&amp;child_dns_zone</f>
        <v>Value Missing@Value Missing</v>
      </c>
      <c r="E38" s="116"/>
    </row>
    <row r="39" spans="2:5" s="103" customFormat="1" ht="20" customHeight="1"/>
    <row r="40" spans="2:5" s="103" customFormat="1" ht="34" customHeight="1">
      <c r="B40" s="557" t="s">
        <v>3143</v>
      </c>
      <c r="C40" s="557"/>
      <c r="D40" s="557"/>
      <c r="E40" s="557"/>
    </row>
    <row r="41" spans="2:5" s="103" customFormat="1" ht="20" customHeight="1">
      <c r="B41" s="112" t="s">
        <v>735</v>
      </c>
      <c r="C41" s="112" t="s">
        <v>554</v>
      </c>
      <c r="D41" s="113" t="s">
        <v>555</v>
      </c>
      <c r="E41" s="112" t="s">
        <v>222</v>
      </c>
    </row>
    <row r="42" spans="2:5" s="103" customFormat="1" ht="20" customHeight="1">
      <c r="B42" s="114" t="s">
        <v>2964</v>
      </c>
      <c r="C42" s="115" t="s">
        <v>2965</v>
      </c>
      <c r="D42" s="12" t="str">
        <f>C42</f>
        <v>console.cloud.vmware.com</v>
      </c>
      <c r="E42" s="116"/>
    </row>
    <row r="43" spans="2:5" s="103" customFormat="1" ht="20" customHeight="1">
      <c r="B43" s="114" t="s">
        <v>2977</v>
      </c>
      <c r="C43" s="115" t="str">
        <f>sample_ccm_aws_sddc_name</f>
        <v>mobility-sddc</v>
      </c>
      <c r="D43" s="12" t="str">
        <f>ccm_aws_sddc_name</f>
        <v>Value Missing</v>
      </c>
      <c r="E43" s="116"/>
    </row>
    <row r="44" spans="2:5" s="103" customFormat="1" ht="20" customHeight="1">
      <c r="B44" s="114" t="s">
        <v>1091</v>
      </c>
      <c r="C44" s="115" t="str">
        <f>sample_ccm_aws_region</f>
        <v>Europe (Ireland)</v>
      </c>
      <c r="D44" s="12" t="str">
        <f>ccm_aws_region</f>
        <v>Value Missing</v>
      </c>
      <c r="E44" s="116"/>
    </row>
    <row r="45" spans="2:5" s="103" customFormat="1" ht="20" customHeight="1">
      <c r="B45" s="114" t="s">
        <v>1093</v>
      </c>
      <c r="C45" s="115" t="str">
        <f>sample_ccm_aws_host_type</f>
        <v>I3 (Local SSD)</v>
      </c>
      <c r="D45" s="12" t="str">
        <f>ccm_aws_host_type</f>
        <v>Value Missing</v>
      </c>
      <c r="E45" s="116"/>
    </row>
    <row r="46" spans="2:5" s="103" customFormat="1" ht="20" customHeight="1">
      <c r="B46" s="114" t="s">
        <v>1095</v>
      </c>
      <c r="C46" s="115">
        <f>sample_ccm_aws_host_count</f>
        <v>2</v>
      </c>
      <c r="D46" s="12" t="str">
        <f>ccm_aws_host_count</f>
        <v>Value Missing</v>
      </c>
      <c r="E46" s="116"/>
    </row>
    <row r="47" spans="2:5" s="103" customFormat="1" ht="20" customHeight="1">
      <c r="B47" s="114" t="s">
        <v>1096</v>
      </c>
      <c r="C47" s="115" t="str">
        <f>sample_ccm_aws_vpc</f>
        <v>&lt;generated&gt;</v>
      </c>
      <c r="D47" s="12" t="str">
        <f>ccm_aws_vpc</f>
        <v>Value Missing</v>
      </c>
      <c r="E47" s="116"/>
    </row>
    <row r="48" spans="2:5" s="103" customFormat="1" ht="20" customHeight="1">
      <c r="B48" s="114" t="s">
        <v>1098</v>
      </c>
      <c r="C48" s="115" t="str">
        <f>sample_ccm_aws_subnet</f>
        <v>&lt;generated&gt;</v>
      </c>
      <c r="D48" s="12" t="str">
        <f>ccm_aws_subnet</f>
        <v>Value Missing</v>
      </c>
      <c r="E48" s="116"/>
    </row>
    <row r="49" spans="2:5" s="103" customFormat="1" ht="20" customHeight="1">
      <c r="B49" s="114" t="s">
        <v>1099</v>
      </c>
      <c r="C49" s="115" t="str">
        <f>sample_ccm_aws_management_subnet</f>
        <v>10.2.0.0/16</v>
      </c>
      <c r="D49" s="12" t="str">
        <f>ccm_aws_management_subnet</f>
        <v>Value Missing</v>
      </c>
      <c r="E49" s="116"/>
    </row>
    <row r="50" spans="2:5" s="103" customFormat="1" ht="20" customHeight="1"/>
    <row r="51" spans="2:5" s="103" customFormat="1" ht="34" customHeight="1">
      <c r="B51" s="557" t="s">
        <v>3144</v>
      </c>
      <c r="C51" s="557"/>
      <c r="D51" s="557"/>
      <c r="E51" s="557"/>
    </row>
    <row r="52" spans="2:5" s="103" customFormat="1" ht="20" customHeight="1">
      <c r="B52" s="112" t="s">
        <v>735</v>
      </c>
      <c r="C52" s="112" t="s">
        <v>554</v>
      </c>
      <c r="D52" s="113" t="s">
        <v>555</v>
      </c>
      <c r="E52" s="112" t="s">
        <v>222</v>
      </c>
    </row>
    <row r="53" spans="2:5" s="103" customFormat="1" ht="20" customHeight="1">
      <c r="B53" s="114" t="s">
        <v>2964</v>
      </c>
      <c r="C53" s="115" t="s">
        <v>2965</v>
      </c>
      <c r="D53" s="12" t="s">
        <v>2965</v>
      </c>
      <c r="E53" s="116"/>
    </row>
    <row r="54" spans="2:5" s="103" customFormat="1" ht="20" customHeight="1">
      <c r="B54" s="114" t="s">
        <v>2978</v>
      </c>
      <c r="C54" s="115" t="str">
        <f>sample_ccm_firewall_rule_vcenter</f>
        <v>vCenter Inbound Rule</v>
      </c>
      <c r="D54" s="12" t="str">
        <f>ccm_firewall_rule_vcenter</f>
        <v>Value Missing</v>
      </c>
      <c r="E54" s="116"/>
    </row>
    <row r="55" spans="2:5" s="103" customFormat="1" ht="20" customHeight="1">
      <c r="B55" s="114" t="s">
        <v>2979</v>
      </c>
      <c r="C55" s="115" t="str">
        <f>sample_ccm_firewall_group</f>
        <v>External-Access</v>
      </c>
      <c r="D55" s="12" t="str">
        <f>ccm_firewall_group</f>
        <v>Value Missing</v>
      </c>
      <c r="E55" s="116"/>
    </row>
    <row r="56" spans="2:5" s="103" customFormat="1" ht="20" customHeight="1">
      <c r="B56" s="114" t="s">
        <v>2980</v>
      </c>
      <c r="C56" s="115" t="s">
        <v>1802</v>
      </c>
      <c r="D56" s="12" t="str">
        <f>C56</f>
        <v>vCenter</v>
      </c>
      <c r="E56" s="116"/>
    </row>
    <row r="57" spans="2:5" s="103" customFormat="1" ht="20" customHeight="1">
      <c r="B57" s="114" t="s">
        <v>2981</v>
      </c>
      <c r="C57" s="115" t="s">
        <v>2982</v>
      </c>
      <c r="D57" s="12" t="str">
        <f>C57</f>
        <v>HTTPS (TCP 443)</v>
      </c>
      <c r="E57" s="116"/>
    </row>
    <row r="58" spans="2:5" s="103" customFormat="1" ht="20" customHeight="1">
      <c r="B58" s="114" t="s">
        <v>2981</v>
      </c>
      <c r="C58" s="115" t="s">
        <v>2983</v>
      </c>
      <c r="D58" s="12" t="str">
        <f>C58</f>
        <v>SSO (TCP 7444)</v>
      </c>
      <c r="E58" s="116"/>
    </row>
    <row r="59" spans="2:5" s="103" customFormat="1" ht="20" customHeight="1">
      <c r="B59" s="114" t="s">
        <v>2984</v>
      </c>
      <c r="C59" s="115" t="str">
        <f>sample_ccm_firewall_ip_addresses</f>
        <v>69.34.34.11</v>
      </c>
      <c r="D59" s="12" t="str">
        <f>ccm_firewall_ip_addresses</f>
        <v>Value Missing</v>
      </c>
      <c r="E59" s="116"/>
    </row>
    <row r="60" spans="2:5" s="103" customFormat="1" ht="20" customHeight="1"/>
    <row r="61" spans="2:5" s="103" customFormat="1" ht="34" customHeight="1">
      <c r="B61" s="557" t="s">
        <v>3145</v>
      </c>
      <c r="C61" s="557"/>
      <c r="D61" s="557"/>
      <c r="E61" s="557"/>
    </row>
    <row r="62" spans="2:5" s="103" customFormat="1" ht="20" customHeight="1">
      <c r="B62" s="112" t="s">
        <v>735</v>
      </c>
      <c r="C62" s="112" t="s">
        <v>554</v>
      </c>
      <c r="D62" s="113" t="s">
        <v>555</v>
      </c>
      <c r="E62" s="112" t="s">
        <v>222</v>
      </c>
    </row>
    <row r="63" spans="2:5" s="103" customFormat="1" ht="20" customHeight="1">
      <c r="B63" s="114" t="s">
        <v>2964</v>
      </c>
      <c r="C63" s="115" t="s">
        <v>2965</v>
      </c>
      <c r="D63" s="12" t="s">
        <v>2965</v>
      </c>
      <c r="E63" s="116"/>
    </row>
    <row r="64" spans="2:5" s="103" customFormat="1" ht="20" customHeight="1">
      <c r="B64" s="114" t="s">
        <v>3133</v>
      </c>
      <c r="C64" s="115" t="str">
        <f>sample_ccm_aws_sddc_name</f>
        <v>mobility-sddc</v>
      </c>
      <c r="D64" s="12" t="str">
        <f>ccm_aws_sddc_name</f>
        <v>Value Missing</v>
      </c>
      <c r="E64" s="116"/>
    </row>
    <row r="65" spans="2:5" s="103" customFormat="1" ht="20" customHeight="1"/>
    <row r="66" spans="2:5" s="103" customFormat="1" ht="34" customHeight="1">
      <c r="B66" s="557" t="s">
        <v>3146</v>
      </c>
      <c r="C66" s="557"/>
      <c r="D66" s="557"/>
      <c r="E66" s="557"/>
    </row>
    <row r="67" spans="2:5" s="103" customFormat="1" ht="20" customHeight="1">
      <c r="B67" s="112" t="s">
        <v>735</v>
      </c>
      <c r="C67" s="112" t="s">
        <v>554</v>
      </c>
      <c r="D67" s="113" t="s">
        <v>555</v>
      </c>
      <c r="E67" s="112" t="s">
        <v>222</v>
      </c>
    </row>
    <row r="68" spans="2:5" s="103" customFormat="1" ht="20" customHeight="1">
      <c r="B68" s="114" t="s">
        <v>2964</v>
      </c>
      <c r="C68" s="115" t="s">
        <v>2965</v>
      </c>
      <c r="D68" s="12" t="str">
        <f>C68</f>
        <v>console.cloud.vmware.com</v>
      </c>
      <c r="E68" s="116"/>
    </row>
    <row r="69" spans="2:5" s="103" customFormat="1" ht="20" customHeight="1">
      <c r="B69" s="163" t="s">
        <v>3133</v>
      </c>
      <c r="C69" s="136" t="str">
        <f>sample_ccm_aws_sddc_name</f>
        <v>mobility-sddc</v>
      </c>
      <c r="D69" s="137" t="str">
        <f>ccm_aws_sddc_name</f>
        <v>Value Missing</v>
      </c>
      <c r="E69" s="116"/>
    </row>
    <row r="70" spans="2:5" s="103" customFormat="1" ht="20" customHeight="1">
      <c r="B70" s="558" t="s">
        <v>2985</v>
      </c>
      <c r="C70" s="558"/>
      <c r="D70" s="558"/>
      <c r="E70" s="437"/>
    </row>
    <row r="71" spans="2:5" s="103" customFormat="1" ht="20" customHeight="1">
      <c r="B71" s="114" t="s">
        <v>2286</v>
      </c>
      <c r="C71" s="115" t="str">
        <f>sample_mgmt_vc_hostname&amp;"."&amp;sample_child_dns_zone</f>
        <v>sfo-m01-vc01.sfo.rainpole.io</v>
      </c>
      <c r="D71" s="12" t="str">
        <f>mgmt_vc_fqdn</f>
        <v>Value Missing.Value Missing</v>
      </c>
      <c r="E71" s="116"/>
    </row>
    <row r="72" spans="2:5" s="103" customFormat="1" ht="20" customHeight="1">
      <c r="B72" s="114" t="s">
        <v>2986</v>
      </c>
      <c r="C72" s="115" t="str">
        <f>sample_ccm_vm_folder</f>
        <v>sfo-m01-fd-ccm</v>
      </c>
      <c r="D72" s="12" t="str">
        <f>ccm_vm_folder</f>
        <v>Value Missing</v>
      </c>
      <c r="E72" s="116"/>
    </row>
    <row r="73" spans="2:5" s="103" customFormat="1" ht="20" customHeight="1">
      <c r="B73" s="114" t="s">
        <v>2297</v>
      </c>
      <c r="C73" s="115" t="str">
        <f>sample_ccm_hcx_cdp_hostname</f>
        <v>sfo-ccm-hcx01</v>
      </c>
      <c r="D73" s="12" t="str">
        <f>ccm_hcx_cdp_hostname</f>
        <v>Value Missing</v>
      </c>
      <c r="E73" s="116"/>
    </row>
    <row r="74" spans="2:5" s="103" customFormat="1" ht="20" customHeight="1">
      <c r="B74" s="114" t="s">
        <v>2298</v>
      </c>
      <c r="C74" s="115" t="str">
        <f>sample_mgmt_cl01_cluster</f>
        <v>sfo-m01-cl01</v>
      </c>
      <c r="D74" s="12" t="str">
        <f>mgmt_cl01_cluster</f>
        <v>Value Missing</v>
      </c>
      <c r="E74" s="116"/>
    </row>
    <row r="75" spans="2:5" s="103" customFormat="1" ht="20" customHeight="1">
      <c r="B75" s="114" t="s">
        <v>2299</v>
      </c>
      <c r="C75" s="115" t="str">
        <f>sample_mgmt_cl01_vsan_datastore</f>
        <v>sfo-m01-cl01-ds-vsan01</v>
      </c>
      <c r="D75" s="12" t="str">
        <f>mgmt_cl01_vsan_datastore</f>
        <v>Value Missing</v>
      </c>
      <c r="E75" s="116"/>
    </row>
    <row r="76" spans="2:5" s="103" customFormat="1" ht="20" customHeight="1">
      <c r="B76" s="114" t="s">
        <v>1798</v>
      </c>
      <c r="C76" s="115" t="str">
        <f>sample_mgmt_cl01_az1_mgmt_pg</f>
        <v>sfo-m01-cl01-vds01-pg-esxi-mgmt</v>
      </c>
      <c r="D76" s="12" t="str">
        <f>mgmt_cl01_az1_mgmt_pg</f>
        <v>Value Missing</v>
      </c>
      <c r="E76" s="116"/>
    </row>
    <row r="77" spans="2:5" s="103" customFormat="1" ht="20" customHeight="1">
      <c r="B77" s="114" t="s">
        <v>2987</v>
      </c>
      <c r="C77" s="115" t="str">
        <f>sample_ccm_hcx_admin_password</f>
        <v>VMw@re1!</v>
      </c>
      <c r="D77" s="12" t="str">
        <f>ccm_hcx_admin_password</f>
        <v>Value Missing</v>
      </c>
      <c r="E77" s="116"/>
    </row>
    <row r="78" spans="2:5" s="103" customFormat="1" ht="20" customHeight="1">
      <c r="B78" s="114" t="s">
        <v>2966</v>
      </c>
      <c r="C78" s="115" t="str">
        <f>sample_ccm_hcx_root_password</f>
        <v>VMw@re1!</v>
      </c>
      <c r="D78" s="12" t="str">
        <f>ccm_hcx_root_password</f>
        <v>Value Missing</v>
      </c>
      <c r="E78" s="116"/>
    </row>
    <row r="79" spans="2:5" s="103" customFormat="1" ht="20" customHeight="1">
      <c r="B79" s="114" t="s">
        <v>1686</v>
      </c>
      <c r="C79" s="115" t="e">
        <f>sample_cbw_hcx_cdp_hostname&amp;"."&amp;sample_child_dns_zone</f>
        <v>#NAME?</v>
      </c>
      <c r="D79" s="12" t="str">
        <f>ccm_hcx_cdp_hostname&amp;"."&amp;child_dns_zone</f>
        <v>Value Missing.Value Missing</v>
      </c>
      <c r="E79" s="116"/>
    </row>
    <row r="80" spans="2:5" s="103" customFormat="1" ht="20" customHeight="1">
      <c r="B80" s="114" t="s">
        <v>2988</v>
      </c>
      <c r="C80" s="115" t="str">
        <f>sample_ccm_hcx_cdp_ip</f>
        <v>10.11.10.46</v>
      </c>
      <c r="D80" s="12" t="str">
        <f>ccm_hcx_cdp_ip</f>
        <v>Value Missing</v>
      </c>
      <c r="E80" s="116"/>
    </row>
    <row r="81" spans="2:5" s="103" customFormat="1" ht="20" customHeight="1">
      <c r="B81" s="114" t="s">
        <v>2989</v>
      </c>
      <c r="C81" s="115">
        <f>INT(RIGHT(sample_mgmt_az1_mgmt_cidr,LEN(sample_mgmt_az1_mgmt_cidr)-FIND("/",sample_mgmt_az1_mgmt_cidr)))</f>
        <v>24</v>
      </c>
      <c r="D81" s="12" t="e">
        <f>INT(RIGHT(mgmt_az1_mgmt_cidr,LEN(mgmt_az1_mgmt_cidr)-FIND("/",mgmt_az1_mgmt_cidr)))</f>
        <v>#VALUE!</v>
      </c>
      <c r="E81" s="116"/>
    </row>
    <row r="82" spans="2:5" s="103" customFormat="1" ht="20" customHeight="1">
      <c r="B82" s="114" t="s">
        <v>2990</v>
      </c>
      <c r="C82" s="115" t="str">
        <f>sample_mgmt_az1_mgmt_gateway_ip</f>
        <v>10.11.11.1</v>
      </c>
      <c r="D82" s="12" t="str">
        <f>mgmt_az1_mgmt_gateway_ip</f>
        <v>Value Missing</v>
      </c>
      <c r="E82" s="116"/>
    </row>
    <row r="83" spans="2:5" s="103" customFormat="1" ht="20" customHeight="1">
      <c r="B83" s="114" t="s">
        <v>2991</v>
      </c>
      <c r="C83" s="115" t="str">
        <f>sample_region_dns1_ip&amp;" "&amp;sample_region_dns2_ip</f>
        <v>10.11.10.4 10.11.10.5</v>
      </c>
      <c r="D83" s="12" t="str">
        <f>region_dns1_ip&amp;" "&amp;region_dns2_ip</f>
        <v>Value Missing Value Missing</v>
      </c>
      <c r="E83" s="116"/>
    </row>
    <row r="84" spans="2:5" s="103" customFormat="1" ht="20" customHeight="1">
      <c r="B84" s="114" t="s">
        <v>2992</v>
      </c>
      <c r="C84" s="115" t="str">
        <f>sample_child_dns_zone</f>
        <v>sfo.rainpole.io</v>
      </c>
      <c r="D84" s="12" t="str">
        <f>child_dns_zone</f>
        <v>Value Missing</v>
      </c>
      <c r="E84" s="116"/>
    </row>
    <row r="85" spans="2:5" s="103" customFormat="1" ht="20" customHeight="1">
      <c r="B85" s="114" t="s">
        <v>2993</v>
      </c>
      <c r="C85" s="115" t="str">
        <f>sample_region_ntp1_server</f>
        <v>ntp.sfo.rainpole.io</v>
      </c>
      <c r="D85" s="12" t="str">
        <f>region_ntp1_server</f>
        <v>Value Missing</v>
      </c>
      <c r="E85" s="116"/>
    </row>
    <row r="86" spans="2:5" s="103" customFormat="1" ht="20" customHeight="1">
      <c r="B86" s="558" t="s">
        <v>2994</v>
      </c>
      <c r="C86" s="558"/>
      <c r="D86" s="558"/>
      <c r="E86" s="437"/>
    </row>
    <row r="87" spans="2:5" s="103" customFormat="1" ht="20" customHeight="1">
      <c r="B87" s="114" t="s">
        <v>1109</v>
      </c>
      <c r="C87" s="115" t="str">
        <f>sample_ccm_hcx_license</f>
        <v>xxxxx-xxxxx-xxxxx-xxxxx-xxxxx</v>
      </c>
      <c r="D87" s="12" t="str">
        <f>ccm_hcx_license</f>
        <v>Value Missing</v>
      </c>
      <c r="E87" s="116"/>
    </row>
    <row r="88" spans="2:5" s="103" customFormat="1" ht="20" customHeight="1">
      <c r="B88" s="114" t="s">
        <v>2995</v>
      </c>
      <c r="C88" s="115" t="str">
        <f>sample_ccm_hcx_dc_location</f>
        <v>San Francisco, United States of America</v>
      </c>
      <c r="D88" s="12" t="str">
        <f>ccm_hcx_dc_location</f>
        <v>Value Missing</v>
      </c>
      <c r="E88" s="116"/>
    </row>
    <row r="89" spans="2:5" s="103" customFormat="1" ht="20" customHeight="1">
      <c r="B89" s="114" t="s">
        <v>2996</v>
      </c>
      <c r="C89" s="115" t="str">
        <f>sample_ccm_hcx_cdp_hostname&amp;"."&amp;sample_child_dns_zone</f>
        <v>sfo-ccm-hcx01.sfo.rainpole.io</v>
      </c>
      <c r="D89" s="12" t="str">
        <f>ccm_hcx_cdp_hostname&amp;"."&amp;child_dns_zone</f>
        <v>Value Missing.Value Missing</v>
      </c>
      <c r="E89" s="116"/>
    </row>
    <row r="90" spans="2:5" s="103" customFormat="1" ht="20" customHeight="1">
      <c r="B90" s="114" t="s">
        <v>637</v>
      </c>
      <c r="C90" s="115" t="str">
        <f>sample_wld_vc_hostname&amp;"."&amp;sample_child_dns_zone</f>
        <v>sfo-w01-vc01.sfo.rainpole.io</v>
      </c>
      <c r="D90" s="12" t="str">
        <f>wld_vc_fqdn</f>
        <v>Value Missing.Value Missing</v>
      </c>
      <c r="E90" s="116"/>
    </row>
    <row r="91" spans="2:5" s="103" customFormat="1" ht="20" customHeight="1">
      <c r="B91" s="114" t="s">
        <v>1806</v>
      </c>
      <c r="C91" s="115" t="str">
        <f>sample_svc_ccm_hcx_vsphere_user&amp;"@"&amp;sample_child_dns_zone</f>
        <v>svc-hcx-vsphere@sfo.rainpole.io</v>
      </c>
      <c r="D91" s="12" t="str">
        <f>ccm_hcx_vsphere_svc_user&amp;"@"&amp;child_dns_zone</f>
        <v>Value Missing@Value Missing</v>
      </c>
      <c r="E91" s="116"/>
    </row>
    <row r="92" spans="2:5" s="103" customFormat="1" ht="20" customHeight="1">
      <c r="B92" s="114" t="s">
        <v>1796</v>
      </c>
      <c r="C92" s="115" t="str">
        <f>sample_svc_ccm_hcx_vsphere_password</f>
        <v>VMw@re1!</v>
      </c>
      <c r="D92" s="12" t="str">
        <f>ccm_hcx_vsphere_svc_password</f>
        <v>Value Missing</v>
      </c>
      <c r="E92" s="116"/>
    </row>
    <row r="93" spans="2:5" s="103" customFormat="1" ht="20" customHeight="1">
      <c r="B93" s="114" t="s">
        <v>1634</v>
      </c>
      <c r="C93" s="115" t="str">
        <f>sample_wld_nsxt_hostname&amp;"."&amp;sample_child_dns_zone</f>
        <v>sfo-w01-nsx01.sfo.rainpole.io</v>
      </c>
      <c r="D93" s="12" t="str">
        <f>wld_nsxt_mgra_fqdn</f>
        <v>Value Missing.Value Missing</v>
      </c>
      <c r="E93" s="116"/>
    </row>
    <row r="94" spans="2:5" s="103" customFormat="1" ht="20" customHeight="1">
      <c r="B94" s="114" t="s">
        <v>1806</v>
      </c>
      <c r="C94" s="115" t="str">
        <f>sample_svc_ccm_hcx_nsx_user&amp;"@"&amp;sample_child_dns_zone</f>
        <v>svc-hcx-nsx@sfo.rainpole.io</v>
      </c>
      <c r="D94" s="12" t="str">
        <f>ccm_hcx_nsx_svc_user&amp;"@"&amp;child_dns_zone</f>
        <v>Value Missing@Value Missing</v>
      </c>
      <c r="E94" s="116"/>
    </row>
    <row r="95" spans="2:5" s="103" customFormat="1" ht="20" customHeight="1">
      <c r="B95" s="114" t="s">
        <v>1796</v>
      </c>
      <c r="C95" s="115" t="str">
        <f>sample_svc_ccm_hcx_nsx_password</f>
        <v>VMw@re1!</v>
      </c>
      <c r="D95" s="12" t="str">
        <f>ccm_hcx_nsx_svc_password</f>
        <v>Value Missing</v>
      </c>
      <c r="E95" s="116"/>
    </row>
    <row r="96" spans="2:5" s="103" customFormat="1" ht="20" customHeight="1">
      <c r="B96" s="114" t="s">
        <v>2997</v>
      </c>
      <c r="C96" s="115" t="str">
        <f>sample_wld_vc_hostname&amp;"."&amp;sample_child_dns_zone</f>
        <v>sfo-w01-vc01.sfo.rainpole.io</v>
      </c>
      <c r="D96" s="12" t="str">
        <f>wld_vc_fqdn</f>
        <v>Value Missing.Value Missing</v>
      </c>
      <c r="E96" s="116"/>
    </row>
    <row r="97" spans="2:5" s="103" customFormat="1" ht="20" customHeight="1"/>
    <row r="98" spans="2:5" s="103" customFormat="1" ht="34" customHeight="1">
      <c r="B98" s="557" t="s">
        <v>3147</v>
      </c>
      <c r="C98" s="557"/>
      <c r="D98" s="557"/>
      <c r="E98" s="557"/>
    </row>
    <row r="99" spans="2:5" s="103" customFormat="1" ht="20" customHeight="1">
      <c r="B99" s="112" t="s">
        <v>735</v>
      </c>
      <c r="C99" s="112" t="s">
        <v>554</v>
      </c>
      <c r="D99" s="113" t="s">
        <v>555</v>
      </c>
      <c r="E99" s="112" t="s">
        <v>222</v>
      </c>
    </row>
    <row r="100" spans="2:5" s="103" customFormat="1" ht="20" customHeight="1">
      <c r="B100" s="114" t="s">
        <v>2998</v>
      </c>
      <c r="C100" s="115" t="str">
        <f>sample_ccm_hcx_cdp_hostname&amp;"."&amp;sample_child_dns_zone</f>
        <v>sfo-ccm-hcx01.sfo.rainpole.io</v>
      </c>
      <c r="D100" s="12" t="str">
        <f>ccm_hcx_cdp_hostname&amp;"."&amp;child_dns_zone</f>
        <v>Value Missing.Value Missing</v>
      </c>
      <c r="E100" s="116"/>
    </row>
    <row r="101" spans="2:5" s="103" customFormat="1" ht="20" customHeight="1">
      <c r="B101" s="114" t="s">
        <v>2987</v>
      </c>
      <c r="C101" s="115" t="str">
        <f>sample_ccm_hcx_admin_password</f>
        <v>VMw@re1!</v>
      </c>
      <c r="D101" s="12" t="str">
        <f>ccm_hcx_admin_password</f>
        <v>Value Missing</v>
      </c>
      <c r="E101" s="116"/>
    </row>
    <row r="102" spans="2:5" s="103" customFormat="1" ht="20" customHeight="1"/>
    <row r="103" spans="2:5" s="103" customFormat="1" ht="34" customHeight="1">
      <c r="B103" s="557" t="s">
        <v>3148</v>
      </c>
      <c r="C103" s="557"/>
      <c r="D103" s="557"/>
      <c r="E103" s="557"/>
    </row>
    <row r="104" spans="2:5" s="103" customFormat="1" ht="20" customHeight="1">
      <c r="B104" s="112" t="s">
        <v>735</v>
      </c>
      <c r="C104" s="112" t="s">
        <v>554</v>
      </c>
      <c r="D104" s="113" t="s">
        <v>555</v>
      </c>
      <c r="E104" s="112" t="s">
        <v>222</v>
      </c>
    </row>
    <row r="105" spans="2:5" s="103" customFormat="1" ht="20" customHeight="1">
      <c r="B105" s="114" t="s">
        <v>2286</v>
      </c>
      <c r="C105" s="115" t="str">
        <f>sample_mgmt_vc_hostname&amp;"."&amp;sample_child_dns_zone</f>
        <v>sfo-m01-vc01.sfo.rainpole.io</v>
      </c>
      <c r="D105" s="12" t="str">
        <f>mgmt_vc_fqdn</f>
        <v>Value Missing.Value Missing</v>
      </c>
      <c r="E105" s="116"/>
    </row>
    <row r="106" spans="2:5" s="103" customFormat="1" ht="20" customHeight="1">
      <c r="B106" s="114" t="s">
        <v>735</v>
      </c>
      <c r="C106" s="115" t="str">
        <f>sample_mgmt_cl01_cluster&amp;"_primary-az-vmgroup"</f>
        <v>sfo-m01-cl01_primary-az-vmgroup</v>
      </c>
      <c r="D106" s="12" t="str">
        <f>mgmt_cl01_cluster&amp;"_primary-az-vmgroup"</f>
        <v>Value Missing_primary-az-vmgroup</v>
      </c>
      <c r="E106" s="116"/>
    </row>
    <row r="107" spans="2:5" s="103" customFormat="1" ht="20" customHeight="1">
      <c r="B107" s="163" t="s">
        <v>2302</v>
      </c>
      <c r="C107" s="136" t="str">
        <f>sample_ccm_hcx_cdp_hostname</f>
        <v>sfo-ccm-hcx01</v>
      </c>
      <c r="D107" s="137" t="str">
        <f>ccm_hcx_cdp_hostname</f>
        <v>Value Missing</v>
      </c>
      <c r="E107" s="116"/>
    </row>
    <row r="108" spans="2:5" s="103" customFormat="1" ht="20" customHeight="1"/>
    <row r="109" spans="2:5" s="103" customFormat="1" ht="34" customHeight="1">
      <c r="B109" s="557" t="s">
        <v>3149</v>
      </c>
      <c r="C109" s="557"/>
      <c r="D109" s="557"/>
      <c r="E109" s="557"/>
    </row>
    <row r="110" spans="2:5" s="103" customFormat="1" ht="20" customHeight="1">
      <c r="B110" s="112" t="s">
        <v>735</v>
      </c>
      <c r="C110" s="112" t="s">
        <v>554</v>
      </c>
      <c r="D110" s="113" t="s">
        <v>555</v>
      </c>
      <c r="E110" s="112" t="s">
        <v>222</v>
      </c>
    </row>
    <row r="111" spans="2:5" s="103" customFormat="1" ht="20" customHeight="1">
      <c r="B111" s="114" t="s">
        <v>2964</v>
      </c>
      <c r="C111" s="115" t="s">
        <v>2965</v>
      </c>
      <c r="D111" s="12" t="s">
        <v>2965</v>
      </c>
      <c r="E111" s="116"/>
    </row>
    <row r="112" spans="2:5" s="103" customFormat="1" ht="20" customHeight="1">
      <c r="B112" s="114" t="s">
        <v>2978</v>
      </c>
      <c r="C112" s="115" t="str">
        <f>sample_ccm_firewall_rule_hcx</f>
        <v>HCX Inbound Rule</v>
      </c>
      <c r="D112" s="12" t="str">
        <f>ccm_firewall_rule_hcx</f>
        <v>Value Missing</v>
      </c>
      <c r="E112" s="116"/>
    </row>
    <row r="113" spans="2:5" s="103" customFormat="1" ht="20" customHeight="1">
      <c r="B113" s="114" t="s">
        <v>2979</v>
      </c>
      <c r="C113" s="115" t="str">
        <f>sample_ccm_firewall_group</f>
        <v>External-Access</v>
      </c>
      <c r="D113" s="12" t="str">
        <f>ccm_firewall_group</f>
        <v>Value Missing</v>
      </c>
      <c r="E113" s="116"/>
    </row>
    <row r="114" spans="2:5" s="103" customFormat="1" ht="20" customHeight="1">
      <c r="B114" s="114" t="s">
        <v>2980</v>
      </c>
      <c r="C114" s="115" t="s">
        <v>2999</v>
      </c>
      <c r="D114" s="12" t="str">
        <f>C114</f>
        <v>HCX</v>
      </c>
      <c r="E114" s="116"/>
    </row>
    <row r="115" spans="2:5" s="103" customFormat="1" ht="20" customHeight="1">
      <c r="B115" s="114" t="s">
        <v>2981</v>
      </c>
      <c r="C115" s="115" t="s">
        <v>3000</v>
      </c>
      <c r="D115" s="12" t="str">
        <f>C115</f>
        <v>Appliance Management (TCP 9443)</v>
      </c>
      <c r="E115" s="116"/>
    </row>
    <row r="116" spans="2:5" s="103" customFormat="1" ht="20" customHeight="1">
      <c r="B116" s="114" t="s">
        <v>2981</v>
      </c>
      <c r="C116" s="115" t="s">
        <v>2982</v>
      </c>
      <c r="D116" s="12" t="str">
        <f>C116</f>
        <v>HTTPS (TCP 443)</v>
      </c>
      <c r="E116" s="116"/>
    </row>
    <row r="117" spans="2:5" s="103" customFormat="1" ht="20" customHeight="1">
      <c r="B117" s="114" t="s">
        <v>2984</v>
      </c>
      <c r="C117" s="115" t="str">
        <f>sample_ccm_firewall_ip_addresses</f>
        <v>69.34.34.11</v>
      </c>
      <c r="D117" s="12" t="str">
        <f>ccm_firewall_ip_addresses</f>
        <v>Value Missing</v>
      </c>
      <c r="E117" s="116"/>
    </row>
    <row r="118" spans="2:5" s="103" customFormat="1" ht="20" customHeight="1"/>
    <row r="119" spans="2:5" s="103" customFormat="1" ht="34" customHeight="1">
      <c r="B119" s="557" t="s">
        <v>3150</v>
      </c>
      <c r="C119" s="557"/>
      <c r="D119" s="557"/>
      <c r="E119" s="557"/>
    </row>
    <row r="120" spans="2:5" s="103" customFormat="1" ht="20" customHeight="1">
      <c r="B120" s="112" t="s">
        <v>735</v>
      </c>
      <c r="C120" s="112" t="s">
        <v>554</v>
      </c>
      <c r="D120" s="113" t="s">
        <v>555</v>
      </c>
      <c r="E120" s="112" t="s">
        <v>222</v>
      </c>
    </row>
    <row r="121" spans="2:5" s="103" customFormat="1" ht="20" customHeight="1">
      <c r="B121" s="114" t="s">
        <v>2441</v>
      </c>
      <c r="C121" s="115" t="str">
        <f>sample_wld_vc_hostname&amp;"."&amp;sample_child_dns_zone</f>
        <v>sfo-w01-vc01.sfo.rainpole.io</v>
      </c>
      <c r="D121" s="12" t="str">
        <f>wld_vc_fqdn</f>
        <v>Value Missing.Value Missing</v>
      </c>
      <c r="E121" s="116"/>
    </row>
    <row r="122" spans="2:5" s="103" customFormat="1" ht="20" customHeight="1">
      <c r="B122" s="114" t="s">
        <v>1115</v>
      </c>
      <c r="C122" s="115" t="str">
        <f>sample_ccm_hcx_remote_url</f>
        <v>https://hcx.sddc-44-231-98-23.vmwarevmc.com/</v>
      </c>
      <c r="D122" s="12" t="str">
        <f>ccm_hcx_remote_url</f>
        <v>Value Missing</v>
      </c>
      <c r="E122" s="116"/>
    </row>
    <row r="123" spans="2:5" s="103" customFormat="1" ht="20" customHeight="1">
      <c r="B123" s="114" t="s">
        <v>1806</v>
      </c>
      <c r="C123" s="115" t="str">
        <f>sample_ccm_aws_admin_ssouser</f>
        <v>cloudadmin@vmc.local</v>
      </c>
      <c r="D123" s="12" t="str">
        <f>ccm_aws_admin_ssouser</f>
        <v>Value Missing</v>
      </c>
      <c r="E123" s="116"/>
    </row>
    <row r="124" spans="2:5" s="103" customFormat="1" ht="20" customHeight="1">
      <c r="B124" s="114" t="s">
        <v>1796</v>
      </c>
      <c r="C124" s="115" t="str">
        <f>sample_ccm_aws_admin_password</f>
        <v>TBvAZf-Aj*1ap6T</v>
      </c>
      <c r="D124" s="12" t="str">
        <f>ccm_aws_admin_password</f>
        <v>Value Missing</v>
      </c>
      <c r="E124" s="116"/>
    </row>
    <row r="125" spans="2:5" s="103" customFormat="1" ht="20" customHeight="1"/>
    <row r="126" spans="2:5" s="103" customFormat="1" ht="34" customHeight="1">
      <c r="B126" s="557" t="s">
        <v>3151</v>
      </c>
      <c r="C126" s="557"/>
      <c r="D126" s="557"/>
      <c r="E126" s="557"/>
    </row>
    <row r="127" spans="2:5" s="103" customFormat="1" ht="20" customHeight="1">
      <c r="B127" s="112" t="s">
        <v>735</v>
      </c>
      <c r="C127" s="112" t="s">
        <v>554</v>
      </c>
      <c r="D127" s="113" t="s">
        <v>555</v>
      </c>
      <c r="E127" s="112" t="s">
        <v>222</v>
      </c>
    </row>
    <row r="128" spans="2:5" s="103" customFormat="1" ht="20" customHeight="1">
      <c r="B128" s="114" t="s">
        <v>2441</v>
      </c>
      <c r="C128" s="115" t="str">
        <f>sample_wld_vc_hostname&amp;"."&amp;sample_child_dns_zone</f>
        <v>sfo-w01-vc01.sfo.rainpole.io</v>
      </c>
      <c r="D128" s="12" t="str">
        <f>wld_vc_fqdn</f>
        <v>Value Missing.Value Missing</v>
      </c>
      <c r="E128" s="116"/>
    </row>
    <row r="129" spans="2:5" s="103" customFormat="1" ht="20" customHeight="1">
      <c r="B129" s="558" t="s">
        <v>3001</v>
      </c>
      <c r="C129" s="558"/>
      <c r="D129" s="558"/>
      <c r="E129" s="437"/>
    </row>
    <row r="130" spans="2:5" s="103" customFormat="1" ht="20" customHeight="1">
      <c r="B130" s="114" t="s">
        <v>1802</v>
      </c>
      <c r="C130" s="115" t="str">
        <f>sample_wld_vc_hostname&amp;"."&amp;sample_child_dns_zone</f>
        <v>sfo-w01-vc01.sfo.rainpole.io</v>
      </c>
      <c r="D130" s="12" t="str">
        <f>wld_vc_fqdn</f>
        <v>Value Missing.Value Missing</v>
      </c>
      <c r="E130" s="116"/>
    </row>
    <row r="131" spans="2:5" s="103" customFormat="1" ht="20" customHeight="1">
      <c r="B131" s="114" t="s">
        <v>1798</v>
      </c>
      <c r="C131" s="115" t="str">
        <f>sample_wld_cl01_az1_mgmt_pg</f>
        <v>sfo-w01-cl01-vds01-pg-esxi-mgmt</v>
      </c>
      <c r="D131" s="12" t="str">
        <f>wld_cl01_az1_mgmt_pg</f>
        <v>Value Missing</v>
      </c>
      <c r="E131" s="116"/>
    </row>
    <row r="132" spans="2:5" s="103" customFormat="1" ht="20" customHeight="1">
      <c r="B132" s="114" t="s">
        <v>735</v>
      </c>
      <c r="C132" s="115" t="str">
        <f>sample_wld_cl01_az1_mgmt_pg</f>
        <v>sfo-w01-cl01-vds01-pg-esxi-mgmt</v>
      </c>
      <c r="D132" s="12" t="str">
        <f>wld_cl01_az1_mgmt_pg</f>
        <v>Value Missing</v>
      </c>
      <c r="E132" s="116"/>
    </row>
    <row r="133" spans="2:5" s="103" customFormat="1" ht="20" customHeight="1">
      <c r="B133" s="114" t="s">
        <v>3002</v>
      </c>
      <c r="C133" s="115" t="str">
        <f>sample_ccm_hcx_mgmt_network_ip_range</f>
        <v>10.13.10.221-10.13.10.225</v>
      </c>
      <c r="D133" s="12" t="str">
        <f>ccm_hcx_mgmt_network_ip_range</f>
        <v>Value Missing</v>
      </c>
      <c r="E133" s="116"/>
    </row>
    <row r="134" spans="2:5" s="103" customFormat="1" ht="20" customHeight="1">
      <c r="B134" s="114" t="s">
        <v>3003</v>
      </c>
      <c r="C134" s="115">
        <f>INT(RIGHT(sample_mgmt_az1_mgmt_cidr,LEN(sample_mgmt_az1_mgmt_cidr)-FIND("/",sample_mgmt_az1_mgmt_cidr)))</f>
        <v>24</v>
      </c>
      <c r="D134" s="12" t="str">
        <f>IF(ISBLANK(input_mgmt_az1_mgmt_cidr),"Value Missing",INT(RIGHT(mgmt_az1_mgmt_cidr,LEN(mgmt_az1_mgmt_cidr)-FIND("/",mgmt_az1_mgmt_cidr))))</f>
        <v>Value Missing</v>
      </c>
      <c r="E134" s="116"/>
    </row>
    <row r="135" spans="2:5" s="103" customFormat="1" ht="20" customHeight="1">
      <c r="B135" s="114" t="s">
        <v>1774</v>
      </c>
      <c r="C135" s="115" t="str">
        <f>sample_wld_az1_mgmt_gateway_ip</f>
        <v>10.13.11.1</v>
      </c>
      <c r="D135" s="12" t="str">
        <f>wld_az1_mgmt_gateway_ip</f>
        <v>Value Missing</v>
      </c>
      <c r="E135" s="116"/>
    </row>
    <row r="136" spans="2:5" s="103" customFormat="1" ht="20" customHeight="1">
      <c r="B136" s="114" t="s">
        <v>3004</v>
      </c>
      <c r="C136" s="115" t="str">
        <f>sample_region_dns1_ip</f>
        <v>10.11.10.4</v>
      </c>
      <c r="D136" s="12" t="str">
        <f>region_dns1_ip</f>
        <v>Value Missing</v>
      </c>
      <c r="E136" s="116"/>
    </row>
    <row r="137" spans="2:5" s="103" customFormat="1" ht="20" customHeight="1">
      <c r="B137" s="114" t="s">
        <v>3005</v>
      </c>
      <c r="C137" s="115" t="str">
        <f>sample_region_dns2_ip</f>
        <v>10.11.10.5</v>
      </c>
      <c r="D137" s="12" t="str">
        <f>region_dns2_ip</f>
        <v>Value Missing</v>
      </c>
      <c r="E137" s="116"/>
    </row>
    <row r="138" spans="2:5" s="103" customFormat="1" ht="20" customHeight="1">
      <c r="B138" s="114" t="s">
        <v>3006</v>
      </c>
      <c r="C138" s="115" t="str">
        <f>sample_child_dns_zone</f>
        <v>sfo.rainpole.io</v>
      </c>
      <c r="D138" s="12" t="str">
        <f>child_dns_zone</f>
        <v>Value Missing</v>
      </c>
      <c r="E138" s="116"/>
    </row>
    <row r="139" spans="2:5" s="103" customFormat="1" ht="20" customHeight="1">
      <c r="B139" s="558" t="s">
        <v>3007</v>
      </c>
      <c r="C139" s="558"/>
      <c r="D139" s="558"/>
      <c r="E139" s="437"/>
    </row>
    <row r="140" spans="2:5" s="103" customFormat="1" ht="20" customHeight="1">
      <c r="B140" s="114" t="s">
        <v>1802</v>
      </c>
      <c r="C140" s="115" t="str">
        <f>sample_wld_vc_hostname&amp;"."&amp;sample_child_dns_zone</f>
        <v>sfo-w01-vc01.sfo.rainpole.io</v>
      </c>
      <c r="D140" s="12" t="str">
        <f>wld_vc_fqdn</f>
        <v>Value Missing.Value Missing</v>
      </c>
      <c r="E140" s="116"/>
    </row>
    <row r="141" spans="2:5" s="103" customFormat="1" ht="20" customHeight="1">
      <c r="B141" s="114" t="s">
        <v>1798</v>
      </c>
      <c r="C141" s="115" t="str">
        <f>sample_wld_cl01_az1_vmotion_pg</f>
        <v>sfo-w01-cl01-vds01-pg-vmotion</v>
      </c>
      <c r="D141" s="12" t="str">
        <f>wld_cl01_az1_vmotion_pg</f>
        <v>Value Missing</v>
      </c>
      <c r="E141" s="116"/>
    </row>
    <row r="142" spans="2:5" s="103" customFormat="1" ht="20" customHeight="1">
      <c r="B142" s="114" t="s">
        <v>735</v>
      </c>
      <c r="C142" s="115" t="str">
        <f>sample_wld_cl01_az1_vmotion_pg</f>
        <v>sfo-w01-cl01-vds01-pg-vmotion</v>
      </c>
      <c r="D142" s="12" t="str">
        <f>wld_cl01_az1_vmotion_pg</f>
        <v>Value Missing</v>
      </c>
      <c r="E142" s="116"/>
    </row>
    <row r="143" spans="2:5" s="103" customFormat="1" ht="20" customHeight="1">
      <c r="B143" s="114" t="s">
        <v>3002</v>
      </c>
      <c r="C143" s="115" t="str">
        <f>sample_ccm_hcx_vmotion_network_ip_range</f>
        <v>10.13.12.221-10.13.12.225</v>
      </c>
      <c r="D143" s="12" t="str">
        <f>ccm_hcx_vmotion_network_ip_range</f>
        <v>Value Missing</v>
      </c>
      <c r="E143" s="116"/>
    </row>
    <row r="144" spans="2:5" s="103" customFormat="1" ht="20" customHeight="1">
      <c r="B144" s="114" t="s">
        <v>3003</v>
      </c>
      <c r="C144" s="115">
        <f>INT(RIGHT(sample_wld_az1_vmotion_cidr,LEN(sample_wld_az1_vmotion_cidr)-FIND("/",sample_wld_az1_vmotion_cidr)))</f>
        <v>24</v>
      </c>
      <c r="D144" s="12" t="str">
        <f>IF(ISBLANK(input_mgmt_az1_mgmt_cidr),"Value Missing",INT(RIGHT(mgmt_az1_mgmt_cidr,LEN(mgmt_az1_mgmt_cidr)-FIND("/",mgmt_az1_mgmt_cidr))))</f>
        <v>Value Missing</v>
      </c>
      <c r="E144" s="116"/>
    </row>
    <row r="145" spans="2:5" s="103" customFormat="1" ht="20" customHeight="1">
      <c r="B145" s="114" t="s">
        <v>1774</v>
      </c>
      <c r="C145" s="115" t="str">
        <f>sample_wld_az1_vmotion_gateway_ip</f>
        <v>10.13.12.1</v>
      </c>
      <c r="D145" s="12" t="str">
        <f>wld_az1_vmotion_gateway_ip</f>
        <v>Value Missing</v>
      </c>
      <c r="E145" s="116"/>
    </row>
    <row r="146" spans="2:5" s="103" customFormat="1" ht="20" customHeight="1">
      <c r="B146" s="114" t="s">
        <v>1828</v>
      </c>
      <c r="C146" s="115">
        <f>sample_wld_az1_vmotion_mtu</f>
        <v>9000</v>
      </c>
      <c r="D146" s="12" t="str">
        <f>wld_az1_vmotion_mtu</f>
        <v>Value Missing</v>
      </c>
      <c r="E146" s="116"/>
    </row>
    <row r="147" spans="2:5" s="103" customFormat="1" ht="20" customHeight="1"/>
    <row r="148" spans="2:5" s="103" customFormat="1" ht="34" customHeight="1">
      <c r="B148" s="557" t="s">
        <v>3152</v>
      </c>
      <c r="C148" s="557"/>
      <c r="D148" s="557"/>
      <c r="E148" s="557"/>
    </row>
    <row r="149" spans="2:5" s="103" customFormat="1" ht="20" customHeight="1">
      <c r="B149" s="112" t="s">
        <v>735</v>
      </c>
      <c r="C149" s="112" t="s">
        <v>554</v>
      </c>
      <c r="D149" s="113" t="s">
        <v>555</v>
      </c>
      <c r="E149" s="112" t="s">
        <v>222</v>
      </c>
    </row>
    <row r="150" spans="2:5" s="103" customFormat="1" ht="20" customHeight="1">
      <c r="B150" s="114" t="s">
        <v>2441</v>
      </c>
      <c r="C150" s="115" t="str">
        <f>sample_wld_vc_hostname&amp;"."&amp;sample_child_dns_zone</f>
        <v>sfo-w01-vc01.sfo.rainpole.io</v>
      </c>
      <c r="D150" s="12" t="str">
        <f>wld_vc_fqdn</f>
        <v>Value Missing.Value Missing</v>
      </c>
      <c r="E150" s="116"/>
    </row>
    <row r="151" spans="2:5" s="103" customFormat="1" ht="20" customHeight="1">
      <c r="B151" s="114" t="s">
        <v>3008</v>
      </c>
      <c r="C151" s="115" t="str">
        <f>sample_ccm_hcx_compute_profile</f>
        <v>sfo-w01-compute-profile</v>
      </c>
      <c r="D151" s="12" t="str">
        <f>ccm_hcx_compute_profile</f>
        <v>Value Missing</v>
      </c>
      <c r="E151" s="116"/>
    </row>
    <row r="152" spans="2:5" s="103" customFormat="1" ht="20" customHeight="1">
      <c r="B152" s="114" t="s">
        <v>3009</v>
      </c>
      <c r="C152" s="115" t="str">
        <f>sample_wld_datacenter</f>
        <v>sfo-w01-DC</v>
      </c>
      <c r="D152" s="12" t="str">
        <f>wld_datacenter</f>
        <v>Value Missing</v>
      </c>
      <c r="E152" s="116"/>
    </row>
    <row r="153" spans="2:5" s="103" customFormat="1" ht="20" customHeight="1">
      <c r="B153" s="114" t="s">
        <v>3010</v>
      </c>
      <c r="C153" s="115" t="str">
        <f>sample_ccm_hcx_resource_pool</f>
        <v>sfo-w01-cl01-rp-hcx</v>
      </c>
      <c r="D153" s="12" t="str">
        <f>ccm_hcx_resource_pool</f>
        <v>Value Missing</v>
      </c>
      <c r="E153" s="116"/>
    </row>
    <row r="154" spans="2:5" s="103" customFormat="1" ht="20" customHeight="1">
      <c r="B154" s="114" t="s">
        <v>2457</v>
      </c>
      <c r="C154" s="115" t="str">
        <f>sample_wld_cl01_vsan_datastore</f>
        <v>sfo-w01-sfo-w01-cl01-vsan01</v>
      </c>
      <c r="D154" s="12" t="str">
        <f>wld_cl01_vsan_datastore</f>
        <v>Value Missing</v>
      </c>
      <c r="E154" s="116"/>
    </row>
    <row r="155" spans="2:5" s="103" customFormat="1" ht="20" customHeight="1">
      <c r="B155" s="114" t="s">
        <v>3011</v>
      </c>
      <c r="C155" s="115" t="str">
        <f>sample_ccm_hcx_vm_folder</f>
        <v>sfo-w01-fd-hcx</v>
      </c>
      <c r="D155" s="12" t="str">
        <f>ccm_hcx_vm_folder</f>
        <v>Value Missing</v>
      </c>
      <c r="E155" s="116"/>
    </row>
    <row r="156" spans="2:5" s="103" customFormat="1" ht="20" customHeight="1">
      <c r="B156" s="114" t="s">
        <v>3012</v>
      </c>
      <c r="C156" s="115" t="str">
        <f>sample_wld_cl01_az1_mgmt_pg</f>
        <v>sfo-w01-cl01-vds01-pg-esxi-mgmt</v>
      </c>
      <c r="D156" s="12" t="str">
        <f>wld_cl01_az1_mgmt_pg</f>
        <v>Value Missing</v>
      </c>
      <c r="E156" s="116"/>
    </row>
    <row r="157" spans="2:5" s="103" customFormat="1" ht="20" customHeight="1">
      <c r="B157" s="114" t="s">
        <v>3013</v>
      </c>
      <c r="C157" s="115" t="str">
        <f>sample_wld_cl01_az1_mgmt_pg</f>
        <v>sfo-w01-cl01-vds01-pg-esxi-mgmt</v>
      </c>
      <c r="D157" s="12" t="str">
        <f>wld_cl01_az1_mgmt_pg</f>
        <v>Value Missing</v>
      </c>
      <c r="E157" s="116"/>
    </row>
    <row r="158" spans="2:5" s="103" customFormat="1" ht="20" customHeight="1">
      <c r="B158" s="114" t="s">
        <v>3014</v>
      </c>
      <c r="C158" s="115" t="str">
        <f>sample_wld_cl01_az1_vmotion_pg</f>
        <v>sfo-w01-cl01-vds01-pg-vmotion</v>
      </c>
      <c r="D158" s="12" t="str">
        <f>wld_cl01_az1_vmotion_pg</f>
        <v>Value Missing</v>
      </c>
      <c r="E158" s="116"/>
    </row>
    <row r="159" spans="2:5" s="103" customFormat="1" ht="20" customHeight="1">
      <c r="B159" s="114" t="s">
        <v>3015</v>
      </c>
      <c r="C159" s="115" t="str">
        <f>sample_wld_cl01_az1_mgmt_pg</f>
        <v>sfo-w01-cl01-vds01-pg-esxi-mgmt</v>
      </c>
      <c r="D159" s="12" t="str">
        <f>wld_cl01_az1_mgmt_pg</f>
        <v>Value Missing</v>
      </c>
      <c r="E159" s="116"/>
    </row>
    <row r="160" spans="2:5" s="103" customFormat="1" ht="20" customHeight="1">
      <c r="B160" s="114" t="s">
        <v>3016</v>
      </c>
      <c r="C160" s="115" t="str">
        <f>IF(mgmt_consolidated_result="Included","overlay-tz-"&amp;sample_mgmt_nsxt_hostname&amp;"."&amp;sample_child_dns_zone,"overlay-tz-"&amp;sample_wld_nsxt_hostname&amp;"."&amp;sample_child_dns_zone)</f>
        <v>overlay-tz-sfo-w01-nsx01.sfo.rainpole.io</v>
      </c>
      <c r="D160" s="12" t="str">
        <f>IF(mgmt_consolidated_result="Included","overlay-tz-"&amp;mgmt_nsxt_vip_fqdn,"overlay-tz-"&amp;wld_nsxt_vip_fqdn)</f>
        <v>overlay-tz-Value Missing.Value Missing</v>
      </c>
      <c r="E160" s="116"/>
    </row>
    <row r="161" spans="1:6" s="103" customFormat="1" ht="20" customHeight="1"/>
    <row r="162" spans="1:6" s="103" customFormat="1" ht="34" customHeight="1">
      <c r="B162" s="557" t="s">
        <v>3153</v>
      </c>
      <c r="C162" s="557"/>
      <c r="D162" s="557"/>
      <c r="E162" s="557"/>
    </row>
    <row r="163" spans="1:6" s="103" customFormat="1" ht="20" customHeight="1">
      <c r="B163" s="112" t="s">
        <v>735</v>
      </c>
      <c r="C163" s="112" t="s">
        <v>554</v>
      </c>
      <c r="D163" s="113" t="s">
        <v>555</v>
      </c>
      <c r="E163" s="112" t="s">
        <v>222</v>
      </c>
    </row>
    <row r="164" spans="1:6" s="103" customFormat="1" ht="20" customHeight="1">
      <c r="B164" s="114" t="s">
        <v>2441</v>
      </c>
      <c r="C164" s="115" t="str">
        <f>sample_wld_vc_hostname&amp;"."&amp;sample_child_dns_zone</f>
        <v>sfo-w01-vc01.sfo.rainpole.io</v>
      </c>
      <c r="D164" s="12" t="str">
        <f>wld_vc_fqdn</f>
        <v>Value Missing.Value Missing</v>
      </c>
      <c r="E164" s="116"/>
    </row>
    <row r="165" spans="1:6" s="103" customFormat="1" ht="20" customHeight="1">
      <c r="B165" s="114" t="s">
        <v>3017</v>
      </c>
      <c r="C165" s="115" t="str">
        <f>sample_ccm_hcx_compute_profile</f>
        <v>sfo-w01-compute-profile</v>
      </c>
      <c r="D165" s="12" t="str">
        <f>ccm_hcx_compute_profile</f>
        <v>Value Missing</v>
      </c>
      <c r="E165" s="116"/>
    </row>
    <row r="166" spans="1:6" s="103" customFormat="1" ht="20" customHeight="1">
      <c r="B166" s="114" t="s">
        <v>3018</v>
      </c>
      <c r="C166" s="115" t="s">
        <v>3019</v>
      </c>
      <c r="D166" s="12" t="str">
        <f>C166</f>
        <v>ComputeProfile(vcenter)</v>
      </c>
      <c r="E166" s="116"/>
    </row>
    <row r="167" spans="1:6" s="103" customFormat="1" ht="20" customHeight="1">
      <c r="B167" s="114" t="s">
        <v>3020</v>
      </c>
      <c r="C167" s="115" t="str">
        <f>sample_ccm_hcx_service_mesh</f>
        <v>sfo-w01-service-mesh</v>
      </c>
      <c r="D167" s="12" t="str">
        <f>ccm_hcx_service_mesh</f>
        <v>Value Missing</v>
      </c>
      <c r="E167" s="116"/>
    </row>
    <row r="168" spans="1:6" s="103" customFormat="1" ht="20" customHeight="1"/>
    <row r="169" spans="1:6" s="103" customFormat="1" ht="34" customHeight="1">
      <c r="A169" s="122"/>
      <c r="B169" s="564" t="s">
        <v>2275</v>
      </c>
      <c r="C169" s="564"/>
      <c r="D169" s="564"/>
      <c r="E169" s="564"/>
      <c r="F169" s="122"/>
    </row>
    <row r="170" spans="1:6" s="103" customFormat="1" ht="20" customHeight="1"/>
    <row r="171" spans="1:6" s="103" customFormat="1" ht="34" customHeight="1">
      <c r="B171" s="562" t="s">
        <v>3033</v>
      </c>
      <c r="C171" s="563"/>
      <c r="D171" s="563"/>
      <c r="E171" s="563"/>
    </row>
    <row r="172" spans="1:6" s="103" customFormat="1" ht="20" customHeight="1"/>
    <row r="173" spans="1:6" s="103" customFormat="1" ht="34" customHeight="1">
      <c r="B173" s="557" t="s">
        <v>3250</v>
      </c>
      <c r="C173" s="557"/>
      <c r="D173" s="557"/>
      <c r="E173" s="557"/>
    </row>
    <row r="174" spans="1:6" s="103" customFormat="1" ht="20" customHeight="1">
      <c r="B174" s="112" t="s">
        <v>735</v>
      </c>
      <c r="C174" s="112" t="s">
        <v>554</v>
      </c>
      <c r="D174" s="113" t="s">
        <v>555</v>
      </c>
      <c r="E174" s="112" t="s">
        <v>222</v>
      </c>
    </row>
    <row r="175" spans="1:6" s="103" customFormat="1" ht="20" customHeight="1">
      <c r="B175" s="114" t="s">
        <v>3369</v>
      </c>
      <c r="C175" s="115" t="str">
        <f>sample_xreg_vrops_virtual_hostname&amp;"."&amp;sample_parent_dns_zone</f>
        <v>xint-ops01.rainpole.io</v>
      </c>
      <c r="D175" s="12" t="str">
        <f>xreg_vrops_virtual_fqdn</f>
        <v>Value Missing.Value Missing</v>
      </c>
      <c r="E175" s="116"/>
    </row>
    <row r="176" spans="1:6" s="103" customFormat="1" ht="20" customHeight="1">
      <c r="B176" s="114" t="s">
        <v>735</v>
      </c>
      <c r="C176" s="115" t="str">
        <f>"cross-cloud-proxies"</f>
        <v>cross-cloud-proxies</v>
      </c>
      <c r="D176" s="12" t="str">
        <f>C176</f>
        <v>cross-cloud-proxies</v>
      </c>
      <c r="E176" s="116"/>
    </row>
    <row r="177" spans="2:5" s="103" customFormat="1" ht="20" customHeight="1">
      <c r="B177" s="114" t="s">
        <v>2323</v>
      </c>
      <c r="C177" s="115" t="str">
        <f>C176</f>
        <v>cross-cloud-proxies</v>
      </c>
      <c r="D177" s="12" t="str">
        <f>C177</f>
        <v>cross-cloud-proxies</v>
      </c>
      <c r="E177" s="116"/>
    </row>
    <row r="178" spans="2:5" s="103" customFormat="1" ht="20" customHeight="1">
      <c r="B178" s="114" t="s">
        <v>2324</v>
      </c>
      <c r="C178" s="115" t="str">
        <f>sample_ccm_hcx_cdp_ip</f>
        <v>10.11.10.46</v>
      </c>
      <c r="D178" s="12" t="str">
        <f>ccm_hcx_cdp_ip</f>
        <v>Value Missing</v>
      </c>
      <c r="E178" s="116"/>
    </row>
    <row r="179" spans="2:5" s="103" customFormat="1" ht="20" customHeight="1">
      <c r="B179" s="114" t="s">
        <v>2322</v>
      </c>
      <c r="C179" s="115" t="str">
        <f>sample_mgmt_sddc_domain&amp;"-collector-group"</f>
        <v>sfo-m01-collector-group</v>
      </c>
      <c r="D179" s="12" t="str">
        <f>mgmt_sddc_domain&amp;"-collector-group"</f>
        <v>Value Missing-collector-group</v>
      </c>
      <c r="E179" s="116"/>
    </row>
    <row r="180" spans="2:5" s="103" customFormat="1" ht="20" customHeight="1"/>
    <row r="181" spans="2:5" s="103" customFormat="1" ht="34" customHeight="1">
      <c r="B181" s="562" t="s">
        <v>3156</v>
      </c>
      <c r="C181" s="563"/>
      <c r="D181" s="563"/>
      <c r="E181" s="563"/>
    </row>
    <row r="182" spans="2:5" s="103" customFormat="1" ht="20" customHeight="1"/>
    <row r="183" spans="2:5" s="103" customFormat="1" ht="34" customHeight="1">
      <c r="B183" s="557" t="s">
        <v>3157</v>
      </c>
      <c r="C183" s="557"/>
      <c r="D183" s="557"/>
      <c r="E183" s="557"/>
    </row>
    <row r="184" spans="2:5" s="103" customFormat="1" ht="20" customHeight="1">
      <c r="B184" s="112" t="s">
        <v>735</v>
      </c>
      <c r="C184" s="112" t="s">
        <v>554</v>
      </c>
      <c r="D184" s="113" t="s">
        <v>555</v>
      </c>
      <c r="E184" s="112" t="s">
        <v>222</v>
      </c>
    </row>
    <row r="185" spans="2:5" s="103" customFormat="1" ht="20" customHeight="1">
      <c r="B185" s="114" t="s">
        <v>3158</v>
      </c>
      <c r="C185" s="115" t="str">
        <f>sample_sftp_server</f>
        <v>20.10.5.10</v>
      </c>
      <c r="D185" s="12" t="str">
        <f>sftp_server_ip</f>
        <v>Value Missing</v>
      </c>
      <c r="E185" s="116"/>
    </row>
    <row r="186" spans="2:5" s="103" customFormat="1" ht="20" customHeight="1">
      <c r="B186" s="114" t="s">
        <v>3159</v>
      </c>
      <c r="C186" s="115">
        <f>sample_sftp_server_port</f>
        <v>22</v>
      </c>
      <c r="D186" s="12" t="str">
        <f>sftp_server_port</f>
        <v>Value Missing</v>
      </c>
      <c r="E186" s="116"/>
    </row>
    <row r="187" spans="2:5" s="103" customFormat="1" ht="20" customHeight="1">
      <c r="B187" s="114" t="s">
        <v>883</v>
      </c>
      <c r="C187" s="115" t="str">
        <f>sample_sftp_server_protocol</f>
        <v>SFTP</v>
      </c>
      <c r="D187" s="12" t="str">
        <f>sftp_server_protocol</f>
        <v>Value Missing</v>
      </c>
      <c r="E187" s="116"/>
    </row>
    <row r="188" spans="2:5" s="103" customFormat="1" ht="20" customHeight="1">
      <c r="B188" s="114" t="s">
        <v>1806</v>
      </c>
      <c r="C188" s="115" t="str">
        <f>sample_svc_vcf_bck_user</f>
        <v>svc-vcf-bck</v>
      </c>
      <c r="D188" s="12" t="str">
        <f>user_svc_vcf_bck</f>
        <v>Value Missing</v>
      </c>
      <c r="E188" s="116"/>
    </row>
    <row r="189" spans="2:5" s="103" customFormat="1" ht="20" customHeight="1">
      <c r="B189" s="114" t="s">
        <v>1796</v>
      </c>
      <c r="C189" s="115" t="str">
        <f>sample_svc_vcf_bck_password</f>
        <v>VMw@re1!</v>
      </c>
      <c r="D189" s="12" t="str">
        <f>svc_vcf_bck_password</f>
        <v>Value Missing</v>
      </c>
      <c r="E189" s="116"/>
    </row>
    <row r="190" spans="2:5" s="103" customFormat="1" ht="20" customHeight="1">
      <c r="B190" s="114" t="s">
        <v>3160</v>
      </c>
      <c r="C190" s="115" t="str">
        <f>sample_sftp_server_backup_dir</f>
        <v>/backups/</v>
      </c>
      <c r="D190" s="12" t="str">
        <f>sftp_server_backup_dir</f>
        <v>Value Missing</v>
      </c>
      <c r="E190" s="116"/>
    </row>
    <row r="191" spans="2:5" s="103" customFormat="1" ht="20" customHeight="1"/>
    <row r="192" spans="2:5" s="103" customFormat="1" ht="34" customHeight="1">
      <c r="B192" s="557" t="s">
        <v>3161</v>
      </c>
      <c r="C192" s="557"/>
      <c r="D192" s="557"/>
      <c r="E192" s="557"/>
    </row>
    <row r="193" spans="2:5" s="103" customFormat="1" ht="20" customHeight="1">
      <c r="B193" s="112" t="s">
        <v>735</v>
      </c>
      <c r="C193" s="112" t="s">
        <v>554</v>
      </c>
      <c r="D193" s="113" t="s">
        <v>555</v>
      </c>
      <c r="E193" s="112" t="s">
        <v>222</v>
      </c>
    </row>
    <row r="194" spans="2:5" s="103" customFormat="1" ht="20" customHeight="1">
      <c r="B194" s="114" t="s">
        <v>3162</v>
      </c>
      <c r="C194" s="115" t="s">
        <v>3163</v>
      </c>
      <c r="D194" s="12" t="str">
        <f>C194</f>
        <v>DAILY</v>
      </c>
      <c r="E194" s="116"/>
    </row>
    <row r="195" spans="2:5" s="103" customFormat="1" ht="20" customHeight="1">
      <c r="B195" s="114" t="s">
        <v>3164</v>
      </c>
      <c r="C195" s="115">
        <v>3</v>
      </c>
      <c r="D195" s="12">
        <f>C195</f>
        <v>3</v>
      </c>
      <c r="E195" s="116"/>
    </row>
    <row r="196" spans="2:5" s="103" customFormat="1" ht="20" customHeight="1">
      <c r="B196" s="114" t="s">
        <v>3165</v>
      </c>
      <c r="C196" s="115">
        <v>30</v>
      </c>
      <c r="D196" s="12">
        <f>C196</f>
        <v>30</v>
      </c>
      <c r="E196" s="116"/>
    </row>
    <row r="197" spans="2:5" s="103" customFormat="1"/>
    <row r="198" spans="2:5" s="103" customFormat="1"/>
    <row r="199" spans="2:5" s="103" customFormat="1"/>
    <row r="200" spans="2:5" s="103" customFormat="1"/>
    <row r="201" spans="2:5" s="103" customFormat="1"/>
    <row r="202" spans="2:5" s="103" customFormat="1"/>
    <row r="203" spans="2:5" s="103" customFormat="1"/>
    <row r="204" spans="2:5" s="103" customFormat="1"/>
    <row r="205" spans="2:5" s="103" customFormat="1"/>
    <row r="206" spans="2:5" s="103" customFormat="1"/>
    <row r="207" spans="2:5" s="103" customFormat="1"/>
    <row r="208" spans="2:5" s="103" customFormat="1"/>
    <row r="209" s="103" customFormat="1"/>
    <row r="210" s="103" customFormat="1"/>
    <row r="211" s="103" customFormat="1"/>
    <row r="212" s="103" customFormat="1"/>
    <row r="213" s="103" customFormat="1"/>
    <row r="214" s="103" customFormat="1"/>
    <row r="215" s="103" customFormat="1"/>
    <row r="216" s="103" customFormat="1"/>
    <row r="217" s="103" customFormat="1"/>
    <row r="218" s="103" customFormat="1"/>
    <row r="219" s="103" customFormat="1"/>
    <row r="220" s="103" customFormat="1"/>
    <row r="221" s="103" customFormat="1"/>
    <row r="222" s="103" customFormat="1"/>
    <row r="223" s="103" customFormat="1"/>
    <row r="224" s="103" customFormat="1"/>
    <row r="225" s="103" customFormat="1"/>
    <row r="226" s="103" customFormat="1"/>
    <row r="227" s="103" customFormat="1"/>
    <row r="228" s="103" customFormat="1"/>
    <row r="229" s="103" customFormat="1"/>
    <row r="230" s="103" customFormat="1"/>
    <row r="231" s="103" customFormat="1"/>
    <row r="232" s="103" customFormat="1"/>
    <row r="233" s="103" customFormat="1"/>
    <row r="234" s="103" customFormat="1"/>
    <row r="235" s="103" customFormat="1"/>
    <row r="236" s="103" customFormat="1"/>
    <row r="237" s="103" customFormat="1"/>
    <row r="238" s="103" customFormat="1"/>
    <row r="239" s="103" customFormat="1"/>
    <row r="240" s="103" customFormat="1"/>
    <row r="241" s="103" customFormat="1"/>
    <row r="242" s="103" customFormat="1"/>
    <row r="243" s="103" customFormat="1"/>
    <row r="244" s="103" customFormat="1"/>
    <row r="245" s="103" customFormat="1"/>
    <row r="246" s="103" customFormat="1"/>
    <row r="247" s="103" customFormat="1"/>
    <row r="248" s="103" customFormat="1"/>
    <row r="249" s="103" customFormat="1"/>
    <row r="250" s="103" customFormat="1"/>
    <row r="251" s="103" customFormat="1"/>
    <row r="252" s="103" customFormat="1"/>
    <row r="253" s="103" customFormat="1"/>
    <row r="254" s="103" customFormat="1"/>
    <row r="255" s="103" customFormat="1"/>
    <row r="256" s="103" customFormat="1"/>
    <row r="257" s="103" customFormat="1"/>
    <row r="258" s="103" customFormat="1"/>
    <row r="259" s="103" customFormat="1"/>
    <row r="260" s="103" customFormat="1"/>
    <row r="261" s="103" customFormat="1"/>
    <row r="262" s="103" customFormat="1"/>
    <row r="263" s="103" customFormat="1"/>
    <row r="264" s="103" customFormat="1"/>
    <row r="265" s="103" customFormat="1"/>
    <row r="266" s="103" customFormat="1"/>
    <row r="267" s="103" customFormat="1"/>
    <row r="268" s="103" customFormat="1"/>
    <row r="269" s="103" customFormat="1"/>
    <row r="270" s="103" customFormat="1"/>
    <row r="271" s="103" customFormat="1"/>
    <row r="272" s="103" customFormat="1"/>
    <row r="273" s="103" customFormat="1"/>
    <row r="274" s="103" customFormat="1"/>
    <row r="275" s="103" customForma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row r="573" s="103" customFormat="1"/>
    <row r="574" s="103" customFormat="1"/>
    <row r="575" s="103" customFormat="1"/>
    <row r="576" s="103" customFormat="1"/>
    <row r="577" s="103" customFormat="1"/>
    <row r="578" s="103" customFormat="1"/>
    <row r="579" s="103" customFormat="1"/>
    <row r="580" s="103" customFormat="1"/>
    <row r="581" s="103" customFormat="1"/>
    <row r="582" s="103" customFormat="1"/>
    <row r="583" s="103" customFormat="1"/>
    <row r="584" s="103" customFormat="1"/>
    <row r="585" s="103" customFormat="1"/>
    <row r="586" s="103" customFormat="1"/>
    <row r="587" s="103" customFormat="1"/>
    <row r="588" s="103" customFormat="1"/>
    <row r="589" s="103" customFormat="1"/>
    <row r="590" s="103" customFormat="1"/>
    <row r="591" s="103" customFormat="1"/>
    <row r="592" s="103" customFormat="1"/>
    <row r="593" s="103" customFormat="1"/>
    <row r="594" s="103" customFormat="1"/>
    <row r="595" s="103" customFormat="1"/>
    <row r="596" s="103" customFormat="1"/>
    <row r="597" s="103" customFormat="1"/>
    <row r="598" s="103" customFormat="1"/>
    <row r="599" s="103" customFormat="1"/>
    <row r="600" s="103" customFormat="1"/>
    <row r="601" s="103" customFormat="1"/>
    <row r="602" s="103" customFormat="1"/>
    <row r="603" s="103" customFormat="1"/>
    <row r="604" s="103" customFormat="1"/>
    <row r="605" s="103" customFormat="1"/>
    <row r="606" s="103" customFormat="1"/>
    <row r="607" s="103" customFormat="1"/>
    <row r="608" s="103" customFormat="1"/>
    <row r="609" s="103" customFormat="1"/>
    <row r="610" s="103" customFormat="1"/>
    <row r="611" s="103" customFormat="1"/>
    <row r="612" s="103" customFormat="1"/>
    <row r="613" s="103" customFormat="1"/>
    <row r="614" s="103" customFormat="1"/>
    <row r="615" s="103" customFormat="1"/>
    <row r="616" s="103" customFormat="1"/>
    <row r="617" s="103" customFormat="1"/>
    <row r="618" s="103" customFormat="1"/>
    <row r="619" s="103" customFormat="1"/>
    <row r="620" s="103" customFormat="1"/>
    <row r="621" s="103" customFormat="1"/>
    <row r="622" s="103" customFormat="1"/>
    <row r="623" s="103" customFormat="1"/>
    <row r="624" s="103" customFormat="1"/>
    <row r="625" s="103" customFormat="1"/>
    <row r="626" s="103" customFormat="1"/>
    <row r="627" s="103" customFormat="1"/>
    <row r="628" s="103" customFormat="1"/>
    <row r="629" s="103" customFormat="1"/>
    <row r="630" s="103" customFormat="1"/>
    <row r="631" s="103" customFormat="1"/>
    <row r="632" s="103" customFormat="1"/>
    <row r="633" s="103" customFormat="1"/>
    <row r="634" s="103" customFormat="1"/>
    <row r="635" s="103" customFormat="1"/>
    <row r="636" s="103" customFormat="1"/>
    <row r="637" s="103" customFormat="1"/>
    <row r="638" s="103" customFormat="1"/>
    <row r="639" s="103" customFormat="1"/>
    <row r="640" s="103" customFormat="1"/>
    <row r="641" s="103" customFormat="1"/>
    <row r="642" s="103" customFormat="1"/>
    <row r="643" s="103" customFormat="1"/>
    <row r="644" s="103" customFormat="1"/>
    <row r="645" s="103" customFormat="1"/>
    <row r="646" s="103" customFormat="1"/>
    <row r="647" s="103" customFormat="1"/>
    <row r="648" s="103" customFormat="1"/>
    <row r="649" s="103" customFormat="1"/>
    <row r="650" s="103" customFormat="1"/>
    <row r="651" s="103" customFormat="1"/>
    <row r="652" s="103" customFormat="1"/>
    <row r="653" s="103" customFormat="1"/>
    <row r="654" s="103" customFormat="1"/>
    <row r="655" s="103" customFormat="1"/>
    <row r="656" s="103" customFormat="1"/>
    <row r="657" s="103" customFormat="1"/>
    <row r="658" s="103" customFormat="1"/>
    <row r="659" s="103" customFormat="1"/>
    <row r="660" s="103" customFormat="1"/>
    <row r="661" s="103" customFormat="1"/>
    <row r="662" s="103" customFormat="1"/>
    <row r="663" s="103" customFormat="1"/>
    <row r="664" s="103" customFormat="1"/>
    <row r="665" s="103" customFormat="1"/>
    <row r="666" s="103" customFormat="1"/>
    <row r="667" s="103" customFormat="1"/>
    <row r="668" s="103" customFormat="1"/>
    <row r="669" s="103" customFormat="1"/>
    <row r="670" s="103" customFormat="1"/>
    <row r="671" s="103" customFormat="1"/>
    <row r="672" s="103" customFormat="1"/>
    <row r="673" s="103" customFormat="1"/>
    <row r="674" s="103" customFormat="1"/>
    <row r="675" s="103" customFormat="1"/>
    <row r="676" s="103" customFormat="1"/>
    <row r="677" s="103" customFormat="1"/>
    <row r="678" s="103" customFormat="1"/>
    <row r="679" s="103" customFormat="1"/>
    <row r="680" s="103" customFormat="1"/>
    <row r="681" s="103" customFormat="1"/>
    <row r="682" s="103" customFormat="1"/>
    <row r="683" s="103" customFormat="1"/>
    <row r="684" s="103" customFormat="1"/>
    <row r="685" s="103" customFormat="1"/>
    <row r="686" s="103" customFormat="1"/>
    <row r="687" s="103" customFormat="1"/>
    <row r="688" s="103" customFormat="1"/>
    <row r="689" s="103" customFormat="1"/>
    <row r="690" s="103" customFormat="1"/>
    <row r="691" s="103" customFormat="1"/>
    <row r="692" s="103" customFormat="1"/>
    <row r="693" s="103" customFormat="1"/>
    <row r="694" s="103" customFormat="1"/>
    <row r="695" s="103" customFormat="1"/>
    <row r="696" s="103" customFormat="1"/>
    <row r="697" s="103" customFormat="1"/>
    <row r="698" s="103" customFormat="1"/>
    <row r="699" s="103" customFormat="1"/>
    <row r="700" s="103" customFormat="1"/>
    <row r="701" s="103" customFormat="1"/>
    <row r="702" s="103" customFormat="1"/>
    <row r="703" s="103" customFormat="1"/>
    <row r="704" s="103" customFormat="1"/>
    <row r="705" s="103" customFormat="1"/>
    <row r="706" s="103" customFormat="1"/>
    <row r="707" s="103" customFormat="1"/>
    <row r="708" s="103" customFormat="1"/>
    <row r="709" s="103" customFormat="1"/>
    <row r="710" s="103" customFormat="1"/>
    <row r="711" s="103" customFormat="1"/>
    <row r="712" s="103" customFormat="1"/>
    <row r="713" s="103" customFormat="1"/>
    <row r="714" s="103" customFormat="1"/>
    <row r="715" s="103" customFormat="1"/>
    <row r="716" s="103" customFormat="1"/>
    <row r="717" s="103" customFormat="1"/>
    <row r="718" s="103" customFormat="1"/>
    <row r="719" s="103" customFormat="1"/>
    <row r="720" s="103" customFormat="1"/>
    <row r="721" s="103" customFormat="1"/>
    <row r="722" s="103" customFormat="1"/>
    <row r="723" s="103" customFormat="1"/>
    <row r="724" s="103" customFormat="1"/>
    <row r="725" s="103" customFormat="1"/>
    <row r="726" s="103" customFormat="1"/>
    <row r="727" s="103" customFormat="1"/>
    <row r="728" s="103" customFormat="1"/>
    <row r="729" s="103" customFormat="1"/>
    <row r="730" s="103" customFormat="1"/>
    <row r="731" s="103" customFormat="1"/>
    <row r="732" s="103" customFormat="1"/>
    <row r="733" s="103" customFormat="1"/>
    <row r="734" s="103" customFormat="1"/>
    <row r="735" s="103" customFormat="1"/>
    <row r="736" s="103" customFormat="1"/>
    <row r="737" s="103" customFormat="1"/>
    <row r="738" s="103" customFormat="1"/>
    <row r="739" s="103" customFormat="1"/>
    <row r="740" s="103" customFormat="1"/>
    <row r="741" s="103" customFormat="1"/>
    <row r="742" s="103" customFormat="1"/>
    <row r="743" s="103" customFormat="1"/>
    <row r="744" s="103" customFormat="1"/>
    <row r="745" s="103" customFormat="1"/>
    <row r="746" s="103" customFormat="1"/>
    <row r="747" s="103" customFormat="1"/>
    <row r="748" s="103" customFormat="1"/>
    <row r="749" s="103" customFormat="1"/>
    <row r="750" s="103" customFormat="1"/>
    <row r="751" s="103" customFormat="1"/>
    <row r="752" s="103" customFormat="1"/>
    <row r="753" s="103" customFormat="1"/>
    <row r="754" s="103" customFormat="1"/>
    <row r="755" s="103" customFormat="1"/>
    <row r="756" s="103" customFormat="1"/>
    <row r="757" s="103" customFormat="1"/>
    <row r="758" s="103" customFormat="1"/>
    <row r="759" s="103" customFormat="1"/>
    <row r="760" s="103" customFormat="1"/>
    <row r="761" s="103" customFormat="1"/>
    <row r="762" s="103" customFormat="1"/>
    <row r="763" s="103" customFormat="1"/>
    <row r="764" s="103" customFormat="1"/>
    <row r="765" s="103" customFormat="1"/>
    <row r="766" s="103" customFormat="1"/>
    <row r="767" s="103" customFormat="1"/>
    <row r="768" s="103" customFormat="1"/>
    <row r="769" s="103" customFormat="1"/>
    <row r="770" s="103" customFormat="1"/>
    <row r="771" s="103" customFormat="1"/>
    <row r="772" s="103" customFormat="1"/>
    <row r="773" s="103" customFormat="1"/>
    <row r="774" s="103" customFormat="1"/>
    <row r="775" s="103" customFormat="1"/>
    <row r="776" s="103" customFormat="1"/>
    <row r="777" s="103" customFormat="1"/>
    <row r="778" s="103" customFormat="1"/>
    <row r="779" s="103" customFormat="1"/>
    <row r="780" s="103" customFormat="1"/>
    <row r="781" s="103" customFormat="1"/>
    <row r="782" s="103" customFormat="1"/>
    <row r="783" s="103" customFormat="1"/>
    <row r="784" s="103" customFormat="1"/>
    <row r="785" s="103" customFormat="1"/>
    <row r="786" s="103" customFormat="1"/>
    <row r="787" s="103" customFormat="1"/>
    <row r="788" s="103" customFormat="1"/>
    <row r="789" s="103" customFormat="1"/>
    <row r="790" s="103" customFormat="1"/>
    <row r="791" s="103" customFormat="1"/>
    <row r="792" s="103" customFormat="1"/>
    <row r="793" s="103" customFormat="1"/>
    <row r="794" s="103" customFormat="1"/>
    <row r="795" s="103" customFormat="1"/>
    <row r="796" s="103" customFormat="1"/>
    <row r="797" s="103" customFormat="1"/>
    <row r="798" s="103" customFormat="1"/>
    <row r="799" s="103" customFormat="1"/>
    <row r="800" s="103" customFormat="1"/>
    <row r="801" s="103" customFormat="1"/>
    <row r="802" s="103" customFormat="1"/>
    <row r="803" s="103" customFormat="1"/>
    <row r="804" s="103" customFormat="1"/>
    <row r="805" s="103" customFormat="1"/>
    <row r="806" s="103" customFormat="1"/>
    <row r="807" s="103" customFormat="1"/>
    <row r="808" s="103" customFormat="1"/>
    <row r="809" s="103" customFormat="1"/>
    <row r="810" s="103" customFormat="1"/>
    <row r="811" s="103" customFormat="1"/>
    <row r="812" s="103" customFormat="1"/>
    <row r="813" s="103" customFormat="1"/>
    <row r="814" s="103" customFormat="1"/>
    <row r="815" s="103" customFormat="1"/>
    <row r="816" s="103" customFormat="1"/>
    <row r="817" s="103" customFormat="1"/>
    <row r="818" s="103" customFormat="1"/>
    <row r="819" s="103" customFormat="1"/>
    <row r="820" s="103" customFormat="1"/>
    <row r="821" s="103" customFormat="1"/>
    <row r="822" s="103" customFormat="1"/>
    <row r="823" s="103" customFormat="1"/>
    <row r="824" s="103" customFormat="1"/>
    <row r="825" s="103" customFormat="1"/>
    <row r="826" s="103" customFormat="1"/>
    <row r="827" s="103" customFormat="1"/>
    <row r="828" s="103" customFormat="1"/>
    <row r="829" s="103" customFormat="1"/>
    <row r="830" s="103" customFormat="1"/>
    <row r="831" s="103" customFormat="1"/>
    <row r="832" s="103" customFormat="1"/>
    <row r="833" s="103" customFormat="1"/>
    <row r="834" s="103" customFormat="1"/>
    <row r="835" s="103" customFormat="1"/>
    <row r="836" s="103" customFormat="1"/>
    <row r="837" s="103" customFormat="1"/>
    <row r="838" s="103" customFormat="1"/>
    <row r="839" s="103" customFormat="1"/>
    <row r="840" s="103" customFormat="1"/>
    <row r="841" s="103" customFormat="1"/>
    <row r="842" s="103" customFormat="1"/>
    <row r="843" s="103" customFormat="1"/>
    <row r="844" s="103" customFormat="1"/>
    <row r="845" s="103" customFormat="1"/>
    <row r="846" s="103" customFormat="1"/>
    <row r="847" s="103" customFormat="1"/>
    <row r="848" s="103" customFormat="1"/>
    <row r="849" s="103" customFormat="1"/>
    <row r="850" s="103" customFormat="1"/>
    <row r="851" s="103" customFormat="1"/>
    <row r="852" s="103" customFormat="1"/>
    <row r="853" s="103" customFormat="1"/>
    <row r="854" s="103" customFormat="1"/>
    <row r="855" s="103" customFormat="1"/>
    <row r="856" s="103" customFormat="1"/>
    <row r="857" s="103" customFormat="1"/>
    <row r="858" s="103" customFormat="1"/>
    <row r="859" s="103" customFormat="1"/>
    <row r="860" s="103" customFormat="1"/>
    <row r="861" s="103" customFormat="1"/>
    <row r="862" s="103" customFormat="1"/>
    <row r="863" s="103" customFormat="1"/>
    <row r="864" s="103" customFormat="1"/>
    <row r="865" s="103" customFormat="1"/>
    <row r="866" s="103" customFormat="1"/>
    <row r="867" s="103" customFormat="1"/>
    <row r="868" s="103" customFormat="1"/>
    <row r="869" s="103" customFormat="1"/>
    <row r="870" s="103" customFormat="1"/>
    <row r="871" s="103" customFormat="1"/>
    <row r="872" s="103" customFormat="1"/>
    <row r="873" s="103" customFormat="1"/>
    <row r="874" s="103" customFormat="1"/>
    <row r="875" s="103" customFormat="1"/>
    <row r="876" s="103" customFormat="1"/>
    <row r="877" s="103" customFormat="1"/>
    <row r="878" s="103" customFormat="1"/>
    <row r="879" s="103" customFormat="1"/>
    <row r="880" s="103" customFormat="1"/>
    <row r="881" s="103" customFormat="1"/>
    <row r="882" s="103" customFormat="1"/>
    <row r="883" s="103" customFormat="1"/>
    <row r="884" s="103" customFormat="1"/>
    <row r="885" s="103" customFormat="1"/>
    <row r="886" s="103" customFormat="1"/>
    <row r="887" s="103" customFormat="1"/>
    <row r="888" s="103" customFormat="1"/>
    <row r="889" s="103" customFormat="1"/>
    <row r="890" s="103" customFormat="1"/>
    <row r="891" s="103" customFormat="1"/>
    <row r="892" s="103" customFormat="1"/>
    <row r="893" s="103" customFormat="1"/>
    <row r="894" s="103" customFormat="1"/>
    <row r="895" s="103" customFormat="1"/>
    <row r="896" s="103" customFormat="1"/>
    <row r="897" s="103" customFormat="1"/>
    <row r="898" s="103" customFormat="1"/>
    <row r="899" s="103" customFormat="1"/>
    <row r="900" s="103" customFormat="1"/>
    <row r="901" s="103" customFormat="1"/>
    <row r="902" s="103" customFormat="1"/>
    <row r="903" s="103" customFormat="1"/>
    <row r="904" s="103" customFormat="1"/>
    <row r="905" s="103" customFormat="1"/>
    <row r="906" s="103" customFormat="1"/>
    <row r="907" s="103" customFormat="1"/>
    <row r="908" s="103" customFormat="1"/>
    <row r="909" s="103" customFormat="1"/>
    <row r="910" s="103" customFormat="1"/>
    <row r="911" s="103" customFormat="1"/>
    <row r="912" s="103" customFormat="1"/>
    <row r="913" s="103" customFormat="1"/>
    <row r="914" s="103" customFormat="1"/>
    <row r="915" s="103" customFormat="1"/>
    <row r="916" s="103" customFormat="1"/>
    <row r="917" s="103" customFormat="1"/>
    <row r="918" s="103" customFormat="1"/>
    <row r="919" s="103" customFormat="1"/>
    <row r="920" s="103" customFormat="1"/>
    <row r="921" s="103" customFormat="1"/>
    <row r="922" s="103" customFormat="1"/>
    <row r="923" s="103" customFormat="1"/>
    <row r="924" s="103" customFormat="1"/>
    <row r="925" s="103" customFormat="1"/>
    <row r="926" s="103" customFormat="1"/>
    <row r="927" s="103" customFormat="1"/>
    <row r="928" s="103" customFormat="1"/>
    <row r="929" s="103" customFormat="1"/>
    <row r="930" s="103" customFormat="1"/>
    <row r="931" s="103" customFormat="1"/>
    <row r="932" s="103" customFormat="1"/>
    <row r="933" s="103" customFormat="1"/>
    <row r="934" s="103" customFormat="1"/>
    <row r="935" s="103" customFormat="1"/>
    <row r="936" s="103" customFormat="1"/>
    <row r="937" s="103" customFormat="1"/>
    <row r="938" s="103" customFormat="1"/>
    <row r="939" s="103" customFormat="1"/>
    <row r="940" s="103" customFormat="1"/>
    <row r="941" s="103" customFormat="1"/>
    <row r="942" s="103" customFormat="1"/>
    <row r="943" s="103" customFormat="1"/>
    <row r="944" s="103" customFormat="1"/>
    <row r="945" s="103" customFormat="1"/>
    <row r="946" s="103" customFormat="1"/>
    <row r="947" s="103" customFormat="1"/>
    <row r="948" s="103" customFormat="1"/>
    <row r="949" s="103" customFormat="1"/>
    <row r="950" s="103" customFormat="1"/>
  </sheetData>
  <sheetProtection algorithmName="SHA-512" hashValue="KVAyd+MczxaWrw9O0cDRptENM2Eks6wqBCqQJvQsWAyB1STdec+PpA/5UCTtv8tdtJn9aUysDsL37v12+uWhVA==" saltValue="JBA8ntsbEew7HpGcTk+ODA==" spinCount="100000" sheet="1" objects="1" scenarios="1"/>
  <mergeCells count="30">
    <mergeCell ref="B181:E181"/>
    <mergeCell ref="B183:E183"/>
    <mergeCell ref="B192:E192"/>
    <mergeCell ref="B15:E15"/>
    <mergeCell ref="B22:E22"/>
    <mergeCell ref="B28:E28"/>
    <mergeCell ref="B35:E35"/>
    <mergeCell ref="B98:E98"/>
    <mergeCell ref="B40:E40"/>
    <mergeCell ref="B51:E51"/>
    <mergeCell ref="B61:E61"/>
    <mergeCell ref="B66:E66"/>
    <mergeCell ref="B70:E70"/>
    <mergeCell ref="B86:E86"/>
    <mergeCell ref="B109:E109"/>
    <mergeCell ref="B119:E119"/>
    <mergeCell ref="B2:C2"/>
    <mergeCell ref="D2:E2"/>
    <mergeCell ref="B3:E3"/>
    <mergeCell ref="B8:E8"/>
    <mergeCell ref="B10:E10"/>
    <mergeCell ref="B103:E103"/>
    <mergeCell ref="B162:E162"/>
    <mergeCell ref="B126:E126"/>
    <mergeCell ref="B171:E171"/>
    <mergeCell ref="B173:E173"/>
    <mergeCell ref="B169:E169"/>
    <mergeCell ref="B129:E129"/>
    <mergeCell ref="B139:E139"/>
    <mergeCell ref="B148:E148"/>
  </mergeCells>
  <conditionalFormatting sqref="B10:E13 B15:E20 B22:E26 B40:E49 B51:E59 B61:E64 B66:E96 B98:E101 B109:E117">
    <cfRule type="expression" dxfId="41" priority="37">
      <formula>ccm_result="Excluded"</formula>
    </cfRule>
  </conditionalFormatting>
  <conditionalFormatting sqref="B28:E33 B35:E38 B103:E107 B119:E124 B126:E146 B148:E160 B162:E167 B183:E190 B192:E196">
    <cfRule type="expression" dxfId="40" priority="5" stopIfTrue="1">
      <formula>ccm_result="Excluded"</formula>
    </cfRule>
  </conditionalFormatting>
  <conditionalFormatting sqref="B171:E171 B173:E179">
    <cfRule type="expression" dxfId="39" priority="12" stopIfTrue="1">
      <formula>OR((ccm_result="Excluded"),AND((intelligent_operations_result="Excluded")))</formula>
    </cfRule>
  </conditionalFormatting>
  <conditionalFormatting sqref="B181:E181">
    <cfRule type="expression" dxfId="38" priority="4" stopIfTrue="1">
      <formula>ccm_result="Excluded"</formula>
    </cfRule>
  </conditionalFormatting>
  <conditionalFormatting sqref="C5 B8:E8">
    <cfRule type="expression" dxfId="37" priority="1">
      <formula>ccm_result="Excluded"</formula>
    </cfRule>
  </conditionalFormatting>
  <conditionalFormatting sqref="D5 B169:E169">
    <cfRule type="expression" dxfId="36" priority="13">
      <formula>OR((ccm_result="Excluded"),AND((intelligent_operations_result="Excluded")))</formula>
    </cfRule>
  </conditionalFormatting>
  <hyperlinks>
    <hyperlink ref="C5" location="'Cross Cloud Mobility'!B8" display="Deployment" xr:uid="{2C0E7903-2F5B-934A-98F0-E823F058ECA0}"/>
    <hyperlink ref="C19" r:id="rId1" display="svc-cbo-vsphere@sfo.rainpole.io" xr:uid="{D0F157BE-FC04-034B-B520-5BAF2CC1EC0D}"/>
    <hyperlink ref="D5" location="'Cross Cloud Mobility'!B169" display="Solution Interoperability" xr:uid="{ECF405D5-07E2-F44B-83AE-8D7F6CF59A13}"/>
    <hyperlink ref="B5" location="'Deployment Options'!H50" display="Section Navigation (Click to Navigate)" xr:uid="{6B9B31F8-ADF9-BE47-A4FB-9EE48FDB42FE}"/>
  </hyperlink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110" operator="containsText" id="{5134A55F-69D0-7E4E-A9CA-53A77C6B9E17}">
            <xm:f>NOT(ISERROR(SEARCH("Value Missing",D12)))</xm:f>
            <xm:f>"Value Missing"</xm:f>
            <x14:dxf>
              <font>
                <color rgb="FF9C0006"/>
              </font>
              <fill>
                <patternFill>
                  <bgColor rgb="FFFFC7CE"/>
                </patternFill>
              </fill>
            </x14:dxf>
          </x14:cfRule>
          <x14:cfRule type="notContainsText" priority="109" operator="notContains" id="{F6C0D92C-C11E-9940-8347-92EA9A4C804D}">
            <xm:f>ISERROR(SEARCH("Value Missing",D12))</xm:f>
            <xm:f>"Value Missing"</xm:f>
            <x14:dxf>
              <font>
                <color rgb="FF006100"/>
              </font>
              <fill>
                <patternFill>
                  <bgColor rgb="FFC6EFCE"/>
                </patternFill>
              </fill>
            </x14:dxf>
          </x14:cfRule>
          <xm:sqref>D12:D13 D42:D49 D105:D107</xm:sqref>
        </x14:conditionalFormatting>
        <x14:conditionalFormatting xmlns:xm="http://schemas.microsoft.com/office/excel/2006/main">
          <x14:cfRule type="containsText" priority="73" operator="containsText" id="{2F2F9AA1-6F09-2543-8A65-3D6E5E6BAA24}">
            <xm:f>NOT(ISERROR(SEARCH("Value Missing",D17)))</xm:f>
            <xm:f>"Value Missing"</xm:f>
            <x14:dxf>
              <font>
                <color rgb="FF9C0006"/>
              </font>
              <fill>
                <patternFill>
                  <bgColor rgb="FFFFC7CE"/>
                </patternFill>
              </fill>
            </x14:dxf>
          </x14:cfRule>
          <x14:cfRule type="notContainsText" priority="57" operator="notContains" id="{B5C95BA3-D0C7-894B-B95D-693C0598A0B9}">
            <xm:f>ISERROR(SEARCH("Value Missing",D17))</xm:f>
            <xm:f>"Value Missing"</xm:f>
            <x14:dxf>
              <font>
                <color rgb="FF006100"/>
              </font>
              <fill>
                <patternFill>
                  <bgColor rgb="FFC6EFCE"/>
                </patternFill>
              </fill>
            </x14:dxf>
          </x14:cfRule>
          <xm:sqref>D17:D20</xm:sqref>
        </x14:conditionalFormatting>
        <x14:conditionalFormatting xmlns:xm="http://schemas.microsoft.com/office/excel/2006/main">
          <x14:cfRule type="containsText" priority="102" operator="containsText" id="{60D335E5-608F-F948-8B15-ED151CD8D1FE}">
            <xm:f>NOT(ISERROR(SEARCH("Value Missing",D24)))</xm:f>
            <xm:f>"Value Missing"</xm:f>
            <x14:dxf>
              <font>
                <color rgb="FF9C0006"/>
              </font>
              <fill>
                <patternFill>
                  <bgColor rgb="FFFFC7CE"/>
                </patternFill>
              </fill>
            </x14:dxf>
          </x14:cfRule>
          <x14:cfRule type="notContainsText" priority="101" operator="notContains" id="{A89BAE9F-EFCB-D641-B8B9-2745E4589E37}">
            <xm:f>ISERROR(SEARCH("Value Missing",D24))</xm:f>
            <xm:f>"Value Missing"</xm:f>
            <x14:dxf>
              <font>
                <color rgb="FF006100"/>
              </font>
              <fill>
                <patternFill>
                  <bgColor rgb="FFC6EFCE"/>
                </patternFill>
              </fill>
            </x14:dxf>
          </x14:cfRule>
          <xm:sqref>D24:D26</xm:sqref>
        </x14:conditionalFormatting>
        <x14:conditionalFormatting xmlns:xm="http://schemas.microsoft.com/office/excel/2006/main">
          <x14:cfRule type="containsText" priority="74" operator="containsText" id="{415A3199-DEDF-B04E-BB69-9CFA1DE70F2F}">
            <xm:f>NOT(ISERROR(SEARCH("Value Missing",D30)))</xm:f>
            <xm:f>"Value Missing"</xm:f>
            <x14:dxf>
              <font>
                <color rgb="FF9C0006"/>
              </font>
              <fill>
                <patternFill>
                  <bgColor rgb="FFFFC7CE"/>
                </patternFill>
              </fill>
            </x14:dxf>
          </x14:cfRule>
          <x14:cfRule type="notContainsText" priority="51" operator="notContains" id="{C5BCA88A-7259-1C45-8F30-1B816372962B}">
            <xm:f>ISERROR(SEARCH("Value Missing",D30))</xm:f>
            <xm:f>"Value Missing"</xm:f>
            <x14:dxf>
              <font>
                <color rgb="FF006100"/>
              </font>
              <fill>
                <patternFill>
                  <bgColor rgb="FFC6EFCE"/>
                </patternFill>
              </fill>
            </x14:dxf>
          </x14:cfRule>
          <xm:sqref>D30:D33</xm:sqref>
        </x14:conditionalFormatting>
        <x14:conditionalFormatting xmlns:xm="http://schemas.microsoft.com/office/excel/2006/main">
          <x14:cfRule type="containsText" priority="71" operator="containsText" id="{61CAF2EC-C038-EE49-B562-CB5FF58BE80A}">
            <xm:f>NOT(ISERROR(SEARCH("Value Missing",D37)))</xm:f>
            <xm:f>"Value Missing"</xm:f>
            <x14:dxf>
              <font>
                <color rgb="FF9C0006"/>
              </font>
              <fill>
                <patternFill>
                  <bgColor rgb="FFFFC7CE"/>
                </patternFill>
              </fill>
            </x14:dxf>
          </x14:cfRule>
          <x14:cfRule type="notContainsText" priority="70" operator="notContains" id="{57C51372-06BC-6648-8883-2F4004ED1B11}">
            <xm:f>ISERROR(SEARCH("Value Missing",D37))</xm:f>
            <xm:f>"Value Missing"</xm:f>
            <x14:dxf>
              <font>
                <color rgb="FF006100"/>
              </font>
              <fill>
                <patternFill>
                  <bgColor rgb="FFC6EFCE"/>
                </patternFill>
              </fill>
            </x14:dxf>
          </x14:cfRule>
          <xm:sqref>D37:D38</xm:sqref>
        </x14:conditionalFormatting>
        <x14:conditionalFormatting xmlns:xm="http://schemas.microsoft.com/office/excel/2006/main">
          <x14:cfRule type="containsText" priority="62" operator="containsText" id="{1B9D5035-9E1D-7C48-8F71-ABED986A9473}">
            <xm:f>NOT(ISERROR(SEARCH("Value Missing",D53)))</xm:f>
            <xm:f>"Value Missing"</xm:f>
            <x14:dxf>
              <font>
                <color rgb="FF9C0006"/>
              </font>
              <fill>
                <patternFill>
                  <bgColor rgb="FFFFC7CE"/>
                </patternFill>
              </fill>
            </x14:dxf>
          </x14:cfRule>
          <x14:cfRule type="notContainsText" priority="59" operator="notContains" id="{3AD60F45-F626-1746-A01D-E1F26500DCC0}">
            <xm:f>ISERROR(SEARCH("Value Missing",D53))</xm:f>
            <xm:f>"Value Missing"</xm:f>
            <x14:dxf>
              <font>
                <color rgb="FF006100"/>
              </font>
              <fill>
                <patternFill>
                  <bgColor rgb="FFC6EFCE"/>
                </patternFill>
              </fill>
            </x14:dxf>
          </x14:cfRule>
          <xm:sqref>D53:D59</xm:sqref>
        </x14:conditionalFormatting>
        <x14:conditionalFormatting xmlns:xm="http://schemas.microsoft.com/office/excel/2006/main">
          <x14:cfRule type="containsText" priority="56" operator="containsText" id="{F2BD0BFE-8453-AD49-B0D1-B57AFA635015}">
            <xm:f>NOT(ISERROR(SEARCH("Value Missing",D63)))</xm:f>
            <xm:f>"Value Missing"</xm:f>
            <x14:dxf>
              <font>
                <color rgb="FF9C0006"/>
              </font>
              <fill>
                <patternFill>
                  <bgColor rgb="FFFFC7CE"/>
                </patternFill>
              </fill>
            </x14:dxf>
          </x14:cfRule>
          <x14:cfRule type="notContainsText" priority="43" operator="notContains" id="{CA7C9502-0C03-CA44-B000-CF9F3BEE5949}">
            <xm:f>ISERROR(SEARCH("Value Missing",D63))</xm:f>
            <xm:f>"Value Missing"</xm:f>
            <x14:dxf>
              <font>
                <color rgb="FF006100"/>
              </font>
              <fill>
                <patternFill>
                  <bgColor rgb="FFC6EFCE"/>
                </patternFill>
              </fill>
            </x14:dxf>
          </x14:cfRule>
          <xm:sqref>D63:D64</xm:sqref>
        </x14:conditionalFormatting>
        <x14:conditionalFormatting xmlns:xm="http://schemas.microsoft.com/office/excel/2006/main">
          <x14:cfRule type="containsText" priority="67" operator="containsText" id="{A712B158-65C9-A24C-A4B8-4950513EA1E5}">
            <xm:f>NOT(ISERROR(SEARCH("Value Missing",D68)))</xm:f>
            <xm:f>"Value Missing"</xm:f>
            <x14:dxf>
              <font>
                <color rgb="FF9C0006"/>
              </font>
              <fill>
                <patternFill>
                  <bgColor rgb="FFFFC7CE"/>
                </patternFill>
              </fill>
            </x14:dxf>
          </x14:cfRule>
          <x14:cfRule type="notContainsText" priority="66" operator="notContains" id="{A7EC2D50-4333-6D40-A596-EE8637007556}">
            <xm:f>ISERROR(SEARCH("Value Missing",D68))</xm:f>
            <xm:f>"Value Missing"</xm:f>
            <x14:dxf>
              <font>
                <color rgb="FF006100"/>
              </font>
              <fill>
                <patternFill>
                  <bgColor rgb="FFC6EFCE"/>
                </patternFill>
              </fill>
            </x14:dxf>
          </x14:cfRule>
          <xm:sqref>D68:D69 D71:D85</xm:sqref>
        </x14:conditionalFormatting>
        <x14:conditionalFormatting xmlns:xm="http://schemas.microsoft.com/office/excel/2006/main">
          <x14:cfRule type="containsText" priority="61" operator="containsText" id="{DB5B52B2-1E7B-304D-9AB1-EC979E8C30D9}">
            <xm:f>NOT(ISERROR(SEARCH("Value Missing",D87)))</xm:f>
            <xm:f>"Value Missing"</xm:f>
            <x14:dxf>
              <font>
                <color rgb="FF9C0006"/>
              </font>
              <fill>
                <patternFill>
                  <bgColor rgb="FFFFC7CE"/>
                </patternFill>
              </fill>
            </x14:dxf>
          </x14:cfRule>
          <x14:cfRule type="notContainsText" priority="58" operator="notContains" id="{4B47CE6E-747A-2D4B-815D-16BB292A4BF0}">
            <xm:f>ISERROR(SEARCH("Value Missing",D87))</xm:f>
            <xm:f>"Value Missing"</xm:f>
            <x14:dxf>
              <font>
                <color rgb="FF006100"/>
              </font>
              <fill>
                <patternFill>
                  <bgColor rgb="FFC6EFCE"/>
                </patternFill>
              </fill>
            </x14:dxf>
          </x14:cfRule>
          <xm:sqref>D87:D96</xm:sqref>
        </x14:conditionalFormatting>
        <x14:conditionalFormatting xmlns:xm="http://schemas.microsoft.com/office/excel/2006/main">
          <x14:cfRule type="notContainsText" priority="45" operator="notContains" id="{8E6A691E-5ED9-DD4E-8D22-0FA62D219896}">
            <xm:f>ISERROR(SEARCH("Value Missing",D100))</xm:f>
            <xm:f>"Value Missing"</xm:f>
            <x14:dxf>
              <font>
                <color rgb="FF006100"/>
              </font>
              <fill>
                <patternFill>
                  <bgColor rgb="FFC6EFCE"/>
                </patternFill>
              </fill>
            </x14:dxf>
          </x14:cfRule>
          <x14:cfRule type="containsText" priority="46" operator="containsText" id="{FF2081B8-121E-8B41-A201-89CB11A1010C}">
            <xm:f>NOT(ISERROR(SEARCH("Value Missing",D100)))</xm:f>
            <xm:f>"Value Missing"</xm:f>
            <x14:dxf>
              <font>
                <color rgb="FF9C0006"/>
              </font>
              <fill>
                <patternFill>
                  <bgColor rgb="FFFFC7CE"/>
                </patternFill>
              </fill>
            </x14:dxf>
          </x14:cfRule>
          <xm:sqref>D100:D101</xm:sqref>
        </x14:conditionalFormatting>
        <x14:conditionalFormatting xmlns:xm="http://schemas.microsoft.com/office/excel/2006/main">
          <x14:cfRule type="containsText" priority="42" operator="containsText" id="{B35C7D47-26C3-C74B-8911-98D49D6DC937}">
            <xm:f>NOT(ISERROR(SEARCH("Value Missing",D111)))</xm:f>
            <xm:f>"Value Missing"</xm:f>
            <x14:dxf>
              <font>
                <color rgb="FF9C0006"/>
              </font>
              <fill>
                <patternFill>
                  <bgColor rgb="FFFFC7CE"/>
                </patternFill>
              </fill>
            </x14:dxf>
          </x14:cfRule>
          <x14:cfRule type="notContainsText" priority="38" operator="notContains" id="{1CAB98FB-8A98-084B-95A0-FFA99602101E}">
            <xm:f>ISERROR(SEARCH("Value Missing",D111))</xm:f>
            <xm:f>"Value Missing"</xm:f>
            <x14:dxf>
              <font>
                <color rgb="FF006100"/>
              </font>
              <fill>
                <patternFill>
                  <bgColor rgb="FFC6EFCE"/>
                </patternFill>
              </fill>
            </x14:dxf>
          </x14:cfRule>
          <xm:sqref>D111:D117</xm:sqref>
        </x14:conditionalFormatting>
        <x14:conditionalFormatting xmlns:xm="http://schemas.microsoft.com/office/excel/2006/main">
          <x14:cfRule type="notContainsText" priority="64" operator="notContains" id="{A050A3D0-C82E-7246-9346-FCC6D0BEB839}">
            <xm:f>ISERROR(SEARCH("Value Missing",D121))</xm:f>
            <xm:f>"Value Missing"</xm:f>
            <x14:dxf>
              <font>
                <color rgb="FF006100"/>
              </font>
              <fill>
                <patternFill>
                  <bgColor rgb="FFC6EFCE"/>
                </patternFill>
              </fill>
            </x14:dxf>
          </x14:cfRule>
          <x14:cfRule type="containsText" priority="65" operator="containsText" id="{4846BBC0-1782-B040-8B04-3C80D1751245}">
            <xm:f>NOT(ISERROR(SEARCH("Value Missing",D121)))</xm:f>
            <xm:f>"Value Missing"</xm:f>
            <x14:dxf>
              <font>
                <color rgb="FF9C0006"/>
              </font>
              <fill>
                <patternFill>
                  <bgColor rgb="FFFFC7CE"/>
                </patternFill>
              </fill>
            </x14:dxf>
          </x14:cfRule>
          <xm:sqref>D121:D124</xm:sqref>
        </x14:conditionalFormatting>
        <x14:conditionalFormatting xmlns:xm="http://schemas.microsoft.com/office/excel/2006/main">
          <x14:cfRule type="containsText" priority="35" operator="containsText" id="{5D1C9734-048B-2E45-B464-5BB612377E06}">
            <xm:f>NOT(ISERROR(SEARCH("Value Missing",D128)))</xm:f>
            <xm:f>"Value Missing"</xm:f>
            <x14:dxf>
              <font>
                <color rgb="FF9C0006"/>
              </font>
              <fill>
                <patternFill>
                  <bgColor rgb="FFFFC7CE"/>
                </patternFill>
              </fill>
            </x14:dxf>
          </x14:cfRule>
          <x14:cfRule type="notContainsText" priority="34" operator="notContains" id="{9985C7DB-F72C-4542-8C1C-11C862E64C56}">
            <xm:f>ISERROR(SEARCH("Value Missing",D128))</xm:f>
            <xm:f>"Value Missing"</xm:f>
            <x14:dxf>
              <font>
                <color rgb="FF006100"/>
              </font>
              <fill>
                <patternFill>
                  <bgColor rgb="FFC6EFCE"/>
                </patternFill>
              </fill>
            </x14:dxf>
          </x14:cfRule>
          <xm:sqref>D128:D146</xm:sqref>
        </x14:conditionalFormatting>
        <x14:conditionalFormatting xmlns:xm="http://schemas.microsoft.com/office/excel/2006/main">
          <x14:cfRule type="containsText" priority="32" operator="containsText" id="{853DFD59-0910-A346-8AB8-C548D839B7D4}">
            <xm:f>NOT(ISERROR(SEARCH("Value Missing",D150)))</xm:f>
            <xm:f>"Value Missing"</xm:f>
            <x14:dxf>
              <font>
                <color rgb="FF9C0006"/>
              </font>
              <fill>
                <patternFill>
                  <bgColor rgb="FFFFC7CE"/>
                </patternFill>
              </fill>
            </x14:dxf>
          </x14:cfRule>
          <x14:cfRule type="notContainsText" priority="31" operator="notContains" id="{0617E6BC-CB14-BE4B-A572-FDA3A22A5D28}">
            <xm:f>ISERROR(SEARCH("Value Missing",D150))</xm:f>
            <xm:f>"Value Missing"</xm:f>
            <x14:dxf>
              <font>
                <color rgb="FF006100"/>
              </font>
              <fill>
                <patternFill>
                  <bgColor rgb="FFC6EFCE"/>
                </patternFill>
              </fill>
            </x14:dxf>
          </x14:cfRule>
          <xm:sqref>D150:D160</xm:sqref>
        </x14:conditionalFormatting>
        <x14:conditionalFormatting xmlns:xm="http://schemas.microsoft.com/office/excel/2006/main">
          <x14:cfRule type="containsText" priority="29" operator="containsText" id="{A7F71EC8-BE21-CB4F-9697-DFB577A63689}">
            <xm:f>NOT(ISERROR(SEARCH("Value Missing",D164)))</xm:f>
            <xm:f>"Value Missing"</xm:f>
            <x14:dxf>
              <font>
                <color rgb="FF9C0006"/>
              </font>
              <fill>
                <patternFill>
                  <bgColor rgb="FFFFC7CE"/>
                </patternFill>
              </fill>
            </x14:dxf>
          </x14:cfRule>
          <x14:cfRule type="notContainsText" priority="28" operator="notContains" id="{7C2F5204-6626-4145-BA26-7E7CC911F450}">
            <xm:f>ISERROR(SEARCH("Value Missing",D164))</xm:f>
            <xm:f>"Value Missing"</xm:f>
            <x14:dxf>
              <font>
                <color rgb="FF006100"/>
              </font>
              <fill>
                <patternFill>
                  <bgColor rgb="FFC6EFCE"/>
                </patternFill>
              </fill>
            </x14:dxf>
          </x14:cfRule>
          <xm:sqref>D164:D167</xm:sqref>
        </x14:conditionalFormatting>
        <x14:conditionalFormatting xmlns:xm="http://schemas.microsoft.com/office/excel/2006/main">
          <x14:cfRule type="containsText" priority="16" operator="containsText" id="{BD543ACE-79D1-554F-BEA6-423271596042}">
            <xm:f>NOT(ISERROR(SEARCH("Value Missing",D175)))</xm:f>
            <xm:f>"Value Missing"</xm:f>
            <x14:dxf>
              <font>
                <color rgb="FF9C0006"/>
              </font>
              <fill>
                <patternFill>
                  <bgColor rgb="FFFFC7CE"/>
                </patternFill>
              </fill>
            </x14:dxf>
          </x14:cfRule>
          <x14:cfRule type="notContainsText" priority="15" operator="notContains" id="{CB357D95-298C-D248-9FEC-0C161CC0A92E}">
            <xm:f>ISERROR(SEARCH("Value Missing",D175))</xm:f>
            <xm:f>"Value Missing"</xm:f>
            <x14:dxf>
              <font>
                <color rgb="FF006100"/>
              </font>
              <fill>
                <patternFill>
                  <bgColor rgb="FFC6EFCE"/>
                </patternFill>
              </fill>
            </x14:dxf>
          </x14:cfRule>
          <xm:sqref>D175:D179</xm:sqref>
        </x14:conditionalFormatting>
        <x14:conditionalFormatting xmlns:xm="http://schemas.microsoft.com/office/excel/2006/main">
          <x14:cfRule type="notContainsText" priority="8" operator="notContains" id="{930D72A3-DBE5-ED44-B0A4-B1EEA90A6E6D}">
            <xm:f>ISERROR(SEARCH("Value Missing",D185))</xm:f>
            <xm:f>"Value Missing"</xm:f>
            <x14:dxf>
              <font>
                <color rgb="FF006100"/>
              </font>
              <fill>
                <patternFill>
                  <bgColor rgb="FFC6EFCE"/>
                </patternFill>
              </fill>
            </x14:dxf>
          </x14:cfRule>
          <x14:cfRule type="containsText" priority="27" operator="containsText" id="{46FE4618-E01F-8D49-8DEC-4FD7159BB919}">
            <xm:f>NOT(ISERROR(SEARCH("Value Missing",D185)))</xm:f>
            <xm:f>"Value Missing"</xm:f>
            <x14:dxf>
              <font>
                <color rgb="FF9C0006"/>
              </font>
              <fill>
                <patternFill>
                  <bgColor rgb="FFFFC7CE"/>
                </patternFill>
              </fill>
            </x14:dxf>
          </x14:cfRule>
          <xm:sqref>D185:D190</xm:sqref>
        </x14:conditionalFormatting>
        <x14:conditionalFormatting xmlns:xm="http://schemas.microsoft.com/office/excel/2006/main">
          <x14:cfRule type="notContainsText" priority="7" operator="notContains" id="{91060B8C-01FB-D447-A187-DADA06EFAC1F}">
            <xm:f>ISERROR(SEARCH("Value Missing",D194))</xm:f>
            <xm:f>"Value Missing"</xm:f>
            <x14:dxf>
              <font>
                <color rgb="FF006100"/>
              </font>
              <fill>
                <patternFill>
                  <bgColor rgb="FFC6EFCE"/>
                </patternFill>
              </fill>
            </x14:dxf>
          </x14:cfRule>
          <x14:cfRule type="containsText" priority="10" operator="containsText" id="{B6EE8EA9-91A1-2547-AB78-2EEEE157319D}">
            <xm:f>NOT(ISERROR(SEARCH("Value Missing",D194)))</xm:f>
            <xm:f>"Value Missing"</xm:f>
            <x14:dxf>
              <font>
                <color rgb="FF9C0006"/>
              </font>
              <fill>
                <patternFill>
                  <bgColor rgb="FFFFC7CE"/>
                </patternFill>
              </fill>
            </x14:dxf>
          </x14:cfRule>
          <xm:sqref>D194:D196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F28D-4785-D146-9643-40CAAB75198C}">
  <sheetPr>
    <tabColor theme="3"/>
  </sheetPr>
  <dimension ref="A1:O69"/>
  <sheetViews>
    <sheetView showGridLines="0" zoomScaleNormal="100" workbookViewId="0">
      <pane ySplit="4" topLeftCell="A5" activePane="bottomLeft" state="frozen"/>
      <selection pane="bottomLeft"/>
    </sheetView>
  </sheetViews>
  <sheetFormatPr baseColWidth="10" defaultColWidth="10.83203125" defaultRowHeight="16"/>
  <cols>
    <col min="1" max="1" width="2.83203125" style="3" customWidth="1"/>
    <col min="2" max="2" width="14" style="3" customWidth="1"/>
    <col min="3" max="3" width="13" style="7" bestFit="1" customWidth="1"/>
    <col min="4" max="4" width="65.83203125" style="5" customWidth="1"/>
    <col min="5" max="5" width="99.5" style="5" customWidth="1"/>
    <col min="6" max="6" width="10.83203125" style="3" customWidth="1"/>
    <col min="7" max="16384" width="10.83203125" style="3"/>
  </cols>
  <sheetData>
    <row r="1" spans="1:14" ht="16" customHeight="1">
      <c r="A1" s="6"/>
      <c r="C1" s="3"/>
      <c r="D1" s="3"/>
      <c r="E1" s="3"/>
    </row>
    <row r="2" spans="1:14" ht="54" customHeight="1">
      <c r="B2" s="392" t="s">
        <v>5156</v>
      </c>
      <c r="C2" s="392"/>
      <c r="D2" s="392"/>
      <c r="E2" s="392"/>
      <c r="F2" s="392"/>
      <c r="G2" s="392"/>
      <c r="H2" s="392"/>
      <c r="I2" s="392"/>
      <c r="J2" s="392"/>
      <c r="K2" s="392"/>
      <c r="L2" s="392"/>
      <c r="M2" s="9"/>
      <c r="N2" s="9"/>
    </row>
    <row r="3" spans="1:14" ht="20" customHeight="1">
      <c r="B3" s="393" t="s">
        <v>81</v>
      </c>
      <c r="C3" s="393"/>
      <c r="D3" s="393"/>
      <c r="E3" s="393"/>
      <c r="F3" s="393"/>
      <c r="G3" s="393"/>
      <c r="H3" s="393"/>
      <c r="I3" s="393"/>
      <c r="J3" s="393"/>
      <c r="K3" s="393"/>
      <c r="L3" s="393"/>
      <c r="M3" s="10"/>
      <c r="N3" s="10"/>
    </row>
    <row r="4" spans="1:14">
      <c r="B4" s="168" cm="1">
        <f t="array" aca="1" ref="B4" ca="1">INDIRECT("B8")</f>
        <v>1814</v>
      </c>
    </row>
    <row r="6" spans="1:14" s="4" customFormat="1" ht="34" customHeight="1">
      <c r="B6" s="344" t="s">
        <v>82</v>
      </c>
      <c r="C6" s="344"/>
      <c r="D6" s="344"/>
      <c r="E6" s="344"/>
      <c r="F6" s="344"/>
      <c r="G6" s="344"/>
      <c r="H6" s="344"/>
      <c r="I6" s="344"/>
      <c r="J6" s="344"/>
      <c r="K6" s="344"/>
      <c r="L6" s="344"/>
    </row>
    <row r="7" spans="1:14" ht="17">
      <c r="B7" s="8" t="s">
        <v>83</v>
      </c>
      <c r="C7" s="1" t="s">
        <v>84</v>
      </c>
      <c r="D7" s="345" t="s">
        <v>85</v>
      </c>
      <c r="E7" s="345"/>
      <c r="F7" s="345"/>
      <c r="G7" s="345"/>
      <c r="H7" s="345"/>
      <c r="I7" s="345"/>
      <c r="J7" s="345"/>
      <c r="K7" s="345"/>
      <c r="L7" s="345"/>
    </row>
    <row r="8" spans="1:14" ht="83" customHeight="1">
      <c r="B8" s="310">
        <v>1814</v>
      </c>
      <c r="C8" s="310" t="s">
        <v>5167</v>
      </c>
      <c r="D8" s="400" t="s">
        <v>5168</v>
      </c>
      <c r="E8" s="401"/>
      <c r="F8" s="401"/>
      <c r="G8" s="401"/>
      <c r="H8" s="401"/>
      <c r="I8" s="401"/>
      <c r="J8" s="401"/>
      <c r="K8" s="401"/>
      <c r="L8" s="402"/>
    </row>
    <row r="9" spans="1:14" ht="100" customHeight="1">
      <c r="B9" s="310">
        <v>1813</v>
      </c>
      <c r="C9" s="310" t="s">
        <v>5162</v>
      </c>
      <c r="D9" s="400" t="s">
        <v>5163</v>
      </c>
      <c r="E9" s="401"/>
      <c r="F9" s="401"/>
      <c r="G9" s="401"/>
      <c r="H9" s="401"/>
      <c r="I9" s="401"/>
      <c r="J9" s="401"/>
      <c r="K9" s="401"/>
      <c r="L9" s="402"/>
    </row>
    <row r="10" spans="1:14" ht="193" customHeight="1">
      <c r="B10" s="310">
        <v>1812</v>
      </c>
      <c r="C10" s="311" t="s">
        <v>5155</v>
      </c>
      <c r="D10" s="400" t="s">
        <v>5164</v>
      </c>
      <c r="E10" s="401"/>
      <c r="F10" s="401"/>
      <c r="G10" s="401"/>
      <c r="H10" s="401"/>
      <c r="I10" s="401"/>
      <c r="J10" s="401"/>
      <c r="K10" s="401"/>
      <c r="L10" s="402"/>
    </row>
    <row r="14" spans="1:14" ht="55" customHeight="1"/>
    <row r="15" spans="1:14" ht="42" customHeight="1"/>
    <row r="16" spans="1:14" ht="365" customHeight="1"/>
    <row r="17" spans="2:15" ht="100" customHeight="1"/>
    <row r="18" spans="2:15" s="4" customFormat="1" ht="54" customHeight="1">
      <c r="B18" s="3"/>
      <c r="C18" s="7"/>
      <c r="D18" s="5"/>
      <c r="E18" s="5"/>
      <c r="F18" s="3"/>
      <c r="G18" s="3"/>
      <c r="H18" s="3"/>
      <c r="I18" s="3"/>
      <c r="J18" s="3"/>
      <c r="K18" s="3"/>
      <c r="L18" s="3"/>
    </row>
    <row r="19" spans="2:15" ht="182" customHeight="1">
      <c r="O19" s="3" t="s">
        <v>335</v>
      </c>
    </row>
    <row r="20" spans="2:15" ht="87" customHeight="1"/>
    <row r="21" spans="2:15" ht="66" customHeight="1"/>
    <row r="22" spans="2:15" ht="99" customHeight="1"/>
    <row r="23" spans="2:15" ht="135" customHeight="1"/>
    <row r="24" spans="2:15" ht="115" customHeight="1"/>
    <row r="25" spans="2:15" ht="212" customHeight="1"/>
    <row r="26" spans="2:15" ht="22" customHeight="1"/>
    <row r="27" spans="2:15" ht="131" customHeight="1"/>
    <row r="28" spans="2:15" ht="65" customHeight="1"/>
    <row r="29" spans="2:15" ht="39" customHeight="1"/>
    <row r="30" spans="2:15" ht="21" customHeight="1"/>
    <row r="31" spans="2:15" ht="85" customHeight="1"/>
    <row r="32" spans="2:15" ht="218" customHeight="1"/>
    <row r="33" ht="20" customHeight="1"/>
    <row r="34" ht="96" customHeight="1"/>
    <row r="35" ht="54" customHeight="1"/>
    <row r="36" ht="103" customHeight="1"/>
    <row r="37" ht="39" customHeight="1"/>
    <row r="38" ht="66" customHeight="1"/>
    <row r="40" ht="80" customHeight="1"/>
    <row r="42" ht="179" customHeight="1"/>
    <row r="45" ht="204" customHeight="1"/>
    <row r="46" ht="50" customHeight="1"/>
    <row r="47" ht="196" customHeight="1"/>
    <row r="48" ht="37" customHeight="1"/>
    <row r="49" ht="85" customHeight="1"/>
    <row r="50" ht="70" customHeight="1"/>
    <row r="51" ht="35" customHeight="1"/>
    <row r="52" ht="35" customHeight="1"/>
    <row r="54" ht="53" customHeight="1"/>
    <row r="55" ht="53" customHeight="1"/>
    <row r="56" ht="70" customHeight="1"/>
    <row r="57" ht="84" customHeight="1"/>
    <row r="58" ht="20" customHeight="1"/>
    <row r="59" ht="34" customHeight="1"/>
    <row r="60" ht="54" customHeight="1"/>
    <row r="61" ht="20" customHeight="1"/>
    <row r="62" ht="84" customHeight="1"/>
    <row r="63" ht="20" customHeight="1"/>
    <row r="64" ht="34" customHeight="1"/>
    <row r="65" ht="20" customHeight="1"/>
    <row r="67" ht="34" customHeight="1"/>
    <row r="68" ht="20" customHeight="1"/>
    <row r="69" ht="34" customHeight="1"/>
  </sheetData>
  <sheetProtection algorithmName="SHA-512" hashValue="Doyu9ulQcq9vP1VZOJU6JQvKwsUlfhfh3/XSDddD0XgjiFaHE/nBXGB5gIwa4HC51s7n0uIFoSHHBVAGQzXiOw==" saltValue="difWDN5LsMNj8QEt1RU+Pw==" spinCount="100000" sheet="1" selectLockedCells="1"/>
  <mergeCells count="7">
    <mergeCell ref="B2:L2"/>
    <mergeCell ref="B3:L3"/>
    <mergeCell ref="B6:L6"/>
    <mergeCell ref="D7:L7"/>
    <mergeCell ref="D10:L10"/>
    <mergeCell ref="D9:L9"/>
    <mergeCell ref="D8:L8"/>
  </mergeCells>
  <pageMargins left="0.7" right="0.7" top="0.75" bottom="0.75" header="0.3" footer="0.3"/>
  <pageSetup paperSize="9"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5FAA-616D-7D4C-A252-4D0D14EC8B9E}">
  <sheetPr codeName="Sheet24"/>
  <dimension ref="A1:A179"/>
  <sheetViews>
    <sheetView topLeftCell="A58" zoomScale="150" workbookViewId="0">
      <selection activeCell="A81" sqref="A81"/>
    </sheetView>
  </sheetViews>
  <sheetFormatPr baseColWidth="10" defaultColWidth="11" defaultRowHeight="16"/>
  <cols>
    <col min="1" max="1" width="101.83203125" bestFit="1" customWidth="1"/>
  </cols>
  <sheetData>
    <row r="1" spans="1:1">
      <c r="A1" t="s">
        <v>3075</v>
      </c>
    </row>
    <row r="2" spans="1:1">
      <c r="A2" t="str">
        <f>"workflowName.vcf-ems=workflowconfig/workflowspec-ems.json"</f>
        <v>workflowName.vcf-ems=workflowconfig/workflowspec-ems.json</v>
      </c>
    </row>
    <row r="3" spans="1:1">
      <c r="A3" t="str">
        <f>(IF(mgmt_ceip_status="Yes","CeipEnabled=true","CeipEnabled=false"))</f>
        <v>CeipEnabled=false</v>
      </c>
    </row>
    <row r="4" spans="1:1">
      <c r="A4" t="str">
        <f>(IF(mgmt_fips_status="Yes","FipsEnabled=true","FipsEnabled=false"))</f>
        <v>FipsEnabled=false</v>
      </c>
    </row>
    <row r="5" spans="1:1">
      <c r="A5" t="str">
        <f>"workflowVersion.vcf-ems="&amp;RIGHT(vcf_version,5)</f>
        <v>workflowVersion.vcf-ems=5.2.x</v>
      </c>
    </row>
    <row r="7" spans="1:1">
      <c r="A7" t="s">
        <v>3076</v>
      </c>
    </row>
    <row r="8" spans="1:1">
      <c r="A8" t="s">
        <v>3077</v>
      </c>
    </row>
    <row r="9" spans="1:1">
      <c r="A9" t="str">
        <f>IF(region_ntp1_server="Value Missing","ntp-server@address=","ntp-server@address="&amp;region_ntp1_server)</f>
        <v>ntp-server@address=</v>
      </c>
    </row>
    <row r="10" spans="1:1">
      <c r="A10" t="str">
        <f>IF(OR((region_ntp2_server="Value Missing"),(region_ntp2_server="n/a")),"remote-site-ntp-server@address=","remote-site-ntp-server@address="&amp;region_ntp2_server)</f>
        <v>remote-site-ntp-server@address=</v>
      </c>
    </row>
    <row r="11" spans="1:1">
      <c r="A11" t="s">
        <v>3078</v>
      </c>
    </row>
    <row r="12" spans="1:1">
      <c r="A12" t="str">
        <f>IF(parent_dns_zone="Value Missing","root-dns-records@zoneName=","root-dns-records@zoneName="&amp;parent_dns_zone)</f>
        <v>root-dns-records@zoneName=</v>
      </c>
    </row>
    <row r="13" spans="1:1">
      <c r="A13" t="str">
        <f>IF(region_dns1_ip="Value Missing","managementNetwork.primaryDns=","managementNetwork.primaryDns="&amp;region_dns1_ip)</f>
        <v>managementNetwork.primaryDns=</v>
      </c>
    </row>
    <row r="14" spans="1:1">
      <c r="A14" t="str">
        <f>IF(child_dns_zone="Value Missing","local-dns-records@zoneName=","local-dns-records@zoneName="&amp;child_dns_zone)</f>
        <v>local-dns-records@zoneName=</v>
      </c>
    </row>
    <row r="15" spans="1:1">
      <c r="A15" t="str">
        <f>IF(region_dns2_ip="Value Missing","managementNetwork.secondaryDns=","managementNetwork.secondaryDns="&amp;region_dns2_ip)</f>
        <v>managementNetwork.secondaryDns=</v>
      </c>
    </row>
    <row r="17" spans="1:1">
      <c r="A17" t="s">
        <v>3079</v>
      </c>
    </row>
    <row r="18" spans="1:1">
      <c r="A18" t="e">
        <f>IF(vcf_license="Value Missing","sddc-manager-license@key=","sddc-manager-license@key="&amp;vcf_license)</f>
        <v>#NAME?</v>
      </c>
    </row>
    <row r="19" spans="1:1">
      <c r="A19" t="str">
        <f>IF(sddc_mgr_root_password="Value Missing","sddc-manager-root-credentials=","sddc-manager-root-credentials="&amp;sddc_mgr_root_password)</f>
        <v>sddc-manager-root-credentials=</v>
      </c>
    </row>
    <row r="20" spans="1:1">
      <c r="A20" t="str">
        <f>IF(sddc_mgr_vcf_password="Value Missing","sddc-manager-superuser-credentials=","sddc-manager-superuser-credentials="&amp;sddc_mgr_vcf_password)</f>
        <v>sddc-manager-superuser-credentials=</v>
      </c>
    </row>
    <row r="21" spans="1:1">
      <c r="A21" t="str">
        <f>IF(sddc_mgr_admin_local_password="Value Missing","sddc-manager-localUser-credentials=","sddc-manager-localUser-credentials="&amp;sddc_mgr_admin_local_password)</f>
        <v>sddc-manager-localUser-credentials=</v>
      </c>
    </row>
    <row r="22" spans="1:1">
      <c r="A22" t="str">
        <f>IF(sddc_mgr_ip="Value Missing","sddcManagerIp.Address=","sddcManagerIp.Address="&amp;sddc_mgr_ip)</f>
        <v>sddcManagerIp.Address=</v>
      </c>
    </row>
    <row r="23" spans="1:1">
      <c r="A23" t="str">
        <f>IF(sddc_mgr_hostname="Value Missing","sddcManager-deployment-vmname=","sddcManager-deployment-vmname="&amp;sddc_mgr_hostname)</f>
        <v>sddcManager-deployment-vmname=</v>
      </c>
    </row>
    <row r="24" spans="1:1">
      <c r="A24" t="str">
        <f>IF(mgmt_az1_pool_name="Value Missing","sddcManager-HostPoolName=","sddcManager-HostPoolName="&amp;mgmt_az1_pool_name)</f>
        <v>sddcManager-HostPoolName=</v>
      </c>
    </row>
    <row r="25" spans="1:1">
      <c r="A25" t="str">
        <f>IF(mgmt_sddc_domain="Value Missing","sddcManager-mgmt-domainName=","sddcManager-mgmt-domainName="&amp;mgmt_sddc_domain)</f>
        <v>sddcManager-mgmt-domainName=</v>
      </c>
    </row>
    <row r="27" spans="1:1">
      <c r="A27" t="s">
        <v>3080</v>
      </c>
    </row>
    <row r="28" spans="1:1">
      <c r="A28" t="str">
        <f>IF(vc_license="Value Missing","mgmt-vcenter-6-license@key=","mgmt-vcenter-6-license@key="&amp;vc_license)</f>
        <v>mgmt-vcenter-6-license@key=</v>
      </c>
    </row>
    <row r="29" spans="1:1">
      <c r="A29" t="str">
        <f>IF(vcenter_root_password="Value Missing","vcenter-root-credentials@password=","vcenter-root-credentials@password="&amp;vcenter_root_password)</f>
        <v>vcenter-root-credentials@password=</v>
      </c>
    </row>
    <row r="30" spans="1:1">
      <c r="A30" t="str">
        <f>IF(mgmt_vc_ip="Value Missing","vcenterManagementIp.address=","vcenterManagementIp.address="&amp;mgmt_vc_ip)</f>
        <v>vcenterManagementIp.address=</v>
      </c>
    </row>
    <row r="31" spans="1:1">
      <c r="A31" t="str">
        <f>IF(mgmt_vc_hostname="Value Missing","vcenter-mgmt-deployment-vmname=","vcenter-mgmt-deployment-vmname="&amp;mgmt_vc_hostname)</f>
        <v>vcenter-mgmt-deployment-vmname=</v>
      </c>
    </row>
    <row r="32" spans="1:1">
      <c r="A32" t="str">
        <f>"vcenter-mgmt-deployment@deploymentModel="&amp;(LOWER(sizing_m01_vcenter_appliance_size))</f>
        <v>vcenter-mgmt-deployment@deploymentModel=small</v>
      </c>
    </row>
    <row r="33" spans="1:1">
      <c r="A33" t="str">
        <f>IF(LOWER(sizing_m01_vcenter_storage_size)="default","vcenter-mgmt-deployment-storageSize=",IF(LOWER(sizing_m01_vcenter_storage_size)="large","vcenter-mgmt-deployment-storageSize=lstorage",IF(LOWER(sizing_m01_vcenter_storage_size)="xlarge","vcenter-mgmt-deployment-storageSize=xlstorage","vcenter-mgmt-deployment-storageSize=")))</f>
        <v>vcenter-mgmt-deployment-storageSize=</v>
      </c>
    </row>
    <row r="34" spans="1:1">
      <c r="A34" t="s">
        <v>3081</v>
      </c>
    </row>
    <row r="35" spans="1:1">
      <c r="A35" t="str">
        <f>IF(_xlfn.SINGLE(administrator_vsphere_local_password)="Value Missing","vcenter-admin-credentials@password=","vcenter-admin-credentials@password="&amp;_xlfn.SINGLE(administrator_vsphere_local_password))</f>
        <v>vcenter-admin-credentials@password=</v>
      </c>
    </row>
    <row r="36" spans="1:1">
      <c r="A36" t="str">
        <f>IF(mgmt_sddc_domain="Value Missing","sso-site-name@value=","sso-site-name@value="&amp;mgmt_sddc_domain)</f>
        <v>sso-site-name@value=</v>
      </c>
    </row>
    <row r="37" spans="1:1">
      <c r="A37" t="s">
        <v>3082</v>
      </c>
    </row>
    <row r="38" spans="1:1">
      <c r="A38" t="str">
        <f>"vlcm-enable-cluster=false"</f>
        <v>vlcm-enable-cluster=false</v>
      </c>
    </row>
    <row r="39" spans="1:1">
      <c r="A39" t="str">
        <f>"vlcm-image-file="</f>
        <v>vlcm-image-file=</v>
      </c>
    </row>
    <row r="41" spans="1:1">
      <c r="A41" t="s">
        <v>3083</v>
      </c>
    </row>
    <row r="42" spans="1:1">
      <c r="A42" t="str">
        <f>IF(vsan_license="Value Missing","vsan-license@key=","vsan-license@key="&amp;vsan_license)</f>
        <v>vsan-license@key=</v>
      </c>
    </row>
    <row r="43" spans="1:1">
      <c r="A43" t="str">
        <f>IF(mgmt_cl01_vsan_datastore="Value Missing","management-vsan-datastore-name@value=","management-vsan-datastore-name@value="&amp;mgmt_cl01_vsan_datastore)</f>
        <v>management-vsan-datastore-name@value=</v>
      </c>
    </row>
    <row r="44" spans="1:1">
      <c r="A44" t="str">
        <f>IF(mgmt_cl01_vsan_dedupe_compression="Yes","enableVsanDeduplication=true","enableVsanDeduplication=false")</f>
        <v>enableVsanDeduplication=false</v>
      </c>
    </row>
    <row r="46" spans="1:1">
      <c r="A46" t="s">
        <v>3084</v>
      </c>
    </row>
    <row r="47" spans="1:1">
      <c r="A47" t="s">
        <v>3085</v>
      </c>
    </row>
    <row r="48" spans="1:1">
      <c r="A48" t="str">
        <f>"cloud-subscription-license@key="</f>
        <v>cloud-subscription-license@key=</v>
      </c>
    </row>
    <row r="49" spans="1:1">
      <c r="A49" t="s">
        <v>3086</v>
      </c>
    </row>
    <row r="50" spans="1:1">
      <c r="A50" t="str">
        <f>IF(esx_std_license="Value Missing","vcloud-suite-license@key=","vcloud-suite-license@key="&amp;esx_std_license)</f>
        <v>vcloud-suite-license@key=</v>
      </c>
    </row>
    <row r="51" spans="1:1">
      <c r="A51" t="s">
        <v>3087</v>
      </c>
    </row>
    <row r="52" spans="1:1">
      <c r="A52" t="s">
        <v>3088</v>
      </c>
    </row>
    <row r="53" spans="1:1">
      <c r="A53" t="str">
        <f>IF(esxi_root_password="Value Missing","esxi.password=","esxi.password="&amp;esxi_root_password)</f>
        <v>esxi.password=</v>
      </c>
    </row>
    <row r="54" spans="1:1">
      <c r="A54" t="s">
        <v>3089</v>
      </c>
    </row>
    <row r="55" spans="1:1">
      <c r="A55" t="str">
        <f>IF(_xlfn.SINGLE(mgmt_cl01_vss_switch)="Value Missing","management-hosts-vss-name@value=","management-hosts-vss-name@value="&amp;_xlfn.SINGLE(mgmt_cl01_vss_switch))</f>
        <v>management-hosts-vss-name@value=</v>
      </c>
    </row>
    <row r="56" spans="1:1">
      <c r="A56" t="s">
        <v>3090</v>
      </c>
    </row>
    <row r="57" spans="1:1">
      <c r="A57" t="str">
        <f>IF(mgmt_az1_host1_mgmt_ip="Value Missing","esxi.mgmt-1.address=","esxi.mgmt-1.address="&amp;mgmt_az1_host1_mgmt_ip)</f>
        <v>esxi.mgmt-1.address=</v>
      </c>
    </row>
    <row r="58" spans="1:1">
      <c r="A58" t="str">
        <f>IF(mgmt_az1_host1_hostname="Value Missing","esxi.mgmt-1.hostname=","esxi.mgmt-1.hostname="&amp;mgmt_az1_host1_hostname)</f>
        <v>esxi.mgmt-1.hostname=</v>
      </c>
    </row>
    <row r="59" spans="1:1">
      <c r="A59" t="str">
        <f>IF(mgmt_az1_host2_mgmt_ip="Value Missing","esxi.mgmt-2.address=","esxi.mgmt-2.address="&amp;mgmt_az1_host2_mgmt_ip)</f>
        <v>esxi.mgmt-2.address=</v>
      </c>
    </row>
    <row r="60" spans="1:1">
      <c r="A60" t="str">
        <f>IF(mgmt_az1_host2_hostname="Value Missing","esxi.mgmt-2.hostname=","esxi.mgmt-2.hostname="&amp;mgmt_az1_host2_hostname)</f>
        <v>esxi.mgmt-2.hostname=</v>
      </c>
    </row>
    <row r="61" spans="1:1">
      <c r="A61" t="str">
        <f>IF(mgmt_az1_host3_mgmt_ip="Value Missing","esxi.mgmt-3.address=","esxi.mgmt-3.address="&amp;mgmt_az1_host3_mgmt_ip)</f>
        <v>esxi.mgmt-3.address=</v>
      </c>
    </row>
    <row r="62" spans="1:1">
      <c r="A62" t="str">
        <f>IF(mgmt_az1_host3_hostname="Value Missing","esxi.mgmt-3.hostname=","esxi.mgmt-3.hostname="&amp;mgmt_az1_host3_hostname)</f>
        <v>esxi.mgmt-3.hostname=</v>
      </c>
    </row>
    <row r="63" spans="1:1">
      <c r="A63" t="str">
        <f>IF(mgmt_az1_host4_mgmt_ip="Value Missing","esxi.mgmt-4.address=","esxi.mgmt-4.address="&amp;mgmt_az1_host4_mgmt_ip)</f>
        <v>esxi.mgmt-4.address=</v>
      </c>
    </row>
    <row r="64" spans="1:1">
      <c r="A64" t="str">
        <f>IF(mgmt_az1_host4_hostname="Value Missing","esxi.mgmt-4.hostname=","esxi.mgmt-4.hostname="&amp;mgmt_az1_host4_hostname)</f>
        <v>esxi.mgmt-4.hostname=</v>
      </c>
    </row>
    <row r="65" spans="1:1">
      <c r="A65" t="s">
        <v>3091</v>
      </c>
    </row>
    <row r="66" spans="1:1">
      <c r="A66" t="b">
        <f>IF(esxi_thumbprint_validation="Yes","skipThumbprintValidation=false",IF(esxi_thumbprint_validation="No","skipThumbprintValidation=true"))</f>
        <v>0</v>
      </c>
    </row>
    <row r="67" spans="1:1">
      <c r="A67" t="s">
        <v>3092</v>
      </c>
    </row>
    <row r="68" spans="1:1">
      <c r="A68" t="str">
        <f>IF(mgmt_host1_sshfingerprint="Value Missing","esxi.mgmt-1.sshThumbprint=","esxi.mgmt-1.sshThumbprint="&amp;mgmt_host1_sshfingerprint)</f>
        <v>esxi.mgmt-1.sshThumbprint=</v>
      </c>
    </row>
    <row r="69" spans="1:1">
      <c r="A69" t="str">
        <f>IF(mgmt_host2_sshfingerprint="Value Missing","esxi.mgmt-2.sshThumbprint=","esxi.mgmt-2.sshThumbprint="&amp;mgmt_host2_sshfingerprint)</f>
        <v>esxi.mgmt-2.sshThumbprint=</v>
      </c>
    </row>
    <row r="70" spans="1:1">
      <c r="A70" t="str">
        <f>IF(mgmt_host3_sshfingerprint="Value Missing","esxi.mgmt-3.sshThumbprint=","esxi.mgmt-3.sshThumbprint="&amp;mgmt_host3_sshfingerprint)</f>
        <v>esxi.mgmt-3.sshThumbprint=</v>
      </c>
    </row>
    <row r="71" spans="1:1">
      <c r="A71" t="str">
        <f>IF(mgmt_host4_sshfingerprint="Value Missing","esxi.mgmt-4.sshThumbprint=","esxi.mgmt-4.sshThumbprint="&amp;mgmt_host4_sshfingerprint)</f>
        <v>esxi.mgmt-4.sshThumbprint=</v>
      </c>
    </row>
    <row r="72" spans="1:1">
      <c r="A72" t="s">
        <v>3093</v>
      </c>
    </row>
    <row r="73" spans="1:1">
      <c r="A73" t="str">
        <f>IF(mgmt_host1_thumbprint="Value Missing","esxi.mgmt-1.sslThumbprint=","esxi.mgmt-1.sslThumbprint="&amp;mgmt_host1_thumbprint)</f>
        <v>esxi.mgmt-1.sslThumbprint=</v>
      </c>
    </row>
    <row r="74" spans="1:1">
      <c r="A74" t="str">
        <f>IF(mgmt_host2_thumbprint="Value Missing","esxi.mgmt-2.sslThumbprint=","esxi.mgmt-2.sslThumbprint="&amp;mgmt_host2_thumbprint)</f>
        <v>esxi.mgmt-2.sslThumbprint=</v>
      </c>
    </row>
    <row r="75" spans="1:1">
      <c r="A75" t="str">
        <f>IF(mgmt_host3_thumbprint="Value Missing","esxi.mgmt-3.sslThumbprint=","esxi.mgmt-3.sslThumbprint="&amp;mgmt_host3_thumbprint)</f>
        <v>esxi.mgmt-3.sslThumbprint=</v>
      </c>
    </row>
    <row r="76" spans="1:1">
      <c r="A76" t="str">
        <f>IF(mgmt_host4_thumbprint="Value Missing","esxi.mgmt-4.sslThumbprint=","esxi.mgmt-4.sslThumbprint="&amp;mgmt_host4_thumbprint)</f>
        <v>esxi.mgmt-4.sslThumbprint=</v>
      </c>
    </row>
    <row r="78" spans="1:1">
      <c r="A78" t="s">
        <v>3094</v>
      </c>
    </row>
    <row r="79" spans="1:1">
      <c r="A79" t="str">
        <f>IF(mgmt_datacenter="Value Missing","mgmt-datacenter-name=","mgmt-datacenter-name="&amp;mgmt_datacenter)</f>
        <v>mgmt-datacenter-name=</v>
      </c>
    </row>
    <row r="80" spans="1:1">
      <c r="A80" t="str">
        <f>IF(mgmt_cl01_cluster="Value Missing","management-cluster-name=","management-cluster-name="&amp;mgmt_cl01_cluster)</f>
        <v>management-cluster-name=</v>
      </c>
    </row>
    <row r="81" spans="1:1">
      <c r="A81" t="str">
        <f>IF(OR((mgmt_cl01_evc_mode="Value Missing"),(mgmt_cl01_evc_mode="n/a")),"evc-mode-management-cluster@value=","evc-mode-management-cluster@value="&amp;mgmt_cl01_evc_mode)</f>
        <v>evc-mode-management-cluster@value=</v>
      </c>
    </row>
    <row r="82" spans="1:1">
      <c r="A82" t="s">
        <v>3095</v>
      </c>
    </row>
    <row r="83" spans="1:1">
      <c r="A83" t="str">
        <f>IF(mgmt_consolidated_result="Excluded","skipResourcePoolCreation=true","skipResourcePoolCreation=false")</f>
        <v>skipResourcePoolCreation=true</v>
      </c>
    </row>
    <row r="84" spans="1:1">
      <c r="A84" t="str">
        <f>IF(mgmt_consolidated_result="Excluded","vsphere-resource-pools[1]=","vsphere-resource-pools[1]="&amp;mgmt_mgmt_rp)</f>
        <v>vsphere-resource-pools[1]=</v>
      </c>
    </row>
    <row r="85" spans="1:1">
      <c r="A85" t="str">
        <f>IF(mgmt_consolidated_result="Excluded","vsphere-resource-pools[2]=","vsphere-resource-pools[2]="&amp;mgmt_nsx_rp)</f>
        <v>vsphere-resource-pools[2]=</v>
      </c>
    </row>
    <row r="86" spans="1:1">
      <c r="A86" t="str">
        <f>IF(mgmt_consolidated_result="Excluded","vsphere-resource-pools[3]=","vsphere-resource-pools[3]="&amp;mgmt_user_edge_rp)</f>
        <v>vsphere-resource-pools[3]=</v>
      </c>
    </row>
    <row r="87" spans="1:1">
      <c r="A87" t="str">
        <f>IF(mgmt_consolidated_result="Excluded","vsphere-resource-pools[4]=","vsphere-resource-pools[4]="&amp;mgmt_user_vm_rp)</f>
        <v>vsphere-resource-pools[4]=</v>
      </c>
    </row>
    <row r="89" spans="1:1">
      <c r="A89" t="s">
        <v>3096</v>
      </c>
    </row>
    <row r="90" spans="1:1">
      <c r="A90" t="str">
        <f>IF(mgmt_cl01_vds01_name="Value Missing","vds-primary-switchName=","vds-primary-switchName="&amp;mgmt_cl01_vds01_name)</f>
        <v>vds-primary-switchName=</v>
      </c>
    </row>
    <row r="91" spans="1:1">
      <c r="A91" t="str">
        <f>IF(mgmt_cl01_vds01_pnics="Value Missing","vds-primary-vmnics=","vds-primary-vmnics="&amp;mgmt_cl01_vds01_pnics)</f>
        <v>vds-primary-vmnics=</v>
      </c>
    </row>
    <row r="92" spans="1:1">
      <c r="A92" t="str">
        <f>IF(mgmt_cl01_vds01_mtu="Value Missing","vds-primary-mtu=","vds-primary-mtu="&amp;mgmt_cl01_vds01_mtu)</f>
        <v>vds-primary-mtu=</v>
      </c>
    </row>
    <row r="93" spans="1:1">
      <c r="A93" t="str">
        <f>IF(mgmt_cl01_vds02_name="Optional Value not Specified","vds-secondary-switchName=","vds-secondary-switchName="&amp;mgmt_cl01_vds02_name)</f>
        <v>vds-secondary-switchName=</v>
      </c>
    </row>
    <row r="94" spans="1:1">
      <c r="A94" t="str">
        <f>IF(mgmt_cl01_vds02_name="Optional Value not Specified","vds-secondary-vmnics=","vds-secondary-vmnics="&amp;mgmt_cl01_vds02_pnics)</f>
        <v>vds-secondary-vmnics=</v>
      </c>
    </row>
    <row r="95" spans="1:1">
      <c r="A95" t="str">
        <f>IF(mgmt_cl01_vds02_name="Optional Value not Specified","vds-secondary-mtu=","vds-secondary-mtu="&amp;mgmt_cl01_vds02_mtu)</f>
        <v>vds-secondary-mtu=</v>
      </c>
    </row>
    <row r="96" spans="1:1">
      <c r="A96" t="e">
        <f>"vds-profile="&amp;vds_profile</f>
        <v>#NAME?</v>
      </c>
    </row>
    <row r="98" spans="1:1">
      <c r="A98" t="s">
        <v>3097</v>
      </c>
    </row>
    <row r="99" spans="1:1">
      <c r="A99" t="str">
        <f>IF(mgmt_az1_mgmt_cidr="Value Missing","managementNetwork.cidrNotation=","managementNetwork.cidrNotation="&amp;mgmt_az1_mgmt_cidr)</f>
        <v>managementNetwork.cidrNotation=</v>
      </c>
    </row>
    <row r="100" spans="1:1">
      <c r="A100" t="str">
        <f>IF(mgmt_az1_mgmt_gateway_ip="Value Missing","managementNetwork.gateway=","managementNetwork.gateway="&amp;mgmt_az1_mgmt_gateway_ip)</f>
        <v>managementNetwork.gateway=</v>
      </c>
    </row>
    <row r="101" spans="1:1">
      <c r="A101" t="str">
        <f>IF(mgmt_az1_mgmt_vlan="Value Missing","vlan-mgmt-management.vlanId=","vlan-mgmt-management.vlanId="&amp;mgmt_az1_mgmt_vlan)</f>
        <v>vlan-mgmt-management.vlanId=</v>
      </c>
    </row>
    <row r="102" spans="1:1">
      <c r="A102" t="str">
        <f>IF(mgmt_az1_mgmt_mtu="Value Missing","vlan-mgmt-management-mtu@mtu=","vlan-mgmt-management-mtu@mtu="&amp;mgmt_az1_mgmt_mtu)</f>
        <v>vlan-mgmt-management-mtu@mtu=</v>
      </c>
    </row>
    <row r="103" spans="1:1">
      <c r="A103" t="str">
        <f>IF(mgmt_cl01_az1_mgmt_pg="Value Missing","vds-management-initial-configuration@dvPortGroups[1].name=","vds-management-initial-configuration@dvPortGroups[1].name="&amp;mgmt_cl01_az1_mgmt_pg)</f>
        <v>vds-management-initial-configuration@dvPortGroups[1].name=</v>
      </c>
    </row>
    <row r="105" spans="1:1">
      <c r="A105" t="s">
        <v>3098</v>
      </c>
    </row>
    <row r="106" spans="1:1">
      <c r="A106" t="str">
        <f>IF(mgmt_az1_vsan_cidr="Value Missing","mgmtVsanNetwork.cidrNotation=","mgmtVsanNetwork.cidrNotation="&amp;mgmt_az1_vsan_cidr)</f>
        <v>mgmtVsanNetwork.cidrNotation=</v>
      </c>
    </row>
    <row r="107" spans="1:1">
      <c r="A107" t="str">
        <f>IF(mgmt_az1_vsan_gateway_ip="Value Missing","mgmtVsanNetwork.gateway=","mgmtVsanNetwork.gateway="&amp;mgmt_az1_vsan_gateway_ip)</f>
        <v>mgmtVsanNetwork.gateway=</v>
      </c>
    </row>
    <row r="108" spans="1:1">
      <c r="A108" t="str">
        <f>IF(mgmt_az1_vsan_vlan="Value Missing","vlan-management-vsan.vlanId=","vlan-management-vsan.vlanId="&amp;mgmt_az1_vsan_vlan)</f>
        <v>vlan-management-vsan.vlanId=</v>
      </c>
    </row>
    <row r="109" spans="1:1">
      <c r="A109" t="str">
        <f>IF(mgmt_az1_vsan_mtu="Value Missing","vlan-management-vsan-mtu@mtu=","vlan-management-vsan-mtu@mtu="&amp;mgmt_az1_vsan_mtu)</f>
        <v>vlan-management-vsan-mtu@mtu=</v>
      </c>
    </row>
    <row r="110" spans="1:1">
      <c r="A110" t="str">
        <f>IF(mgmt_cl01_az1_vsan_pg="Value Missing","vds-management-initial-configuration@dvPortGroups[2].name=","vds-management-initial-configuration@dvPortGroups[2].name="&amp;mgmt_cl01_az1_vsan_pg)</f>
        <v>vds-management-initial-configuration@dvPortGroups[2].name=</v>
      </c>
    </row>
    <row r="112" spans="1:1">
      <c r="A112" t="s">
        <v>3099</v>
      </c>
    </row>
    <row r="113" spans="1:1">
      <c r="A113" t="str">
        <f>IF(mgmt_az1_vmotion_cidr="Value Missing","mgmtVmotionNetwork.cidrNotation=","mgmtVmotionNetwork.cidrNotation="&amp;mgmt_az1_vmotion_cidr)</f>
        <v>mgmtVmotionNetwork.cidrNotation=</v>
      </c>
    </row>
    <row r="114" spans="1:1">
      <c r="A114" t="str">
        <f>IF(mgmt_az1_vmotion_gateway_ip="Value Missing","mgmtVmotionNetwork.gateway=","mgmtVmotionNetwork.gateway="&amp;mgmt_az1_vmotion_gateway_ip)</f>
        <v>mgmtVmotionNetwork.gateway=</v>
      </c>
    </row>
    <row r="115" spans="1:1">
      <c r="A115" t="str">
        <f>IF(mgmt_az1_vmotion_vlan="Value Missing","vlan-management-vmotion.vlanId=","vlan-management-vmotion.vlanId="&amp;mgmt_az1_vmotion_vlan)</f>
        <v>vlan-management-vmotion.vlanId=</v>
      </c>
    </row>
    <row r="116" spans="1:1">
      <c r="A116" t="str">
        <f>IF(mgmt_az1_vmotion_mtu="Value Missing","vlan-management-vmotion-mtu@mtu=","vlan-management-vmotion-mtu@mtu="&amp;mgmt_az1_vmotion_mtu)</f>
        <v>vlan-management-vmotion-mtu@mtu=</v>
      </c>
    </row>
    <row r="117" spans="1:1">
      <c r="A117" t="str">
        <f>IF(mgmt_cl01_az1_vmotion_pg="Value Missing","vds-management-initial-configuration@dvPortGroups[3].name=","vds-management-initial-configuration@dvPortGroups[3].name="&amp;mgmt_cl01_az1_vmotion_pg)</f>
        <v>vds-management-initial-configuration@dvPortGroups[3].name=</v>
      </c>
    </row>
    <row r="119" spans="1:1">
      <c r="A119" t="s">
        <v>3100</v>
      </c>
    </row>
    <row r="120" spans="1:1">
      <c r="A120" t="str">
        <f>IF(mgmt_az1_vmotion_pool_start_ip="Value Missing","inclusion-range-start-vmotion01=","inclusion-range-start-vmotion01="&amp;mgmt_az1_vmotion_pool_start_ip)</f>
        <v>inclusion-range-start-vmotion01=</v>
      </c>
    </row>
    <row r="121" spans="1:1">
      <c r="A121" t="str">
        <f>IF(mgmt_az1_vmotion_pool_end_ip="Value Missing","inclusion-range-end-vmotion01=","inclusion-range-end-vmotion01="&amp;mgmt_az1_vmotion_pool_end_ip)</f>
        <v>inclusion-range-end-vmotion01=</v>
      </c>
    </row>
    <row r="122" spans="1:1">
      <c r="A122" t="str">
        <f>"inclusion-range-start-vmotion02="</f>
        <v>inclusion-range-start-vmotion02=</v>
      </c>
    </row>
    <row r="123" spans="1:1">
      <c r="A123" t="str">
        <f>"inclusion-range-end-vmotion02="</f>
        <v>inclusion-range-end-vmotion02=</v>
      </c>
    </row>
    <row r="124" spans="1:1">
      <c r="A124" t="str">
        <f>"inclusion-ips-vmotion="</f>
        <v>inclusion-ips-vmotion=</v>
      </c>
    </row>
    <row r="125" spans="1:1">
      <c r="A125" t="str">
        <f>IF(mgmt_az1_vsan_pool_start_ip="Value Missing","inclusion-range-start-vsan01=","inclusion-range-start-vsan01="&amp;mgmt_az1_vsan_pool_start_ip)</f>
        <v>inclusion-range-start-vsan01=</v>
      </c>
    </row>
    <row r="126" spans="1:1">
      <c r="A126" t="str">
        <f>IF(mgmt_az1_vsan_pool_end_ip="Value Missing","inclusion-range-end-vsan01=","inclusion-range-end-vsan01="&amp;mgmt_az1_vsan_pool_end_ip)</f>
        <v>inclusion-range-end-vsan01=</v>
      </c>
    </row>
    <row r="127" spans="1:1">
      <c r="A127" t="str">
        <f>"inclusion-range-start-vsan02="</f>
        <v>inclusion-range-start-vsan02=</v>
      </c>
    </row>
    <row r="128" spans="1:1">
      <c r="A128" t="str">
        <f>"inclusion-range-end-vsan02="</f>
        <v>inclusion-range-end-vsan02=</v>
      </c>
    </row>
    <row r="129" spans="1:1">
      <c r="A129" t="str">
        <f>"inclusion-ips-vsan="</f>
        <v>inclusion-ips-vsan=</v>
      </c>
    </row>
    <row r="131" spans="1:1">
      <c r="A131" t="s">
        <v>3101</v>
      </c>
    </row>
    <row r="132" spans="1:1">
      <c r="A132" t="str">
        <f>IF(mgmt_sddc_domain="Value Missing","mgmt-vm-folder-name@value=","mgmt-vm-folder-name@value="&amp;mgmt_mgmt_vm_folder)</f>
        <v>mgmt-vm-folder-name@value=</v>
      </c>
    </row>
    <row r="133" spans="1:1">
      <c r="A133" t="str">
        <f>IF(mgmt_sddc_domain="Value Missing","nsx-vm-folder-name@value=","nsx-vm-folder-name@value="&amp;mgmt_nsx_vm_folder)</f>
        <v>nsx-vm-folder-name@value=</v>
      </c>
    </row>
    <row r="134" spans="1:1">
      <c r="A134" t="str">
        <f>IF(mgmt_sddc_domain="Value Missing","edge-vm-folder-name@value=","edge-vm-folder-name@value="&amp;mgmt_edge_vm_folder)</f>
        <v>edge-vm-folder-name@value=</v>
      </c>
    </row>
    <row r="136" spans="1:1">
      <c r="A136" t="s">
        <v>3102</v>
      </c>
    </row>
    <row r="137" spans="1:1">
      <c r="A137" t="s">
        <v>3103</v>
      </c>
    </row>
    <row r="138" spans="1:1">
      <c r="A138" t="str">
        <f>IF(nsxt_license="Value Missing","nsxt-license@key=","nsxt-license@key="&amp;nsxt_license)</f>
        <v>nsxt-license@key=</v>
      </c>
    </row>
    <row r="139" spans="1:1">
      <c r="A139" t="s">
        <v>3104</v>
      </c>
    </row>
    <row r="140" spans="1:1">
      <c r="A140" t="str">
        <f>"nsxt-va-deployment-size="&amp;(LOWER(sizing_m01_nsxt_appliance_size))</f>
        <v>nsxt-va-deployment-size=medium</v>
      </c>
    </row>
    <row r="141" spans="1:1">
      <c r="A141" t="s">
        <v>3105</v>
      </c>
    </row>
    <row r="142" spans="1:1">
      <c r="A142" t="str">
        <f>IF(nsxt_lm_root_password="Value Missing","nsxt-root-credentials@password=","nsxt-root-credentials@password="&amp;nsxt_lm_root_password)</f>
        <v>nsxt-root-credentials@password=</v>
      </c>
    </row>
    <row r="143" spans="1:1">
      <c r="A143" t="str">
        <f>IF(nsxt_lm_admin_password="Value Missing","nsxt-admin-credentials@password=","nsxt-admin-credentials@password="&amp;nsxt_lm_admin_password)</f>
        <v>nsxt-admin-credentials@password=</v>
      </c>
    </row>
    <row r="144" spans="1:1">
      <c r="A144" t="str">
        <f>IF(nsxt_lm_audit_password="Value Missing","nsxt-cli-privilege-credentials@password=","nsxt-cli-privilege-credentials@password="&amp;nsxt_lm_audit_password)</f>
        <v>nsxt-cli-privilege-credentials@password=</v>
      </c>
    </row>
    <row r="145" spans="1:1">
      <c r="A145" t="s">
        <v>3106</v>
      </c>
    </row>
    <row r="146" spans="1:1">
      <c r="A146" t="s">
        <v>3107</v>
      </c>
    </row>
    <row r="147" spans="1:1">
      <c r="A147" t="s">
        <v>3108</v>
      </c>
    </row>
    <row r="148" spans="1:1">
      <c r="A148" t="str">
        <f>IF(mgmt_nsxt_hostname="Value Missing","nsxt-vip-hostname=","nsxt-vip-hostname="&amp;mgmt_nsxt_hostname)</f>
        <v>nsxt-vip-hostname=</v>
      </c>
    </row>
    <row r="149" spans="1:1">
      <c r="A149" t="str">
        <f>IF(mgmt_nsxt_ip="Value Missing","nsxt-vip-address=","nsxt-vip-address="&amp;mgmt_nsxt_ip)</f>
        <v>nsxt-vip-address=</v>
      </c>
    </row>
    <row r="150" spans="1:1">
      <c r="A150" t="str">
        <f>IF(mgmt_nsxt_mgra_hostname="Value Missing","nsxt-node1-hostname=","nsxt-node1-hostname="&amp;mgmt_nsxt_mgra_hostname)</f>
        <v>nsxt-node1-hostname=</v>
      </c>
    </row>
    <row r="151" spans="1:1">
      <c r="A151" t="str">
        <f>IF(mgmt_nsxt_mgra_ip="Value Missing","nsxt-node1-address=","nsxt-node1-address="&amp;mgmt_nsxt_mgra_ip)</f>
        <v>nsxt-node1-address=</v>
      </c>
    </row>
    <row r="152" spans="1:1">
      <c r="A152" t="str">
        <f>IF(mgmt_nsxt_mgrb_hostname="Value Missing","nsxt-node2-hostname=","nsxt-node2-hostname="&amp;mgmt_nsxt_mgrb_hostname)</f>
        <v>nsxt-node2-hostname=</v>
      </c>
    </row>
    <row r="153" spans="1:1">
      <c r="A153" t="str">
        <f>IF(mgmt_nsxt_mgrb_ip="Value Missing","nsxt-node2-address=","nsxt-node2-address="&amp;mgmt_nsxt_mgrb_ip)</f>
        <v>nsxt-node2-address=</v>
      </c>
    </row>
    <row r="154" spans="1:1">
      <c r="A154" t="str">
        <f>IF(mgmt_nsxt_mgrc_hostname="Value Missing","nsxt-node3-hostname=","nsxt-node3-hostname="&amp;mgmt_nsxt_mgrc_hostname)</f>
        <v>nsxt-node3-hostname=</v>
      </c>
    </row>
    <row r="155" spans="1:1">
      <c r="A155" t="str">
        <f>IF(mgmt_nsxt_mgrc_ip="Value Missing","nsxt-node3-address=","nsxt-node3-address="&amp;mgmt_nsxt_mgrc_ip)</f>
        <v>nsxt-node3-address=</v>
      </c>
    </row>
    <row r="156" spans="1:1">
      <c r="A156" t="s">
        <v>3109</v>
      </c>
    </row>
    <row r="157" spans="1:1">
      <c r="A157" t="str">
        <f>IF(mgmt_sddc_domain="Value Missing","nsxt-transport-vlan-zoneName=","nsxt-transport-vlan-zoneName="&amp;mgmt_sddc_domain&amp;"-tz-vlan01")</f>
        <v>nsxt-transport-vlan-zoneName=</v>
      </c>
    </row>
    <row r="158" spans="1:1">
      <c r="A158" t="s">
        <v>3110</v>
      </c>
    </row>
    <row r="159" spans="1:1">
      <c r="A159" t="str">
        <f>IF(mgmt_az1_host_overlay_vlan="Value Missing","nsxt-transport-vlanid=","nsxt-transport-vlanid="&amp;mgmt_az1_host_overlay_vlan)</f>
        <v>nsxt-transport-vlanid=</v>
      </c>
    </row>
    <row r="160" spans="1:1">
      <c r="A160" t="str">
        <f>IF(mgmt_sddc_domain="Value Missing","nsxt-transport-overlay-zoneName=","nsxt-transport-overlay-zoneName="&amp;mgmt_sddc_domain&amp;"-tz-overlay01")</f>
        <v>nsxt-transport-overlay-zoneName=</v>
      </c>
    </row>
    <row r="161" spans="1:1">
      <c r="A161" t="s">
        <v>3111</v>
      </c>
    </row>
    <row r="163" spans="1:1">
      <c r="A163" t="s">
        <v>3112</v>
      </c>
    </row>
    <row r="164" spans="1:1">
      <c r="A164" t="str">
        <f>IF(mgmt_host_overlay_addressing_chosen="Static","nsxt-hostStaticIpPool=true","nsxt-hostStaticIpPool=false")</f>
        <v>nsxt-hostStaticIpPool=true</v>
      </c>
    </row>
    <row r="165" spans="1:1">
      <c r="A165" t="e">
        <f>IF(OR((mgmt_host_overlay_addressing_chosen&lt;&gt;"Static"),(mgmt_az1_host_overlay_netowrk_pool_name="Value Missing")),"nsxt-hostStaticIpPool-name=","nsxt-hostStaticIpPool-name="&amp;mgmt_az1_host_overlay_netowrk_pool_name)</f>
        <v>#NAME?</v>
      </c>
    </row>
    <row r="166" spans="1:1">
      <c r="A166" t="e">
        <f>IF(OR((mgmt_host_overlay_addressing_chosen&lt;&gt;"Static"),(mgmt_az1_host_overlay_pool_description="Value Missing")),"nsxt-hostStaticIpPool-description=","nsxt-hostStaticIpPool-description="&amp;mgmt_az1_host_overlay_pool_description)</f>
        <v>#NAME?</v>
      </c>
    </row>
    <row r="167" spans="1:1">
      <c r="A167" t="str">
        <f>IF(OR((mgmt_host_overlay_addressing_chosen&lt;&gt;"Static"),(mgmt_az1_host_overlay_pool_start_ip="Value Missing")),"nsxt-hostStaticIpPool-ipStart=","nsxt-hostStaticIpPool-ipStart="&amp;mgmt_az1_host_overlay_pool_start_ip)</f>
        <v>nsxt-hostStaticIpPool-ipStart=</v>
      </c>
    </row>
    <row r="168" spans="1:1">
      <c r="A168" t="str">
        <f>IF(OR((mgmt_host_overlay_addressing_chosen&lt;&gt;"Static"),(mgmt_az1_host_overlay_pool_end_ip="Value Missing")),"nsxt-hostStaticIpPool-ipEnd=","nsxt-hostStaticIpPool-ipEnd="&amp;mgmt_az1_host_overlay_pool_end_ip)</f>
        <v>nsxt-hostStaticIpPool-ipEnd=</v>
      </c>
    </row>
    <row r="169" spans="1:1">
      <c r="A169" t="str">
        <f>IF(OR((mgmt_host_overlay_addressing_chosen&lt;&gt;"Static"),(mgmt_az1_host_overlay_cidr="Value Missing")),"nsxt-hostStaticIpPool-ipCidr=","nsxt-hostStaticIpPool-ipCidr="&amp;mgmt_az1_host_overlay_cidr)</f>
        <v>nsxt-hostStaticIpPool-ipCidr=</v>
      </c>
    </row>
    <row r="170" spans="1:1">
      <c r="A170" t="str">
        <f>IF(OR((mgmt_host_overlay_addressing_chosen&lt;&gt;"Static"),(mgmt_az1_host_overlay_gateway_ip="Value Missing")),"nsxt-hostStaticIpPool-ipGateway=","nsxt-hostStaticIpPool-ipGateway="&amp;mgmt_az1_host_overlay_gateway_ip)</f>
        <v>nsxt-hostStaticIpPool-ipGateway=</v>
      </c>
    </row>
    <row r="172" spans="1:1">
      <c r="A172" t="s">
        <v>3113</v>
      </c>
    </row>
    <row r="173" spans="1:1">
      <c r="A173" t="s">
        <v>3114</v>
      </c>
    </row>
    <row r="174" spans="1:1">
      <c r="A174" t="s">
        <v>3115</v>
      </c>
    </row>
    <row r="175" spans="1:1">
      <c r="A175" t="s">
        <v>3116</v>
      </c>
    </row>
    <row r="176" spans="1:1">
      <c r="A176" t="s">
        <v>3117</v>
      </c>
    </row>
    <row r="177" spans="1:1">
      <c r="A177" t="s">
        <v>3118</v>
      </c>
    </row>
    <row r="179" spans="1:1">
      <c r="A179" t="s">
        <v>3119</v>
      </c>
    </row>
  </sheetData>
  <sheetProtection algorithmName="SHA-512" hashValue="KoH1+3ReBllwT5ImgqtVquHp1qFuA94MuhZivmkiaeNFKEB2UlydjXOoOSAj8W00Q4sEPUQJy8azEkEP/a5R+g==" saltValue="yL2klu9PPv9dPK3Tglm1x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7CC14-7A1F-2245-A183-B47410360F37}">
  <sheetPr codeName="Sheet8">
    <tabColor theme="3"/>
  </sheetPr>
  <dimension ref="A1:G84"/>
  <sheetViews>
    <sheetView showGridLines="0" zoomScaleNormal="100" workbookViewId="0">
      <pane ySplit="4" topLeftCell="A5" activePane="bottomLeft" state="frozen"/>
      <selection pane="bottomLeft"/>
    </sheetView>
  </sheetViews>
  <sheetFormatPr baseColWidth="10" defaultColWidth="10.83203125" defaultRowHeight="16"/>
  <cols>
    <col min="1" max="1" width="2.83203125" style="3" customWidth="1"/>
    <col min="2" max="2" width="63.83203125" style="3" customWidth="1"/>
    <col min="3" max="3" width="54.83203125" style="7" customWidth="1"/>
    <col min="4" max="4" width="65.83203125" style="5" customWidth="1"/>
    <col min="5" max="5" width="99.5" style="5" customWidth="1"/>
    <col min="6" max="6" width="10.83203125" style="3" customWidth="1"/>
    <col min="7" max="16384" width="10.83203125" style="3"/>
  </cols>
  <sheetData>
    <row r="1" spans="1:7" ht="16" customHeight="1">
      <c r="A1" s="6"/>
      <c r="C1" s="3"/>
      <c r="D1" s="3"/>
      <c r="E1" s="3"/>
    </row>
    <row r="2" spans="1:7" ht="54" customHeight="1">
      <c r="B2" s="392" t="s">
        <v>225</v>
      </c>
      <c r="C2" s="392"/>
      <c r="D2" s="392"/>
      <c r="E2" s="392"/>
      <c r="F2" s="9"/>
      <c r="G2" s="9"/>
    </row>
    <row r="3" spans="1:7" ht="20" customHeight="1">
      <c r="B3" s="100" t="s">
        <v>226</v>
      </c>
      <c r="C3" s="393"/>
      <c r="D3" s="393"/>
      <c r="E3" s="393"/>
      <c r="F3" s="10"/>
      <c r="G3" s="10"/>
    </row>
    <row r="6" spans="1:7" s="4" customFormat="1" ht="34" customHeight="1">
      <c r="B6" s="344" t="s">
        <v>227</v>
      </c>
      <c r="C6" s="344"/>
      <c r="D6" s="344"/>
      <c r="E6" s="344"/>
    </row>
    <row r="7" spans="1:7" ht="20" customHeight="1">
      <c r="B7" s="8" t="s">
        <v>228</v>
      </c>
      <c r="C7" s="1" t="s">
        <v>229</v>
      </c>
      <c r="D7" s="345" t="s">
        <v>222</v>
      </c>
      <c r="E7" s="345"/>
    </row>
    <row r="8" spans="1:7" ht="84" customHeight="1">
      <c r="B8" s="18" t="s">
        <v>230</v>
      </c>
      <c r="C8" s="86" t="s">
        <v>231</v>
      </c>
      <c r="D8" s="407" t="s">
        <v>232</v>
      </c>
      <c r="E8" s="408"/>
    </row>
    <row r="9" spans="1:7" ht="20" customHeight="1">
      <c r="B9" s="18" t="s">
        <v>233</v>
      </c>
      <c r="C9" s="17" t="s">
        <v>234</v>
      </c>
      <c r="D9" s="407" t="s">
        <v>235</v>
      </c>
      <c r="E9" s="408"/>
    </row>
    <row r="10" spans="1:7" ht="54" customHeight="1">
      <c r="B10" s="18" t="s">
        <v>236</v>
      </c>
      <c r="C10" s="17" t="s">
        <v>234</v>
      </c>
      <c r="D10" s="407" t="s">
        <v>237</v>
      </c>
      <c r="E10" s="408"/>
    </row>
    <row r="11" spans="1:7" ht="20" customHeight="1">
      <c r="B11" s="18" t="s">
        <v>238</v>
      </c>
      <c r="C11" s="17" t="s">
        <v>239</v>
      </c>
      <c r="D11" s="407" t="s">
        <v>240</v>
      </c>
      <c r="E11" s="408"/>
    </row>
    <row r="12" spans="1:7" ht="100" customHeight="1">
      <c r="B12" s="18" t="s">
        <v>3468</v>
      </c>
      <c r="C12" s="17" t="s">
        <v>234</v>
      </c>
      <c r="D12" s="405" t="s">
        <v>241</v>
      </c>
      <c r="E12" s="405"/>
    </row>
    <row r="13" spans="1:7" ht="82" customHeight="1">
      <c r="B13" s="18" t="s">
        <v>3469</v>
      </c>
      <c r="C13" s="17" t="s">
        <v>234</v>
      </c>
      <c r="D13" s="405" t="s">
        <v>242</v>
      </c>
      <c r="E13" s="405"/>
    </row>
    <row r="14" spans="1:7" ht="82" customHeight="1">
      <c r="B14" s="18" t="s">
        <v>3470</v>
      </c>
      <c r="C14" s="17" t="s">
        <v>234</v>
      </c>
      <c r="D14" s="409" t="s">
        <v>3511</v>
      </c>
      <c r="E14" s="410"/>
    </row>
    <row r="15" spans="1:7" ht="34" customHeight="1">
      <c r="B15" s="18" t="s">
        <v>243</v>
      </c>
      <c r="C15" s="86" t="s">
        <v>244</v>
      </c>
      <c r="D15" s="405" t="s">
        <v>245</v>
      </c>
      <c r="E15" s="405"/>
    </row>
    <row r="17" spans="2:5" s="4" customFormat="1" ht="34" customHeight="1">
      <c r="B17" s="344" t="s">
        <v>246</v>
      </c>
      <c r="C17" s="344"/>
      <c r="D17" s="344"/>
      <c r="E17" s="344"/>
    </row>
    <row r="18" spans="2:5" ht="20" customHeight="1">
      <c r="B18" s="8" t="s">
        <v>228</v>
      </c>
      <c r="C18" s="1" t="s">
        <v>229</v>
      </c>
      <c r="D18" s="345" t="s">
        <v>222</v>
      </c>
      <c r="E18" s="345"/>
    </row>
    <row r="19" spans="2:5" ht="20" customHeight="1">
      <c r="B19" s="18" t="s">
        <v>247</v>
      </c>
      <c r="C19" s="17" t="s">
        <v>248</v>
      </c>
      <c r="D19" s="411" t="s">
        <v>249</v>
      </c>
      <c r="E19" s="412"/>
    </row>
    <row r="20" spans="2:5" ht="20" customHeight="1">
      <c r="B20" s="18" t="s">
        <v>233</v>
      </c>
      <c r="C20" s="17" t="s">
        <v>250</v>
      </c>
      <c r="D20" s="413"/>
      <c r="E20" s="414"/>
    </row>
    <row r="21" spans="2:5" ht="20" customHeight="1">
      <c r="B21" s="18" t="s">
        <v>236</v>
      </c>
      <c r="C21" s="17" t="s">
        <v>250</v>
      </c>
      <c r="D21" s="413"/>
      <c r="E21" s="414"/>
    </row>
    <row r="22" spans="2:5" ht="20" customHeight="1">
      <c r="B22" s="18" t="s">
        <v>238</v>
      </c>
      <c r="C22" s="17" t="s">
        <v>250</v>
      </c>
      <c r="D22" s="413"/>
      <c r="E22" s="414"/>
    </row>
    <row r="23" spans="2:5" ht="20" customHeight="1">
      <c r="B23" s="18" t="s">
        <v>3471</v>
      </c>
      <c r="C23" s="17" t="s">
        <v>250</v>
      </c>
      <c r="D23" s="413"/>
      <c r="E23" s="414"/>
    </row>
    <row r="24" spans="2:5" ht="20" customHeight="1">
      <c r="B24" s="18" t="s">
        <v>3472</v>
      </c>
      <c r="C24" s="17" t="s">
        <v>250</v>
      </c>
      <c r="D24" s="413"/>
      <c r="E24" s="414"/>
    </row>
    <row r="25" spans="2:5" ht="20" customHeight="1">
      <c r="B25" s="18" t="s">
        <v>3470</v>
      </c>
      <c r="C25" s="17" t="s">
        <v>250</v>
      </c>
      <c r="D25" s="415"/>
      <c r="E25" s="416"/>
    </row>
    <row r="26" spans="2:5" ht="34" customHeight="1">
      <c r="B26" s="18" t="s">
        <v>243</v>
      </c>
      <c r="C26" s="86" t="s">
        <v>244</v>
      </c>
      <c r="D26" s="405" t="s">
        <v>3510</v>
      </c>
      <c r="E26" s="405"/>
    </row>
    <row r="28" spans="2:5" s="4" customFormat="1" ht="34" customHeight="1">
      <c r="B28" s="344" t="s">
        <v>251</v>
      </c>
      <c r="C28" s="344"/>
      <c r="D28" s="344"/>
      <c r="E28" s="344"/>
    </row>
    <row r="29" spans="2:5" ht="20" customHeight="1">
      <c r="B29" s="8" t="s">
        <v>252</v>
      </c>
      <c r="C29" s="8" t="s">
        <v>9</v>
      </c>
      <c r="D29" s="345" t="s">
        <v>222</v>
      </c>
      <c r="E29" s="345"/>
    </row>
    <row r="30" spans="2:5" ht="105" customHeight="1">
      <c r="B30" s="406" t="s">
        <v>253</v>
      </c>
      <c r="C30" s="18" t="s">
        <v>254</v>
      </c>
      <c r="D30" s="405" t="s">
        <v>255</v>
      </c>
      <c r="E30" s="406"/>
    </row>
    <row r="31" spans="2:5" ht="34" customHeight="1">
      <c r="B31" s="406"/>
      <c r="C31" s="16" t="s">
        <v>256</v>
      </c>
      <c r="D31" s="406" t="s">
        <v>257</v>
      </c>
      <c r="E31" s="406"/>
    </row>
    <row r="32" spans="2:5" ht="54" customHeight="1">
      <c r="B32" s="18"/>
      <c r="C32" s="16" t="s">
        <v>258</v>
      </c>
      <c r="D32" s="405" t="s">
        <v>259</v>
      </c>
      <c r="E32" s="405"/>
    </row>
    <row r="33" spans="2:5" ht="54" customHeight="1">
      <c r="B33" s="18"/>
      <c r="C33" s="16" t="s">
        <v>260</v>
      </c>
      <c r="D33" s="405" t="s">
        <v>261</v>
      </c>
      <c r="E33" s="405"/>
    </row>
    <row r="34" spans="2:5" ht="120" customHeight="1">
      <c r="B34" s="18"/>
      <c r="C34" s="16" t="s">
        <v>262</v>
      </c>
      <c r="D34" s="405" t="s">
        <v>3467</v>
      </c>
      <c r="E34" s="406"/>
    </row>
    <row r="36" spans="2:5" s="4" customFormat="1" ht="34" customHeight="1">
      <c r="B36" s="344" t="s">
        <v>263</v>
      </c>
      <c r="C36" s="344"/>
      <c r="D36" s="344"/>
      <c r="E36" s="344"/>
    </row>
    <row r="37" spans="2:5" ht="20" customHeight="1">
      <c r="B37" s="8" t="s">
        <v>264</v>
      </c>
      <c r="C37" s="1" t="s">
        <v>265</v>
      </c>
      <c r="D37" s="8" t="s">
        <v>266</v>
      </c>
      <c r="E37" s="8" t="s">
        <v>222</v>
      </c>
    </row>
    <row r="38" spans="2:5" ht="34" customHeight="1">
      <c r="B38" s="18" t="s">
        <v>267</v>
      </c>
      <c r="C38" s="17" t="s">
        <v>4523</v>
      </c>
      <c r="D38" s="16" t="s">
        <v>269</v>
      </c>
      <c r="E38" s="16" t="s">
        <v>270</v>
      </c>
    </row>
    <row r="39" spans="2:5" ht="50" customHeight="1">
      <c r="B39" s="18" t="s">
        <v>271</v>
      </c>
      <c r="C39" s="17" t="s">
        <v>4523</v>
      </c>
      <c r="D39" s="16" t="s">
        <v>272</v>
      </c>
      <c r="E39" s="16" t="s">
        <v>273</v>
      </c>
    </row>
    <row r="40" spans="2:5" ht="82" customHeight="1">
      <c r="B40" s="18" t="s">
        <v>274</v>
      </c>
      <c r="C40" s="17" t="s">
        <v>275</v>
      </c>
      <c r="D40" s="16" t="s">
        <v>276</v>
      </c>
      <c r="E40" s="16" t="s">
        <v>277</v>
      </c>
    </row>
    <row r="41" spans="2:5" ht="82" customHeight="1">
      <c r="B41" s="18" t="s">
        <v>278</v>
      </c>
      <c r="C41" s="17" t="s">
        <v>268</v>
      </c>
      <c r="D41" s="16" t="s">
        <v>279</v>
      </c>
      <c r="E41" s="16" t="s">
        <v>280</v>
      </c>
    </row>
    <row r="43" spans="2:5" ht="34" customHeight="1">
      <c r="B43" s="344" t="s">
        <v>281</v>
      </c>
      <c r="C43" s="344"/>
      <c r="D43" s="344"/>
      <c r="E43" s="344"/>
    </row>
    <row r="44" spans="2:5" ht="20" customHeight="1">
      <c r="B44" s="8" t="s">
        <v>264</v>
      </c>
      <c r="C44" s="1" t="s">
        <v>282</v>
      </c>
      <c r="D44" s="8" t="s">
        <v>283</v>
      </c>
      <c r="E44" s="8" t="s">
        <v>222</v>
      </c>
    </row>
    <row r="45" spans="2:5" ht="20" customHeight="1">
      <c r="B45" s="18" t="s">
        <v>284</v>
      </c>
      <c r="C45" s="18" t="s">
        <v>285</v>
      </c>
      <c r="D45" s="18" t="s">
        <v>286</v>
      </c>
      <c r="E45" s="18" t="s">
        <v>287</v>
      </c>
    </row>
    <row r="47" spans="2:5" ht="34" customHeight="1">
      <c r="B47" s="344" t="s">
        <v>288</v>
      </c>
      <c r="C47" s="344"/>
      <c r="D47" s="344"/>
      <c r="E47" s="344"/>
    </row>
    <row r="48" spans="2:5" ht="20" customHeight="1">
      <c r="B48" s="8" t="s">
        <v>289</v>
      </c>
      <c r="C48" s="1" t="s">
        <v>290</v>
      </c>
      <c r="D48" s="8" t="s">
        <v>291</v>
      </c>
      <c r="E48" s="8" t="s">
        <v>222</v>
      </c>
    </row>
    <row r="49" spans="2:5" ht="34" customHeight="1">
      <c r="B49" s="406" t="s">
        <v>292</v>
      </c>
      <c r="C49" s="18" t="s">
        <v>293</v>
      </c>
      <c r="D49" s="18" t="s">
        <v>294</v>
      </c>
      <c r="E49" s="16" t="s">
        <v>295</v>
      </c>
    </row>
    <row r="50" spans="2:5" ht="34" customHeight="1">
      <c r="B50" s="406"/>
      <c r="C50" s="18" t="s">
        <v>296</v>
      </c>
      <c r="D50" s="16" t="s">
        <v>297</v>
      </c>
      <c r="E50" s="16" t="s">
        <v>298</v>
      </c>
    </row>
    <row r="51" spans="2:5" ht="34">
      <c r="B51" s="18" t="s">
        <v>299</v>
      </c>
      <c r="C51" s="18"/>
      <c r="D51" s="18"/>
      <c r="E51" s="16" t="s">
        <v>300</v>
      </c>
    </row>
    <row r="52" spans="2:5" ht="34">
      <c r="B52" s="18" t="s">
        <v>301</v>
      </c>
      <c r="C52" s="18"/>
      <c r="D52" s="18"/>
      <c r="E52" s="16" t="s">
        <v>302</v>
      </c>
    </row>
    <row r="53" spans="2:5" ht="20" customHeight="1">
      <c r="B53" s="18" t="s">
        <v>303</v>
      </c>
      <c r="C53" s="18"/>
      <c r="D53" s="18"/>
      <c r="E53" s="16" t="s">
        <v>3552</v>
      </c>
    </row>
    <row r="55" spans="2:5" s="4" customFormat="1" ht="34" customHeight="1">
      <c r="B55" s="344" t="s">
        <v>15</v>
      </c>
      <c r="C55" s="344"/>
      <c r="D55" s="344"/>
      <c r="E55" s="344"/>
    </row>
    <row r="56" spans="2:5" ht="20" customHeight="1">
      <c r="B56" s="2" t="s">
        <v>252</v>
      </c>
      <c r="C56" s="345" t="s">
        <v>222</v>
      </c>
      <c r="D56" s="345"/>
      <c r="E56" s="345"/>
    </row>
    <row r="57" spans="2:5" ht="34" customHeight="1">
      <c r="B57" s="18" t="s">
        <v>304</v>
      </c>
      <c r="C57" s="404" t="s">
        <v>305</v>
      </c>
      <c r="D57" s="404"/>
      <c r="E57" s="404"/>
    </row>
    <row r="59" spans="2:5" ht="34" customHeight="1">
      <c r="B59" s="344" t="s">
        <v>306</v>
      </c>
      <c r="C59" s="344"/>
      <c r="D59" s="344"/>
      <c r="E59" s="344"/>
    </row>
    <row r="60" spans="2:5" ht="20" customHeight="1">
      <c r="B60" s="2" t="s">
        <v>252</v>
      </c>
      <c r="C60" s="8" t="s">
        <v>290</v>
      </c>
      <c r="D60" s="8" t="s">
        <v>307</v>
      </c>
      <c r="E60" s="8" t="s">
        <v>222</v>
      </c>
    </row>
    <row r="61" spans="2:5" ht="20" customHeight="1">
      <c r="B61" s="18" t="s">
        <v>308</v>
      </c>
      <c r="C61" s="18" t="s">
        <v>309</v>
      </c>
      <c r="D61" s="18" t="s">
        <v>310</v>
      </c>
      <c r="E61" s="16" t="s">
        <v>311</v>
      </c>
    </row>
    <row r="62" spans="2:5" ht="69" customHeight="1">
      <c r="B62" s="18"/>
      <c r="C62" s="18" t="s">
        <v>312</v>
      </c>
      <c r="D62" s="18" t="s">
        <v>313</v>
      </c>
      <c r="E62" s="16" t="s">
        <v>314</v>
      </c>
    </row>
    <row r="63" spans="2:5" ht="20" customHeight="1">
      <c r="B63" s="18" t="s">
        <v>315</v>
      </c>
      <c r="C63" s="18" t="s">
        <v>316</v>
      </c>
      <c r="D63" s="18"/>
      <c r="E63" s="16" t="s">
        <v>317</v>
      </c>
    </row>
    <row r="65" spans="2:5" ht="34" customHeight="1">
      <c r="B65" s="344" t="s">
        <v>318</v>
      </c>
      <c r="C65" s="344"/>
      <c r="D65" s="344"/>
      <c r="E65" s="344"/>
    </row>
    <row r="66" spans="2:5" ht="20" customHeight="1">
      <c r="B66" s="8" t="s">
        <v>252</v>
      </c>
      <c r="C66" s="8" t="s">
        <v>319</v>
      </c>
      <c r="D66" s="345" t="s">
        <v>222</v>
      </c>
      <c r="E66" s="345"/>
    </row>
    <row r="67" spans="2:5" ht="77" customHeight="1">
      <c r="B67" s="18" t="s">
        <v>320</v>
      </c>
      <c r="C67" s="18"/>
      <c r="D67" s="405" t="s">
        <v>321</v>
      </c>
      <c r="E67" s="405"/>
    </row>
    <row r="68" spans="2:5" ht="340" customHeight="1">
      <c r="B68" s="18" t="s">
        <v>322</v>
      </c>
      <c r="C68" s="16" t="s">
        <v>323</v>
      </c>
      <c r="D68" s="405" t="s">
        <v>324</v>
      </c>
      <c r="E68" s="405"/>
    </row>
    <row r="70" spans="2:5" s="4" customFormat="1" ht="34" customHeight="1">
      <c r="B70" s="344" t="s">
        <v>325</v>
      </c>
      <c r="C70" s="344"/>
      <c r="D70" s="344"/>
      <c r="E70" s="344"/>
    </row>
    <row r="71" spans="2:5" ht="20" customHeight="1">
      <c r="B71" s="8" t="s">
        <v>252</v>
      </c>
      <c r="C71" s="345" t="s">
        <v>222</v>
      </c>
      <c r="D71" s="345"/>
      <c r="E71" s="345"/>
    </row>
    <row r="72" spans="2:5" ht="34" customHeight="1">
      <c r="B72" s="18" t="s">
        <v>326</v>
      </c>
      <c r="C72" s="403" t="s">
        <v>327</v>
      </c>
      <c r="D72" s="403"/>
      <c r="E72" s="403"/>
    </row>
    <row r="74" spans="2:5" s="4" customFormat="1" ht="34" customHeight="1">
      <c r="B74" s="344" t="s">
        <v>328</v>
      </c>
      <c r="C74" s="344"/>
      <c r="D74" s="344"/>
      <c r="E74" s="344"/>
    </row>
    <row r="75" spans="2:5" ht="20" customHeight="1">
      <c r="B75" s="8" t="s">
        <v>252</v>
      </c>
      <c r="C75" s="345" t="s">
        <v>222</v>
      </c>
      <c r="D75" s="345"/>
      <c r="E75" s="345"/>
    </row>
    <row r="76" spans="2:5" ht="50" customHeight="1">
      <c r="B76" s="18" t="s">
        <v>328</v>
      </c>
      <c r="C76" s="403" t="s">
        <v>329</v>
      </c>
      <c r="D76" s="403"/>
      <c r="E76" s="403" t="s">
        <v>330</v>
      </c>
    </row>
    <row r="78" spans="2:5" s="4" customFormat="1" ht="34" customHeight="1">
      <c r="B78" s="344" t="s">
        <v>331</v>
      </c>
      <c r="C78" s="344"/>
      <c r="D78" s="344"/>
      <c r="E78" s="344"/>
    </row>
    <row r="79" spans="2:5" ht="20" customHeight="1">
      <c r="B79" s="8" t="s">
        <v>252</v>
      </c>
      <c r="C79" s="345" t="s">
        <v>222</v>
      </c>
      <c r="D79" s="345"/>
      <c r="E79" s="345"/>
    </row>
    <row r="80" spans="2:5" ht="34" customHeight="1">
      <c r="B80" s="18" t="s">
        <v>331</v>
      </c>
      <c r="C80" s="403" t="s">
        <v>332</v>
      </c>
      <c r="D80" s="403"/>
      <c r="E80" s="403"/>
    </row>
    <row r="82" spans="2:5" s="4" customFormat="1" ht="34" customHeight="1">
      <c r="B82" s="344" t="s">
        <v>333</v>
      </c>
      <c r="C82" s="344"/>
      <c r="D82" s="344"/>
      <c r="E82" s="344"/>
    </row>
    <row r="83" spans="2:5" ht="20" customHeight="1">
      <c r="B83" s="8" t="s">
        <v>252</v>
      </c>
      <c r="C83" s="345" t="s">
        <v>222</v>
      </c>
      <c r="D83" s="345"/>
      <c r="E83" s="345"/>
    </row>
    <row r="84" spans="2:5" ht="60" customHeight="1">
      <c r="B84" s="18" t="s">
        <v>333</v>
      </c>
      <c r="C84" s="403" t="s">
        <v>334</v>
      </c>
      <c r="D84" s="403"/>
      <c r="E84" s="403"/>
    </row>
  </sheetData>
  <sheetProtection algorithmName="SHA-512" hashValue="JAnVQCkb9BCsGqysj/dtNSQim5rEPpWMZyWnvjiLOXubKIeqUaJHBWzM4/JB+a8xs1C6PNkPKohks+uiZ5YDOw==" saltValue="/oyALFSTSSzF+RMkofgwow==" spinCount="100000" sheet="1" objects="1" scenarios="1" selectLockedCells="1"/>
  <mergeCells count="48">
    <mergeCell ref="D13:E13"/>
    <mergeCell ref="D15:E15"/>
    <mergeCell ref="B6:E6"/>
    <mergeCell ref="D26:E26"/>
    <mergeCell ref="D34:E34"/>
    <mergeCell ref="B17:E17"/>
    <mergeCell ref="D7:E7"/>
    <mergeCell ref="D18:E18"/>
    <mergeCell ref="D32:E32"/>
    <mergeCell ref="D33:E33"/>
    <mergeCell ref="D8:E8"/>
    <mergeCell ref="D9:E9"/>
    <mergeCell ref="D10:E10"/>
    <mergeCell ref="D11:E11"/>
    <mergeCell ref="D14:E14"/>
    <mergeCell ref="D19:E25"/>
    <mergeCell ref="C84:E84"/>
    <mergeCell ref="B82:E82"/>
    <mergeCell ref="B74:E74"/>
    <mergeCell ref="B78:E78"/>
    <mergeCell ref="B36:E36"/>
    <mergeCell ref="B43:E43"/>
    <mergeCell ref="C75:E75"/>
    <mergeCell ref="C76:E76"/>
    <mergeCell ref="C71:E71"/>
    <mergeCell ref="C72:E72"/>
    <mergeCell ref="D68:E68"/>
    <mergeCell ref="D66:E66"/>
    <mergeCell ref="D67:E67"/>
    <mergeCell ref="B47:E47"/>
    <mergeCell ref="B55:E55"/>
    <mergeCell ref="B49:B50"/>
    <mergeCell ref="B2:E2"/>
    <mergeCell ref="C3:E3"/>
    <mergeCell ref="C79:E79"/>
    <mergeCell ref="C80:E80"/>
    <mergeCell ref="C83:E83"/>
    <mergeCell ref="C56:E56"/>
    <mergeCell ref="B70:E70"/>
    <mergeCell ref="B59:E59"/>
    <mergeCell ref="B65:E65"/>
    <mergeCell ref="C57:E57"/>
    <mergeCell ref="D30:E30"/>
    <mergeCell ref="D31:E31"/>
    <mergeCell ref="B30:B31"/>
    <mergeCell ref="D29:E29"/>
    <mergeCell ref="B28:E28"/>
    <mergeCell ref="D12:E12"/>
  </mergeCells>
  <conditionalFormatting sqref="B17:E18 B19:D19 B20:C25 B26:E26">
    <cfRule type="expression" dxfId="4816" priority="10">
      <formula>(wld_domain_result="Excluded")</formula>
    </cfRule>
  </conditionalFormatting>
  <conditionalFormatting sqref="B41:E41">
    <cfRule type="expression" dxfId="4815" priority="6">
      <formula>AND((mgmt_stretched_cluster_result="Excluded"),(wld_stretched_cluster_result="Excluded"))</formula>
    </cfRule>
  </conditionalFormatting>
  <conditionalFormatting sqref="B47:E53">
    <cfRule type="expression" dxfId="4814" priority="11">
      <formula>(VVD_Result="Excluded")</formula>
    </cfRule>
  </conditionalFormatting>
  <conditionalFormatting sqref="B55:E57">
    <cfRule type="expression" dxfId="4813" priority="2">
      <formula>AND((wld_host_overlay_addressing_chosen="Static"),(mgmt_host_overlay_addressing_chosen="Static"))</formula>
    </cfRule>
  </conditionalFormatting>
  <conditionalFormatting sqref="B70:E72">
    <cfRule type="expression" dxfId="4812" priority="9">
      <formula>AND((VRLI_Result="Excluded"),(VROPS_Result="Excluded"),(VRA_Result="Excluded"))</formula>
    </cfRule>
  </conditionalFormatting>
  <conditionalFormatting sqref="C31:E31">
    <cfRule type="expression" dxfId="4811" priority="3">
      <formula>AND((mgmt_vns_result="Excluded"),(wld_bgp_result="Excluded"))</formula>
    </cfRule>
  </conditionalFormatting>
  <conditionalFormatting sqref="C33:E33">
    <cfRule type="expression" dxfId="4810" priority="1">
      <formula>AND((mgmt_vns_result="Excluded"),(wld_bgp_result="Excluded"))</formula>
    </cfRule>
  </conditionalFormatting>
  <conditionalFormatting sqref="C34:E34">
    <cfRule type="expression" dxfId="4809" priority="8">
      <formula>AND((mgmt_stretched_cluster_result="Excluded"),(wld_stretched_cluster_result="Excluded"))</formula>
    </cfRule>
  </conditionalFormatting>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20D3D-A551-1C46-BF22-7FF7A5F09D91}">
  <sheetPr codeName="Sheet13">
    <tabColor theme="5" tint="0.39997558519241921"/>
  </sheetPr>
  <dimension ref="A1:Q80"/>
  <sheetViews>
    <sheetView showGridLines="0" zoomScaleNormal="100" workbookViewId="0">
      <pane ySplit="4" topLeftCell="A5" activePane="bottomLeft" state="frozen"/>
      <selection pane="bottomLeft"/>
    </sheetView>
  </sheetViews>
  <sheetFormatPr baseColWidth="10" defaultColWidth="10.83203125" defaultRowHeight="16"/>
  <cols>
    <col min="1" max="1" width="2.83203125" style="3" customWidth="1"/>
    <col min="2" max="2" width="40.33203125" style="3" bestFit="1" customWidth="1"/>
    <col min="3" max="3" width="29" style="3" customWidth="1"/>
    <col min="4" max="4" width="21" style="3" customWidth="1"/>
    <col min="5" max="5" width="27.83203125" style="3" customWidth="1"/>
    <col min="6" max="6" width="24.83203125" style="5" customWidth="1"/>
    <col min="7" max="7" width="15.33203125" style="5" bestFit="1" customWidth="1"/>
    <col min="8" max="8" width="42.6640625" style="3" customWidth="1"/>
    <col min="9" max="9" width="27.83203125" style="3" customWidth="1"/>
    <col min="10" max="10" width="41.5" style="3" customWidth="1"/>
    <col min="11" max="11" width="43.33203125" style="3" customWidth="1"/>
    <col min="12" max="12" width="40.33203125" style="3" customWidth="1"/>
    <col min="13" max="13" width="23" style="3" customWidth="1"/>
    <col min="14" max="14" width="7.1640625" style="3" customWidth="1"/>
    <col min="15" max="15" width="31.5" style="3" customWidth="1"/>
    <col min="16" max="16" width="12.83203125" style="3" customWidth="1"/>
    <col min="17" max="16384" width="10.83203125" style="3"/>
  </cols>
  <sheetData>
    <row r="1" spans="1:15" ht="16" customHeight="1">
      <c r="A1" s="6"/>
      <c r="F1" s="3"/>
      <c r="G1" s="3"/>
    </row>
    <row r="2" spans="1:15" ht="54" customHeight="1">
      <c r="B2" s="392" t="s">
        <v>28</v>
      </c>
      <c r="C2" s="392"/>
      <c r="D2" s="392"/>
      <c r="E2" s="392"/>
      <c r="F2" s="392"/>
      <c r="G2" s="392"/>
      <c r="H2" s="392"/>
      <c r="I2" s="392"/>
      <c r="J2" s="392"/>
      <c r="K2" s="392"/>
      <c r="L2" s="392"/>
      <c r="M2" s="392"/>
      <c r="N2" s="392"/>
      <c r="O2" s="392"/>
    </row>
    <row r="3" spans="1:15" ht="20" customHeight="1">
      <c r="B3" s="393" t="s">
        <v>476</v>
      </c>
      <c r="C3" s="393"/>
      <c r="D3" s="393"/>
      <c r="E3" s="393"/>
      <c r="F3" s="393"/>
      <c r="G3" s="393"/>
      <c r="H3" s="393"/>
      <c r="I3" s="393"/>
      <c r="J3" s="393"/>
      <c r="K3" s="393"/>
      <c r="L3" s="393"/>
      <c r="M3" s="393"/>
      <c r="N3" s="393"/>
      <c r="O3" s="393"/>
    </row>
    <row r="5" spans="1:15">
      <c r="F5" s="3"/>
      <c r="H5" s="5"/>
      <c r="I5" s="5"/>
      <c r="J5" s="5"/>
      <c r="K5" s="5"/>
    </row>
    <row r="6" spans="1:15" s="4" customFormat="1" ht="20" customHeight="1">
      <c r="B6" s="344" t="s">
        <v>477</v>
      </c>
      <c r="C6" s="426"/>
      <c r="D6" s="3"/>
      <c r="E6" s="427" t="s">
        <v>222</v>
      </c>
      <c r="F6" s="428"/>
      <c r="G6" s="428"/>
      <c r="H6" s="428"/>
      <c r="I6" s="428"/>
      <c r="J6" s="428"/>
      <c r="K6" s="428"/>
      <c r="L6" s="428"/>
      <c r="M6" s="428"/>
      <c r="N6" s="428"/>
      <c r="O6" s="426"/>
    </row>
    <row r="7" spans="1:15" ht="20" customHeight="1">
      <c r="B7" s="8" t="s">
        <v>478</v>
      </c>
      <c r="C7" s="8" t="s">
        <v>340</v>
      </c>
      <c r="E7" s="313" t="s">
        <v>4553</v>
      </c>
      <c r="F7" s="314"/>
      <c r="G7" s="314"/>
      <c r="H7" s="314"/>
      <c r="I7" s="314"/>
      <c r="J7" s="314"/>
      <c r="K7" s="314"/>
      <c r="L7" s="314"/>
      <c r="M7" s="314"/>
      <c r="N7" s="314"/>
      <c r="O7" s="315"/>
    </row>
    <row r="8" spans="1:15" ht="20" customHeight="1">
      <c r="B8" s="18" t="s">
        <v>479</v>
      </c>
      <c r="C8" s="14">
        <v>30</v>
      </c>
      <c r="E8" s="316"/>
      <c r="F8" s="317"/>
      <c r="G8" s="317"/>
      <c r="H8" s="317"/>
      <c r="I8" s="317"/>
      <c r="J8" s="317"/>
      <c r="K8" s="317"/>
      <c r="L8" s="317"/>
      <c r="M8" s="317"/>
      <c r="N8" s="317"/>
      <c r="O8" s="318"/>
    </row>
    <row r="9" spans="1:15" ht="20" customHeight="1">
      <c r="B9" s="18" t="s">
        <v>480</v>
      </c>
      <c r="C9" s="14">
        <v>20</v>
      </c>
      <c r="E9" s="316"/>
      <c r="F9" s="317"/>
      <c r="G9" s="317"/>
      <c r="H9" s="317"/>
      <c r="I9" s="317"/>
      <c r="J9" s="317"/>
      <c r="K9" s="317"/>
      <c r="L9" s="317"/>
      <c r="M9" s="317"/>
      <c r="N9" s="317"/>
      <c r="O9" s="318"/>
    </row>
    <row r="10" spans="1:15" ht="20" customHeight="1">
      <c r="E10" s="316"/>
      <c r="F10" s="317"/>
      <c r="G10" s="317"/>
      <c r="H10" s="317"/>
      <c r="I10" s="317"/>
      <c r="J10" s="317"/>
      <c r="K10" s="317"/>
      <c r="L10" s="317"/>
      <c r="M10" s="317"/>
      <c r="N10" s="317"/>
      <c r="O10" s="318"/>
    </row>
    <row r="11" spans="1:15" ht="20" customHeight="1">
      <c r="B11" s="344" t="s">
        <v>481</v>
      </c>
      <c r="C11" s="426"/>
      <c r="E11" s="316"/>
      <c r="F11" s="317"/>
      <c r="G11" s="317"/>
      <c r="H11" s="317"/>
      <c r="I11" s="317"/>
      <c r="J11" s="317"/>
      <c r="K11" s="317"/>
      <c r="L11" s="317"/>
      <c r="M11" s="317"/>
      <c r="N11" s="317"/>
      <c r="O11" s="318"/>
    </row>
    <row r="12" spans="1:15" ht="20" customHeight="1">
      <c r="B12" s="8" t="s">
        <v>482</v>
      </c>
      <c r="C12" s="8" t="s">
        <v>340</v>
      </c>
      <c r="E12" s="316"/>
      <c r="F12" s="317"/>
      <c r="G12" s="317"/>
      <c r="H12" s="317"/>
      <c r="I12" s="317"/>
      <c r="J12" s="317"/>
      <c r="K12" s="317"/>
      <c r="L12" s="317"/>
      <c r="M12" s="317"/>
      <c r="N12" s="317"/>
      <c r="O12" s="318"/>
    </row>
    <row r="13" spans="1:15" ht="20" customHeight="1">
      <c r="B13" s="18" t="s">
        <v>483</v>
      </c>
      <c r="C13" s="14">
        <v>64</v>
      </c>
      <c r="E13" s="316"/>
      <c r="F13" s="317"/>
      <c r="G13" s="317"/>
      <c r="H13" s="317"/>
      <c r="I13" s="317"/>
      <c r="J13" s="317"/>
      <c r="K13" s="317"/>
      <c r="L13" s="317"/>
      <c r="M13" s="317"/>
      <c r="N13" s="317"/>
      <c r="O13" s="318"/>
    </row>
    <row r="14" spans="1:15" ht="20" customHeight="1">
      <c r="B14" s="18" t="s">
        <v>484</v>
      </c>
      <c r="C14" s="14">
        <v>512</v>
      </c>
      <c r="E14" s="316"/>
      <c r="F14" s="317"/>
      <c r="G14" s="317"/>
      <c r="H14" s="317"/>
      <c r="I14" s="317"/>
      <c r="J14" s="317"/>
      <c r="K14" s="317"/>
      <c r="L14" s="317"/>
      <c r="M14" s="317"/>
      <c r="N14" s="317"/>
      <c r="O14" s="318"/>
    </row>
    <row r="15" spans="1:15" ht="20" customHeight="1">
      <c r="B15" s="18" t="s">
        <v>485</v>
      </c>
      <c r="C15" s="14">
        <v>1</v>
      </c>
      <c r="E15" s="316"/>
      <c r="F15" s="317"/>
      <c r="G15" s="317"/>
      <c r="H15" s="317"/>
      <c r="I15" s="317"/>
      <c r="J15" s="317"/>
      <c r="K15" s="317"/>
      <c r="L15" s="317"/>
      <c r="M15" s="317"/>
      <c r="N15" s="317"/>
      <c r="O15" s="318"/>
    </row>
    <row r="16" spans="1:15" ht="20" customHeight="1">
      <c r="B16" s="18" t="s">
        <v>486</v>
      </c>
      <c r="C16" s="14">
        <v>1</v>
      </c>
      <c r="E16" s="316"/>
      <c r="F16" s="317"/>
      <c r="G16" s="317"/>
      <c r="H16" s="317"/>
      <c r="I16" s="317"/>
      <c r="J16" s="317"/>
      <c r="K16" s="317"/>
      <c r="L16" s="317"/>
      <c r="M16" s="317"/>
      <c r="N16" s="317"/>
      <c r="O16" s="318"/>
    </row>
    <row r="17" spans="2:15" ht="20" customHeight="1">
      <c r="B17" s="18" t="s">
        <v>487</v>
      </c>
      <c r="C17" s="14">
        <v>2</v>
      </c>
      <c r="E17" s="316"/>
      <c r="F17" s="317"/>
      <c r="G17" s="317"/>
      <c r="H17" s="317"/>
      <c r="I17" s="317"/>
      <c r="J17" s="317"/>
      <c r="K17" s="317"/>
      <c r="L17" s="317"/>
      <c r="M17" s="317"/>
      <c r="N17" s="317"/>
      <c r="O17" s="318"/>
    </row>
    <row r="18" spans="2:15">
      <c r="E18" s="316"/>
      <c r="F18" s="317"/>
      <c r="G18" s="317"/>
      <c r="H18" s="317"/>
      <c r="I18" s="317"/>
      <c r="J18" s="317"/>
      <c r="K18" s="317"/>
      <c r="L18" s="317"/>
      <c r="M18" s="317"/>
      <c r="N18" s="317"/>
      <c r="O18" s="318"/>
    </row>
    <row r="19" spans="2:15">
      <c r="E19" s="316"/>
      <c r="F19" s="317"/>
      <c r="G19" s="317"/>
      <c r="H19" s="317"/>
      <c r="I19" s="317"/>
      <c r="J19" s="317"/>
      <c r="K19" s="317"/>
      <c r="L19" s="317"/>
      <c r="M19" s="317"/>
      <c r="N19" s="317"/>
      <c r="O19" s="318"/>
    </row>
    <row r="20" spans="2:15">
      <c r="E20" s="319"/>
      <c r="F20" s="320"/>
      <c r="G20" s="320"/>
      <c r="H20" s="320"/>
      <c r="I20" s="320"/>
      <c r="J20" s="320"/>
      <c r="K20" s="320"/>
      <c r="L20" s="320"/>
      <c r="M20" s="320"/>
      <c r="N20" s="320"/>
      <c r="O20" s="321"/>
    </row>
    <row r="23" spans="2:15" s="4" customFormat="1" ht="20" customHeight="1">
      <c r="B23" s="344" t="s">
        <v>36</v>
      </c>
      <c r="C23" s="344"/>
      <c r="D23" s="344"/>
      <c r="E23" s="344"/>
      <c r="F23" s="344"/>
      <c r="G23" s="344"/>
      <c r="H23" s="344"/>
      <c r="I23" s="344"/>
      <c r="J23" s="344"/>
      <c r="K23" s="344"/>
      <c r="L23" s="344"/>
    </row>
    <row r="24" spans="2:15" ht="20" customHeight="1">
      <c r="B24" s="8" t="s">
        <v>489</v>
      </c>
      <c r="C24" s="8" t="s">
        <v>490</v>
      </c>
      <c r="D24" s="8" t="s">
        <v>491</v>
      </c>
      <c r="E24" s="8" t="s">
        <v>492</v>
      </c>
      <c r="F24" s="8" t="s">
        <v>493</v>
      </c>
      <c r="G24" s="8" t="s">
        <v>494</v>
      </c>
      <c r="H24" s="8" t="s">
        <v>495</v>
      </c>
      <c r="I24" s="8" t="s">
        <v>496</v>
      </c>
      <c r="J24" s="8" t="s">
        <v>497</v>
      </c>
      <c r="K24" s="8" t="s">
        <v>4238</v>
      </c>
      <c r="L24" s="8" t="s">
        <v>4239</v>
      </c>
    </row>
    <row r="25" spans="2:15" ht="20" customHeight="1">
      <c r="B25" s="16" t="s">
        <v>498</v>
      </c>
      <c r="C25" s="14" t="s">
        <v>33</v>
      </c>
      <c r="D25" s="14" t="s">
        <v>13</v>
      </c>
      <c r="E25" s="14" t="s">
        <v>343</v>
      </c>
      <c r="F25" s="14" t="s">
        <v>348</v>
      </c>
      <c r="G25" s="14" t="s">
        <v>448</v>
      </c>
      <c r="H25" s="14" t="s">
        <v>344</v>
      </c>
      <c r="I25" s="14" t="s">
        <v>344</v>
      </c>
      <c r="J25" s="14" t="s">
        <v>344</v>
      </c>
      <c r="K25" s="18" t="str">
        <f>mgmt_avi_loadbalancer_result</f>
        <v>Excluded</v>
      </c>
      <c r="L25" s="14" t="s">
        <v>344</v>
      </c>
    </row>
    <row r="27" spans="2:15" s="4" customFormat="1" ht="20" customHeight="1">
      <c r="B27" s="344" t="s">
        <v>499</v>
      </c>
      <c r="C27" s="344"/>
      <c r="D27" s="344"/>
      <c r="E27" s="344"/>
      <c r="F27" s="344"/>
      <c r="G27" s="344"/>
      <c r="H27" s="344"/>
      <c r="I27" s="344"/>
      <c r="J27" s="344"/>
      <c r="K27" s="344"/>
      <c r="L27" s="344"/>
      <c r="M27" s="344"/>
      <c r="N27" s="344"/>
      <c r="O27" s="344"/>
    </row>
    <row r="28" spans="2:15" ht="20" customHeight="1">
      <c r="B28" s="8" t="s">
        <v>489</v>
      </c>
      <c r="C28" s="8" t="s">
        <v>490</v>
      </c>
      <c r="D28" s="8" t="s">
        <v>491</v>
      </c>
      <c r="E28" s="8" t="s">
        <v>492</v>
      </c>
      <c r="F28" s="8" t="s">
        <v>493</v>
      </c>
      <c r="G28" s="8" t="s">
        <v>494</v>
      </c>
      <c r="H28" s="8" t="s">
        <v>495</v>
      </c>
      <c r="I28" s="8" t="s">
        <v>500</v>
      </c>
      <c r="J28" s="8" t="s">
        <v>501</v>
      </c>
      <c r="K28" s="8" t="s">
        <v>497</v>
      </c>
      <c r="L28" s="8" t="s">
        <v>54</v>
      </c>
      <c r="M28" s="8" t="s">
        <v>4275</v>
      </c>
      <c r="N28" s="345" t="s">
        <v>4239</v>
      </c>
      <c r="O28" s="345"/>
    </row>
    <row r="29" spans="2:15" ht="20" customHeight="1">
      <c r="B29" s="16" t="s">
        <v>502</v>
      </c>
      <c r="C29" s="16" t="str">
        <f>IF(wld_domain_chosen="Join Management SSO Domain ","VI Workload Domain", IF(wld_domain_chosen="Create New SSO Domain","Isolated VI Workload Domain","Exclude"))</f>
        <v>Exclude</v>
      </c>
      <c r="D29" s="16" t="str">
        <f>IF(OR(sizing_w01_chosen="Isolated VI Workload Domain",sizing_w01_chosen="VI Workload Domain"),"Included", "Excluded")</f>
        <v>Excluded</v>
      </c>
      <c r="E29" s="14" t="s">
        <v>344</v>
      </c>
      <c r="F29" s="14" t="s">
        <v>348</v>
      </c>
      <c r="G29" s="14" t="s">
        <v>503</v>
      </c>
      <c r="H29" s="14" t="s">
        <v>345</v>
      </c>
      <c r="I29" s="18" t="str">
        <f>wld_nsxt_federation_chosen</f>
        <v>Exclude</v>
      </c>
      <c r="J29" s="18" t="str">
        <f>IF(AND(wld_nsxt_federation_result="Included",OR(wld_nsxt_federation_chosen="Active Global Manager",wld_nsxt_federation_chosen="Standby Global Manager")),"Included","Excluded")</f>
        <v>Excluded</v>
      </c>
      <c r="K29" s="14" t="s">
        <v>345</v>
      </c>
      <c r="L29" s="18" t="str">
        <f>IF(OR((spr_wo_result="True"),(spr_mw_result="True")),"Include","Exclude")</f>
        <v>Exclude</v>
      </c>
      <c r="M29" s="18" t="str">
        <f>wld_avi_loadbalancer_result</f>
        <v>Excluded</v>
      </c>
      <c r="N29" s="429" t="s">
        <v>344</v>
      </c>
      <c r="O29" s="429"/>
    </row>
    <row r="30" spans="2:15" ht="20" customHeight="1">
      <c r="B30" s="16" t="s">
        <v>504</v>
      </c>
      <c r="C30" s="46" t="s">
        <v>14</v>
      </c>
      <c r="D30" s="16" t="str">
        <f>IF(OR(sizing_w02_chosen="Isolated VI Workload Domain",sizing_w02_chosen="VI Workload Domain"),"Included", "Excluded")</f>
        <v>Excluded</v>
      </c>
      <c r="E30" s="107" t="s">
        <v>344</v>
      </c>
      <c r="F30" s="107" t="s">
        <v>348</v>
      </c>
      <c r="G30" s="107" t="s">
        <v>448</v>
      </c>
      <c r="H30" s="107" t="s">
        <v>345</v>
      </c>
      <c r="I30" s="46" t="s">
        <v>14</v>
      </c>
      <c r="J30" s="16" t="str">
        <f>IF(AND(sizing_w02_result="Included",OR(sizing_w02_gm_chosen="Active Global Manager",sizing_w02_gm_chosen="Standby Global Manager")),"Included","Excluded")</f>
        <v>Excluded</v>
      </c>
      <c r="K30" s="46" t="s">
        <v>345</v>
      </c>
      <c r="L30" s="46" t="s">
        <v>14</v>
      </c>
      <c r="M30" s="46" t="s">
        <v>4240</v>
      </c>
      <c r="N30" s="417" t="s">
        <v>344</v>
      </c>
      <c r="O30" s="418"/>
    </row>
    <row r="31" spans="2:15" ht="20" customHeight="1">
      <c r="B31" s="16" t="s">
        <v>505</v>
      </c>
      <c r="C31" s="46" t="s">
        <v>14</v>
      </c>
      <c r="D31" s="16" t="str">
        <f>IF(OR(sizing_w03_chosen="Isolated VI Workload Domain",sizing_w03_chosen="VI Workload Domain"),"Included", "Excluded")</f>
        <v>Excluded</v>
      </c>
      <c r="E31" s="107" t="s">
        <v>344</v>
      </c>
      <c r="F31" s="107" t="s">
        <v>348</v>
      </c>
      <c r="G31" s="107" t="s">
        <v>448</v>
      </c>
      <c r="H31" s="107" t="s">
        <v>345</v>
      </c>
      <c r="I31" s="46" t="s">
        <v>14</v>
      </c>
      <c r="J31" s="16" t="str">
        <f>IF(AND(sizing_w03_result="Included",OR(sizing_w03_gm_chosen="Active Global Manager",sizing_w03_gm_chosen="Standby Global Manager")),"Included","Excluded")</f>
        <v>Excluded</v>
      </c>
      <c r="K31" s="14" t="s">
        <v>345</v>
      </c>
      <c r="L31" s="46" t="s">
        <v>14</v>
      </c>
      <c r="M31" s="46" t="s">
        <v>4240</v>
      </c>
      <c r="N31" s="417" t="s">
        <v>344</v>
      </c>
      <c r="O31" s="418"/>
    </row>
    <row r="32" spans="2:15" ht="20" customHeight="1">
      <c r="B32" s="16" t="s">
        <v>506</v>
      </c>
      <c r="C32" s="46" t="s">
        <v>14</v>
      </c>
      <c r="D32" s="16" t="str">
        <f>IF(OR(sizing_w04_chosen="Isolated VI Workload Domain",sizing_w04_chosen="VI Workload Domain"),"Included", "Excluded")</f>
        <v>Excluded</v>
      </c>
      <c r="E32" s="107" t="s">
        <v>344</v>
      </c>
      <c r="F32" s="107" t="s">
        <v>348</v>
      </c>
      <c r="G32" s="107" t="s">
        <v>448</v>
      </c>
      <c r="H32" s="107" t="s">
        <v>345</v>
      </c>
      <c r="I32" s="46" t="s">
        <v>14</v>
      </c>
      <c r="J32" s="16" t="str">
        <f>IF(AND(sizing_w04_result="Included",OR(sizing_w04_gm_chosen="Active Global Manager",sizing_w04_gm_chosen="Standby Global Manager")),"Included","Excluded")</f>
        <v>Excluded</v>
      </c>
      <c r="K32" s="14" t="s">
        <v>345</v>
      </c>
      <c r="L32" s="46" t="s">
        <v>14</v>
      </c>
      <c r="M32" s="46" t="s">
        <v>4240</v>
      </c>
      <c r="N32" s="417" t="s">
        <v>344</v>
      </c>
      <c r="O32" s="418"/>
    </row>
    <row r="33" spans="2:17" ht="20" customHeight="1">
      <c r="B33" s="16" t="s">
        <v>507</v>
      </c>
      <c r="C33" s="46" t="s">
        <v>14</v>
      </c>
      <c r="D33" s="16" t="str">
        <f>IF(OR(sizing_w05_chosen="Isolated VI Workload Domain",sizing_w05_chosen="VI Workload Domain"),"Included", "Excluded")</f>
        <v>Excluded</v>
      </c>
      <c r="E33" s="107" t="s">
        <v>344</v>
      </c>
      <c r="F33" s="107" t="s">
        <v>348</v>
      </c>
      <c r="G33" s="107" t="s">
        <v>448</v>
      </c>
      <c r="H33" s="107" t="s">
        <v>345</v>
      </c>
      <c r="I33" s="46" t="s">
        <v>14</v>
      </c>
      <c r="J33" s="16" t="str">
        <f>IF(AND(sizing_w05_result="Included",OR(sizing_w05_gm_chosen="Active Global Manager",sizing_w05_gm_chosen="Standby Global Manager")),"Included","Excluded")</f>
        <v>Excluded</v>
      </c>
      <c r="K33" s="14" t="s">
        <v>345</v>
      </c>
      <c r="L33" s="46" t="s">
        <v>14</v>
      </c>
      <c r="M33" s="46" t="s">
        <v>4240</v>
      </c>
      <c r="N33" s="417" t="s">
        <v>344</v>
      </c>
      <c r="O33" s="418"/>
    </row>
    <row r="34" spans="2:17" ht="20" customHeight="1">
      <c r="B34" s="16" t="s">
        <v>508</v>
      </c>
      <c r="C34" s="46" t="s">
        <v>14</v>
      </c>
      <c r="D34" s="16" t="str">
        <f>IF(OR(sizing_w06_chosen="Isolated VI Workload Domain",sizing_w06_chosen="VI Workload Domain"),"Included", "Excluded")</f>
        <v>Excluded</v>
      </c>
      <c r="E34" s="107" t="s">
        <v>344</v>
      </c>
      <c r="F34" s="107" t="s">
        <v>348</v>
      </c>
      <c r="G34" s="107" t="s">
        <v>448</v>
      </c>
      <c r="H34" s="107" t="s">
        <v>345</v>
      </c>
      <c r="I34" s="46" t="s">
        <v>14</v>
      </c>
      <c r="J34" s="16" t="str">
        <f>IF(AND(sizing_w06_result="Included",OR(sizing_w06_gm_chosen="Active Global Manager",sizing_w06_gm_chosen="Standby Global Manager")),"Included","Excluded")</f>
        <v>Excluded</v>
      </c>
      <c r="K34" s="14" t="s">
        <v>345</v>
      </c>
      <c r="L34" s="46" t="s">
        <v>14</v>
      </c>
      <c r="M34" s="46" t="s">
        <v>4240</v>
      </c>
      <c r="N34" s="417" t="s">
        <v>344</v>
      </c>
      <c r="O34" s="418"/>
    </row>
    <row r="35" spans="2:17" ht="20" customHeight="1">
      <c r="B35" s="16" t="s">
        <v>509</v>
      </c>
      <c r="C35" s="46" t="s">
        <v>14</v>
      </c>
      <c r="D35" s="16" t="str">
        <f>IF(OR(sizing_w07_chosen="Isolated VI Workload Domain",sizing_w07_chosen="VI Workload Domain"),"Included", "Excluded")</f>
        <v>Excluded</v>
      </c>
      <c r="E35" s="107" t="s">
        <v>344</v>
      </c>
      <c r="F35" s="107" t="s">
        <v>348</v>
      </c>
      <c r="G35" s="107" t="s">
        <v>448</v>
      </c>
      <c r="H35" s="107" t="s">
        <v>345</v>
      </c>
      <c r="I35" s="46" t="s">
        <v>14</v>
      </c>
      <c r="J35" s="16" t="str">
        <f>IF(AND(sizing_w07_result="Included",OR(sizing_w07_gm_chosen="Active Global Manager",sizing_w07_gm_chosen="Standby Global Manager")),"Included","Excluded")</f>
        <v>Excluded</v>
      </c>
      <c r="K35" s="14" t="s">
        <v>345</v>
      </c>
      <c r="L35" s="46" t="s">
        <v>14</v>
      </c>
      <c r="M35" s="46" t="s">
        <v>4240</v>
      </c>
      <c r="N35" s="417" t="s">
        <v>344</v>
      </c>
      <c r="O35" s="418"/>
    </row>
    <row r="36" spans="2:17" ht="20" customHeight="1">
      <c r="B36" s="16" t="s">
        <v>510</v>
      </c>
      <c r="C36" s="46" t="s">
        <v>14</v>
      </c>
      <c r="D36" s="16" t="str">
        <f>IF(OR(sizing_w08_chosen="Isolated VI Workload Domain",sizing_w08_chosen="VI Workload Domain"),"Included", "Excluded")</f>
        <v>Excluded</v>
      </c>
      <c r="E36" s="107" t="s">
        <v>344</v>
      </c>
      <c r="F36" s="107" t="s">
        <v>348</v>
      </c>
      <c r="G36" s="107" t="s">
        <v>448</v>
      </c>
      <c r="H36" s="107" t="s">
        <v>345</v>
      </c>
      <c r="I36" s="46" t="s">
        <v>14</v>
      </c>
      <c r="J36" s="16" t="str">
        <f>IF(AND(sizing_w08_result="Included",OR(sizing_w08_gm_chosen="Active Global Manager",sizing_w08_gm_chosen="Standby Global Manager")),"Included","Excluded")</f>
        <v>Excluded</v>
      </c>
      <c r="K36" s="14" t="s">
        <v>345</v>
      </c>
      <c r="L36" s="46" t="s">
        <v>14</v>
      </c>
      <c r="M36" s="46" t="s">
        <v>4240</v>
      </c>
      <c r="N36" s="417" t="s">
        <v>344</v>
      </c>
      <c r="O36" s="418"/>
    </row>
    <row r="37" spans="2:17" ht="20" customHeight="1">
      <c r="B37" s="16" t="s">
        <v>511</v>
      </c>
      <c r="C37" s="46" t="s">
        <v>14</v>
      </c>
      <c r="D37" s="16" t="str">
        <f>IF(sizing_w09_chosen="Exclude","Excluded","Included")</f>
        <v>Excluded</v>
      </c>
      <c r="E37" s="107" t="s">
        <v>344</v>
      </c>
      <c r="F37" s="107" t="s">
        <v>348</v>
      </c>
      <c r="G37" s="107" t="s">
        <v>448</v>
      </c>
      <c r="H37" s="107" t="s">
        <v>345</v>
      </c>
      <c r="I37" s="46" t="s">
        <v>14</v>
      </c>
      <c r="J37" s="16" t="str">
        <f>IF(AND(sizing_w09_result="Included",OR(sizing_w09_gm_chosen="Active Global Manager",sizing_w09_gm_chosen="Standby Global Manager")),"Included","Excluded")</f>
        <v>Excluded</v>
      </c>
      <c r="K37" s="14" t="s">
        <v>345</v>
      </c>
      <c r="L37" s="46" t="s">
        <v>14</v>
      </c>
      <c r="M37" s="46" t="s">
        <v>4240</v>
      </c>
      <c r="N37" s="417" t="s">
        <v>344</v>
      </c>
      <c r="O37" s="418"/>
    </row>
    <row r="38" spans="2:17" ht="20" customHeight="1">
      <c r="B38" s="16" t="s">
        <v>512</v>
      </c>
      <c r="C38" s="46" t="s">
        <v>14</v>
      </c>
      <c r="D38" s="16" t="str">
        <f>IF(sizing_w10_chosen="Exclude","Excluded","Included")</f>
        <v>Excluded</v>
      </c>
      <c r="E38" s="107" t="s">
        <v>344</v>
      </c>
      <c r="F38" s="107" t="s">
        <v>348</v>
      </c>
      <c r="G38" s="107" t="s">
        <v>448</v>
      </c>
      <c r="H38" s="107" t="s">
        <v>345</v>
      </c>
      <c r="I38" s="46" t="s">
        <v>14</v>
      </c>
      <c r="J38" s="16" t="str">
        <f>IF(AND(sizing_w10_result="Included",OR(sizing_w10_gm_chosen="Active Global Manager",sizing_w10_gm_chosen="Standby Global Manager")),"Included","Excluded")</f>
        <v>Excluded</v>
      </c>
      <c r="K38" s="14" t="s">
        <v>345</v>
      </c>
      <c r="L38" s="46" t="s">
        <v>14</v>
      </c>
      <c r="M38" s="46" t="s">
        <v>4240</v>
      </c>
      <c r="N38" s="417" t="s">
        <v>344</v>
      </c>
      <c r="O38" s="418"/>
      <c r="Q38" s="3" t="s">
        <v>4249</v>
      </c>
    </row>
    <row r="39" spans="2:17" ht="20" customHeight="1">
      <c r="B39" s="16" t="s">
        <v>513</v>
      </c>
      <c r="C39" s="46" t="s">
        <v>14</v>
      </c>
      <c r="D39" s="16" t="str">
        <f>IF(sizing_w11_chosen="Exclude","Excluded","Included")</f>
        <v>Excluded</v>
      </c>
      <c r="E39" s="107" t="s">
        <v>344</v>
      </c>
      <c r="F39" s="107" t="s">
        <v>348</v>
      </c>
      <c r="G39" s="107" t="s">
        <v>448</v>
      </c>
      <c r="H39" s="107" t="s">
        <v>345</v>
      </c>
      <c r="I39" s="46" t="s">
        <v>14</v>
      </c>
      <c r="J39" s="16" t="str">
        <f>IF(AND(sizing_w11_result="Included",OR(sizing_w11_gm_chosen="Active Global Manager",sizing_w11_gm_chosen="Standby Global Manager")),"Included","Excluded")</f>
        <v>Excluded</v>
      </c>
      <c r="K39" s="14" t="s">
        <v>345</v>
      </c>
      <c r="L39" s="46" t="s">
        <v>14</v>
      </c>
      <c r="M39" s="46" t="s">
        <v>4240</v>
      </c>
      <c r="N39" s="417" t="s">
        <v>344</v>
      </c>
      <c r="O39" s="418"/>
    </row>
    <row r="40" spans="2:17" ht="20" customHeight="1">
      <c r="B40" s="16" t="s">
        <v>514</v>
      </c>
      <c r="C40" s="46" t="s">
        <v>14</v>
      </c>
      <c r="D40" s="16" t="str">
        <f>IF(sizing_w12_chosen="Exclude","Excluded","Included")</f>
        <v>Excluded</v>
      </c>
      <c r="E40" s="107" t="s">
        <v>344</v>
      </c>
      <c r="F40" s="107" t="s">
        <v>348</v>
      </c>
      <c r="G40" s="107" t="s">
        <v>448</v>
      </c>
      <c r="H40" s="107" t="s">
        <v>345</v>
      </c>
      <c r="I40" s="46" t="s">
        <v>14</v>
      </c>
      <c r="J40" s="16" t="str">
        <f>IF(AND(sizing_w12_result="Included",OR(sizing_w12_gm_chosen="Active Global Manager",sizing_w12_gm_chosen="Standby Global Manager")),"Included","Excluded")</f>
        <v>Excluded</v>
      </c>
      <c r="K40" s="14" t="s">
        <v>345</v>
      </c>
      <c r="L40" s="46" t="s">
        <v>14</v>
      </c>
      <c r="M40" s="46" t="s">
        <v>4240</v>
      </c>
      <c r="N40" s="417" t="s">
        <v>344</v>
      </c>
      <c r="O40" s="418"/>
    </row>
    <row r="41" spans="2:17" ht="20" customHeight="1">
      <c r="B41" s="16" t="s">
        <v>515</v>
      </c>
      <c r="C41" s="46" t="s">
        <v>14</v>
      </c>
      <c r="D41" s="16" t="str">
        <f>IF(sizing_w13_chosen="Exclude","Excluded","Included")</f>
        <v>Excluded</v>
      </c>
      <c r="E41" s="107" t="s">
        <v>344</v>
      </c>
      <c r="F41" s="107" t="s">
        <v>348</v>
      </c>
      <c r="G41" s="107" t="s">
        <v>448</v>
      </c>
      <c r="H41" s="107" t="s">
        <v>345</v>
      </c>
      <c r="I41" s="46" t="s">
        <v>14</v>
      </c>
      <c r="J41" s="16" t="str">
        <f>IF(AND(sizing_w13_result="Included",OR(sizing_w13_gm_chosen="Active Global Manager",sizing_w13_gm_chosen="Standby Global Manager")),"Included","Excluded")</f>
        <v>Excluded</v>
      </c>
      <c r="K41" s="14" t="s">
        <v>345</v>
      </c>
      <c r="L41" s="46" t="s">
        <v>14</v>
      </c>
      <c r="M41" s="46" t="s">
        <v>4240</v>
      </c>
      <c r="N41" s="417" t="s">
        <v>344</v>
      </c>
      <c r="O41" s="418"/>
    </row>
    <row r="42" spans="2:17" ht="20" customHeight="1">
      <c r="B42" s="16" t="s">
        <v>516</v>
      </c>
      <c r="C42" s="46" t="s">
        <v>14</v>
      </c>
      <c r="D42" s="16" t="str">
        <f>IF(sizing_w14_chosen="Exclude","Excluded","Included")</f>
        <v>Excluded</v>
      </c>
      <c r="E42" s="107" t="s">
        <v>344</v>
      </c>
      <c r="F42" s="107" t="s">
        <v>348</v>
      </c>
      <c r="G42" s="107" t="s">
        <v>448</v>
      </c>
      <c r="H42" s="107" t="s">
        <v>345</v>
      </c>
      <c r="I42" s="46" t="s">
        <v>14</v>
      </c>
      <c r="J42" s="16" t="str">
        <f>IF(AND(sizing_w14_result="Included",OR(sizing_w14_gm_chosen="Active Global Manager",sizing_w14_gm_chosen="Standby Global Manager")),"Included","Excluded")</f>
        <v>Excluded</v>
      </c>
      <c r="K42" s="14" t="s">
        <v>345</v>
      </c>
      <c r="L42" s="46" t="s">
        <v>14</v>
      </c>
      <c r="M42" s="46" t="s">
        <v>4240</v>
      </c>
      <c r="N42" s="417" t="s">
        <v>344</v>
      </c>
      <c r="O42" s="418"/>
    </row>
    <row r="43" spans="2:17" ht="20" customHeight="1">
      <c r="B43" s="16" t="s">
        <v>517</v>
      </c>
      <c r="C43" s="46" t="s">
        <v>14</v>
      </c>
      <c r="D43" s="16" t="str">
        <f>IF(sizing_w15_chosen="Exclude","Excluded","Included")</f>
        <v>Excluded</v>
      </c>
      <c r="E43" s="107" t="s">
        <v>344</v>
      </c>
      <c r="F43" s="107" t="s">
        <v>348</v>
      </c>
      <c r="G43" s="107" t="s">
        <v>448</v>
      </c>
      <c r="H43" s="107" t="s">
        <v>345</v>
      </c>
      <c r="I43" s="46" t="s">
        <v>14</v>
      </c>
      <c r="J43" s="16" t="str">
        <f>IF(AND(sizing_w15_result="Included",OR(sizing_w15_gm_chosen="Active Global Manager",sizing_w15_gm_chosen="Standby Global Manager")),"Included","Excluded")</f>
        <v>Excluded</v>
      </c>
      <c r="K43" s="14" t="s">
        <v>345</v>
      </c>
      <c r="L43" s="46" t="s">
        <v>14</v>
      </c>
      <c r="M43" s="46" t="s">
        <v>4240</v>
      </c>
      <c r="N43" s="417" t="s">
        <v>344</v>
      </c>
      <c r="O43" s="418"/>
    </row>
    <row r="44" spans="2:17" ht="20" customHeight="1">
      <c r="B44" s="16" t="s">
        <v>518</v>
      </c>
      <c r="C44" s="46" t="s">
        <v>14</v>
      </c>
      <c r="D44" s="16" t="str">
        <f>IF(sizing_w16_chosen="Exclude","Excluded","Included")</f>
        <v>Excluded</v>
      </c>
      <c r="E44" s="107" t="s">
        <v>344</v>
      </c>
      <c r="F44" s="107" t="s">
        <v>348</v>
      </c>
      <c r="G44" s="107" t="s">
        <v>448</v>
      </c>
      <c r="H44" s="107" t="s">
        <v>345</v>
      </c>
      <c r="I44" s="46" t="s">
        <v>14</v>
      </c>
      <c r="J44" s="16" t="str">
        <f>IF(AND(sizing_w16_result="Included",OR(sizing_w16_gm_chosen="Active Global Manager",sizing_w16_gm_chosen="Standby Global Manager")),"Included","Excluded")</f>
        <v>Excluded</v>
      </c>
      <c r="K44" s="14" t="s">
        <v>345</v>
      </c>
      <c r="L44" s="46" t="s">
        <v>14</v>
      </c>
      <c r="M44" s="46" t="s">
        <v>4240</v>
      </c>
      <c r="N44" s="417" t="s">
        <v>344</v>
      </c>
      <c r="O44" s="418"/>
    </row>
    <row r="45" spans="2:17" ht="20" customHeight="1">
      <c r="B45" s="16" t="s">
        <v>519</v>
      </c>
      <c r="C45" s="46" t="s">
        <v>14</v>
      </c>
      <c r="D45" s="16" t="str">
        <f>IF(sizing_w17_chosen="Exclude","Excluded","Included")</f>
        <v>Excluded</v>
      </c>
      <c r="E45" s="107" t="s">
        <v>344</v>
      </c>
      <c r="F45" s="107" t="s">
        <v>348</v>
      </c>
      <c r="G45" s="107" t="s">
        <v>448</v>
      </c>
      <c r="H45" s="107" t="s">
        <v>345</v>
      </c>
      <c r="I45" s="46" t="s">
        <v>14</v>
      </c>
      <c r="J45" s="16" t="str">
        <f>IF(AND(sizing_w17_result="Included",OR(sizing_w17_gm_chosen="Active Global Manager",sizing_w17_gm_chosen="Standby Global Manager")),"Included","Excluded")</f>
        <v>Excluded</v>
      </c>
      <c r="K45" s="14" t="s">
        <v>345</v>
      </c>
      <c r="L45" s="46" t="s">
        <v>14</v>
      </c>
      <c r="M45" s="46" t="s">
        <v>4240</v>
      </c>
      <c r="N45" s="417" t="s">
        <v>344</v>
      </c>
      <c r="O45" s="418"/>
    </row>
    <row r="46" spans="2:17" ht="20" customHeight="1">
      <c r="B46" s="16" t="s">
        <v>520</v>
      </c>
      <c r="C46" s="46" t="s">
        <v>14</v>
      </c>
      <c r="D46" s="16" t="str">
        <f>IF(sizing_w18_chosen="Exclude","Excluded","Included")</f>
        <v>Excluded</v>
      </c>
      <c r="E46" s="107" t="s">
        <v>344</v>
      </c>
      <c r="F46" s="107" t="s">
        <v>348</v>
      </c>
      <c r="G46" s="107" t="s">
        <v>448</v>
      </c>
      <c r="H46" s="107" t="s">
        <v>345</v>
      </c>
      <c r="I46" s="46" t="s">
        <v>14</v>
      </c>
      <c r="J46" s="16" t="str">
        <f>IF(AND(sizing_w18_result="Included",OR(sizing_w18_gm_chosen="Active Global Manager",sizing_w18_gm_chosen="Standby Global Manager")),"Included","Excluded")</f>
        <v>Excluded</v>
      </c>
      <c r="K46" s="14" t="s">
        <v>345</v>
      </c>
      <c r="L46" s="46" t="s">
        <v>14</v>
      </c>
      <c r="M46" s="46" t="s">
        <v>4240</v>
      </c>
      <c r="N46" s="417" t="s">
        <v>344</v>
      </c>
      <c r="O46" s="418"/>
    </row>
    <row r="47" spans="2:17" ht="20" customHeight="1">
      <c r="B47" s="16" t="s">
        <v>521</v>
      </c>
      <c r="C47" s="46" t="s">
        <v>14</v>
      </c>
      <c r="D47" s="16" t="str">
        <f>IF(sizing_w19_chosen="Exclude","Excluded","Included")</f>
        <v>Excluded</v>
      </c>
      <c r="E47" s="107" t="s">
        <v>344</v>
      </c>
      <c r="F47" s="107" t="s">
        <v>348</v>
      </c>
      <c r="G47" s="107" t="s">
        <v>448</v>
      </c>
      <c r="H47" s="107" t="s">
        <v>345</v>
      </c>
      <c r="I47" s="46" t="s">
        <v>14</v>
      </c>
      <c r="J47" s="16" t="str">
        <f>IF(AND(sizing_w19_result="Included",OR(sizing_w19_gm_chosen="Active Global Manager",sizing_w19_gm_chosen="Standby Global Manager")),"Included","Excluded")</f>
        <v>Excluded</v>
      </c>
      <c r="K47" s="14" t="s">
        <v>345</v>
      </c>
      <c r="L47" s="46" t="s">
        <v>14</v>
      </c>
      <c r="M47" s="46" t="s">
        <v>4240</v>
      </c>
      <c r="N47" s="417" t="s">
        <v>344</v>
      </c>
      <c r="O47" s="418"/>
    </row>
    <row r="48" spans="2:17" ht="20" customHeight="1">
      <c r="B48" s="16" t="s">
        <v>522</v>
      </c>
      <c r="C48" s="46" t="s">
        <v>14</v>
      </c>
      <c r="D48" s="16" t="str">
        <f>IF(sizing_w20_chosen="Exclude","Excluded","Included")</f>
        <v>Excluded</v>
      </c>
      <c r="E48" s="107" t="s">
        <v>344</v>
      </c>
      <c r="F48" s="107" t="s">
        <v>348</v>
      </c>
      <c r="G48" s="107" t="s">
        <v>448</v>
      </c>
      <c r="H48" s="107" t="s">
        <v>345</v>
      </c>
      <c r="I48" s="46" t="s">
        <v>14</v>
      </c>
      <c r="J48" s="16" t="str">
        <f>IF(AND(sizing_w20_result="Included",OR(sizing_w20_gm_chosen="Active Global Manager",sizing_w20_gm_chosen="Standby Global Manager")),"Included","Excluded")</f>
        <v>Excluded</v>
      </c>
      <c r="K48" s="14" t="s">
        <v>345</v>
      </c>
      <c r="L48" s="46" t="s">
        <v>14</v>
      </c>
      <c r="M48" s="46" t="s">
        <v>4240</v>
      </c>
      <c r="N48" s="417" t="s">
        <v>344</v>
      </c>
      <c r="O48" s="418"/>
    </row>
    <row r="49" spans="2:15" ht="20" customHeight="1">
      <c r="B49" s="16" t="s">
        <v>523</v>
      </c>
      <c r="C49" s="46" t="s">
        <v>14</v>
      </c>
      <c r="D49" s="16" t="str">
        <f>IF(sizing_w21_chosen="Exclude","Excluded","Included")</f>
        <v>Excluded</v>
      </c>
      <c r="E49" s="107" t="s">
        <v>344</v>
      </c>
      <c r="F49" s="107" t="s">
        <v>348</v>
      </c>
      <c r="G49" s="107" t="s">
        <v>448</v>
      </c>
      <c r="H49" s="107" t="s">
        <v>345</v>
      </c>
      <c r="I49" s="46" t="s">
        <v>14</v>
      </c>
      <c r="J49" s="16" t="str">
        <f>IF(AND(sizing_w21_result="Included",OR(sizing_w21_gm_chosen="Active Global Manager",sizing_w21_gm_chosen="Standby Global Manager")),"Included","Excluded")</f>
        <v>Excluded</v>
      </c>
      <c r="K49" s="14" t="s">
        <v>345</v>
      </c>
      <c r="L49" s="46" t="s">
        <v>14</v>
      </c>
      <c r="M49" s="46" t="s">
        <v>4240</v>
      </c>
      <c r="N49" s="417" t="s">
        <v>344</v>
      </c>
      <c r="O49" s="418"/>
    </row>
    <row r="50" spans="2:15" ht="20" customHeight="1">
      <c r="B50" s="16" t="s">
        <v>524</v>
      </c>
      <c r="C50" s="46" t="s">
        <v>14</v>
      </c>
      <c r="D50" s="16" t="str">
        <f>IF(sizing_w22_chosen="Exclude","Excluded","Included")</f>
        <v>Excluded</v>
      </c>
      <c r="E50" s="107" t="s">
        <v>344</v>
      </c>
      <c r="F50" s="107" t="s">
        <v>348</v>
      </c>
      <c r="G50" s="107" t="s">
        <v>448</v>
      </c>
      <c r="H50" s="107" t="s">
        <v>345</v>
      </c>
      <c r="I50" s="46" t="s">
        <v>14</v>
      </c>
      <c r="J50" s="16" t="str">
        <f>IF(AND(sizing_w22_result="Included",OR(sizing_w22_gm_chosen="Active Global Manager",sizing_w22_gm_chosen="Standby Global Manager")),"Included","Excluded")</f>
        <v>Excluded</v>
      </c>
      <c r="K50" s="14" t="s">
        <v>345</v>
      </c>
      <c r="L50" s="46" t="s">
        <v>14</v>
      </c>
      <c r="M50" s="46" t="s">
        <v>4240</v>
      </c>
      <c r="N50" s="417" t="s">
        <v>344</v>
      </c>
      <c r="O50" s="418"/>
    </row>
    <row r="51" spans="2:15" ht="20" customHeight="1">
      <c r="B51" s="16" t="s">
        <v>525</v>
      </c>
      <c r="C51" s="46" t="s">
        <v>14</v>
      </c>
      <c r="D51" s="16" t="str">
        <f>IF(sizing_w23_chosen="Exclude","Excluded","Included")</f>
        <v>Excluded</v>
      </c>
      <c r="E51" s="107" t="s">
        <v>344</v>
      </c>
      <c r="F51" s="107" t="s">
        <v>348</v>
      </c>
      <c r="G51" s="107" t="s">
        <v>448</v>
      </c>
      <c r="H51" s="107" t="s">
        <v>345</v>
      </c>
      <c r="I51" s="46" t="s">
        <v>14</v>
      </c>
      <c r="J51" s="16" t="str">
        <f>IF(AND(sizing_w23_result="Included",OR(sizing_w23_gm_chosen="Active Global Manager",sizing_w23_gm_chosen="Standby Global Manager")),"Included","Excluded")</f>
        <v>Excluded</v>
      </c>
      <c r="K51" s="14" t="s">
        <v>345</v>
      </c>
      <c r="L51" s="46" t="s">
        <v>14</v>
      </c>
      <c r="M51" s="46" t="s">
        <v>4240</v>
      </c>
      <c r="N51" s="417" t="s">
        <v>344</v>
      </c>
      <c r="O51" s="418"/>
    </row>
    <row r="52" spans="2:15" ht="20" customHeight="1">
      <c r="B52" s="16" t="s">
        <v>526</v>
      </c>
      <c r="C52" s="46" t="s">
        <v>14</v>
      </c>
      <c r="D52" s="16" t="str">
        <f>IF(sizing_w24_chosen="Exclude","Excluded","Included")</f>
        <v>Excluded</v>
      </c>
      <c r="E52" s="107" t="s">
        <v>344</v>
      </c>
      <c r="F52" s="107" t="s">
        <v>348</v>
      </c>
      <c r="G52" s="107" t="s">
        <v>448</v>
      </c>
      <c r="H52" s="107" t="s">
        <v>345</v>
      </c>
      <c r="I52" s="46" t="s">
        <v>14</v>
      </c>
      <c r="J52" s="16" t="str">
        <f>IF(AND(sizing_w24_result="Included",OR(sizing_w24_gm_chosen="Active Global Manager",sizing_w24_gm_chosen="Standby Global Manager")),"Included","Excluded")</f>
        <v>Excluded</v>
      </c>
      <c r="K52" s="14" t="s">
        <v>345</v>
      </c>
      <c r="L52" s="46" t="s">
        <v>14</v>
      </c>
      <c r="M52" s="46" t="s">
        <v>4240</v>
      </c>
      <c r="N52" s="417" t="s">
        <v>344</v>
      </c>
      <c r="O52" s="418"/>
    </row>
    <row r="54" spans="2:15" ht="20" customHeight="1">
      <c r="B54" s="344" t="s">
        <v>4218</v>
      </c>
      <c r="C54" s="344"/>
      <c r="D54" s="344"/>
      <c r="E54" s="344"/>
      <c r="F54" s="344"/>
      <c r="G54" s="344"/>
      <c r="H54" s="344"/>
      <c r="I54" s="344"/>
      <c r="J54" s="105"/>
      <c r="K54" s="105"/>
      <c r="L54" s="105"/>
    </row>
    <row r="55" spans="2:15" ht="20" customHeight="1">
      <c r="B55" s="345" t="s">
        <v>735</v>
      </c>
      <c r="C55" s="345"/>
      <c r="D55" s="8" t="s">
        <v>554</v>
      </c>
      <c r="E55" s="20" t="s">
        <v>555</v>
      </c>
      <c r="F55" s="345" t="s">
        <v>222</v>
      </c>
      <c r="G55" s="345"/>
      <c r="H55" s="345"/>
      <c r="I55" s="345"/>
    </row>
    <row r="56" spans="2:15" ht="20" customHeight="1">
      <c r="B56" s="425" t="s">
        <v>4215</v>
      </c>
      <c r="C56" s="425"/>
      <c r="D56" s="425"/>
      <c r="E56" s="425"/>
      <c r="F56" s="425"/>
      <c r="G56" s="425"/>
      <c r="H56" s="425"/>
      <c r="I56" s="425"/>
    </row>
    <row r="57" spans="2:15" ht="20" customHeight="1">
      <c r="B57" s="406" t="s">
        <v>4856</v>
      </c>
      <c r="C57" s="406"/>
      <c r="D57" s="22" t="s">
        <v>344</v>
      </c>
      <c r="E57" s="14" t="s">
        <v>344</v>
      </c>
      <c r="F57" s="406" t="str">
        <f>IF(input_xreg_wsa_node_size="Extra Small", "Max 3,000 Users | 30 groups ",
IF(input_xreg_wsa_node_size="Small", "Max 5,000 Users | 50 groups ",
IF(input_xreg_wsa_node_size="Medium","Minimum requirement for VMware Aria Automation | 10,000 Users | 100 groups ",
IF(input_xreg_wsa_node_size="Large","Max 25,000 Users | 250 groups ",
IF(input_xreg_wsa_node_size="Extra Large","Max 50,000 Users | 500 groups ",
IF(input_xreg_wsa_node_size="Extra Extra Large","Max 100,000 Users | 1000 groups ",
))))))</f>
        <v xml:space="preserve">Minimum requirement for VMware Aria Automation | 10,000 Users | 100 groups </v>
      </c>
      <c r="G57" s="406"/>
      <c r="H57" s="406"/>
      <c r="I57" s="406"/>
    </row>
    <row r="58" spans="2:15" ht="20" customHeight="1">
      <c r="B58" s="419" t="s">
        <v>66</v>
      </c>
      <c r="C58" s="420"/>
      <c r="D58" s="420"/>
      <c r="E58" s="420"/>
      <c r="F58" s="420"/>
      <c r="G58" s="420"/>
      <c r="H58" s="420"/>
      <c r="I58" s="421"/>
    </row>
    <row r="59" spans="2:15" ht="20" customHeight="1">
      <c r="B59" s="18" t="s">
        <v>4855</v>
      </c>
      <c r="C59" s="18"/>
      <c r="D59" s="22" t="s">
        <v>344</v>
      </c>
      <c r="E59" s="14" t="s">
        <v>344</v>
      </c>
      <c r="F59" s="422" t="str">
        <f>IF(input_region_vrli_appliance_size="Medium","Log Ingest Rate 75 GB/day | Syslog Connections 250 | Events Per Second 5000",IF(input_region_vrli_appliance_size="Large","Log Ingest Rate 225 GB/day | Syslog Connections 750 | Events Per Second 15000",IF(input_region_vrli_appliance_size="Small","Log Ingest Rate 30 GB/day | Syslog Connections 100 | Events Per Second 2000","")))</f>
        <v>Log Ingest Rate 75 GB/day | Syslog Connections 250 | Events Per Second 5000</v>
      </c>
      <c r="G59" s="423"/>
      <c r="H59" s="423"/>
      <c r="I59" s="424"/>
    </row>
    <row r="60" spans="2:15" ht="20" customHeight="1">
      <c r="B60" s="419" t="s">
        <v>4213</v>
      </c>
      <c r="C60" s="420"/>
      <c r="D60" s="420"/>
      <c r="E60" s="420"/>
      <c r="F60" s="420"/>
      <c r="G60" s="420"/>
      <c r="H60" s="420"/>
      <c r="I60" s="421"/>
    </row>
    <row r="61" spans="2:15" ht="20" customHeight="1">
      <c r="B61" s="406" t="s">
        <v>3397</v>
      </c>
      <c r="C61" s="406"/>
      <c r="D61" s="22" t="s">
        <v>344</v>
      </c>
      <c r="E61" s="14" t="s">
        <v>344</v>
      </c>
      <c r="F61" s="406" t="str">
        <f>IF(input_xreg_vrops_appliance_size="Medium","Collected Metrics Per Node 2M | Number of Objects in a Cluster 68k",IF(input_xreg_vrops_appliance_size="Large"," Collected Metrics Per Node 3M | Number of Objects in a Cluster 288k | ","Collected Metrics Per Node 7.5M | Number of Objects in a Cluster 528k "))</f>
        <v>Collected Metrics Per Node 2M | Number of Objects in a Cluster 68k</v>
      </c>
      <c r="G61" s="406"/>
      <c r="H61" s="406"/>
      <c r="I61" s="406"/>
    </row>
    <row r="62" spans="2:15" ht="20" customHeight="1">
      <c r="B62" s="406" t="s">
        <v>4611</v>
      </c>
      <c r="C62" s="406"/>
      <c r="D62" s="22" t="s">
        <v>343</v>
      </c>
      <c r="E62" s="14" t="s">
        <v>343</v>
      </c>
      <c r="F62" s="406" t="str">
        <f>IF(input_xreg_vrops_rc_size="Small","Collected Metrics Per Node 1.2m |  Objects Per Node  8k  ",  "Collected Metrics Per Node  6m | Objects Per Node 40k")</f>
        <v xml:space="preserve">Collected Metrics Per Node 1.2m |  Objects Per Node  8k  </v>
      </c>
      <c r="G62" s="406"/>
      <c r="H62" s="406"/>
      <c r="I62" s="406"/>
      <c r="J62" s="3" t="s">
        <v>335</v>
      </c>
    </row>
    <row r="63" spans="2:15" ht="20" customHeight="1">
      <c r="B63" s="425" t="s">
        <v>4211</v>
      </c>
      <c r="C63" s="425"/>
      <c r="D63" s="425"/>
      <c r="E63" s="425"/>
      <c r="F63" s="425"/>
      <c r="G63" s="425"/>
      <c r="H63" s="425"/>
      <c r="I63" s="425"/>
    </row>
    <row r="64" spans="2:15" ht="20" customHeight="1">
      <c r="B64" s="406" t="s">
        <v>3743</v>
      </c>
      <c r="C64" s="406"/>
      <c r="D64" s="22" t="s">
        <v>4669</v>
      </c>
      <c r="E64" s="119" t="s">
        <v>4669</v>
      </c>
      <c r="F64" s="406" t="str">
        <f>IF(input_xreg_vrni_platform_node_size="Medium","Number of VMs 4K | Flows per Day 1M |Total Flows  4M | Flow Planning 4M | Number of Edges for VMware SD-WAN 2K",
IF(input_xreg_vrni_platform_node_size="Large","Number of VMs 6K | Flows per Day 2M |Total Flows 8M |  Flow Planning 4M | Number of Edges for VMware SD-WAN 2K",
IF(input_xreg_vrni_platform_node_size="Extra_Large","Number of VMs 10K | Flows per Day 2M |Total Flows  8M | Flow Planning 4M |Number of Edges for VMware SD-WAN 4K",)))</f>
        <v>Number of VMs 10K | Flows per Day 2M |Total Flows  8M | Flow Planning 4M |Number of Edges for VMware SD-WAN 4K</v>
      </c>
      <c r="G64" s="406"/>
      <c r="H64" s="406"/>
      <c r="I64" s="406"/>
    </row>
    <row r="65" spans="2:9" ht="20" customHeight="1">
      <c r="B65" s="406" t="s">
        <v>3744</v>
      </c>
      <c r="C65" s="406"/>
      <c r="D65" s="22" t="s">
        <v>345</v>
      </c>
      <c r="E65" s="119" t="s">
        <v>345</v>
      </c>
      <c r="F65" s="406" t="str">
        <f>IF(input_region_vrni_collector_node_size="Medium","Number of VMs 4K | Flows per Day 2.5M |Flow count in 4 Days 3.25M | Number of Edges for VMware SD-WAN 4K",
IF(input_region_vrni_collector_node_size="Large","Number of VMs 10K | Flows per Day 5M |Flow count in 4 Days 6.5M | Number of Edges for VMware SD-WAN 6K",
IF(input_region_vrni_collector_node_size="Extra Large","Number of VMs 35K | Flows per Day 10M |Flow count in 4 Days 13M | Number of Edges for VMware SD-WAN 10K",
IF(input_region_vrni_collector_node_size="Extra Extra Large","Number of VMs 45K | Flows per Day 17M |Flow count in 4 Days 22M | Number of Edges for VMware SD-WAN 10K",""))))</f>
        <v>Number of VMs 10K | Flows per Day 5M |Flow count in 4 Days 6.5M | Number of Edges for VMware SD-WAN 6K</v>
      </c>
      <c r="G65" s="406"/>
      <c r="H65" s="406"/>
      <c r="I65" s="406"/>
    </row>
    <row r="66" spans="2:9" ht="20" customHeight="1">
      <c r="B66" s="425" t="s">
        <v>4212</v>
      </c>
      <c r="C66" s="425"/>
      <c r="D66" s="425"/>
      <c r="E66" s="425"/>
      <c r="F66" s="425"/>
      <c r="G66" s="425"/>
      <c r="H66" s="425"/>
      <c r="I66" s="425"/>
    </row>
    <row r="67" spans="2:9" ht="20" customHeight="1">
      <c r="B67" s="406" t="str">
        <f>automation_product_name&amp;" Appliance Size"</f>
        <v>VMware Aria Automation Appliance Size</v>
      </c>
      <c r="C67" s="406"/>
      <c r="D67" s="22" t="s">
        <v>344</v>
      </c>
      <c r="E67" s="14" t="s">
        <v>344</v>
      </c>
      <c r="F67" s="406" t="str">
        <f>IF(input_xreg_vra_appliance_size="Medium","ESXi on a single vCenter 600 | Tenants 20 | Project Across Tenants 5000 | Cloud Zones 400 | Catalog items 8000","ESXi on a single vCenter 2000 | Tenants 50 | Project Across Tenants 13000 | Cloud Zones 1000 | Catalog items 10000")</f>
        <v>ESXi on a single vCenter 600 | Tenants 20 | Project Across Tenants 5000 | Cloud Zones 400 | Catalog items 8000</v>
      </c>
      <c r="G67" s="406"/>
      <c r="H67" s="406"/>
      <c r="I67" s="406"/>
    </row>
    <row r="68" spans="2:9" ht="20" customHeight="1">
      <c r="B68" s="425" t="s">
        <v>71</v>
      </c>
      <c r="C68" s="425"/>
      <c r="D68" s="425"/>
      <c r="E68" s="425"/>
      <c r="F68" s="425"/>
      <c r="G68" s="425"/>
      <c r="H68" s="425"/>
      <c r="I68" s="425"/>
    </row>
    <row r="69" spans="2:9" ht="20" customHeight="1">
      <c r="B69" s="225" t="s">
        <v>1658</v>
      </c>
      <c r="C69" s="226"/>
      <c r="D69" s="22" t="s">
        <v>400</v>
      </c>
      <c r="E69" s="14" t="s">
        <v>400</v>
      </c>
      <c r="F69" s="226"/>
      <c r="G69" s="226"/>
      <c r="H69" s="226"/>
      <c r="I69" s="227"/>
    </row>
    <row r="70" spans="2:9" ht="20" customHeight="1">
      <c r="B70" s="406" t="s">
        <v>1659</v>
      </c>
      <c r="C70" s="406"/>
      <c r="D70" s="22" t="s">
        <v>400</v>
      </c>
      <c r="E70" s="14" t="s">
        <v>400</v>
      </c>
      <c r="F70" s="405"/>
      <c r="G70" s="405"/>
      <c r="H70" s="405"/>
      <c r="I70" s="405"/>
    </row>
    <row r="71" spans="2:9" ht="20" customHeight="1">
      <c r="B71" s="422" t="s">
        <v>4226</v>
      </c>
      <c r="C71" s="424"/>
      <c r="D71" s="22" t="s">
        <v>400</v>
      </c>
      <c r="E71" s="14" t="s">
        <v>400</v>
      </c>
      <c r="F71" s="431"/>
      <c r="G71" s="432"/>
      <c r="H71" s="432"/>
      <c r="I71" s="433"/>
    </row>
    <row r="72" spans="2:9" ht="20" customHeight="1">
      <c r="B72" s="425" t="s">
        <v>3553</v>
      </c>
      <c r="C72" s="425"/>
      <c r="D72" s="425"/>
      <c r="E72" s="425"/>
      <c r="F72" s="425"/>
      <c r="G72" s="425"/>
      <c r="H72" s="425"/>
      <c r="I72" s="425"/>
    </row>
    <row r="73" spans="2:9" ht="20" customHeight="1">
      <c r="B73" s="406" t="s">
        <v>4852</v>
      </c>
      <c r="C73" s="406"/>
      <c r="D73" s="22" t="s">
        <v>400</v>
      </c>
      <c r="E73" s="119" t="s">
        <v>400</v>
      </c>
      <c r="F73" s="430" t="s">
        <v>4219</v>
      </c>
      <c r="G73" s="430"/>
      <c r="H73" s="430"/>
      <c r="I73" s="430"/>
    </row>
    <row r="74" spans="2:9" ht="20" customHeight="1">
      <c r="B74" s="425" t="s">
        <v>4214</v>
      </c>
      <c r="C74" s="425"/>
      <c r="D74" s="425"/>
      <c r="E74" s="425"/>
      <c r="F74" s="425"/>
      <c r="G74" s="425"/>
      <c r="H74" s="425"/>
      <c r="I74" s="425"/>
    </row>
    <row r="75" spans="2:9" ht="20" customHeight="1">
      <c r="B75" s="406" t="s">
        <v>4853</v>
      </c>
      <c r="C75" s="406"/>
      <c r="D75" s="22" t="s">
        <v>400</v>
      </c>
      <c r="E75" s="119" t="s">
        <v>400</v>
      </c>
      <c r="F75" s="430" t="s">
        <v>4219</v>
      </c>
      <c r="G75" s="430"/>
      <c r="H75" s="430"/>
      <c r="I75" s="430"/>
    </row>
    <row r="76" spans="2:9" ht="20" customHeight="1">
      <c r="B76" s="425" t="s">
        <v>79</v>
      </c>
      <c r="C76" s="425"/>
      <c r="D76" s="425"/>
      <c r="E76" s="425"/>
      <c r="F76" s="425"/>
      <c r="G76" s="425"/>
      <c r="H76" s="425"/>
      <c r="I76" s="425"/>
    </row>
    <row r="77" spans="2:9" ht="20" customHeight="1">
      <c r="B77" s="406" t="s">
        <v>4854</v>
      </c>
      <c r="C77" s="406"/>
      <c r="D77" s="22" t="s">
        <v>400</v>
      </c>
      <c r="E77" s="119" t="s">
        <v>400</v>
      </c>
      <c r="F77" s="405" t="s">
        <v>4219</v>
      </c>
      <c r="G77" s="405"/>
      <c r="H77" s="405"/>
      <c r="I77" s="405"/>
    </row>
    <row r="78" spans="2:9" ht="20" customHeight="1"/>
    <row r="79" spans="2:9" ht="20" customHeight="1">
      <c r="F79" s="3"/>
      <c r="G79" s="3"/>
    </row>
    <row r="80" spans="2:9" ht="20" customHeight="1">
      <c r="F80" s="3"/>
      <c r="G80" s="3"/>
    </row>
  </sheetData>
  <sheetProtection algorithmName="SHA-512" hashValue="RDXUTQhWiEbP7+MKwVdfEGBBZ0XSZuhyo/Wfcv8N0WTzLTvCvG/X92JPzv4eZDBpUtpCZXLaAzbWgs9NP1XMfQ==" saltValue="qO1amdyfwC+bXrXoYA7yiA==" spinCount="100000" sheet="1" objects="1" scenarios="1" selectLockedCells="1"/>
  <dataConsolidate/>
  <mergeCells count="68">
    <mergeCell ref="B77:C77"/>
    <mergeCell ref="F77:I77"/>
    <mergeCell ref="F75:I75"/>
    <mergeCell ref="F73:I73"/>
    <mergeCell ref="B70:C70"/>
    <mergeCell ref="F70:I70"/>
    <mergeCell ref="F71:I71"/>
    <mergeCell ref="B71:C71"/>
    <mergeCell ref="B74:I74"/>
    <mergeCell ref="B76:I76"/>
    <mergeCell ref="B72:I72"/>
    <mergeCell ref="B68:I68"/>
    <mergeCell ref="B73:C73"/>
    <mergeCell ref="B75:C75"/>
    <mergeCell ref="F62:I62"/>
    <mergeCell ref="F61:I61"/>
    <mergeCell ref="B61:C61"/>
    <mergeCell ref="B64:C64"/>
    <mergeCell ref="B65:C65"/>
    <mergeCell ref="B63:I63"/>
    <mergeCell ref="F64:I64"/>
    <mergeCell ref="F65:I65"/>
    <mergeCell ref="B67:C67"/>
    <mergeCell ref="F67:I67"/>
    <mergeCell ref="B66:I66"/>
    <mergeCell ref="B62:C62"/>
    <mergeCell ref="B54:I54"/>
    <mergeCell ref="F55:I55"/>
    <mergeCell ref="B2:O2"/>
    <mergeCell ref="B3:O3"/>
    <mergeCell ref="B6:C6"/>
    <mergeCell ref="B11:C11"/>
    <mergeCell ref="E7:O20"/>
    <mergeCell ref="E6:O6"/>
    <mergeCell ref="B23:L23"/>
    <mergeCell ref="N28:O28"/>
    <mergeCell ref="B27:O27"/>
    <mergeCell ref="N29:O29"/>
    <mergeCell ref="N30:O30"/>
    <mergeCell ref="N31:O31"/>
    <mergeCell ref="N32:O32"/>
    <mergeCell ref="N33:O33"/>
    <mergeCell ref="B58:I58"/>
    <mergeCell ref="F59:I59"/>
    <mergeCell ref="B56:I56"/>
    <mergeCell ref="F57:I57"/>
    <mergeCell ref="B55:C55"/>
    <mergeCell ref="B60:I60"/>
    <mergeCell ref="B57:C57"/>
    <mergeCell ref="N34:O34"/>
    <mergeCell ref="N35:O35"/>
    <mergeCell ref="N36:O36"/>
    <mergeCell ref="N37:O37"/>
    <mergeCell ref="N39:O39"/>
    <mergeCell ref="N38:O38"/>
    <mergeCell ref="N40:O40"/>
    <mergeCell ref="N41:O41"/>
    <mergeCell ref="N42:O42"/>
    <mergeCell ref="N43:O43"/>
    <mergeCell ref="N44:O44"/>
    <mergeCell ref="N45:O45"/>
    <mergeCell ref="N51:O51"/>
    <mergeCell ref="N52:O52"/>
    <mergeCell ref="N46:O46"/>
    <mergeCell ref="N47:O47"/>
    <mergeCell ref="N48:O48"/>
    <mergeCell ref="N49:O49"/>
    <mergeCell ref="N50:O50"/>
  </mergeCells>
  <phoneticPr fontId="4" type="noConversion"/>
  <conditionalFormatting sqref="B56 B57:F57">
    <cfRule type="expression" dxfId="4808" priority="132">
      <formula>vcf_aware_wsa_result="Excluded"</formula>
    </cfRule>
  </conditionalFormatting>
  <conditionalFormatting sqref="B58 B59:F59">
    <cfRule type="expression" dxfId="4807" priority="133">
      <formula>intelligent_logging_result="Excluded"</formula>
    </cfRule>
  </conditionalFormatting>
  <conditionalFormatting sqref="B60 B61:F62">
    <cfRule type="expression" dxfId="4806" priority="130">
      <formula>intelligent_operations_result="Excluded"</formula>
    </cfRule>
  </conditionalFormatting>
  <conditionalFormatting sqref="B63 B64:F65">
    <cfRule type="expression" dxfId="4805" priority="134">
      <formula>inv_result="Excluded"</formula>
    </cfRule>
  </conditionalFormatting>
  <conditionalFormatting sqref="B66 B67:F67">
    <cfRule type="expression" dxfId="4804" priority="110">
      <formula>pca_id_result="False"</formula>
    </cfRule>
  </conditionalFormatting>
  <conditionalFormatting sqref="B74 B75:F75">
    <cfRule type="expression" dxfId="4803" priority="114">
      <formula>ccm_result="Excluded"</formula>
    </cfRule>
  </conditionalFormatting>
  <conditionalFormatting sqref="B76 B77:F77">
    <cfRule type="expression" dxfId="4802" priority="120">
      <formula>hrm_result="Excluded"</formula>
    </cfRule>
  </conditionalFormatting>
  <conditionalFormatting sqref="B17:C17">
    <cfRule type="expression" dxfId="4801" priority="182">
      <formula>mgmt_principal_storage_chosen="vSAN-ESA"</formula>
    </cfRule>
  </conditionalFormatting>
  <conditionalFormatting sqref="B61:I61">
    <cfRule type="expression" dxfId="4800" priority="129">
      <formula>intelligent_operations_chosen="Connect Instance"</formula>
    </cfRule>
  </conditionalFormatting>
  <conditionalFormatting sqref="B68:I68">
    <cfRule type="expression" dxfId="4799" priority="105">
      <formula>AND((spr_wo_result="False"),(spr_mw_result="False"),(spr_mo_result="False"))</formula>
    </cfRule>
  </conditionalFormatting>
  <conditionalFormatting sqref="B69:I70">
    <cfRule type="expression" dxfId="4798" priority="108">
      <formula>protected_mgmt_result="False"</formula>
    </cfRule>
  </conditionalFormatting>
  <conditionalFormatting sqref="B70:I70">
    <cfRule type="expression" dxfId="4797" priority="106">
      <formula>AND((spr_mo_result="False"),(spr_mw_result="False"))</formula>
    </cfRule>
  </conditionalFormatting>
  <conditionalFormatting sqref="B71:I71">
    <cfRule type="expression" dxfId="4796" priority="107">
      <formula>AND((spr_wo_result="False"),(spr_mw_result="False"))</formula>
    </cfRule>
  </conditionalFormatting>
  <conditionalFormatting sqref="B72:I73">
    <cfRule type="expression" dxfId="4795" priority="116">
      <formula>cbr_result="Excluded"</formula>
    </cfRule>
  </conditionalFormatting>
  <conditionalFormatting sqref="C8:C9 C13:C17 E57 E59 E61:E62 E64:E65 E67 E69:E71 E73 E75 E77">
    <cfRule type="containsBlanks" dxfId="4794" priority="818">
      <formula>LEN(TRIM(C8))=0</formula>
    </cfRule>
  </conditionalFormatting>
  <conditionalFormatting sqref="C13:C17 E61:E62 E59 E64:E65 E67 E57 E77 E73 E75 E69:E71 C8:C9">
    <cfRule type="notContainsBlanks" dxfId="4793" priority="817">
      <formula>LEN(TRIM(C8))&gt;0</formula>
    </cfRule>
  </conditionalFormatting>
  <conditionalFormatting sqref="C25:D25">
    <cfRule type="notContainsBlanks" dxfId="4792" priority="466">
      <formula>LEN(TRIM(C25))&gt;0</formula>
    </cfRule>
  </conditionalFormatting>
  <conditionalFormatting sqref="C29:H29">
    <cfRule type="expression" dxfId="4791" priority="437">
      <formula>(sizing_w01_result="Included")</formula>
    </cfRule>
    <cfRule type="expression" dxfId="4790" priority="438" stopIfTrue="1">
      <formula>(sizing_w01_result="Excluded")</formula>
    </cfRule>
  </conditionalFormatting>
  <conditionalFormatting sqref="C30:H30">
    <cfRule type="expression" dxfId="4789" priority="431">
      <formula>(sizing_w02_result="Included")</formula>
    </cfRule>
  </conditionalFormatting>
  <conditionalFormatting sqref="C31:H31">
    <cfRule type="expression" dxfId="4788" priority="420">
      <formula>(sizing_w03_result="Included")</formula>
    </cfRule>
  </conditionalFormatting>
  <conditionalFormatting sqref="C32:H32">
    <cfRule type="expression" dxfId="4787" priority="417">
      <formula>(sizing_w04_result="Included")</formula>
    </cfRule>
  </conditionalFormatting>
  <conditionalFormatting sqref="C33:H33">
    <cfRule type="expression" dxfId="4786" priority="415">
      <formula>(sizing_w05_result="Included")</formula>
    </cfRule>
  </conditionalFormatting>
  <conditionalFormatting sqref="C34:H34">
    <cfRule type="expression" dxfId="4785" priority="413">
      <formula>(sizing_w06_result="Included")</formula>
    </cfRule>
  </conditionalFormatting>
  <conditionalFormatting sqref="C35:H35">
    <cfRule type="expression" dxfId="4784" priority="411">
      <formula>(sizing_w07_result="Included")</formula>
    </cfRule>
  </conditionalFormatting>
  <conditionalFormatting sqref="C36:H36">
    <cfRule type="expression" dxfId="4783" priority="409">
      <formula>(sizing_w08_result="Included")</formula>
    </cfRule>
  </conditionalFormatting>
  <conditionalFormatting sqref="C37:H37">
    <cfRule type="expression" dxfId="4782" priority="407">
      <formula>(sizing_w09_result="Included")</formula>
    </cfRule>
  </conditionalFormatting>
  <conditionalFormatting sqref="C38:H38">
    <cfRule type="expression" dxfId="4781" priority="405">
      <formula>(sizing_w10_result="Included")</formula>
    </cfRule>
  </conditionalFormatting>
  <conditionalFormatting sqref="C39:H39">
    <cfRule type="expression" dxfId="4780" priority="395">
      <formula>(sizing_w11_result="Included")</formula>
    </cfRule>
  </conditionalFormatting>
  <conditionalFormatting sqref="C40:H40">
    <cfRule type="expression" dxfId="4779" priority="401">
      <formula>(sizing_w12_result="Included")</formula>
    </cfRule>
  </conditionalFormatting>
  <conditionalFormatting sqref="C41:H41">
    <cfRule type="expression" dxfId="4778" priority="399">
      <formula>(sizing_w13_result="Included")</formula>
    </cfRule>
  </conditionalFormatting>
  <conditionalFormatting sqref="C42:H42">
    <cfRule type="expression" dxfId="4777" priority="397">
      <formula>(sizing_w14_result="Included")</formula>
    </cfRule>
  </conditionalFormatting>
  <conditionalFormatting sqref="C43:H43">
    <cfRule type="expression" dxfId="4776" priority="277">
      <formula>(sizing_w15_result="Included")</formula>
    </cfRule>
  </conditionalFormatting>
  <conditionalFormatting sqref="C44:H44">
    <cfRule type="expression" dxfId="4775" priority="236">
      <formula>(sizing_w16_result="Included")</formula>
    </cfRule>
  </conditionalFormatting>
  <conditionalFormatting sqref="C45:H45">
    <cfRule type="expression" dxfId="4774" priority="235">
      <formula>(sizing_w17_result="Included")</formula>
    </cfRule>
  </conditionalFormatting>
  <conditionalFormatting sqref="C46:H46">
    <cfRule type="expression" dxfId="4773" priority="234">
      <formula>(sizing_w18_result="Included")</formula>
    </cfRule>
  </conditionalFormatting>
  <conditionalFormatting sqref="C47:H47">
    <cfRule type="expression" dxfId="4772" priority="233">
      <formula>(sizing_w19_result="Included")</formula>
    </cfRule>
  </conditionalFormatting>
  <conditionalFormatting sqref="C48:H48">
    <cfRule type="expression" dxfId="4771" priority="232">
      <formula>(sizing_w20_result="Included")</formula>
    </cfRule>
  </conditionalFormatting>
  <conditionalFormatting sqref="C49:H49">
    <cfRule type="expression" dxfId="4770" priority="231">
      <formula>(sizing_w21_result="Included")</formula>
    </cfRule>
  </conditionalFormatting>
  <conditionalFormatting sqref="C50:H50">
    <cfRule type="expression" dxfId="4769" priority="230">
      <formula>(sizing_w22_result="Included")</formula>
    </cfRule>
  </conditionalFormatting>
  <conditionalFormatting sqref="C51:H51">
    <cfRule type="expression" dxfId="4768" priority="229">
      <formula>(sizing_w23_result="Included")</formula>
    </cfRule>
  </conditionalFormatting>
  <conditionalFormatting sqref="C52:H52">
    <cfRule type="expression" dxfId="4767" priority="228">
      <formula>(sizing_w24_result="Included")</formula>
    </cfRule>
  </conditionalFormatting>
  <conditionalFormatting sqref="C30:I30">
    <cfRule type="expression" dxfId="4766" priority="426">
      <formula>(sizing_w02_result="Excluded")</formula>
    </cfRule>
  </conditionalFormatting>
  <conditionalFormatting sqref="C31:I31">
    <cfRule type="expression" dxfId="4765" priority="393">
      <formula>(sizing_w03_result="Excluded")</formula>
    </cfRule>
  </conditionalFormatting>
  <conditionalFormatting sqref="C32:I32">
    <cfRule type="expression" dxfId="4764" priority="391">
      <formula>(sizing_w04_result="Excluded")</formula>
    </cfRule>
  </conditionalFormatting>
  <conditionalFormatting sqref="C33:I33">
    <cfRule type="expression" dxfId="4763" priority="389">
      <formula>(sizing_w05_result="Excluded")</formula>
    </cfRule>
  </conditionalFormatting>
  <conditionalFormatting sqref="C34:I34">
    <cfRule type="expression" dxfId="4762" priority="387">
      <formula>(sizing_w06_result="Excluded")</formula>
    </cfRule>
  </conditionalFormatting>
  <conditionalFormatting sqref="C35:I35">
    <cfRule type="expression" dxfId="4761" priority="385">
      <formula>(sizing_w07_result="Excluded")</formula>
    </cfRule>
  </conditionalFormatting>
  <conditionalFormatting sqref="C36:I36">
    <cfRule type="expression" dxfId="4760" priority="383">
      <formula>(sizing_w08_result="Excluded")</formula>
    </cfRule>
  </conditionalFormatting>
  <conditionalFormatting sqref="C37:I37">
    <cfRule type="expression" dxfId="4759" priority="381">
      <formula>(sizing_w09_result="Excluded")</formula>
    </cfRule>
  </conditionalFormatting>
  <conditionalFormatting sqref="C38:I38">
    <cfRule type="expression" dxfId="4758" priority="379">
      <formula>(sizing_w10_result="Excluded")</formula>
    </cfRule>
  </conditionalFormatting>
  <conditionalFormatting sqref="C39:I39">
    <cfRule type="expression" dxfId="4757" priority="377" stopIfTrue="1">
      <formula>(sizing_w11_result="Excluded")</formula>
    </cfRule>
  </conditionalFormatting>
  <conditionalFormatting sqref="C40:I40">
    <cfRule type="expression" dxfId="4756" priority="375">
      <formula>(sizing_w12_result="Excluded")</formula>
    </cfRule>
  </conditionalFormatting>
  <conditionalFormatting sqref="C41:I41">
    <cfRule type="expression" dxfId="4755" priority="373">
      <formula>(sizing_w13_result="Excluded")</formula>
    </cfRule>
  </conditionalFormatting>
  <conditionalFormatting sqref="C42:I42">
    <cfRule type="expression" dxfId="4754" priority="371" stopIfTrue="1">
      <formula>(sizing_w14_result="Excluded")</formula>
    </cfRule>
  </conditionalFormatting>
  <conditionalFormatting sqref="C43:I43">
    <cfRule type="expression" dxfId="4753" priority="227">
      <formula>(sizing_w15_result="Excluded")</formula>
    </cfRule>
  </conditionalFormatting>
  <conditionalFormatting sqref="C44:I44">
    <cfRule type="expression" dxfId="4752" priority="266">
      <formula>(sizing_w16_result="Excluded")</formula>
    </cfRule>
  </conditionalFormatting>
  <conditionalFormatting sqref="C45:I45">
    <cfRule type="expression" dxfId="4751" priority="275">
      <formula>(sizing_w17_result="Excluded")</formula>
    </cfRule>
  </conditionalFormatting>
  <conditionalFormatting sqref="C46:I46">
    <cfRule type="expression" dxfId="4750" priority="274">
      <formula>(sizing_w18_result="Excluded")</formula>
    </cfRule>
  </conditionalFormatting>
  <conditionalFormatting sqref="C47:I47">
    <cfRule type="expression" dxfId="4749" priority="273">
      <formula>(sizing_w19_result="Excluded")</formula>
    </cfRule>
  </conditionalFormatting>
  <conditionalFormatting sqref="C48:I48">
    <cfRule type="expression" dxfId="4748" priority="272">
      <formula>(sizing_w20_result="Excluded")</formula>
    </cfRule>
  </conditionalFormatting>
  <conditionalFormatting sqref="C49:I49">
    <cfRule type="expression" dxfId="4747" priority="271">
      <formula>(sizing_w21_result="Excluded")</formula>
    </cfRule>
  </conditionalFormatting>
  <conditionalFormatting sqref="C50:I50">
    <cfRule type="expression" dxfId="4746" priority="270">
      <formula>(sizing_w22_result="Excluded")</formula>
    </cfRule>
  </conditionalFormatting>
  <conditionalFormatting sqref="C51:I51">
    <cfRule type="expression" dxfId="4745" priority="269">
      <formula>(sizing_w23_result="Excluded")</formula>
    </cfRule>
  </conditionalFormatting>
  <conditionalFormatting sqref="C52:I52">
    <cfRule type="expression" dxfId="4744" priority="258">
      <formula>(sizing_w24_result="Excluded")</formula>
    </cfRule>
  </conditionalFormatting>
  <conditionalFormatting sqref="E25">
    <cfRule type="containsBlanks" dxfId="4743" priority="816">
      <formula>LEN(TRIM(E25))=0</formula>
    </cfRule>
  </conditionalFormatting>
  <conditionalFormatting sqref="E57">
    <cfRule type="containsBlanks" dxfId="4742" priority="140">
      <formula>LEN(TRIM(E57))=0</formula>
    </cfRule>
    <cfRule type="notContainsBlanks" dxfId="4741" priority="139">
      <formula>LEN(TRIM(E57))&gt;0</formula>
    </cfRule>
  </conditionalFormatting>
  <conditionalFormatting sqref="E59">
    <cfRule type="notContainsBlanks" dxfId="4740" priority="142">
      <formula>LEN(TRIM(E59))&gt;0</formula>
    </cfRule>
    <cfRule type="containsBlanks" dxfId="4739" priority="170">
      <formula>LEN(TRIM(E59))=0</formula>
    </cfRule>
  </conditionalFormatting>
  <conditionalFormatting sqref="E61:E62">
    <cfRule type="notContainsBlanks" dxfId="4738" priority="174">
      <formula>LEN(TRIM(E61))&gt;0</formula>
    </cfRule>
    <cfRule type="containsBlanks" dxfId="4737" priority="175">
      <formula>LEN(TRIM(E61))=0</formula>
    </cfRule>
  </conditionalFormatting>
  <conditionalFormatting sqref="E64:E65">
    <cfRule type="notContainsBlanks" dxfId="4736" priority="164">
      <formula>LEN(TRIM(E64))&gt;0</formula>
    </cfRule>
    <cfRule type="containsBlanks" dxfId="4735" priority="165">
      <formula>LEN(TRIM(E64))=0</formula>
    </cfRule>
  </conditionalFormatting>
  <conditionalFormatting sqref="E67">
    <cfRule type="notContainsBlanks" dxfId="4734" priority="148">
      <formula>LEN(TRIM(E67))&gt;0</formula>
    </cfRule>
    <cfRule type="containsBlanks" dxfId="4733" priority="153">
      <formula>LEN(TRIM(E67))=0</formula>
    </cfRule>
  </conditionalFormatting>
  <conditionalFormatting sqref="E25:L25">
    <cfRule type="notContainsBlanks" dxfId="4732" priority="773">
      <formula>LEN(TRIM(E25))&gt;0</formula>
    </cfRule>
  </conditionalFormatting>
  <conditionalFormatting sqref="G25">
    <cfRule type="notContainsBlanks" dxfId="4731" priority="465">
      <formula>LEN(TRIM(G25))&gt;0</formula>
    </cfRule>
  </conditionalFormatting>
  <conditionalFormatting sqref="G29">
    <cfRule type="expression" dxfId="4730" priority="206">
      <formula>AND(sizing_w01_chosen="Isolated Vi Workload Domain",sizing_w01_nsxt_model="Shared")</formula>
    </cfRule>
  </conditionalFormatting>
  <conditionalFormatting sqref="H30">
    <cfRule type="expression" dxfId="4729" priority="430">
      <formula>(sizing_w02_nsxt_model="Shared")</formula>
    </cfRule>
  </conditionalFormatting>
  <conditionalFormatting sqref="H31">
    <cfRule type="expression" dxfId="4728" priority="305">
      <formula>(sizing_w03_nsxt_model="Shared")</formula>
    </cfRule>
  </conditionalFormatting>
  <conditionalFormatting sqref="H32">
    <cfRule type="expression" dxfId="4727" priority="304">
      <formula>(sizing_w04_nsxt_model="Shared")</formula>
    </cfRule>
  </conditionalFormatting>
  <conditionalFormatting sqref="H33">
    <cfRule type="expression" dxfId="4726" priority="303">
      <formula>(sizing_w05_nsxt_model="Shared")</formula>
    </cfRule>
  </conditionalFormatting>
  <conditionalFormatting sqref="H34">
    <cfRule type="expression" dxfId="4725" priority="302">
      <formula>(sizing_w06_nsxt_model="Shared")</formula>
    </cfRule>
  </conditionalFormatting>
  <conditionalFormatting sqref="H35">
    <cfRule type="expression" dxfId="4724" priority="301">
      <formula>(sizing_w07_nsxt_model="Shared")</formula>
    </cfRule>
  </conditionalFormatting>
  <conditionalFormatting sqref="H36">
    <cfRule type="expression" dxfId="4723" priority="300">
      <formula>(sizing_w08_nsxt_model="Shared")</formula>
    </cfRule>
  </conditionalFormatting>
  <conditionalFormatting sqref="H37">
    <cfRule type="expression" dxfId="4722" priority="299">
      <formula>(sizing_w09_nsxt_model="Shared")</formula>
    </cfRule>
  </conditionalFormatting>
  <conditionalFormatting sqref="H38">
    <cfRule type="expression" dxfId="4721" priority="298">
      <formula>(sizing_w10_nsxt_model="Shared")</formula>
    </cfRule>
  </conditionalFormatting>
  <conditionalFormatting sqref="H39">
    <cfRule type="expression" dxfId="4720" priority="297">
      <formula>(sizing_w11_nsxt_model="Shared")</formula>
    </cfRule>
  </conditionalFormatting>
  <conditionalFormatting sqref="H40">
    <cfRule type="expression" dxfId="4719" priority="296">
      <formula>(sizing_w12_nsxt_model="Shared")</formula>
    </cfRule>
  </conditionalFormatting>
  <conditionalFormatting sqref="H41">
    <cfRule type="expression" dxfId="4718" priority="295">
      <formula>(sizing_w13_nsxt_model="Shared")</formula>
    </cfRule>
  </conditionalFormatting>
  <conditionalFormatting sqref="H42">
    <cfRule type="expression" dxfId="4717" priority="294">
      <formula>(sizing_w14_nsxt_model="Shared")</formula>
    </cfRule>
  </conditionalFormatting>
  <conditionalFormatting sqref="H25:L25">
    <cfRule type="containsBlanks" dxfId="4716" priority="774">
      <formula>LEN(TRIM(H25))=0</formula>
    </cfRule>
  </conditionalFormatting>
  <conditionalFormatting sqref="I29">
    <cfRule type="expression" dxfId="4715" priority="435">
      <formula>(sizing_w01_gm_chosen="Exclude")</formula>
    </cfRule>
    <cfRule type="expression" dxfId="4714" priority="436">
      <formula>(sizing_w01_gm_chosen&lt;&gt;"Exclude")</formula>
    </cfRule>
  </conditionalFormatting>
  <conditionalFormatting sqref="I30">
    <cfRule type="expression" dxfId="4713" priority="429">
      <formula>(sizing_w02_gm_chosen="Exclude")</formula>
    </cfRule>
    <cfRule type="expression" dxfId="4712" priority="432">
      <formula>(sizing_w02_gm_chosen&lt;&gt;"Exclude")</formula>
    </cfRule>
  </conditionalFormatting>
  <conditionalFormatting sqref="I31">
    <cfRule type="expression" dxfId="4711" priority="394">
      <formula>(sizing_w03_gm_chosen="Exclude")</formula>
    </cfRule>
    <cfRule type="expression" dxfId="4710" priority="419">
      <formula>(sizing_w03_gm_chosen&lt;&gt;"Exclude")</formula>
    </cfRule>
  </conditionalFormatting>
  <conditionalFormatting sqref="I32">
    <cfRule type="expression" dxfId="4709" priority="418">
      <formula>(sizing_w04_gm_chosen&lt;&gt;"Exclude")</formula>
    </cfRule>
    <cfRule type="expression" dxfId="4708" priority="392">
      <formula>(sizing_w04_gm_chosen="Exclude")</formula>
    </cfRule>
  </conditionalFormatting>
  <conditionalFormatting sqref="I33">
    <cfRule type="expression" dxfId="4707" priority="416">
      <formula>(sizing_w05_gm_chosen&lt;&gt;"Excluded")</formula>
    </cfRule>
    <cfRule type="expression" dxfId="4706" priority="390">
      <formula>(sizing_w05_gm_chosen="Exclude")</formula>
    </cfRule>
  </conditionalFormatting>
  <conditionalFormatting sqref="I34">
    <cfRule type="expression" dxfId="4705" priority="414">
      <formula>(sizing_w06_gm_chosen&lt;&gt;"Excluded")</formula>
    </cfRule>
    <cfRule type="expression" dxfId="4704" priority="388">
      <formula>(sizing_w06_gm_chosen="Exclude")</formula>
    </cfRule>
  </conditionalFormatting>
  <conditionalFormatting sqref="I35">
    <cfRule type="expression" dxfId="4703" priority="412">
      <formula>(sizing_w07_gm_chosen&lt;&gt;"Excluded")</formula>
    </cfRule>
    <cfRule type="expression" dxfId="4702" priority="386">
      <formula>(sizing_w07_gm_chosen="Exclude")</formula>
    </cfRule>
  </conditionalFormatting>
  <conditionalFormatting sqref="I36">
    <cfRule type="expression" dxfId="4701" priority="410">
      <formula>(sizing_w08_gm_chosen="Exclude")</formula>
    </cfRule>
    <cfRule type="expression" dxfId="4700" priority="384">
      <formula>(sizing_w08_gm_chosen&lt;&gt;"Exclude")</formula>
    </cfRule>
  </conditionalFormatting>
  <conditionalFormatting sqref="I37">
    <cfRule type="expression" dxfId="4699" priority="408">
      <formula>(sizing_w09_gm_chosen="Exclude")</formula>
    </cfRule>
    <cfRule type="expression" dxfId="4698" priority="382">
      <formula>(sizing_w09_gm_chosen&lt;&gt;"Exclude")</formula>
    </cfRule>
  </conditionalFormatting>
  <conditionalFormatting sqref="I38">
    <cfRule type="expression" dxfId="4697" priority="406">
      <formula>(sizing_w10_gm_chosen="Exclude")</formula>
    </cfRule>
    <cfRule type="expression" dxfId="4696" priority="380">
      <formula>(sizing_w10_gm_chosen&lt;&gt;"Exclude")</formula>
    </cfRule>
  </conditionalFormatting>
  <conditionalFormatting sqref="I39">
    <cfRule type="expression" dxfId="4695" priority="378">
      <formula>(sizing_w11_gm_chosen&lt;&gt;"Exclude")</formula>
    </cfRule>
    <cfRule type="expression" dxfId="4694" priority="396">
      <formula>(sizing_w11_gm_chosen="Exclude")</formula>
    </cfRule>
  </conditionalFormatting>
  <conditionalFormatting sqref="I40">
    <cfRule type="expression" dxfId="4693" priority="402">
      <formula>(sizing_w12_gm_chosen="Exclude")</formula>
    </cfRule>
    <cfRule type="expression" dxfId="4692" priority="376">
      <formula>(sizing_w12_gm_chosen&lt;&gt;"Exclude")</formula>
    </cfRule>
  </conditionalFormatting>
  <conditionalFormatting sqref="I41">
    <cfRule type="expression" dxfId="4691" priority="400">
      <formula>(sizing_w13_gm_chosen="Exclude")</formula>
    </cfRule>
    <cfRule type="expression" dxfId="4690" priority="374">
      <formula>(sizing_w13_gm_chosen&lt;&gt;"Exclude")</formula>
    </cfRule>
  </conditionalFormatting>
  <conditionalFormatting sqref="I42">
    <cfRule type="expression" dxfId="4689" priority="398">
      <formula>(sizing_w14_gm_chosen="Exclude")</formula>
    </cfRule>
    <cfRule type="expression" dxfId="4688" priority="372">
      <formula>(sizing_w14_gm_chosen&lt;&gt;"Exclude")</formula>
    </cfRule>
  </conditionalFormatting>
  <conditionalFormatting sqref="I43">
    <cfRule type="expression" dxfId="4687" priority="267">
      <formula>(sizing_w15_gm_chosen="Exclude")</formula>
    </cfRule>
  </conditionalFormatting>
  <conditionalFormatting sqref="I44">
    <cfRule type="expression" dxfId="4686" priority="276">
      <formula>(sizing_w16_gm_chosen="Exclude")</formula>
    </cfRule>
  </conditionalFormatting>
  <conditionalFormatting sqref="I45">
    <cfRule type="expression" dxfId="4685" priority="285">
      <formula>(sizing_w17_gm_chosen="Exclude")</formula>
    </cfRule>
  </conditionalFormatting>
  <conditionalFormatting sqref="I46">
    <cfRule type="expression" dxfId="4684" priority="284">
      <formula>(sizing_w18_gm_chosen="Exclude")</formula>
    </cfRule>
  </conditionalFormatting>
  <conditionalFormatting sqref="I47">
    <cfRule type="expression" dxfId="4683" priority="283">
      <formula>(sizing_w19_gm_chosen="Exclude")</formula>
    </cfRule>
  </conditionalFormatting>
  <conditionalFormatting sqref="I48">
    <cfRule type="expression" dxfId="4682" priority="282">
      <formula>(sizing_w20_gm_chosen="Exclude")</formula>
    </cfRule>
  </conditionalFormatting>
  <conditionalFormatting sqref="I49">
    <cfRule type="expression" dxfId="4681" priority="281">
      <formula>(sizing_w21_gm_chosen="Exclude")</formula>
    </cfRule>
  </conditionalFormatting>
  <conditionalFormatting sqref="I50">
    <cfRule type="expression" dxfId="4680" priority="280">
      <formula>(sizing_w22_gm_chosen="Exclude")</formula>
    </cfRule>
  </conditionalFormatting>
  <conditionalFormatting sqref="I51">
    <cfRule type="expression" dxfId="4679" priority="279">
      <formula>(sizing_w23_gm_chosen="Exclude")</formula>
    </cfRule>
  </conditionalFormatting>
  <conditionalFormatting sqref="I52">
    <cfRule type="expression" dxfId="4678" priority="268">
      <formula>(sizing_w24_gm_chosen="Exclude")</formula>
    </cfRule>
  </conditionalFormatting>
  <conditionalFormatting sqref="I43:K43">
    <cfRule type="expression" dxfId="4677" priority="287">
      <formula>(sizing_w15_gm_chosen&lt;&gt;"Exclude")</formula>
    </cfRule>
  </conditionalFormatting>
  <conditionalFormatting sqref="I44:K44">
    <cfRule type="expression" dxfId="4676" priority="286">
      <formula>(sizing_w16_gm_chosen&lt;&gt;"Exclude")</formula>
    </cfRule>
  </conditionalFormatting>
  <conditionalFormatting sqref="I45:K45">
    <cfRule type="expression" dxfId="4675" priority="225">
      <formula>(sizing_w17_gm_chosen&lt;&gt;"Exclude")</formula>
    </cfRule>
  </conditionalFormatting>
  <conditionalFormatting sqref="I46:K46">
    <cfRule type="expression" dxfId="4674" priority="224">
      <formula>(sizing_w18_gm_chosen&lt;&gt;"Exclude")</formula>
    </cfRule>
  </conditionalFormatting>
  <conditionalFormatting sqref="I47:K47">
    <cfRule type="expression" dxfId="4673" priority="223">
      <formula>(sizing_w19_gm_chosen&lt;&gt;"Exclude")</formula>
    </cfRule>
  </conditionalFormatting>
  <conditionalFormatting sqref="I48:K48">
    <cfRule type="expression" dxfId="4672" priority="222">
      <formula>(sizing_w20_gm_chosen&lt;&gt;"Exclude")</formula>
    </cfRule>
  </conditionalFormatting>
  <conditionalFormatting sqref="I49:K49">
    <cfRule type="expression" dxfId="4671" priority="221">
      <formula>(sizing_w21_gm_chosen&lt;&gt;"Exclude")</formula>
    </cfRule>
  </conditionalFormatting>
  <conditionalFormatting sqref="I50:K50">
    <cfRule type="expression" dxfId="4670" priority="220">
      <formula>(sizing_w22_gm_chosen&lt;&gt;"Exclude")</formula>
    </cfRule>
  </conditionalFormatting>
  <conditionalFormatting sqref="I51:K51">
    <cfRule type="expression" dxfId="4669" priority="219">
      <formula>(sizing_w23_gm_chosen&lt;&gt;"Exclude")</formula>
    </cfRule>
  </conditionalFormatting>
  <conditionalFormatting sqref="I52:K52">
    <cfRule type="expression" dxfId="4668" priority="278">
      <formula>(sizing_w24_gm_chosen&lt;&gt;"Exclude")</formula>
    </cfRule>
  </conditionalFormatting>
  <conditionalFormatting sqref="J25">
    <cfRule type="expression" dxfId="4667" priority="550" stopIfTrue="1">
      <formula>(mgmt_nsxt_federation_result="Excluded")</formula>
    </cfRule>
  </conditionalFormatting>
  <conditionalFormatting sqref="J29:K29">
    <cfRule type="expression" dxfId="4666" priority="434">
      <formula>(sizing_w01_gm_result&lt;&gt;"Included")</formula>
    </cfRule>
    <cfRule type="expression" dxfId="4665" priority="433">
      <formula>(sizing_w01_gm_result="Included")</formula>
    </cfRule>
  </conditionalFormatting>
  <conditionalFormatting sqref="J30:K30">
    <cfRule type="expression" dxfId="4664" priority="425">
      <formula>(sizing_w02_gm_result&lt;&gt;"Excluded")</formula>
    </cfRule>
    <cfRule type="expression" dxfId="4663" priority="424">
      <formula>(sizing_w02_gm_result="Excluded")</formula>
    </cfRule>
  </conditionalFormatting>
  <conditionalFormatting sqref="J31:K31">
    <cfRule type="expression" dxfId="4662" priority="369">
      <formula>(sizing_w03_gm_result&lt;&gt;"Excluded")</formula>
    </cfRule>
    <cfRule type="expression" dxfId="4661" priority="370">
      <formula>(sizing_w03_gm_result="Excluded")</formula>
    </cfRule>
  </conditionalFormatting>
  <conditionalFormatting sqref="J32:K32">
    <cfRule type="expression" dxfId="4660" priority="367">
      <formula>(sizing_w04_gm_result&lt;&gt;"Excluded")</formula>
    </cfRule>
    <cfRule type="expression" dxfId="4659" priority="368">
      <formula>(sizing_w04_gm_result="Excluded")</formula>
    </cfRule>
  </conditionalFormatting>
  <conditionalFormatting sqref="J33:K33">
    <cfRule type="expression" dxfId="4658" priority="366">
      <formula>(sizing_w05_gm_result="Excluded")</formula>
    </cfRule>
    <cfRule type="expression" dxfId="4657" priority="365">
      <formula>(sizing_w05_gm_result&lt;&gt;"Excluded")</formula>
    </cfRule>
  </conditionalFormatting>
  <conditionalFormatting sqref="J34:K34">
    <cfRule type="expression" dxfId="4656" priority="364">
      <formula>(sizing_w06_gm_result="Excluded")</formula>
    </cfRule>
    <cfRule type="expression" dxfId="4655" priority="363">
      <formula>(sizing_w06_gm_result&lt;&gt;"Excluded")</formula>
    </cfRule>
  </conditionalFormatting>
  <conditionalFormatting sqref="J35:K35">
    <cfRule type="expression" dxfId="4654" priority="361">
      <formula>(sizing_w07_gm_result="Excluded")</formula>
    </cfRule>
    <cfRule type="expression" dxfId="4653" priority="360">
      <formula>(sizing_w07_gm_result&lt;&gt;"Excluded")</formula>
    </cfRule>
  </conditionalFormatting>
  <conditionalFormatting sqref="J36:K36">
    <cfRule type="expression" dxfId="4652" priority="359">
      <formula>(sizing_w08_gm_result&lt;&gt;"Excluded")</formula>
    </cfRule>
    <cfRule type="expression" dxfId="4651" priority="358">
      <formula>(sizing_w08_gm_result="Excluded")</formula>
    </cfRule>
  </conditionalFormatting>
  <conditionalFormatting sqref="J37:K37">
    <cfRule type="expression" dxfId="4650" priority="357">
      <formula>(sizing_w09_gm_result="Excluded")</formula>
    </cfRule>
    <cfRule type="expression" dxfId="4649" priority="356">
      <formula>(sizing_w09_gm_result&lt;&gt;"Excluded")</formula>
    </cfRule>
  </conditionalFormatting>
  <conditionalFormatting sqref="J38:K38">
    <cfRule type="expression" dxfId="4648" priority="355">
      <formula>(sizing_w10_gm_result="Excluded")</formula>
    </cfRule>
    <cfRule type="expression" dxfId="4647" priority="354">
      <formula>(sizing_w10_gm_result&lt;&gt;"Excluded")</formula>
    </cfRule>
  </conditionalFormatting>
  <conditionalFormatting sqref="J39:K39">
    <cfRule type="expression" dxfId="4646" priority="353">
      <formula>(sizing_w11_gm_result="Excluded")</formula>
    </cfRule>
    <cfRule type="expression" dxfId="4645" priority="352">
      <formula>(sizing_w11_gm_result&lt;&gt;"Excluded")</formula>
    </cfRule>
  </conditionalFormatting>
  <conditionalFormatting sqref="J40:K40">
    <cfRule type="expression" dxfId="4644" priority="349">
      <formula>(sizing_w12_gm_result="Excluded")</formula>
    </cfRule>
    <cfRule type="expression" dxfId="4643" priority="348">
      <formula>(sizing_w12_gm_result&lt;&gt;"Excluded")</formula>
    </cfRule>
  </conditionalFormatting>
  <conditionalFormatting sqref="J41:K41">
    <cfRule type="expression" dxfId="4642" priority="347">
      <formula>(sizing_w13_gm_result="Excluded")</formula>
    </cfRule>
    <cfRule type="expression" dxfId="4641" priority="346">
      <formula>(sizing_w13_gm_result&lt;&gt;"Excluded")</formula>
    </cfRule>
  </conditionalFormatting>
  <conditionalFormatting sqref="J42:K42">
    <cfRule type="expression" dxfId="4640" priority="345">
      <formula>(sizing_w14_gm_result="Excluded")</formula>
    </cfRule>
    <cfRule type="expression" dxfId="4639" priority="344">
      <formula>(sizing_w14_gm_result&lt;&gt;"Excluded")</formula>
    </cfRule>
  </conditionalFormatting>
  <conditionalFormatting sqref="J43:K43">
    <cfRule type="expression" dxfId="4638" priority="237">
      <formula>(sizing_w15_gm_result="Excluded")</formula>
    </cfRule>
  </conditionalFormatting>
  <conditionalFormatting sqref="J44:K44">
    <cfRule type="expression" dxfId="4637" priority="226">
      <formula>(sizing_w16_gm_result="Excluded")</formula>
    </cfRule>
  </conditionalFormatting>
  <conditionalFormatting sqref="J45:K45">
    <cfRule type="expression" dxfId="4636" priority="265">
      <formula>(sizing_w17_gm_result="Excluded")</formula>
    </cfRule>
  </conditionalFormatting>
  <conditionalFormatting sqref="J46:K46">
    <cfRule type="expression" dxfId="4635" priority="264">
      <formula>(sizing_w18_gm_result="Excluded")</formula>
    </cfRule>
  </conditionalFormatting>
  <conditionalFormatting sqref="J47:K47">
    <cfRule type="expression" dxfId="4634" priority="263">
      <formula>(sizing_w19_gm_result="Excluded")</formula>
    </cfRule>
  </conditionalFormatting>
  <conditionalFormatting sqref="J48:K48">
    <cfRule type="expression" dxfId="4633" priority="262">
      <formula>(sizing_w20_gm_result="Excluded")</formula>
    </cfRule>
  </conditionalFormatting>
  <conditionalFormatting sqref="J49:K49">
    <cfRule type="expression" dxfId="4632" priority="261">
      <formula>(sizing_w21_gm_result="Excluded")</formula>
    </cfRule>
  </conditionalFormatting>
  <conditionalFormatting sqref="J50:K50">
    <cfRule type="expression" dxfId="4631" priority="260">
      <formula>(sizing_w22_gm_result="Excluded")</formula>
    </cfRule>
  </conditionalFormatting>
  <conditionalFormatting sqref="J51:K51">
    <cfRule type="expression" dxfId="4630" priority="259">
      <formula>(sizing_w23_gm_result="Excluded")</formula>
    </cfRule>
  </conditionalFormatting>
  <conditionalFormatting sqref="J52:K52">
    <cfRule type="expression" dxfId="4629" priority="218">
      <formula>(sizing_w24_gm_result="Excluded")</formula>
    </cfRule>
  </conditionalFormatting>
  <conditionalFormatting sqref="K25">
    <cfRule type="expression" dxfId="4628" priority="27">
      <formula>mgmt_avi_loadbalancer_result="Excluded"</formula>
    </cfRule>
  </conditionalFormatting>
  <conditionalFormatting sqref="L25">
    <cfRule type="expression" dxfId="4627" priority="104" stopIfTrue="1">
      <formula>mgmt_avi_loadbalancer_result="Excluded"</formula>
    </cfRule>
  </conditionalFormatting>
  <conditionalFormatting sqref="L29">
    <cfRule type="expression" dxfId="4626" priority="427">
      <formula>(sizing_w01_spr_chosen="Include")</formula>
    </cfRule>
    <cfRule type="expression" dxfId="4625" priority="292" stopIfTrue="1">
      <formula>AND((spr_wo_result="False"),(spr_mw_result="False"))</formula>
    </cfRule>
  </conditionalFormatting>
  <conditionalFormatting sqref="L30">
    <cfRule type="expression" dxfId="4624" priority="422">
      <formula>(sizing_w02_spr_chosen="Exclude")</formula>
    </cfRule>
    <cfRule type="expression" dxfId="4623" priority="423">
      <formula>(sizing_w02_spr_chosen="Include")</formula>
    </cfRule>
  </conditionalFormatting>
  <conditionalFormatting sqref="L31">
    <cfRule type="expression" dxfId="4622" priority="342">
      <formula>(sizing_w03_spr_chosen="Exclude")</formula>
    </cfRule>
    <cfRule type="expression" dxfId="4621" priority="343">
      <formula>(sizing_w03_spr_chosen="Include")</formula>
    </cfRule>
  </conditionalFormatting>
  <conditionalFormatting sqref="L32">
    <cfRule type="expression" dxfId="4620" priority="340">
      <formula>(sizing_w04_spr_chosen="Include")</formula>
    </cfRule>
    <cfRule type="expression" dxfId="4619" priority="339">
      <formula>(sizing_w04_spr_chosen="Exclude")</formula>
    </cfRule>
  </conditionalFormatting>
  <conditionalFormatting sqref="L33">
    <cfRule type="expression" dxfId="4618" priority="337" stopIfTrue="1">
      <formula>(sizing_w05_spr_chosen="Include")</formula>
    </cfRule>
    <cfRule type="expression" dxfId="4617" priority="336">
      <formula>(sizing_w05_spr_chosen="Exclude")</formula>
    </cfRule>
    <cfRule type="expression" dxfId="4616" priority="335">
      <formula>(sizing_w05_result="Excluded")</formula>
    </cfRule>
  </conditionalFormatting>
  <conditionalFormatting sqref="L34">
    <cfRule type="expression" dxfId="4615" priority="333">
      <formula>(sizing_w06_spr_chosen="Exclude")</formula>
    </cfRule>
    <cfRule type="expression" dxfId="4614" priority="334">
      <formula>(sizing_w06_spr_chosen="Include")</formula>
    </cfRule>
    <cfRule type="expression" dxfId="4613" priority="332">
      <formula>(sizing_w06_result="Excluded")</formula>
    </cfRule>
  </conditionalFormatting>
  <conditionalFormatting sqref="L35">
    <cfRule type="expression" dxfId="4612" priority="331">
      <formula>(sizing_w07_spr_chosen="Include")</formula>
    </cfRule>
    <cfRule type="expression" dxfId="4611" priority="330">
      <formula>(sizing_w07_spr_chosen="Exclude")</formula>
    </cfRule>
  </conditionalFormatting>
  <conditionalFormatting sqref="L36">
    <cfRule type="expression" dxfId="4610" priority="328">
      <formula>(sizing_w08_spr_chosen="Exclude")</formula>
    </cfRule>
    <cfRule type="expression" dxfId="4609" priority="326">
      <formula>(sizing_w08_spr_chosen="Include")</formula>
    </cfRule>
  </conditionalFormatting>
  <conditionalFormatting sqref="L37">
    <cfRule type="expression" dxfId="4608" priority="324">
      <formula>(sizing_w09_spr_chosen="Exclude")</formula>
    </cfRule>
    <cfRule type="expression" dxfId="4607" priority="325">
      <formula>(sizing_w09_spr_chosen="Include")</formula>
    </cfRule>
  </conditionalFormatting>
  <conditionalFormatting sqref="L38">
    <cfRule type="expression" dxfId="4606" priority="321">
      <formula>(sizing_w10_spr_chosen="Exclude")</formula>
    </cfRule>
    <cfRule type="expression" dxfId="4605" priority="322">
      <formula>(sizing_w10_spr_chosen="Include")</formula>
    </cfRule>
  </conditionalFormatting>
  <conditionalFormatting sqref="L39">
    <cfRule type="expression" dxfId="4604" priority="318">
      <formula>(sizing_w11_spr_chosen="Exclude")</formula>
    </cfRule>
    <cfRule type="expression" dxfId="4603" priority="319">
      <formula>(sizing_w11_spr_chosen="Include")</formula>
    </cfRule>
  </conditionalFormatting>
  <conditionalFormatting sqref="L40">
    <cfRule type="expression" dxfId="4602" priority="313">
      <formula>(sizing_w12_spr_chosen="Exclude")</formula>
    </cfRule>
    <cfRule type="expression" dxfId="4601" priority="315">
      <formula>(sizing_w12_spr_chosen="Include")</formula>
    </cfRule>
  </conditionalFormatting>
  <conditionalFormatting sqref="L41">
    <cfRule type="expression" dxfId="4600" priority="310">
      <formula>(sizing_w13_spr_chosen="Exclude")</formula>
    </cfRule>
    <cfRule type="expression" dxfId="4599" priority="311">
      <formula>(sizing_w13_spr_chosen="Include")</formula>
    </cfRule>
  </conditionalFormatting>
  <conditionalFormatting sqref="L42">
    <cfRule type="expression" dxfId="4598" priority="307">
      <formula>(sizing_w14_spr_chosen="Exclude")</formula>
    </cfRule>
    <cfRule type="expression" dxfId="4597" priority="308">
      <formula>(sizing_w14_spr_chosen="Include")</formula>
    </cfRule>
  </conditionalFormatting>
  <conditionalFormatting sqref="L43">
    <cfRule type="expression" dxfId="4596" priority="257">
      <formula>(sizing_w15_spr_chosen="Include")</formula>
    </cfRule>
    <cfRule type="expression" dxfId="4595" priority="247">
      <formula>(sizing_w15_spr_chosen="Exclude")</formula>
    </cfRule>
  </conditionalFormatting>
  <conditionalFormatting sqref="L44">
    <cfRule type="expression" dxfId="4594" priority="256">
      <formula>(sizing_w16_spr_chosen="Include")</formula>
    </cfRule>
    <cfRule type="expression" dxfId="4593" priority="246">
      <formula>(sizing_w16_spr_chosen="Exclude")</formula>
    </cfRule>
  </conditionalFormatting>
  <conditionalFormatting sqref="L45">
    <cfRule type="expression" dxfId="4592" priority="255">
      <formula>(sizing_w17_spr_chosen="Include")</formula>
    </cfRule>
    <cfRule type="expression" dxfId="4591" priority="245">
      <formula>(sizing_w17_spr_chosen="Exclude")</formula>
    </cfRule>
  </conditionalFormatting>
  <conditionalFormatting sqref="L46">
    <cfRule type="expression" dxfId="4590" priority="254">
      <formula>(sizing_w18_spr_chosen="Include")</formula>
    </cfRule>
    <cfRule type="expression" dxfId="4589" priority="211">
      <formula>(sizing_w18_spr_chosen="Exclude")</formula>
    </cfRule>
  </conditionalFormatting>
  <conditionalFormatting sqref="L47">
    <cfRule type="expression" dxfId="4588" priority="253">
      <formula>(sizing_w19_spr_chosen="Include")</formula>
    </cfRule>
    <cfRule type="expression" dxfId="4587" priority="243">
      <formula>(sizing_w19_spr_chosen="Exclude")</formula>
    </cfRule>
  </conditionalFormatting>
  <conditionalFormatting sqref="L48">
    <cfRule type="expression" dxfId="4586" priority="252">
      <formula>(sizing_w20_spr_chosen="Include")</formula>
    </cfRule>
    <cfRule type="expression" dxfId="4585" priority="242">
      <formula>(sizing_w20_spr_chosen="Exclude")</formula>
    </cfRule>
  </conditionalFormatting>
  <conditionalFormatting sqref="L49">
    <cfRule type="expression" dxfId="4584" priority="241">
      <formula>(sizing_w21_spr_chosen="Exclude")</formula>
    </cfRule>
    <cfRule type="expression" dxfId="4583" priority="251">
      <formula>(sizing_w21_spr_chosen="Include")</formula>
    </cfRule>
  </conditionalFormatting>
  <conditionalFormatting sqref="L50">
    <cfRule type="expression" dxfId="4582" priority="240">
      <formula>(sizing_w22_spr_chosen="Exclude")</formula>
    </cfRule>
    <cfRule type="expression" dxfId="4581" priority="250">
      <formula>(sizing_w22_spr_chosen="Include")</formula>
    </cfRule>
  </conditionalFormatting>
  <conditionalFormatting sqref="L51">
    <cfRule type="expression" dxfId="4580" priority="249">
      <formula>(sizing_w23_spr_chosen="Include")</formula>
    </cfRule>
    <cfRule type="expression" dxfId="4579" priority="239">
      <formula>(sizing_w23_spr_chosen="Exclude")</formula>
    </cfRule>
  </conditionalFormatting>
  <conditionalFormatting sqref="L52">
    <cfRule type="expression" dxfId="4578" priority="238">
      <formula>(sizing_w24_spr_chosen="Exclude")</formula>
    </cfRule>
    <cfRule type="expression" dxfId="4577" priority="248">
      <formula>(sizing_w24_spr_chosen="Include")</formula>
    </cfRule>
  </conditionalFormatting>
  <conditionalFormatting sqref="L30:N30">
    <cfRule type="expression" dxfId="4576" priority="78" stopIfTrue="1">
      <formula>(sizing_w02_result="Excluded")</formula>
    </cfRule>
  </conditionalFormatting>
  <conditionalFormatting sqref="L31:N31">
    <cfRule type="expression" dxfId="4575" priority="24" stopIfTrue="1">
      <formula>(sizing_w03_result="Excluded")</formula>
    </cfRule>
  </conditionalFormatting>
  <conditionalFormatting sqref="L32:N32">
    <cfRule type="expression" dxfId="4574" priority="70" stopIfTrue="1">
      <formula>(sizing_w04_result="Excluded")</formula>
    </cfRule>
  </conditionalFormatting>
  <conditionalFormatting sqref="L35:O35">
    <cfRule type="expression" dxfId="4573" priority="63">
      <formula>(sizing_w07_result="Excluded")</formula>
    </cfRule>
  </conditionalFormatting>
  <conditionalFormatting sqref="L36:O36">
    <cfRule type="expression" dxfId="4572" priority="61">
      <formula>(sizing_w08_result="Excluded")</formula>
    </cfRule>
  </conditionalFormatting>
  <conditionalFormatting sqref="L37:O37">
    <cfRule type="expression" dxfId="4571" priority="59">
      <formula>(sizing_w09_result="Excluded")</formula>
    </cfRule>
  </conditionalFormatting>
  <conditionalFormatting sqref="L38:O38">
    <cfRule type="expression" dxfId="4570" priority="57">
      <formula>(sizing_w10_result="Excluded")</formula>
    </cfRule>
  </conditionalFormatting>
  <conditionalFormatting sqref="L39:O39">
    <cfRule type="expression" dxfId="4569" priority="55">
      <formula>(sizing_w11_result="Excluded")</formula>
    </cfRule>
  </conditionalFormatting>
  <conditionalFormatting sqref="L40:O40">
    <cfRule type="expression" dxfId="4568" priority="53">
      <formula>(sizing_w12_result="Excluded")</formula>
    </cfRule>
  </conditionalFormatting>
  <conditionalFormatting sqref="L41:O41">
    <cfRule type="expression" dxfId="4567" priority="51">
      <formula>(sizing_w13_result="Excluded")</formula>
    </cfRule>
  </conditionalFormatting>
  <conditionalFormatting sqref="L42:O42">
    <cfRule type="expression" dxfId="4566" priority="49">
      <formula>(sizing_w14_result="Excluded")</formula>
    </cfRule>
  </conditionalFormatting>
  <conditionalFormatting sqref="L43:O43">
    <cfRule type="expression" dxfId="4565" priority="47">
      <formula>(sizing_w15_result="Excluded")</formula>
    </cfRule>
  </conditionalFormatting>
  <conditionalFormatting sqref="L44:O44">
    <cfRule type="expression" dxfId="4564" priority="45">
      <formula>(sizing_w16_result="Excluded")</formula>
    </cfRule>
  </conditionalFormatting>
  <conditionalFormatting sqref="L45:O45">
    <cfRule type="expression" dxfId="4563" priority="43">
      <formula>(sizing_w17_result="Excluded")</formula>
    </cfRule>
  </conditionalFormatting>
  <conditionalFormatting sqref="L46:O46">
    <cfRule type="expression" dxfId="4562" priority="41">
      <formula>(sizing_w18_result="Excluded")</formula>
    </cfRule>
  </conditionalFormatting>
  <conditionalFormatting sqref="L47:O47">
    <cfRule type="expression" dxfId="4561" priority="40">
      <formula>(sizing_w19_result="Excluded")</formula>
    </cfRule>
  </conditionalFormatting>
  <conditionalFormatting sqref="L48:O48">
    <cfRule type="expression" dxfId="4560" priority="38">
      <formula>(sizing_w20_result="Excluded")</formula>
    </cfRule>
  </conditionalFormatting>
  <conditionalFormatting sqref="L49:O49">
    <cfRule type="expression" dxfId="4559" priority="36">
      <formula>(sizing_w21_result="Excluded")</formula>
    </cfRule>
  </conditionalFormatting>
  <conditionalFormatting sqref="L50:O50">
    <cfRule type="expression" dxfId="4558" priority="34">
      <formula>(sizing_w22_result="Excluded")</formula>
    </cfRule>
  </conditionalFormatting>
  <conditionalFormatting sqref="L51:O51">
    <cfRule type="expression" dxfId="4557" priority="31">
      <formula>(sizing_w23_result="Excluded")</formula>
    </cfRule>
  </conditionalFormatting>
  <conditionalFormatting sqref="L52:O52">
    <cfRule type="expression" dxfId="4556" priority="29">
      <formula>(sizing_w24_result="Excluded")</formula>
    </cfRule>
  </conditionalFormatting>
  <conditionalFormatting sqref="M29">
    <cfRule type="expression" dxfId="4555" priority="28">
      <formula>wld_avi_loadbalancer_result="Excluded"</formula>
    </cfRule>
  </conditionalFormatting>
  <conditionalFormatting sqref="M30">
    <cfRule type="expression" dxfId="4554" priority="84">
      <formula>(sizing_w02_avi_chosen="Excluded")</formula>
    </cfRule>
  </conditionalFormatting>
  <conditionalFormatting sqref="M31">
    <cfRule type="expression" dxfId="4553" priority="80">
      <formula>sizing_w03_avi_chosen="Excluded"</formula>
    </cfRule>
  </conditionalFormatting>
  <conditionalFormatting sqref="M32">
    <cfRule type="expression" dxfId="4552" priority="77">
      <formula>sizing_w04_avi_chosen="Excluded"</formula>
    </cfRule>
  </conditionalFormatting>
  <conditionalFormatting sqref="M33">
    <cfRule type="expression" dxfId="4551" priority="69">
      <formula>sizing_w05_avi_chosen="Excluded"</formula>
    </cfRule>
  </conditionalFormatting>
  <conditionalFormatting sqref="M34">
    <cfRule type="expression" dxfId="4550" priority="68">
      <formula>sizing_w06_avi_chosen="Excluded"</formula>
    </cfRule>
  </conditionalFormatting>
  <conditionalFormatting sqref="M35">
    <cfRule type="expression" dxfId="4549" priority="64">
      <formula>sizing_w07_avi_chosen="Excluded"</formula>
    </cfRule>
  </conditionalFormatting>
  <conditionalFormatting sqref="M36">
    <cfRule type="expression" dxfId="4548" priority="327">
      <formula>(sizing_w08_avi_chosen="Excluded")</formula>
    </cfRule>
  </conditionalFormatting>
  <conditionalFormatting sqref="M37">
    <cfRule type="expression" dxfId="4547" priority="323">
      <formula>(sizing_w09_avi_chosen="Excluded")</formula>
    </cfRule>
  </conditionalFormatting>
  <conditionalFormatting sqref="M38">
    <cfRule type="expression" dxfId="4546" priority="320">
      <formula>(sizing_w10_avi_chosen="Excluded")</formula>
    </cfRule>
  </conditionalFormatting>
  <conditionalFormatting sqref="M39">
    <cfRule type="expression" dxfId="4545" priority="317">
      <formula>(sizing_w11_avi_chosen="Excluded")</formula>
    </cfRule>
  </conditionalFormatting>
  <conditionalFormatting sqref="M40">
    <cfRule type="expression" dxfId="4544" priority="312">
      <formula>(sizing_w12_avi_chosen="Excluded")</formula>
    </cfRule>
  </conditionalFormatting>
  <conditionalFormatting sqref="M41">
    <cfRule type="expression" dxfId="4543" priority="309">
      <formula>(sizing_w13_avi_chosen="Excluded")</formula>
    </cfRule>
  </conditionalFormatting>
  <conditionalFormatting sqref="M42">
    <cfRule type="expression" dxfId="4542" priority="306">
      <formula>(sizing_w14_avi_chosen="Excluded")</formula>
    </cfRule>
  </conditionalFormatting>
  <conditionalFormatting sqref="M43">
    <cfRule type="expression" dxfId="4541" priority="208">
      <formula>(sizing_w15_avi_chosen="Excluded")</formula>
    </cfRule>
  </conditionalFormatting>
  <conditionalFormatting sqref="M44">
    <cfRule type="expression" dxfId="4540" priority="209">
      <formula>(sizing_w16_avi_chosen="Excluded")</formula>
    </cfRule>
  </conditionalFormatting>
  <conditionalFormatting sqref="M45">
    <cfRule type="expression" dxfId="4539" priority="210">
      <formula>(sizing_w17_avi_chosen="Excluded")</formula>
    </cfRule>
  </conditionalFormatting>
  <conditionalFormatting sqref="M46">
    <cfRule type="expression" dxfId="4538" priority="244">
      <formula>(sizing_w18_avi_chosen="Excluded")</formula>
    </cfRule>
  </conditionalFormatting>
  <conditionalFormatting sqref="M47">
    <cfRule type="expression" dxfId="4537" priority="212">
      <formula>(sizing_w19_avi_chosen="Excluded")</formula>
    </cfRule>
  </conditionalFormatting>
  <conditionalFormatting sqref="M48">
    <cfRule type="expression" dxfId="4536" priority="213">
      <formula>(sizing_w20_avi_chosen="Excluded")</formula>
    </cfRule>
  </conditionalFormatting>
  <conditionalFormatting sqref="M49">
    <cfRule type="expression" dxfId="4535" priority="214">
      <formula>(sizing_w21_avi_chosen="Excluded")</formula>
    </cfRule>
  </conditionalFormatting>
  <conditionalFormatting sqref="M50">
    <cfRule type="expression" dxfId="4534" priority="215">
      <formula>(sizing_w22_avi_chosen="Excluded")</formula>
    </cfRule>
  </conditionalFormatting>
  <conditionalFormatting sqref="M51">
    <cfRule type="expression" dxfId="4533" priority="216">
      <formula>(sizing_w23_avi_chosen="Excluded")</formula>
    </cfRule>
  </conditionalFormatting>
  <conditionalFormatting sqref="M52">
    <cfRule type="expression" dxfId="4532" priority="217">
      <formula>(sizing_w24_avi_chosen="Excluded")</formula>
    </cfRule>
  </conditionalFormatting>
  <conditionalFormatting sqref="M29:N29">
    <cfRule type="notContainsBlanks" dxfId="4531" priority="102">
      <formula>LEN(TRIM(M29))&gt;0</formula>
    </cfRule>
    <cfRule type="containsBlanks" dxfId="4530" priority="103">
      <formula>LEN(TRIM(M29))=0</formula>
    </cfRule>
  </conditionalFormatting>
  <conditionalFormatting sqref="M33:N33">
    <cfRule type="expression" dxfId="4529" priority="65" stopIfTrue="1">
      <formula>(sizing_w05_result="Excluded")</formula>
    </cfRule>
  </conditionalFormatting>
  <conditionalFormatting sqref="M34:N34">
    <cfRule type="expression" dxfId="4528" priority="66" stopIfTrue="1">
      <formula>(sizing_w06_result="Excluded")</formula>
    </cfRule>
  </conditionalFormatting>
  <conditionalFormatting sqref="M30:O30">
    <cfRule type="notContainsBlanks" dxfId="4527" priority="421">
      <formula>LEN(TRIM(M30))&gt;0</formula>
    </cfRule>
    <cfRule type="expression" dxfId="4526" priority="25">
      <formula>OR((sizing_w02_spr_chosen&lt;&gt;"Exclude"),(sizing_w02_gm_chosen&lt;&gt;"Exclude"))</formula>
    </cfRule>
  </conditionalFormatting>
  <conditionalFormatting sqref="M31:O31">
    <cfRule type="expression" dxfId="4525" priority="71">
      <formula>OR((sizing_w03_spr_chosen&lt;&gt;"Exclude"),(sizing_w03_gm_chosen&lt;&gt;"Exclude"))</formula>
    </cfRule>
  </conditionalFormatting>
  <conditionalFormatting sqref="M31:O32">
    <cfRule type="notContainsBlanks" dxfId="4524" priority="81">
      <formula>LEN(TRIM(M31))&gt;0</formula>
    </cfRule>
  </conditionalFormatting>
  <conditionalFormatting sqref="M32:O32">
    <cfRule type="expression" dxfId="4523" priority="23">
      <formula>OR((sizing_w04_spr_chosen&lt;&gt;"Exclude"),(sizing_w04_gm_chosen&lt;&gt;"Exclude"))</formula>
    </cfRule>
  </conditionalFormatting>
  <conditionalFormatting sqref="M33:O33">
    <cfRule type="expression" dxfId="4522" priority="22">
      <formula>OR((sizing_w05_spr_chosen&lt;&gt;"Exclude"),(sizing_w05_gm_chosen&lt;&gt;"Exclude"))</formula>
    </cfRule>
  </conditionalFormatting>
  <conditionalFormatting sqref="M33:O34">
    <cfRule type="notContainsBlanks" dxfId="4521" priority="74">
      <formula>LEN(TRIM(M33))&gt;0</formula>
    </cfRule>
  </conditionalFormatting>
  <conditionalFormatting sqref="M34:O34">
    <cfRule type="expression" dxfId="4520" priority="21">
      <formula>OR((sizing_w06_spr_chosen&lt;&gt;"Exclude"),(sizing_w06_gm_chosen&lt;&gt;"Exclude"))</formula>
    </cfRule>
  </conditionalFormatting>
  <conditionalFormatting sqref="M35:O35">
    <cfRule type="expression" dxfId="4519" priority="20">
      <formula>OR((sizing_w07_spr_chosen&lt;&gt;"Exclude"),(sizing_w07_gm_chosen&lt;&gt;"Exclude"))</formula>
    </cfRule>
  </conditionalFormatting>
  <conditionalFormatting sqref="M35:O52">
    <cfRule type="notContainsBlanks" dxfId="4518" priority="329">
      <formula>LEN(TRIM(M35))&gt;0</formula>
    </cfRule>
  </conditionalFormatting>
  <conditionalFormatting sqref="M36:O36">
    <cfRule type="expression" dxfId="4517" priority="19">
      <formula>OR((sizing_w08_spr_chosen&lt;&gt;"Exclude"),(sizing_w08_gm_chosen&lt;&gt;"Exclude"))</formula>
    </cfRule>
  </conditionalFormatting>
  <conditionalFormatting sqref="M37:O37">
    <cfRule type="expression" dxfId="4516" priority="18">
      <formula>OR((sizing_w09_spr_chosen&lt;&gt;"Exclude"),(sizing_w09_gm_chosen&lt;&gt;"Exclude"))</formula>
    </cfRule>
  </conditionalFormatting>
  <conditionalFormatting sqref="M38:O38">
    <cfRule type="expression" dxfId="4515" priority="17">
      <formula>OR((sizing_w10_spr_chosen&lt;&gt;"Exclude"),(sizing_w10_gm_chosen&lt;&gt;"Exclude"))</formula>
    </cfRule>
  </conditionalFormatting>
  <conditionalFormatting sqref="M39:O39">
    <cfRule type="expression" dxfId="4514" priority="16">
      <formula>OR((sizing_w11_spr_chosen&lt;&gt;"Exclude"),(sizing_w11_gm_chosen&lt;&gt;"Exclude"))</formula>
    </cfRule>
  </conditionalFormatting>
  <conditionalFormatting sqref="M40:O40">
    <cfRule type="expression" dxfId="4513" priority="15">
      <formula>OR((sizing_w12_spr_chosen&lt;&gt;"Exclude"),(sizing_w12_gm_chosen&lt;&gt;"Exclude"))</formula>
    </cfRule>
  </conditionalFormatting>
  <conditionalFormatting sqref="M41:O41">
    <cfRule type="expression" dxfId="4512" priority="14">
      <formula>OR((sizing_w13_spr_chosen&lt;&gt;"Exclude"),(sizing_w13_gm_chosen&lt;&gt;"Exclude"))</formula>
    </cfRule>
  </conditionalFormatting>
  <conditionalFormatting sqref="M42:O42">
    <cfRule type="expression" dxfId="4511" priority="13">
      <formula>OR((sizing_w14_spr_chosen&lt;&gt;"Exclude"),(sizing_w14_gm_chosen&lt;&gt;"Exclude"))</formula>
    </cfRule>
  </conditionalFormatting>
  <conditionalFormatting sqref="M43:O43">
    <cfRule type="expression" dxfId="4510" priority="12">
      <formula>OR((sizing_w15_spr_chosen&lt;&gt;"Exclude"),(sizing_w15_gm_chosen&lt;&gt;"Exclude"))</formula>
    </cfRule>
  </conditionalFormatting>
  <conditionalFormatting sqref="M44:O44">
    <cfRule type="expression" dxfId="4509" priority="11">
      <formula>OR((sizing_w16_spr_chosen&lt;&gt;"Exclude"),(sizing_w16_gm_chosen&lt;&gt;"Exclude"))</formula>
    </cfRule>
  </conditionalFormatting>
  <conditionalFormatting sqref="M45:O45">
    <cfRule type="expression" dxfId="4508" priority="10">
      <formula>OR((sizing_w17_spr_chosen&lt;&gt;"Exclude"),(sizing_w17_gm_chosen&lt;&gt;"Exclude"))</formula>
    </cfRule>
  </conditionalFormatting>
  <conditionalFormatting sqref="M46:O46">
    <cfRule type="expression" dxfId="4507" priority="9">
      <formula>OR((sizing_w18_spr_chosen&lt;&gt;"Exclude"),(sizing_w18_gm_chosen&lt;&gt;"Exclude"))</formula>
    </cfRule>
  </conditionalFormatting>
  <conditionalFormatting sqref="M47:O47">
    <cfRule type="expression" dxfId="4506" priority="8">
      <formula>OR((sizing_w19_spr_chosen&lt;&gt;"Exclude"),(sizing_w19_gm_chosen&lt;&gt;"Exclude"))</formula>
    </cfRule>
  </conditionalFormatting>
  <conditionalFormatting sqref="M48:O48">
    <cfRule type="expression" dxfId="4505" priority="7">
      <formula>OR((sizing_w20_spr_chosen&lt;&gt;"Exclude"),(sizing_w20_gm_chosen&lt;&gt;"Exclude"))</formula>
    </cfRule>
  </conditionalFormatting>
  <conditionalFormatting sqref="M49:O49">
    <cfRule type="expression" dxfId="4504" priority="6">
      <formula>OR((sizing_w21_spr_chosen&lt;&gt;"Exclude"),(sizing_w21_gm_chosen&lt;&gt;"Exclude"))</formula>
    </cfRule>
  </conditionalFormatting>
  <conditionalFormatting sqref="M50:O50">
    <cfRule type="expression" dxfId="4503" priority="5">
      <formula>OR((sizing_w22_spr_chosen&lt;&gt;"Exclude"),(sizing_w22_gm_chosen&lt;&gt;"Exclude"))</formula>
    </cfRule>
  </conditionalFormatting>
  <conditionalFormatting sqref="M51:O51">
    <cfRule type="expression" dxfId="4502" priority="4">
      <formula>OR((sizing_w23_spr_chosen&lt;&gt;"Exclude"),(sizing_w23_gm_chosen&lt;&gt;"Exclude"))</formula>
    </cfRule>
  </conditionalFormatting>
  <conditionalFormatting sqref="M52:O52">
    <cfRule type="expression" dxfId="4501" priority="3">
      <formula>OR((sizing_w24_spr_chosen&lt;&gt;"Exclude"),(sizing_w24_gm_chosen&lt;&gt;"Exclude"))</formula>
    </cfRule>
  </conditionalFormatting>
  <conditionalFormatting sqref="N29">
    <cfRule type="expression" dxfId="4500" priority="101" stopIfTrue="1">
      <formula>wld_avi_loadbalancer_result="Excluded"</formula>
    </cfRule>
  </conditionalFormatting>
  <conditionalFormatting sqref="N30:O30">
    <cfRule type="expression" dxfId="4499" priority="82">
      <formula>(sizing_w02_avi_chosen="Excluded")</formula>
    </cfRule>
  </conditionalFormatting>
  <conditionalFormatting sqref="N31:O31">
    <cfRule type="expression" dxfId="4498" priority="72">
      <formula>sizing_w03_avi_chosen="Excluded"</formula>
    </cfRule>
  </conditionalFormatting>
  <conditionalFormatting sqref="N32:O32">
    <cfRule type="expression" dxfId="4497" priority="76">
      <formula>(sizing_w04_avi_chosen="Excluded")</formula>
    </cfRule>
  </conditionalFormatting>
  <conditionalFormatting sqref="N33:O33">
    <cfRule type="expression" dxfId="4496" priority="73">
      <formula>(sizing_w05_avi_chosen="Excluded")</formula>
    </cfRule>
  </conditionalFormatting>
  <conditionalFormatting sqref="N34:O34">
    <cfRule type="expression" dxfId="4495" priority="67">
      <formula>(sizing_w06_avi_chosen="Excluded")</formula>
    </cfRule>
  </conditionalFormatting>
  <conditionalFormatting sqref="N35:O35">
    <cfRule type="expression" dxfId="4494" priority="62">
      <formula>(sizing_w07_avi_chosen="Excluded")</formula>
    </cfRule>
  </conditionalFormatting>
  <conditionalFormatting sqref="N36:O36">
    <cfRule type="expression" dxfId="4493" priority="60">
      <formula>(sizing_w08_avi_chosen="Excluded")</formula>
    </cfRule>
  </conditionalFormatting>
  <conditionalFormatting sqref="N37:O37">
    <cfRule type="expression" dxfId="4492" priority="58">
      <formula>(sizing_w09_avi_chosen="Excluded")</formula>
    </cfRule>
  </conditionalFormatting>
  <conditionalFormatting sqref="N38:O38">
    <cfRule type="expression" dxfId="4491" priority="56">
      <formula>(sizing_w10_avi_chosen="Excluded")</formula>
    </cfRule>
  </conditionalFormatting>
  <conditionalFormatting sqref="N39:O39">
    <cfRule type="expression" dxfId="4490" priority="54">
      <formula>(sizing_w11_avi_chosen="Excluded")</formula>
    </cfRule>
  </conditionalFormatting>
  <conditionalFormatting sqref="N40:O40">
    <cfRule type="expression" dxfId="4489" priority="52">
      <formula>(sizing_w12_avi_chosen="Excluded")</formula>
    </cfRule>
  </conditionalFormatting>
  <conditionalFormatting sqref="N41:O41">
    <cfRule type="expression" dxfId="4488" priority="50">
      <formula>(sizing_w13_avi_chosen="Excluded")</formula>
    </cfRule>
  </conditionalFormatting>
  <conditionalFormatting sqref="N42:O42">
    <cfRule type="expression" dxfId="4487" priority="48">
      <formula>(sizing_w14_avi_chosen="Excluded")</formula>
    </cfRule>
  </conditionalFormatting>
  <conditionalFormatting sqref="N43:O43">
    <cfRule type="expression" dxfId="4486" priority="46">
      <formula>(sizing_w15_avi_chosen="Excluded")</formula>
    </cfRule>
  </conditionalFormatting>
  <conditionalFormatting sqref="N44:O44">
    <cfRule type="expression" dxfId="4485" priority="44">
      <formula>(sizing_w16_avi_chosen="Excluded")</formula>
    </cfRule>
  </conditionalFormatting>
  <conditionalFormatting sqref="N45:O45">
    <cfRule type="expression" dxfId="4484" priority="42">
      <formula>(sizing_w17_avi_chosen="Excluded")</formula>
    </cfRule>
  </conditionalFormatting>
  <conditionalFormatting sqref="N46:O46">
    <cfRule type="expression" dxfId="4483" priority="2">
      <formula>(sizing_w18_avi_chosen="Excluded")</formula>
    </cfRule>
  </conditionalFormatting>
  <conditionalFormatting sqref="N47:O47">
    <cfRule type="expression" dxfId="4482" priority="39">
      <formula>(sizing_w19_avi_chosen="Excluded")</formula>
    </cfRule>
  </conditionalFormatting>
  <conditionalFormatting sqref="N48:O48">
    <cfRule type="expression" dxfId="4481" priority="37">
      <formula>(sizing_w20_avi_chosen="Excluded")</formula>
    </cfRule>
  </conditionalFormatting>
  <conditionalFormatting sqref="N49:O49">
    <cfRule type="expression" dxfId="4480" priority="35">
      <formula>(sizing_w21_avi_chosen="Excluded")</formula>
    </cfRule>
  </conditionalFormatting>
  <conditionalFormatting sqref="N50:O50">
    <cfRule type="expression" dxfId="4479" priority="33">
      <formula>(sizing_w22_avi_chosen="Excluded")</formula>
    </cfRule>
  </conditionalFormatting>
  <conditionalFormatting sqref="N51:O51">
    <cfRule type="expression" dxfId="4478" priority="32">
      <formula>(sizing_w23_avi_chosen="Excluded")</formula>
    </cfRule>
  </conditionalFormatting>
  <conditionalFormatting sqref="N52:O52">
    <cfRule type="expression" dxfId="4477" priority="30">
      <formula>(sizing_w24_avi_chosen="Excluded")</formula>
    </cfRule>
  </conditionalFormatting>
  <dataValidations count="20">
    <dataValidation type="list" allowBlank="1" showInputMessage="1" showErrorMessage="1" sqref="E25 E29:E52" xr:uid="{14357478-74C3-7843-A370-D40D3EBF3D4A}">
      <formula1>sizing_vcenter_appliance_size_list</formula1>
    </dataValidation>
    <dataValidation type="list" allowBlank="1" showInputMessage="1" showErrorMessage="1" sqref="F25 F29:F52" xr:uid="{8B9FC74C-01BD-3B4C-A2CA-80E3E74E6273}">
      <formula1>sizing_vcenter_storage_size_list</formula1>
    </dataValidation>
    <dataValidation type="list" allowBlank="1" showInputMessage="1" showErrorMessage="1" sqref="H25 J25 K29:K52 H29 H31:H52" xr:uid="{00F9908E-9DC1-FA44-97C3-626F106238A4}">
      <formula1>sizing_nsxt_manager_size_list</formula1>
    </dataValidation>
    <dataValidation type="list" allowBlank="1" showInputMessage="1" showErrorMessage="1" sqref="I25" xr:uid="{2D4C7AF1-8E6E-5444-BE95-1DA7C0856F3E}">
      <formula1>sizing_nsxt_edge_sizing_list</formula1>
    </dataValidation>
    <dataValidation type="list" allowBlank="1" showInputMessage="1" showErrorMessage="1" sqref="C30:C52" xr:uid="{850C76AA-40C6-2549-812B-8C66BBC265F7}">
      <formula1>IF(vcf_vi_wld_domain_count&lt;=13,table_vi_domain_type,table_vi_domain_type_vi_iso_exclude)</formula1>
    </dataValidation>
    <dataValidation type="list" allowBlank="1" showInputMessage="1" showErrorMessage="1" sqref="C15:C16" xr:uid="{11BFD4F2-A4DF-254B-BD3F-F35436314266}">
      <formula1>"1,1.5,2"</formula1>
    </dataValidation>
    <dataValidation type="list" allowBlank="1" showInputMessage="1" showErrorMessage="1" sqref="C17" xr:uid="{0CEA93B5-F73E-BE46-A1BB-49E8BA1BC458}">
      <formula1>"1,2,3,4,5"</formula1>
    </dataValidation>
    <dataValidation type="list" allowBlank="1" showInputMessage="1" showErrorMessage="1" sqref="L30:L52" xr:uid="{212DB531-E8A7-4742-A595-AAF977392A52}">
      <formula1>"Exclude,Include"</formula1>
    </dataValidation>
    <dataValidation type="list" allowBlank="1" showInputMessage="1" showErrorMessage="1" sqref="I30:I52" xr:uid="{5C62DA1C-A982-334E-B314-6122C0D1AC3C}">
      <formula1>"Exclude, Active Global Manager, Standby Global Manager, Connect Instance"</formula1>
    </dataValidation>
    <dataValidation type="list" allowBlank="1" showInputMessage="1" showErrorMessage="1" sqref="G30:G52 H30" xr:uid="{D48F9B03-DF1B-4E4B-A4FE-17B5F238C2EF}">
      <formula1>table_nsxt_deployment_model</formula1>
    </dataValidation>
    <dataValidation type="list" allowBlank="1" showInputMessage="1" showErrorMessage="1" sqref="D62:E62" xr:uid="{B31DDECC-6248-2548-BF5D-883AADBB49C4}">
      <formula1>"Small,Standard"</formula1>
    </dataValidation>
    <dataValidation type="list" allowBlank="1" showInputMessage="1" showErrorMessage="1" sqref="D61:E61" xr:uid="{CC804F91-9A12-5141-A92C-3A66DE42732D}">
      <formula1>"Medium,Large, Extra Large"</formula1>
    </dataValidation>
    <dataValidation type="list" allowBlank="1" showInputMessage="1" showErrorMessage="1" sqref="D59:E59 L25 O29 O31:O52 N29:N52" xr:uid="{4AA62010-1CB7-5848-81B5-BEDCC0B24F9A}">
      <formula1>"Small,Medium,Large"</formula1>
    </dataValidation>
    <dataValidation type="list" allowBlank="1" showInputMessage="1" showErrorMessage="1" sqref="D67:E67" xr:uid="{EC913D9B-1321-9C4D-AB4A-E9756B4A3FA6}">
      <formula1>"Medium,Extra Large"</formula1>
    </dataValidation>
    <dataValidation type="list" allowBlank="1" showInputMessage="1" showErrorMessage="1" sqref="D65:E65" xr:uid="{CFD1E5A9-DB72-8744-9702-5FEF36E6EEAA}">
      <formula1>"Medium, Large, Extra Large, Extra Extra Large"</formula1>
    </dataValidation>
    <dataValidation type="list" allowBlank="1" showInputMessage="1" showErrorMessage="1" sqref="D64:E64" xr:uid="{07B733CB-BA2F-E849-8FAC-396A47F6BCE2}">
      <formula1>"Medium, Large, Extra_Large"</formula1>
    </dataValidation>
    <dataValidation type="list" allowBlank="1" showInputMessage="1" showErrorMessage="1" sqref="E57" xr:uid="{DAD1F1B4-6355-8C42-9E8E-6AED710E6357}">
      <formula1>"Extra Small,Small,Medium,Large,Extra Large,Extra Extra Large"</formula1>
    </dataValidation>
    <dataValidation type="list" allowBlank="1" showInputMessage="1" showErrorMessage="1" sqref="E55 E57" xr:uid="{78B3CF28-55CA-C748-BEF5-26C2B91EEAC1}">
      <formula1>"Standard,Consolidated"</formula1>
    </dataValidation>
    <dataValidation type="list" allowBlank="1" showInputMessage="1" showErrorMessage="1" sqref="D69:E72" xr:uid="{F9F6BA37-BE50-C240-A33C-EF75D0605A7E}">
      <formula1>"Light, Standard"</formula1>
    </dataValidation>
    <dataValidation type="list" allowBlank="1" showInputMessage="1" showErrorMessage="1" sqref="M30:M52" xr:uid="{400C0BEE-42ED-384B-8F39-03BF326FAC3C}">
      <formula1>"Excluded,Included"</formula1>
    </dataValidation>
  </dataValidation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57675-2639-AD47-BA1F-88538A61C0BD}">
  <sheetPr codeName="Sheet32">
    <tabColor theme="5" tint="0.39997558519241921"/>
  </sheetPr>
  <dimension ref="A1:P291"/>
  <sheetViews>
    <sheetView showGridLines="0" zoomScaleNormal="100" workbookViewId="0">
      <pane ySplit="4" topLeftCell="A5" activePane="bottomLeft" state="frozen"/>
      <selection pane="bottomLeft"/>
    </sheetView>
  </sheetViews>
  <sheetFormatPr baseColWidth="10" defaultRowHeight="16"/>
  <cols>
    <col min="1" max="1" width="2.83203125" customWidth="1"/>
    <col min="2" max="2" width="47.33203125" customWidth="1"/>
    <col min="3" max="10" width="25.83203125" customWidth="1"/>
    <col min="11" max="11" width="93.1640625" bestFit="1" customWidth="1"/>
  </cols>
  <sheetData>
    <row r="1" spans="1:15" s="3" customFormat="1">
      <c r="A1" s="6" t="s">
        <v>335</v>
      </c>
    </row>
    <row r="2" spans="1:15" s="3" customFormat="1" ht="54" customHeight="1">
      <c r="B2" s="392" t="s">
        <v>4851</v>
      </c>
      <c r="C2" s="392"/>
      <c r="D2" s="392"/>
      <c r="E2" s="392"/>
      <c r="F2" s="392"/>
      <c r="G2" s="392"/>
      <c r="H2" s="392"/>
      <c r="I2" s="392"/>
      <c r="J2" s="392"/>
      <c r="K2" s="392"/>
      <c r="L2" s="35"/>
      <c r="M2" s="35"/>
      <c r="N2" s="35"/>
      <c r="O2" s="35"/>
    </row>
    <row r="3" spans="1:15" s="3" customFormat="1" ht="20" customHeight="1">
      <c r="A3" s="24"/>
      <c r="B3" s="434" t="s">
        <v>581</v>
      </c>
      <c r="C3" s="434"/>
      <c r="D3" s="434"/>
      <c r="E3" s="434"/>
      <c r="F3" s="434"/>
      <c r="G3" s="434"/>
      <c r="H3" s="434"/>
      <c r="I3" s="434"/>
      <c r="J3" s="434"/>
      <c r="K3" s="434"/>
      <c r="L3" s="36"/>
      <c r="M3" s="36"/>
      <c r="N3" s="37"/>
      <c r="O3" s="37"/>
    </row>
    <row r="4" spans="1:15" s="3" customFormat="1">
      <c r="J4" s="5"/>
    </row>
    <row r="5" spans="1:15" s="3" customFormat="1"/>
    <row r="6" spans="1:15" s="4" customFormat="1" ht="34" customHeight="1">
      <c r="B6" s="344" t="s">
        <v>528</v>
      </c>
      <c r="C6" s="344"/>
      <c r="D6" s="344"/>
      <c r="E6" s="344"/>
      <c r="F6" s="344"/>
      <c r="G6" s="344"/>
      <c r="H6" s="344"/>
      <c r="I6" s="344"/>
      <c r="J6" s="344"/>
      <c r="K6" s="344"/>
      <c r="M6" s="3"/>
    </row>
    <row r="7" spans="1:15" s="3" customFormat="1" ht="20" customHeight="1">
      <c r="B7" s="425" t="s">
        <v>529</v>
      </c>
      <c r="C7" s="425"/>
      <c r="D7" s="425"/>
      <c r="E7" s="425"/>
      <c r="F7" s="425"/>
      <c r="G7" s="425"/>
      <c r="H7" s="425"/>
      <c r="I7" s="425"/>
      <c r="J7" s="425"/>
      <c r="K7" s="425"/>
      <c r="N7" s="39"/>
    </row>
    <row r="8" spans="1:15" s="3" customFormat="1" ht="20" customHeight="1">
      <c r="B8" s="8" t="s">
        <v>530</v>
      </c>
      <c r="C8" s="8" t="s">
        <v>531</v>
      </c>
      <c r="D8" s="20" t="s">
        <v>532</v>
      </c>
      <c r="E8" s="8" t="s">
        <v>533</v>
      </c>
      <c r="F8" s="20" t="s">
        <v>534</v>
      </c>
      <c r="G8" s="8" t="s">
        <v>535</v>
      </c>
      <c r="H8" s="20" t="s">
        <v>536</v>
      </c>
      <c r="I8" s="8" t="s">
        <v>537</v>
      </c>
      <c r="J8" s="20" t="s">
        <v>538</v>
      </c>
      <c r="K8" s="8" t="s">
        <v>222</v>
      </c>
    </row>
    <row r="9" spans="1:15" s="3" customFormat="1" ht="20" customHeight="1">
      <c r="B9" s="21" t="s">
        <v>3184</v>
      </c>
      <c r="C9" s="25" t="str">
        <f>IF(mgmt_dpg_separation_result="Included",(CONCATENATE(prefix_mgmt_az1_vlan,"10")),(CONCATENATE(prefix_mgmt_az1_vlan,"11")))</f>
        <v>1110</v>
      </c>
      <c r="D9" s="14"/>
      <c r="E9" s="22" t="str">
        <f>IF(mgmt_dpg_separation_result="Included",CONCATENATE(prefix_mgmt_az1_cidr,"10.0/24"),CONCATENATE(prefix_mgmt_az1_cidr,"11.0/24"))</f>
        <v>10.11.10.0/24</v>
      </c>
      <c r="F9" s="14"/>
      <c r="G9" s="22" t="str">
        <f>IF(mgmt_dpg_separation_result="Included",CONCATENATE(prefix_mgmt_az1_cidr,"10.1"),CONCATENATE(prefix_mgmt_az1_cidr,"11.1"))</f>
        <v>10.11.10.1</v>
      </c>
      <c r="H9" s="14"/>
      <c r="I9" s="22">
        <v>1500</v>
      </c>
      <c r="J9" s="14"/>
      <c r="K9" s="54" t="str">
        <f>IF(AND(mgmt_stretched_cluster_result="Included",mgmt_dpg_separation_result="Included"),"Stretched L2","")</f>
        <v/>
      </c>
    </row>
    <row r="10" spans="1:15" s="3" customFormat="1" ht="20" customHeight="1">
      <c r="B10" s="21" t="s">
        <v>4235</v>
      </c>
      <c r="C10" s="22" t="str">
        <f>CONCATENATE(prefix_mgmt_az1_vlan,"11")</f>
        <v>1111</v>
      </c>
      <c r="D10" s="14"/>
      <c r="E10" s="22" t="str">
        <f>CONCATENATE(prefix_mgmt_az1_cidr,"11.0/24")</f>
        <v>10.11.11.0/24</v>
      </c>
      <c r="F10" s="14"/>
      <c r="G10" s="22" t="str">
        <f>CONCATENATE(prefix_mgmt_az1_cidr,"11.1")</f>
        <v>10.11.11.1</v>
      </c>
      <c r="H10" s="14"/>
      <c r="I10" s="22">
        <v>1500</v>
      </c>
      <c r="J10" s="14"/>
      <c r="K10" s="54" t="str">
        <f>IF(AND(mgmt_stretched_cluster_result="Included",mgmt_dpg_separation_result="Excluded"),"Stretched L2","")</f>
        <v/>
      </c>
      <c r="M10" s="435" t="s">
        <v>4953</v>
      </c>
      <c r="N10" s="435"/>
    </row>
    <row r="11" spans="1:15" s="3" customFormat="1" ht="20" customHeight="1">
      <c r="B11" s="21" t="s">
        <v>540</v>
      </c>
      <c r="C11" s="22" t="str">
        <f>CONCATENATE(prefix_mgmt_az1_vlan,"12")</f>
        <v>1112</v>
      </c>
      <c r="D11" s="14"/>
      <c r="E11" s="22" t="str">
        <f>CONCATENATE(prefix_mgmt_az1_cidr,"12.0/24")</f>
        <v>10.11.12.0/24</v>
      </c>
      <c r="F11" s="14"/>
      <c r="G11" s="22" t="str">
        <f>CONCATENATE(prefix_mgmt_az1_cidr,"12.1")</f>
        <v>10.11.12.1</v>
      </c>
      <c r="H11" s="14"/>
      <c r="I11" s="22">
        <v>9000</v>
      </c>
      <c r="J11" s="14"/>
      <c r="K11" s="40"/>
      <c r="M11" s="435"/>
      <c r="N11" s="435"/>
    </row>
    <row r="12" spans="1:15" s="3" customFormat="1" ht="20" customHeight="1">
      <c r="B12" s="21" t="s">
        <v>541</v>
      </c>
      <c r="C12" s="22" t="str">
        <f>CONCATENATE(prefix_mgmt_az1_vlan,"13")</f>
        <v>1113</v>
      </c>
      <c r="D12" s="14"/>
      <c r="E12" s="22" t="str">
        <f>CONCATENATE(prefix_mgmt_az1_cidr,"13.0/24")</f>
        <v>10.11.13.0/24</v>
      </c>
      <c r="F12" s="14"/>
      <c r="G12" s="22" t="str">
        <f>CONCATENATE(prefix_mgmt_az1_cidr,"13.1")</f>
        <v>10.11.13.1</v>
      </c>
      <c r="H12" s="14"/>
      <c r="I12" s="22">
        <v>9000</v>
      </c>
      <c r="J12" s="14"/>
      <c r="K12" s="41" t="s">
        <v>542</v>
      </c>
      <c r="M12" s="435"/>
      <c r="N12" s="435"/>
    </row>
    <row r="13" spans="1:15" s="3" customFormat="1" ht="20" customHeight="1">
      <c r="B13" s="21" t="s">
        <v>543</v>
      </c>
      <c r="C13" s="22" t="str">
        <f>CONCATENATE(prefix_mgmt_az1_vlan,"14")</f>
        <v>1114</v>
      </c>
      <c r="D13" s="14"/>
      <c r="E13" s="22" t="str">
        <f>CONCATENATE(prefix_mgmt_az1_cidr,"14.0/24")</f>
        <v>10.11.14.0/24</v>
      </c>
      <c r="F13" s="14"/>
      <c r="G13" s="22" t="str">
        <f>CONCATENATE(prefix_mgmt_az1_cidr,"14.1")</f>
        <v>10.11.14.1</v>
      </c>
      <c r="H13" s="14"/>
      <c r="I13" s="22">
        <v>9000</v>
      </c>
      <c r="J13" s="14"/>
      <c r="K13" s="41" t="str">
        <f>IF(mgmt_host_overlay_addressing_chosen="Static","","DHCP")</f>
        <v/>
      </c>
      <c r="M13" s="435"/>
      <c r="N13" s="435"/>
    </row>
    <row r="14" spans="1:15" s="3" customFormat="1" ht="20" customHeight="1">
      <c r="B14" s="21" t="s">
        <v>548</v>
      </c>
      <c r="C14" s="22" t="str">
        <f>CONCATENATE(prefix_mgmt_az1_vlan,"16")</f>
        <v>1116</v>
      </c>
      <c r="D14" s="14"/>
      <c r="E14" s="22" t="str">
        <f>CONCATENATE(prefix_mgmt_az1_cidr,"16.0/24")</f>
        <v>10.11.16.0/24</v>
      </c>
      <c r="F14" s="14"/>
      <c r="G14" s="22" t="str">
        <f>CONCATENATE(prefix_mgmt_az1_cidr,"16.1")</f>
        <v>10.11.16.1</v>
      </c>
      <c r="H14" s="14"/>
      <c r="I14" s="22">
        <v>9000</v>
      </c>
      <c r="J14" s="14"/>
      <c r="K14" s="54" t="str">
        <f>IF(mgmt_stretched_cluster_result="Included","Stretched L2","")</f>
        <v/>
      </c>
      <c r="M14" s="435"/>
      <c r="N14" s="435"/>
    </row>
    <row r="15" spans="1:15" s="3" customFormat="1" ht="20" customHeight="1">
      <c r="B15" s="21" t="s">
        <v>544</v>
      </c>
      <c r="C15" s="22" t="str">
        <f>CONCATENATE(prefix_mgmt_az1_vlan,"17")</f>
        <v>1117</v>
      </c>
      <c r="D15" s="14"/>
      <c r="E15" s="22" t="str">
        <f>CONCATENATE(prefix_mgmt_az1_cidr,"17.0/24")</f>
        <v>10.11.17.0/24</v>
      </c>
      <c r="F15" s="14"/>
      <c r="G15" s="22" t="str">
        <f>CONCATENATE(prefix_mgmt_az1_cidr,"17.1")</f>
        <v>10.11.17.1</v>
      </c>
      <c r="H15" s="14"/>
      <c r="I15" s="22">
        <v>9000</v>
      </c>
      <c r="J15" s="14"/>
      <c r="K15" s="54" t="str">
        <f>IF(mgmt_stretched_cluster_result="Included","Stretched L2","")</f>
        <v/>
      </c>
      <c r="M15" s="435"/>
      <c r="N15" s="435"/>
    </row>
    <row r="16" spans="1:15" s="3" customFormat="1" ht="20" customHeight="1">
      <c r="B16" s="21" t="s">
        <v>545</v>
      </c>
      <c r="C16" s="22" t="str">
        <f>CONCATENATE(prefix_mgmt_az1_vlan,"18")</f>
        <v>1118</v>
      </c>
      <c r="D16" s="14"/>
      <c r="E16" s="22" t="str">
        <f>CONCATENATE(prefix_mgmt_az1_cidr,"18.0/24")</f>
        <v>10.11.18.0/24</v>
      </c>
      <c r="F16" s="14"/>
      <c r="G16" s="22" t="str">
        <f>CONCATENATE(prefix_mgmt_az1_cidr,"18.1")</f>
        <v>10.11.18.1</v>
      </c>
      <c r="H16" s="14"/>
      <c r="I16" s="22">
        <v>9000</v>
      </c>
      <c r="J16" s="14"/>
      <c r="K16" s="54" t="str">
        <f>IF(mgmt_stretched_cluster_result="Included","Stretched L2","")</f>
        <v/>
      </c>
      <c r="M16" s="435"/>
      <c r="N16" s="435"/>
    </row>
    <row r="17" spans="2:14" s="3" customFormat="1" ht="20" customHeight="1">
      <c r="B17" s="21" t="s">
        <v>546</v>
      </c>
      <c r="C17" s="22" t="str">
        <f>CONCATENATE(prefix_mgmt_az1_vlan,"19")</f>
        <v>1119</v>
      </c>
      <c r="D17" s="14"/>
      <c r="E17" s="22" t="str">
        <f>CONCATENATE(prefix_mgmt_az1_cidr,"19.0/24")</f>
        <v>10.11.19.0/24</v>
      </c>
      <c r="F17" s="14"/>
      <c r="G17" s="22" t="str">
        <f>CONCATENATE(prefix_mgmt_az1_cidr,"19.1")</f>
        <v>10.11.19.1</v>
      </c>
      <c r="H17" s="14"/>
      <c r="I17" s="22">
        <v>9000</v>
      </c>
      <c r="J17" s="14"/>
      <c r="K17" s="54" t="str">
        <f>IF(mgmt_stretched_cluster_result="Included","Stretched L2","")</f>
        <v/>
      </c>
      <c r="M17" s="435"/>
      <c r="N17" s="435"/>
    </row>
    <row r="18" spans="2:14" s="3" customFormat="1" ht="20" customHeight="1">
      <c r="B18" s="21" t="s">
        <v>547</v>
      </c>
      <c r="C18" s="22" t="str">
        <f>CONCATENATE(prefix_mgmt_az1_vlan,"20")</f>
        <v>1120</v>
      </c>
      <c r="D18" s="14"/>
      <c r="E18" s="22" t="str">
        <f>CONCATENATE(prefix_mgmt_az1_cidr,"20.0/24")</f>
        <v>10.11.20.0/24</v>
      </c>
      <c r="F18" s="14"/>
      <c r="G18" s="22" t="str">
        <f>CONCATENATE(prefix_mgmt_az1_cidr,"20.1")</f>
        <v>10.11.20.1</v>
      </c>
      <c r="H18" s="14"/>
      <c r="I18" s="22">
        <v>9000</v>
      </c>
      <c r="J18" s="14"/>
      <c r="K18" s="54" t="str">
        <f>IF(AND((mgmt_stretched_cluster_result="Included"),(mgmt_nsxt_federation_result="Included")),"Stretched L2. MTU must be configured on all infrastructure between federated VCF instances",IF(mgmt_stretched_cluster_result="Included","Stretched L2",IF(mgmt_nsxt_federation_result="Included","MTU must be configured on all infrastructure between federated VCF instances","")))</f>
        <v/>
      </c>
      <c r="M18" s="435"/>
      <c r="N18" s="435"/>
    </row>
    <row r="19" spans="2:14" s="3" customFormat="1" ht="20" customHeight="1">
      <c r="B19" s="419" t="s">
        <v>549</v>
      </c>
      <c r="C19" s="420"/>
      <c r="D19" s="420"/>
      <c r="E19" s="420"/>
      <c r="F19" s="420"/>
      <c r="G19" s="420"/>
      <c r="H19" s="420"/>
      <c r="I19" s="420"/>
      <c r="J19" s="420"/>
      <c r="K19" s="421"/>
      <c r="M19" s="435"/>
      <c r="N19" s="435"/>
    </row>
    <row r="20" spans="2:14" s="3" customFormat="1" ht="20" customHeight="1">
      <c r="B20" s="8" t="s">
        <v>530</v>
      </c>
      <c r="C20" s="8" t="s">
        <v>531</v>
      </c>
      <c r="D20" s="20" t="s">
        <v>532</v>
      </c>
      <c r="E20" s="8" t="s">
        <v>533</v>
      </c>
      <c r="F20" s="20" t="s">
        <v>534</v>
      </c>
      <c r="G20" s="8" t="s">
        <v>535</v>
      </c>
      <c r="H20" s="20" t="s">
        <v>536</v>
      </c>
      <c r="I20" s="8" t="s">
        <v>537</v>
      </c>
      <c r="J20" s="20" t="s">
        <v>538</v>
      </c>
      <c r="K20" s="8" t="s">
        <v>222</v>
      </c>
      <c r="M20" s="435"/>
      <c r="N20" s="435"/>
    </row>
    <row r="21" spans="2:14" s="3" customFormat="1" ht="20" customHeight="1">
      <c r="B21" s="21" t="s">
        <v>550</v>
      </c>
      <c r="C21" s="22" t="str">
        <f>IF(mgmt_vns_chosen="Exclude","",IF(mgmt_vns_chosen="Overlay-Backed","N/A",CONCATENATE(prefix_mgmt_az1_vlan,"98")))</f>
        <v/>
      </c>
      <c r="D21" s="14"/>
      <c r="E21" s="22" t="str">
        <f>IF(mgmt_vns_chosen="Exclude","N/A",IF(mgmt_vns_chosen="Overlay-Backed",CONCATENATE(prefix_reg_cidr,".0/24"),CONCATENATE(prefix_mgmt_az1_cidr,"98.0/24")))</f>
        <v>N/A</v>
      </c>
      <c r="F21" s="14"/>
      <c r="G21" s="22" t="str">
        <f>IF(mgmt_vns_chosen="Exclude","N/A",IF(mgmt_vns_chosen="Overlay-Backed",CONCATENATE(prefix_reg_cidr,".1"),CONCATENATE(prefix_mgmt_az1_cidr,"98.1")))</f>
        <v>N/A</v>
      </c>
      <c r="H21" s="14"/>
      <c r="I21" s="22">
        <v>9000</v>
      </c>
      <c r="J21" s="14"/>
      <c r="K21" s="54" t="str">
        <f>IF(mgmt_vns_chosen="VLAN-Backed","Stretched L2 required if spanning instances","")</f>
        <v/>
      </c>
      <c r="M21" s="39"/>
      <c r="N21" s="39"/>
    </row>
    <row r="22" spans="2:14" s="3" customFormat="1" ht="20" customHeight="1">
      <c r="B22" s="21" t="s">
        <v>551</v>
      </c>
      <c r="C22" s="22" t="str">
        <f>IF(mgmt_vns_chosen="Exclude","N/A",IF(mgmt_vns_chosen="Overlay-Backed","N/A",CONCATENATE(prefix_mgmt_az1_vlan,"99")))</f>
        <v>N/A</v>
      </c>
      <c r="D22" s="14"/>
      <c r="E22" s="22" t="str">
        <f>IF(mgmt_vns_chosen="Exclude","N/A",IF(mgmt_vns_chosen="Overlay-Backed",CONCATENATE(prefix_xreg_cidr,".0/24"),CONCATENATE(prefix_mgmt_az1_cidr,"99.0/24")))</f>
        <v>N/A</v>
      </c>
      <c r="F22" s="14"/>
      <c r="G22" s="22" t="str">
        <f>IF(mgmt_vns_chosen="Exclude","N/A",IF(mgmt_vns_chosen="Overlay-Backed",CONCATENATE(prefix_xreg_cidr,".1"),CONCATENATE(prefix_mgmt_az1_cidr,"99.1")))</f>
        <v>N/A</v>
      </c>
      <c r="H22" s="14"/>
      <c r="I22" s="22">
        <v>9000</v>
      </c>
      <c r="J22" s="14"/>
      <c r="K22" s="54" t="str">
        <f>IF(mgmt_vns_chosen="VLAN-Backed","Stretched L2 required if spanning instances","")</f>
        <v/>
      </c>
      <c r="M22" s="39"/>
      <c r="N22" s="39"/>
    </row>
    <row r="23" spans="2:14" s="3" customFormat="1" ht="16" customHeight="1"/>
    <row r="24" spans="2:14" s="3" customFormat="1" ht="34" customHeight="1">
      <c r="B24" s="427" t="s">
        <v>552</v>
      </c>
      <c r="C24" s="428"/>
      <c r="D24" s="426"/>
    </row>
    <row r="25" spans="2:14" s="3" customFormat="1" ht="20" customHeight="1">
      <c r="B25" s="8" t="s">
        <v>553</v>
      </c>
      <c r="C25" s="8" t="s">
        <v>554</v>
      </c>
      <c r="D25" s="20" t="s">
        <v>555</v>
      </c>
    </row>
    <row r="26" spans="2:14" s="3" customFormat="1" ht="20" customHeight="1">
      <c r="B26" s="21" t="s">
        <v>556</v>
      </c>
      <c r="C26" s="22" t="str">
        <f>IF(mgmt_domain_chosen="First Domain","65101",IF(mgmt_nsxt_federation_result="Included","65101","65201"))</f>
        <v>65101</v>
      </c>
      <c r="D26" s="14"/>
    </row>
    <row r="27" spans="2:14" s="3" customFormat="1" ht="20" customHeight="1">
      <c r="B27" s="21" t="s">
        <v>557</v>
      </c>
      <c r="C27" s="22" t="str">
        <f>CONCATENATE(prefix_mgmt_az1_cidr,"17.10")</f>
        <v>10.11.17.10</v>
      </c>
      <c r="D27" s="14"/>
    </row>
    <row r="28" spans="2:14" s="3" customFormat="1" ht="20" customHeight="1">
      <c r="B28" s="21" t="s">
        <v>558</v>
      </c>
      <c r="C28" s="22" t="str">
        <f>IF(wld_domain_chosen="First Domain",CONCATENATE(asn_start,asn_instance,asn_mgmt_az1,1),IF(wld_nsxt_federation_result="Included",CONCATENATE(asn_start,asn_instance,asn_mgmt_az1,1),CONCATENATE(asn_start,asn_instance,asn_mgmt_az1,1)))</f>
        <v>65111</v>
      </c>
      <c r="D28" s="14"/>
    </row>
    <row r="29" spans="2:14" s="3" customFormat="1" ht="20" customHeight="1">
      <c r="B29" s="21" t="s">
        <v>559</v>
      </c>
      <c r="C29" s="22" t="s">
        <v>4098</v>
      </c>
      <c r="D29" s="14"/>
    </row>
    <row r="30" spans="2:14" s="3" customFormat="1" ht="20" customHeight="1">
      <c r="B30" s="21" t="s">
        <v>560</v>
      </c>
      <c r="C30" s="22" t="str">
        <f>CONCATENATE(prefix_mgmt_az1_cidr,"18.10")</f>
        <v>10.11.18.10</v>
      </c>
      <c r="D30" s="14"/>
    </row>
    <row r="31" spans="2:14" s="3" customFormat="1" ht="20" customHeight="1">
      <c r="B31" s="21" t="s">
        <v>561</v>
      </c>
      <c r="C31" s="22" t="str">
        <f>IF(wld_domain_chosen="First Domain",CONCATENATE(asn_start,asn_instance,asn_mgmt_az1,1),IF(wld_nsxt_federation_result="Included",CONCATENATE(asn_start,asn_instance,asn_mgmt_az1,1),CONCATENATE(asn_start,asn_instance,asn_mgmt_az1,1)))</f>
        <v>65111</v>
      </c>
      <c r="D31" s="14"/>
    </row>
    <row r="32" spans="2:14" s="3" customFormat="1" ht="20" customHeight="1">
      <c r="B32" s="21" t="s">
        <v>562</v>
      </c>
      <c r="C32" s="22" t="s">
        <v>4098</v>
      </c>
      <c r="D32" s="14"/>
    </row>
    <row r="33" spans="2:14" s="3" customFormat="1" ht="16" customHeight="1"/>
    <row r="34" spans="2:14" s="4" customFormat="1" ht="34" customHeight="1">
      <c r="B34" s="427" t="s">
        <v>563</v>
      </c>
      <c r="C34" s="428"/>
      <c r="D34" s="428"/>
      <c r="E34" s="428"/>
      <c r="F34" s="428"/>
      <c r="G34" s="428"/>
      <c r="H34" s="428"/>
      <c r="I34" s="428"/>
      <c r="J34" s="428"/>
      <c r="K34" s="426"/>
      <c r="M34" s="42"/>
    </row>
    <row r="35" spans="2:14" s="3" customFormat="1" ht="20" customHeight="1">
      <c r="B35" s="419" t="s">
        <v>529</v>
      </c>
      <c r="C35" s="420"/>
      <c r="D35" s="420"/>
      <c r="E35" s="420"/>
      <c r="F35" s="420"/>
      <c r="G35" s="420"/>
      <c r="H35" s="420"/>
      <c r="I35" s="420"/>
      <c r="J35" s="420"/>
      <c r="K35" s="421"/>
      <c r="M35" s="43"/>
      <c r="N35" s="39"/>
    </row>
    <row r="36" spans="2:14" s="3" customFormat="1" ht="20" customHeight="1">
      <c r="B36" s="8" t="s">
        <v>530</v>
      </c>
      <c r="C36" s="8" t="s">
        <v>531</v>
      </c>
      <c r="D36" s="20" t="s">
        <v>532</v>
      </c>
      <c r="E36" s="8" t="s">
        <v>533</v>
      </c>
      <c r="F36" s="20" t="s">
        <v>534</v>
      </c>
      <c r="G36" s="8" t="s">
        <v>535</v>
      </c>
      <c r="H36" s="20" t="s">
        <v>536</v>
      </c>
      <c r="I36" s="8" t="s">
        <v>537</v>
      </c>
      <c r="J36" s="20" t="s">
        <v>538</v>
      </c>
      <c r="K36" s="8" t="s">
        <v>222</v>
      </c>
      <c r="M36" s="43"/>
      <c r="N36" s="39"/>
    </row>
    <row r="37" spans="2:14" s="3" customFormat="1" ht="20" customHeight="1">
      <c r="B37" s="21" t="s">
        <v>4235</v>
      </c>
      <c r="C37" s="22" t="str">
        <f>CONCATENATE(prefix_mgmt_az2_vlan,"11")</f>
        <v>1211</v>
      </c>
      <c r="D37" s="14"/>
      <c r="E37" s="22" t="str">
        <f>CONCATENATE(prefix_mgmt_az2_cidr,"11.0/24")</f>
        <v>10.12.11.0/24</v>
      </c>
      <c r="F37" s="14"/>
      <c r="G37" s="22" t="str">
        <f>CONCATENATE(prefix_mgmt_az2_cidr,"11.1")</f>
        <v>10.12.11.1</v>
      </c>
      <c r="H37" s="14"/>
      <c r="I37" s="22">
        <v>1500</v>
      </c>
      <c r="J37" s="14"/>
      <c r="K37" s="40"/>
      <c r="M37" s="43"/>
      <c r="N37" s="39"/>
    </row>
    <row r="38" spans="2:14" s="3" customFormat="1" ht="20" customHeight="1">
      <c r="B38" s="21" t="s">
        <v>540</v>
      </c>
      <c r="C38" s="22" t="str">
        <f>CONCATENATE(prefix_mgmt_az2_vlan,"12")</f>
        <v>1212</v>
      </c>
      <c r="D38" s="14"/>
      <c r="E38" s="22" t="str">
        <f>CONCATENATE(prefix_mgmt_az2_cidr,"12.0/24")</f>
        <v>10.12.12.0/24</v>
      </c>
      <c r="F38" s="14"/>
      <c r="G38" s="22" t="str">
        <f>CONCATENATE(prefix_mgmt_az2_cidr,"12.1")</f>
        <v>10.12.12.1</v>
      </c>
      <c r="H38" s="14"/>
      <c r="I38" s="22">
        <v>9000</v>
      </c>
      <c r="J38" s="14"/>
      <c r="K38" s="40"/>
      <c r="M38" s="43"/>
      <c r="N38" s="39"/>
    </row>
    <row r="39" spans="2:14" s="3" customFormat="1" ht="20" customHeight="1">
      <c r="B39" s="21" t="s">
        <v>541</v>
      </c>
      <c r="C39" s="22" t="str">
        <f>CONCATENATE(prefix_mgmt_az2_vlan,"13")</f>
        <v>1213</v>
      </c>
      <c r="D39" s="14"/>
      <c r="E39" s="22" t="str">
        <f>CONCATENATE(prefix_mgmt_az2_cidr,"13.0/24")</f>
        <v>10.12.13.0/24</v>
      </c>
      <c r="F39" s="14"/>
      <c r="G39" s="22" t="str">
        <f>CONCATENATE(prefix_mgmt_az2_cidr,"13.1")</f>
        <v>10.12.13.1</v>
      </c>
      <c r="H39" s="14"/>
      <c r="I39" s="22">
        <v>9000</v>
      </c>
      <c r="J39" s="14"/>
      <c r="K39" s="41" t="s">
        <v>542</v>
      </c>
      <c r="M39" s="43"/>
      <c r="N39" s="39"/>
    </row>
    <row r="40" spans="2:14" s="3" customFormat="1" ht="20" customHeight="1">
      <c r="B40" s="21" t="s">
        <v>543</v>
      </c>
      <c r="C40" s="22" t="str">
        <f>CONCATENATE(prefix_mgmt_az2_vlan,"14")</f>
        <v>1214</v>
      </c>
      <c r="D40" s="14"/>
      <c r="E40" s="22" t="str">
        <f>CONCATENATE(prefix_mgmt_az2_cidr,"14.0/24")</f>
        <v>10.12.14.0/24</v>
      </c>
      <c r="F40" s="14"/>
      <c r="G40" s="22" t="str">
        <f>CONCATENATE(prefix_mgmt_az2_cidr,"14.1")</f>
        <v>10.12.14.1</v>
      </c>
      <c r="H40" s="14"/>
      <c r="I40" s="22">
        <v>9000</v>
      </c>
      <c r="J40" s="14"/>
      <c r="K40" s="41" t="str">
        <f>IF(mgmt_host_overlay_addressing_chosen="Static","","DHCP")</f>
        <v/>
      </c>
      <c r="M40" s="43"/>
      <c r="N40" s="39"/>
    </row>
    <row r="41" spans="2:14" s="3" customFormat="1" ht="20" customHeight="1">
      <c r="B41" s="21" t="str">
        <f>B14</f>
        <v>vSphere Replication</v>
      </c>
      <c r="C41" s="22" t="str">
        <f>sample_mgmt_az1_vrms_vlan</f>
        <v>1116</v>
      </c>
      <c r="D41" s="14" t="str">
        <f>IF(NOT(ISBLANK(input_mgmt_az1_vrms_vlan)),input_mgmt_az1_vrms_vlan,"")</f>
        <v/>
      </c>
      <c r="E41" s="22" t="str">
        <f>sample_mgmt_az1_vrms_cidr</f>
        <v>10.11.16.0/24</v>
      </c>
      <c r="F41" s="14" t="str">
        <f>IF(NOT(ISBLANK(input_mgmt_az1_vrms_cidr)),input_mgmt_az1_vrms_cidr,"")</f>
        <v/>
      </c>
      <c r="G41" s="22" t="str">
        <f>sample_mgmt_az1_vrms_gateway_ip</f>
        <v>10.11.16.1</v>
      </c>
      <c r="H41" s="14" t="str">
        <f>IF(NOT(ISBLANK(input_mgmt_az1_vrms_gateway_ip)),input_mgmt_az1_vrms_gateway_ip,"")</f>
        <v/>
      </c>
      <c r="I41" s="22">
        <f>sample_mgmt_az1_vrms_mtu</f>
        <v>9000</v>
      </c>
      <c r="J41" s="18" t="str">
        <f>IF(NOT(ISBLANK(input_mgmt_az1_vrms_mtu)),input_mgmt_az1_vrms_mtu,"")</f>
        <v/>
      </c>
      <c r="K41" s="54" t="str">
        <f>IF(AND((mgmt_stretched_cluster_result="Included"),(mgmt_nsxt_federation_result="Included")),"Stretched L2. MTU must be configured on all infrastructure between federated VCF instances",IF(mgmt_stretched_cluster_result="Included","Stretched L2",IF(mgmt_nsxt_federation_result="Included","MTU must be configured on all infrastructure between federated VCF instances","")))</f>
        <v/>
      </c>
      <c r="M41" s="42"/>
    </row>
    <row r="42" spans="2:14" s="3" customFormat="1" ht="20" customHeight="1">
      <c r="B42" s="21" t="str">
        <f>B15</f>
        <v>NSX Edge Uplink 1</v>
      </c>
      <c r="C42" s="22" t="str">
        <f>sample_mgmt_az1_uplink01_vlan</f>
        <v>1117</v>
      </c>
      <c r="D42" s="14" t="str">
        <f>IF(NOT(ISBLANK(input_mgmt_az1_uplink01_vlan)),input_mgmt_az1_uplink01_vlan,"")</f>
        <v/>
      </c>
      <c r="E42" s="22" t="str">
        <f>sample_mgmt_az1_uplink01_cidr</f>
        <v>10.11.17.0/24</v>
      </c>
      <c r="F42" s="14" t="str">
        <f>IF(NOT(ISBLANK(input_mgmt_az1_uplink01_cidr)),input_mgmt_az1_uplink01_cidr,"")</f>
        <v/>
      </c>
      <c r="G42" s="22" t="str">
        <f>sample_mgmt_az1_uplink01_gateway_ip</f>
        <v>10.11.17.1</v>
      </c>
      <c r="H42" s="14" t="str">
        <f>IF(NOT(ISBLANK(input_mgmt_az1_uplink01_gateway_ip)),input_mgmt_az1_uplink01_gateway_ip,"")</f>
        <v/>
      </c>
      <c r="I42" s="22">
        <f>sample_mgmt_az1_uplink01_mtu</f>
        <v>9000</v>
      </c>
      <c r="J42" s="14" t="str">
        <f>IF(NOT(ISBLANK(input_mgmt_az1_uplink01_mtu)),input_mgmt_az1_uplink01_mtu,"")</f>
        <v/>
      </c>
      <c r="K42" s="54" t="str">
        <f>IF(mgmt_stretched_cluster_result="Included","Stretched L2","")</f>
        <v/>
      </c>
      <c r="M42" s="42"/>
    </row>
    <row r="43" spans="2:14" s="3" customFormat="1" ht="20" customHeight="1">
      <c r="B43" s="21" t="str">
        <f>B16</f>
        <v>NSX Edge Uplink 2</v>
      </c>
      <c r="C43" s="22" t="str">
        <f>sample_mgmt_az1_uplink02_vlan</f>
        <v>1118</v>
      </c>
      <c r="D43" s="14" t="str">
        <f>IF(NOT(ISBLANK(input_mgmt_az1_uplink02_vlan)),input_mgmt_az1_uplink02_vlan,"")</f>
        <v/>
      </c>
      <c r="E43" s="22" t="str">
        <f>sample_mgmt_az1_uplink02_cidr</f>
        <v>10.11.18.0/24</v>
      </c>
      <c r="F43" s="14" t="str">
        <f>IF(NOT(ISBLANK(input_mgmt_az1_uplink02_cidr)),input_mgmt_az1_uplink02_cidr,"")</f>
        <v/>
      </c>
      <c r="G43" s="22" t="str">
        <f>sample_mgmt_az1_uplink02_gateway_ip</f>
        <v>10.11.18.1</v>
      </c>
      <c r="H43" s="14" t="str">
        <f>IF(NOT(ISBLANK(input_mgmt_az1_uplink02_gateway_ip)),input_mgmt_az1_uplink02_gateway_ip,"")</f>
        <v/>
      </c>
      <c r="I43" s="22">
        <f>sample_mgmt_az1_uplink02_mtu</f>
        <v>9000</v>
      </c>
      <c r="J43" s="14" t="str">
        <f>IF(NOT(ISBLANK(input_mgmt_az1_uplink02_mtu)),input_mgmt_az1_uplink02_mtu,"")</f>
        <v/>
      </c>
      <c r="K43" s="54" t="str">
        <f>IF(mgmt_stretched_cluster_result="Included","Stretched L2","")</f>
        <v/>
      </c>
      <c r="M43" s="42"/>
    </row>
    <row r="44" spans="2:14" s="3" customFormat="1" ht="20" customHeight="1">
      <c r="B44" s="21" t="str">
        <f>B17</f>
        <v>NSX Edge Overlay</v>
      </c>
      <c r="C44" s="22" t="str">
        <f>sample_mgmt_az1_edge_overlay_vlan</f>
        <v>1119</v>
      </c>
      <c r="D44" s="14" t="str">
        <f>IF(NOT(ISBLANK(input_mgmt_az1_edge_overlay_vlan)),input_mgmt_az1_edge_overlay_vlan,"")</f>
        <v/>
      </c>
      <c r="E44" s="22" t="str">
        <f>sample_mgmt_az1_edge_overlay_cidr</f>
        <v>10.11.19.0/24</v>
      </c>
      <c r="F44" s="14" t="str">
        <f>IF(NOT(ISBLANK(input_mgmt_az1_edge_overlay_cidr)),input_mgmt_az1_edge_overlay_cidr,"")</f>
        <v/>
      </c>
      <c r="G44" s="22" t="str">
        <f>sample_mgmt_az1_edge_overlay_gateway_ip</f>
        <v>10.11.19.1</v>
      </c>
      <c r="H44" s="14" t="str">
        <f>IF(NOT(ISBLANK(input_mgmt_az1_edge_overlay_gateway_ip)),input_mgmt_az1_edge_overlay_gateway_ip,"")</f>
        <v/>
      </c>
      <c r="I44" s="22">
        <f>sample_mgmt_az1_edge_overlay_mtu</f>
        <v>9000</v>
      </c>
      <c r="J44" s="14" t="str">
        <f>IF(NOT(ISBLANK(input_mgmt_az1_edge_overlay_mtu)),input_mgmt_az1_edge_overlay_mtu,"")</f>
        <v/>
      </c>
      <c r="K44" s="54" t="str">
        <f>IF(mgmt_stretched_cluster_result="Included","Stretched L2","")</f>
        <v/>
      </c>
      <c r="M44" s="42"/>
    </row>
    <row r="45" spans="2:14" s="3" customFormat="1" ht="20" customHeight="1">
      <c r="B45" s="21" t="str">
        <f>B18</f>
        <v>NSX RTEP Overlay</v>
      </c>
      <c r="C45" s="22" t="str">
        <f>sample_mgmt_az1_rtep_overlay_vlan</f>
        <v>1120</v>
      </c>
      <c r="D45" s="14" t="str">
        <f>IF(NOT(ISBLANK(input_mgmt_az1_rtep_overlay_vlan)),input_mgmt_az1_rtep_overlay_vlan,"")</f>
        <v/>
      </c>
      <c r="E45" s="22" t="str">
        <f>sample_mgmt_az1_rtep_overlay_cidr</f>
        <v>10.11.20.0/24</v>
      </c>
      <c r="F45" s="14" t="str">
        <f>IF(NOT(ISBLANK(input_mgmt_az1_rtep_overlay_cidr)),input_mgmt_az1_rtep_overlay_cidr,"")</f>
        <v/>
      </c>
      <c r="G45" s="22" t="str">
        <f>sample_mgmt_az1_rtep_overlay_gateway_ip</f>
        <v>10.11.20.1</v>
      </c>
      <c r="H45" s="14" t="str">
        <f>IF(NOT(ISBLANK(input_mgmt_az1_rtep_overlay_gateway_ip)),input_mgmt_az1_rtep_overlay_gateway_ip,"")</f>
        <v/>
      </c>
      <c r="I45" s="22">
        <f>sample_mgmt_az1_rtep_overlay_mtu</f>
        <v>9000</v>
      </c>
      <c r="J45" s="14" t="str">
        <f>IF(NOT(ISBLANK(input_mgmt_az1_rtep_overlay_mtu)),input_mgmt_az1_rtep_overlay_mtu,"")</f>
        <v/>
      </c>
      <c r="K45" s="54" t="str">
        <f>IF(AND((mgmt_stretched_cluster_result="Included"),(mgmt_nsxt_federation_result="Included")),"Stretched L2. MTU must be configured on all infrastructure between federated VCF instances",IF(mgmt_stretched_cluster_result="Included","Stretched L2",IF(mgmt_nsxt_federation_result="Included","MTU must be configured on all infrastructure between federated VCF instances","")))</f>
        <v/>
      </c>
      <c r="M45" s="42"/>
    </row>
    <row r="46" spans="2:14" s="3" customFormat="1" ht="20" customHeight="1">
      <c r="B46" s="419" t="s">
        <v>549</v>
      </c>
      <c r="C46" s="420"/>
      <c r="D46" s="420"/>
      <c r="E46" s="420"/>
      <c r="F46" s="420"/>
      <c r="G46" s="420"/>
      <c r="H46" s="420"/>
      <c r="I46" s="420"/>
      <c r="J46" s="420"/>
      <c r="K46" s="421"/>
      <c r="M46" s="42"/>
    </row>
    <row r="47" spans="2:14" s="3" customFormat="1" ht="20" customHeight="1">
      <c r="B47" s="8" t="s">
        <v>530</v>
      </c>
      <c r="C47" s="8" t="s">
        <v>531</v>
      </c>
      <c r="D47" s="20" t="s">
        <v>532</v>
      </c>
      <c r="E47" s="8" t="s">
        <v>533</v>
      </c>
      <c r="F47" s="20" t="s">
        <v>534</v>
      </c>
      <c r="G47" s="8" t="s">
        <v>535</v>
      </c>
      <c r="H47" s="20" t="s">
        <v>536</v>
      </c>
      <c r="I47" s="8" t="s">
        <v>537</v>
      </c>
      <c r="J47" s="20" t="s">
        <v>538</v>
      </c>
      <c r="K47" s="8" t="s">
        <v>222</v>
      </c>
      <c r="M47" s="39"/>
      <c r="N47" s="39"/>
    </row>
    <row r="48" spans="2:14" s="3" customFormat="1" ht="20" customHeight="1">
      <c r="B48" s="21" t="s">
        <v>550</v>
      </c>
      <c r="C48" s="22" t="str">
        <f>C21</f>
        <v/>
      </c>
      <c r="D48" s="14" t="str">
        <f>IF(NOT(ISBLANK(input_reg_seg01_vlan)),input_reg_seg01_vlan,"")</f>
        <v/>
      </c>
      <c r="E48" s="22" t="str">
        <f>sample_reg_seg01_cidr</f>
        <v>N/A</v>
      </c>
      <c r="F48" s="14" t="str">
        <f>IF(NOT(ISBLANK(input_reg_seg01_cidr)),input_reg_seg01_cidr,"")</f>
        <v/>
      </c>
      <c r="G48" s="22" t="str">
        <f>sample_reg_seg01_gateway_ip</f>
        <v>N/A</v>
      </c>
      <c r="H48" s="14" t="str">
        <f>IF(NOT(ISBLANK(input_reg_seg01_gateway_ip)),input_reg_seg01_gateway_ip,"")</f>
        <v/>
      </c>
      <c r="I48" s="22">
        <f>sample_reg_seg01_mtu</f>
        <v>9000</v>
      </c>
      <c r="J48" s="18" t="str">
        <f>IF(NOT(ISBLANK(input_reg_seg01_mtu)),input_reg_seg01_mtu,"")</f>
        <v/>
      </c>
      <c r="K48" s="54" t="str">
        <f>IF(mgmt_vns_chosen="VLAN-Backed","Stretched L2","")</f>
        <v/>
      </c>
      <c r="M48" s="39"/>
      <c r="N48" s="39"/>
    </row>
    <row r="49" spans="2:14" s="3" customFormat="1" ht="20" customHeight="1">
      <c r="B49" s="21" t="s">
        <v>551</v>
      </c>
      <c r="C49" s="22" t="str">
        <f>C22</f>
        <v>N/A</v>
      </c>
      <c r="D49" s="14" t="str">
        <f>IF(NOT(ISBLANK(input_xreg_seg01_vlan)),input_xreg_seg01_vlan,"")</f>
        <v/>
      </c>
      <c r="E49" s="22" t="str">
        <f>sample_xreg_seg01_cidr</f>
        <v>N/A</v>
      </c>
      <c r="F49" s="14" t="str">
        <f>IF(NOT(ISBLANK(input_xreg_seg01_cidr)),input_xreg_seg01_cidr,"")</f>
        <v/>
      </c>
      <c r="G49" s="22" t="str">
        <f>sample_xreg_seg01_gateway_ip</f>
        <v>N/A</v>
      </c>
      <c r="H49" s="14" t="str">
        <f>IF(NOT(ISBLANK(input_xreg_seg01_gateway_ip)),input_xreg_seg01_gateway_ip,"")</f>
        <v/>
      </c>
      <c r="I49" s="22">
        <f>sample_xreg_seg01_mtu</f>
        <v>9000</v>
      </c>
      <c r="J49" s="18" t="str">
        <f>IF(NOT(ISBLANK(input_xreg_seg01_mtu)),input_xreg_seg01_mtu,"")</f>
        <v/>
      </c>
      <c r="K49" s="54" t="str">
        <f>IF(mgmt_vns_chosen="VLAN-Backed","Stretched L2","")</f>
        <v/>
      </c>
      <c r="M49" s="39"/>
      <c r="N49" s="39"/>
    </row>
    <row r="50" spans="2:14" s="3" customFormat="1" ht="16" customHeight="1"/>
    <row r="51" spans="2:14" s="3" customFormat="1" ht="34" customHeight="1">
      <c r="B51" s="427" t="s">
        <v>564</v>
      </c>
      <c r="C51" s="428"/>
      <c r="D51" s="426"/>
    </row>
    <row r="52" spans="2:14" s="3" customFormat="1" ht="20" customHeight="1">
      <c r="B52" s="8" t="s">
        <v>553</v>
      </c>
      <c r="C52" s="8" t="s">
        <v>554</v>
      </c>
      <c r="D52" s="20" t="s">
        <v>555</v>
      </c>
    </row>
    <row r="53" spans="2:14" s="3" customFormat="1" ht="20" customHeight="1">
      <c r="B53" s="21" t="s">
        <v>557</v>
      </c>
      <c r="C53" s="22" t="str">
        <f>CONCATENATE(prefix_mgmt_az1_cidr,"17.11")</f>
        <v>10.11.17.11</v>
      </c>
      <c r="D53" s="14"/>
    </row>
    <row r="54" spans="2:14" s="3" customFormat="1" ht="20" customHeight="1">
      <c r="B54" s="21" t="s">
        <v>558</v>
      </c>
      <c r="C54" s="22" t="str">
        <f>IF(wld_domain_chosen="First Domain",CONCATENATE(asn_start,asn_instance,asn_mgmt_az2,1),IF(wld_nsxt_federation_result="Included",CONCATENATE(asn_start,asn_instance,asn_mgmt_az2,1),CONCATENATE(asn_start,asn_instance,asn_mgmt_az2,1)))</f>
        <v>65121</v>
      </c>
      <c r="D54" s="14"/>
    </row>
    <row r="55" spans="2:14" s="3" customFormat="1" ht="20" customHeight="1">
      <c r="B55" s="21" t="s">
        <v>559</v>
      </c>
      <c r="C55" s="22" t="s">
        <v>4098</v>
      </c>
      <c r="D55" s="14"/>
    </row>
    <row r="56" spans="2:14" s="3" customFormat="1" ht="20" customHeight="1">
      <c r="B56" s="21" t="s">
        <v>560</v>
      </c>
      <c r="C56" s="22" t="str">
        <f>CONCATENATE(prefix_mgmt_az1_cidr,"18.11")</f>
        <v>10.11.18.11</v>
      </c>
      <c r="D56" s="14"/>
    </row>
    <row r="57" spans="2:14" s="3" customFormat="1" ht="20" customHeight="1">
      <c r="B57" s="21" t="s">
        <v>561</v>
      </c>
      <c r="C57" s="22" t="str">
        <f>IF(wld_domain_chosen="First Domain",CONCATENATE(asn_start,asn_instance,asn_mgmt_az2,1),IF(wld_nsxt_federation_result="Included",CONCATENATE(asn_start,asn_instance,asn_mgmt_az2,1),CONCATENATE(asn_start,asn_instance,asn_mgmt_az2,1)))</f>
        <v>65121</v>
      </c>
      <c r="D57" s="14"/>
    </row>
    <row r="58" spans="2:14" s="3" customFormat="1" ht="20" customHeight="1">
      <c r="B58" s="21" t="s">
        <v>562</v>
      </c>
      <c r="C58" s="22" t="s">
        <v>4098</v>
      </c>
      <c r="D58" s="14"/>
    </row>
    <row r="59" spans="2:14" s="3" customFormat="1" ht="16" customHeight="1"/>
    <row r="60" spans="2:14" s="4" customFormat="1" ht="34" customHeight="1">
      <c r="B60" s="427" t="s">
        <v>565</v>
      </c>
      <c r="C60" s="428"/>
      <c r="D60" s="428"/>
      <c r="E60" s="428"/>
      <c r="F60" s="428"/>
      <c r="G60" s="428"/>
      <c r="H60" s="428"/>
      <c r="I60" s="428"/>
      <c r="J60" s="428"/>
      <c r="K60" s="426"/>
      <c r="L60" s="3"/>
      <c r="M60" s="3"/>
    </row>
    <row r="61" spans="2:14" s="3" customFormat="1" ht="20" customHeight="1">
      <c r="B61" s="419" t="s">
        <v>529</v>
      </c>
      <c r="C61" s="420"/>
      <c r="D61" s="420"/>
      <c r="E61" s="420"/>
      <c r="F61" s="420"/>
      <c r="G61" s="420"/>
      <c r="H61" s="420"/>
      <c r="I61" s="420"/>
      <c r="J61" s="420"/>
      <c r="K61" s="421"/>
      <c r="M61" s="42"/>
    </row>
    <row r="62" spans="2:14" s="3" customFormat="1" ht="20" customHeight="1">
      <c r="B62" s="8" t="s">
        <v>530</v>
      </c>
      <c r="C62" s="8" t="s">
        <v>531</v>
      </c>
      <c r="D62" s="20" t="s">
        <v>532</v>
      </c>
      <c r="E62" s="8" t="s">
        <v>533</v>
      </c>
      <c r="F62" s="20" t="s">
        <v>534</v>
      </c>
      <c r="G62" s="8" t="s">
        <v>535</v>
      </c>
      <c r="H62" s="20" t="s">
        <v>536</v>
      </c>
      <c r="I62" s="8" t="s">
        <v>537</v>
      </c>
      <c r="J62" s="20" t="s">
        <v>538</v>
      </c>
      <c r="K62" s="8" t="s">
        <v>222</v>
      </c>
      <c r="M62" s="42"/>
    </row>
    <row r="63" spans="2:14" s="3" customFormat="1" ht="20" customHeight="1">
      <c r="B63" s="21" t="s">
        <v>3184</v>
      </c>
      <c r="C63" s="22" t="str">
        <f>IF(mgmt_dpg_separation_result="Included",CONCATENATE(prefix_mgmt_witness_vlan,"10"),CONCATENATE(prefix_mgmt_witness_vlan,"11"))</f>
        <v>2110</v>
      </c>
      <c r="D63" s="14"/>
      <c r="E63" s="22" t="str">
        <f>IF(mgmt_dpg_separation_result="Included",CONCATENATE(prefix_mgmt_witness_cidr,"10.0/24"),CONCATENATE(prefix_mgmt_witness_cidr,"11.0/24"))</f>
        <v>10.21.10.0/24</v>
      </c>
      <c r="F63" s="14"/>
      <c r="G63" s="22" t="str">
        <f>IF(mgmt_dpg_separation_result="Included",CONCATENATE(prefix_mgmt_witness_cidr,"10.1"),CONCATENATE(prefix_mgmt_witness_cidr,"11.1"))</f>
        <v>10.21.10.1</v>
      </c>
      <c r="H63" s="14"/>
      <c r="I63" s="22">
        <v>1500</v>
      </c>
      <c r="J63" s="14"/>
      <c r="K63" s="40"/>
      <c r="L63" s="44"/>
      <c r="M63" s="42"/>
    </row>
    <row r="64" spans="2:14" s="3" customFormat="1" ht="16" customHeight="1"/>
    <row r="65" spans="2:16" s="3" customFormat="1" ht="34" customHeight="1">
      <c r="B65" s="427" t="s">
        <v>3998</v>
      </c>
      <c r="C65" s="428"/>
      <c r="D65" s="428"/>
      <c r="E65" s="428"/>
      <c r="F65" s="428"/>
      <c r="G65" s="428"/>
      <c r="H65" s="428"/>
      <c r="I65" s="428"/>
      <c r="J65" s="428"/>
      <c r="K65" s="426"/>
      <c r="L65" s="4"/>
    </row>
    <row r="66" spans="2:16" s="3" customFormat="1" ht="20" customHeight="1">
      <c r="B66" s="419" t="s">
        <v>529</v>
      </c>
      <c r="C66" s="420"/>
      <c r="D66" s="420"/>
      <c r="E66" s="420"/>
      <c r="F66" s="420"/>
      <c r="G66" s="420"/>
      <c r="H66" s="420"/>
      <c r="I66" s="420"/>
      <c r="J66" s="420"/>
      <c r="K66" s="421"/>
      <c r="M66" s="42"/>
    </row>
    <row r="67" spans="2:16" s="3" customFormat="1" ht="20" customHeight="1">
      <c r="B67" s="8" t="s">
        <v>530</v>
      </c>
      <c r="C67" s="8" t="s">
        <v>531</v>
      </c>
      <c r="D67" s="20" t="s">
        <v>532</v>
      </c>
      <c r="E67" s="8" t="s">
        <v>533</v>
      </c>
      <c r="F67" s="20" t="s">
        <v>534</v>
      </c>
      <c r="G67" s="8" t="s">
        <v>535</v>
      </c>
      <c r="H67" s="20" t="s">
        <v>536</v>
      </c>
      <c r="I67" s="8" t="s">
        <v>537</v>
      </c>
      <c r="J67" s="20" t="s">
        <v>538</v>
      </c>
      <c r="K67" s="8" t="s">
        <v>222</v>
      </c>
      <c r="M67" s="42"/>
    </row>
    <row r="68" spans="2:16" s="3" customFormat="1" ht="20" customHeight="1">
      <c r="B68" s="21" t="s">
        <v>3184</v>
      </c>
      <c r="C68" s="22" t="str">
        <f>IF(wld_dpg_separation_result="Included",CONCATENATE(prefix_wld_az1_vlan,"10"),CONCATENATE(prefix_wld_az1_vlan,"11"))</f>
        <v>1311</v>
      </c>
      <c r="D68" s="14"/>
      <c r="E68" s="22" t="str">
        <f>IF(wld_dpg_separation_result="Included",CONCATENATE(prefix_wld_az1_cidr,"10.0/24"),CONCATENATE(prefix_wld_az1_cidr,"11.0/24"))</f>
        <v>10.13.11.0/24</v>
      </c>
      <c r="F68" s="14"/>
      <c r="G68" s="22" t="str">
        <f>IF(wld_dpg_separation_result="Included",CONCATENATE(prefix_wld_az1_cidr,"10.1"),CONCATENATE(prefix_wld_az1_cidr,"11.1"))</f>
        <v>10.13.11.1</v>
      </c>
      <c r="H68" s="14"/>
      <c r="I68" s="22">
        <v>1500</v>
      </c>
      <c r="J68" s="14"/>
      <c r="K68" s="54" t="str">
        <f>IF(AND(wld_stretched_cluster_result="Included",mgmt_dpg_separation_result="Included"),"Stretched L2","")</f>
        <v/>
      </c>
      <c r="M68" s="42"/>
    </row>
    <row r="69" spans="2:16" s="3" customFormat="1" ht="20" customHeight="1">
      <c r="B69" s="21" t="s">
        <v>4235</v>
      </c>
      <c r="C69" s="22" t="str">
        <f>CONCATENATE(prefix_wld_az1_vlan,"11")</f>
        <v>1311</v>
      </c>
      <c r="D69" s="14"/>
      <c r="E69" s="22" t="str">
        <f>CONCATENATE(prefix_wld_az1_cidr,"11.0/24")</f>
        <v>10.13.11.0/24</v>
      </c>
      <c r="F69" s="14"/>
      <c r="G69" s="22" t="str">
        <f>CONCATENATE(prefix_wld_az1_cidr,"11.1")</f>
        <v>10.13.11.1</v>
      </c>
      <c r="H69" s="14"/>
      <c r="I69" s="22">
        <v>1500</v>
      </c>
      <c r="J69" s="14"/>
      <c r="K69" s="54" t="str">
        <f>IF(AND(wld_stretched_cluster_result="Included",mgmt_dpg_separation_result="Excluded"),"Stretched L2","")</f>
        <v/>
      </c>
      <c r="M69" s="42"/>
      <c r="N69" s="45"/>
      <c r="O69" s="45"/>
      <c r="P69" s="45"/>
    </row>
    <row r="70" spans="2:16" s="3" customFormat="1" ht="20" customHeight="1">
      <c r="B70" s="21" t="s">
        <v>540</v>
      </c>
      <c r="C70" s="22" t="str">
        <f>CONCATENATE(prefix_wld_az1_vlan,"12")</f>
        <v>1312</v>
      </c>
      <c r="D70" s="14"/>
      <c r="E70" s="22" t="str">
        <f>CONCATENATE(prefix_wld_az1_cidr,"12.0/24")</f>
        <v>10.13.12.0/24</v>
      </c>
      <c r="F70" s="14"/>
      <c r="G70" s="22" t="str">
        <f>CONCATENATE(prefix_wld_az1_cidr,"12.1")</f>
        <v>10.13.12.1</v>
      </c>
      <c r="H70" s="14"/>
      <c r="I70" s="22">
        <v>9000</v>
      </c>
      <c r="J70" s="14"/>
      <c r="K70" s="40"/>
      <c r="M70" s="42"/>
      <c r="N70" s="45"/>
      <c r="O70" s="45"/>
      <c r="P70" s="45"/>
    </row>
    <row r="71" spans="2:16" s="3" customFormat="1" ht="20" customHeight="1">
      <c r="B71" s="21" t="str">
        <f>_xlfn.CONCAT("Principal Storage Network (",wld_principal_storage_chosen,")")</f>
        <v>Principal Storage Network (vSAN-ESA)</v>
      </c>
      <c r="C71" s="22" t="str">
        <f>CONCATENATE(prefix_wld_az1_vlan,"13")</f>
        <v>1313</v>
      </c>
      <c r="D71" s="194"/>
      <c r="E71" s="22" t="str">
        <f>CONCATENATE(prefix_wld_az1_cidr,"13.0/24")</f>
        <v>10.13.13.0/24</v>
      </c>
      <c r="F71" s="14"/>
      <c r="G71" s="22" t="str">
        <f>CONCATENATE(prefix_wld_az1_cidr,"13.1")</f>
        <v>10.13.13.1</v>
      </c>
      <c r="H71" s="14"/>
      <c r="I71" s="22">
        <v>9000</v>
      </c>
      <c r="J71" s="14"/>
      <c r="K71" s="41" t="s">
        <v>542</v>
      </c>
      <c r="M71" s="42"/>
      <c r="N71" s="45"/>
      <c r="O71" s="45"/>
      <c r="P71" s="45"/>
    </row>
    <row r="72" spans="2:16" s="3" customFormat="1" ht="20" customHeight="1">
      <c r="B72" s="21" t="s">
        <v>543</v>
      </c>
      <c r="C72" s="22" t="str">
        <f>CONCATENATE(prefix_wld_az1_vlan,"14")</f>
        <v>1314</v>
      </c>
      <c r="D72" s="14"/>
      <c r="E72" s="22" t="str">
        <f>CONCATENATE(prefix_wld_az1_cidr,"14.0/24")</f>
        <v>10.13.14.0/24</v>
      </c>
      <c r="F72" s="14"/>
      <c r="G72" s="22" t="str">
        <f>CONCATENATE(prefix_wld_az1_cidr,"14.1")</f>
        <v>10.13.14.1</v>
      </c>
      <c r="H72" s="14"/>
      <c r="I72" s="22">
        <v>9000</v>
      </c>
      <c r="J72" s="14"/>
      <c r="K72" s="41" t="str">
        <f>IF(wld_host_overlay_addressing_chosen="Static","","DHCP")</f>
        <v/>
      </c>
      <c r="M72" s="42"/>
      <c r="N72" s="45"/>
      <c r="O72" s="45"/>
      <c r="P72" s="45"/>
    </row>
    <row r="73" spans="2:16" s="3" customFormat="1" ht="20" customHeight="1">
      <c r="B73" s="21" t="s">
        <v>566</v>
      </c>
      <c r="C73" s="22" t="str">
        <f>CONCATENATE(prefix_wld_az1_vlan,"15")</f>
        <v>1315</v>
      </c>
      <c r="D73" s="14"/>
      <c r="E73" s="22" t="str">
        <f>CONCATENATE(prefix_wld_az1_cidr,"15.0/24")</f>
        <v>10.13.15.0/24</v>
      </c>
      <c r="F73" s="14"/>
      <c r="G73" s="22" t="str">
        <f>CONCATENATE(prefix_wld_az1_cidr,"15.1")</f>
        <v>10.13.15.1</v>
      </c>
      <c r="H73" s="14"/>
      <c r="I73" s="22">
        <v>9000</v>
      </c>
      <c r="J73" s="14"/>
      <c r="K73" s="41"/>
      <c r="M73" s="42"/>
      <c r="N73" s="45"/>
      <c r="O73" s="45"/>
      <c r="P73" s="45"/>
    </row>
    <row r="74" spans="2:16" s="3" customFormat="1" ht="20" customHeight="1">
      <c r="B74" s="21" t="s">
        <v>548</v>
      </c>
      <c r="C74" s="22" t="str">
        <f>CONCATENATE(prefix_wld_az1_vlan,"16")</f>
        <v>1316</v>
      </c>
      <c r="D74" s="14"/>
      <c r="E74" s="22" t="str">
        <f>CONCATENATE(prefix_wld_az1_cidr,"16.0/24")</f>
        <v>10.13.16.0/24</v>
      </c>
      <c r="F74" s="14"/>
      <c r="G74" s="22" t="str">
        <f>CONCATENATE(prefix_wld_az1_cidr,"16.1")</f>
        <v>10.13.16.1</v>
      </c>
      <c r="H74" s="14"/>
      <c r="I74" s="22">
        <v>9000</v>
      </c>
      <c r="J74" s="14"/>
      <c r="K74" s="54" t="str">
        <f>IF(wld_stretched_cluster_result="Included","Stretched L2","")</f>
        <v/>
      </c>
      <c r="M74" s="42"/>
      <c r="N74" s="45"/>
      <c r="O74" s="45"/>
      <c r="P74" s="45"/>
    </row>
    <row r="75" spans="2:16" s="3" customFormat="1" ht="20" customHeight="1">
      <c r="B75" s="21" t="s">
        <v>544</v>
      </c>
      <c r="C75" s="22" t="str">
        <f>CONCATENATE(prefix_wld_az1_vlan,"17")</f>
        <v>1317</v>
      </c>
      <c r="D75" s="14"/>
      <c r="E75" s="22" t="str">
        <f>CONCATENATE(prefix_wld_az1_cidr,"17.0/24")</f>
        <v>10.13.17.0/24</v>
      </c>
      <c r="F75" s="14"/>
      <c r="G75" s="22" t="str">
        <f>CONCATENATE(prefix_wld_az1_cidr,"17.1")</f>
        <v>10.13.17.1</v>
      </c>
      <c r="H75" s="14"/>
      <c r="I75" s="22">
        <v>9000</v>
      </c>
      <c r="J75" s="14"/>
      <c r="K75" s="54" t="str">
        <f>IF(wld_stretched_cluster_result="Included","Stretched L2","")</f>
        <v/>
      </c>
      <c r="M75" s="42"/>
      <c r="N75" s="45"/>
      <c r="O75" s="45"/>
      <c r="P75" s="45"/>
    </row>
    <row r="76" spans="2:16" s="3" customFormat="1" ht="20" customHeight="1">
      <c r="B76" s="21" t="s">
        <v>545</v>
      </c>
      <c r="C76" s="22" t="str">
        <f>CONCATENATE(prefix_wld_az1_vlan,"18")</f>
        <v>1318</v>
      </c>
      <c r="D76" s="14"/>
      <c r="E76" s="22" t="str">
        <f>CONCATENATE(prefix_wld_az1_cidr,"18.0/24")</f>
        <v>10.13.18.0/24</v>
      </c>
      <c r="F76" s="14"/>
      <c r="G76" s="22" t="str">
        <f>CONCATENATE(prefix_wld_az1_cidr,"18.1")</f>
        <v>10.13.18.1</v>
      </c>
      <c r="H76" s="14"/>
      <c r="I76" s="22">
        <v>9000</v>
      </c>
      <c r="J76" s="14"/>
      <c r="K76" s="54" t="str">
        <f>IF(wld_stretched_cluster_result="Included","Stretched L2","")</f>
        <v/>
      </c>
      <c r="M76" s="42"/>
      <c r="N76" s="45"/>
      <c r="O76" s="45"/>
      <c r="P76" s="45"/>
    </row>
    <row r="77" spans="2:16" s="3" customFormat="1" ht="20" customHeight="1">
      <c r="B77" s="21" t="s">
        <v>546</v>
      </c>
      <c r="C77" s="22" t="str">
        <f>CONCATENATE(prefix_wld_az1_vlan,"19")</f>
        <v>1319</v>
      </c>
      <c r="D77" s="14"/>
      <c r="E77" s="22" t="str">
        <f>CONCATENATE(prefix_wld_az1_cidr,"19.0/24")</f>
        <v>10.13.19.0/24</v>
      </c>
      <c r="F77" s="14"/>
      <c r="G77" s="22" t="str">
        <f>CONCATENATE(prefix_wld_az1_cidr,"19.1")</f>
        <v>10.13.19.1</v>
      </c>
      <c r="H77" s="14"/>
      <c r="I77" s="22">
        <v>9000</v>
      </c>
      <c r="J77" s="14"/>
      <c r="K77" s="54" t="str">
        <f>IF(wld_stretched_cluster_result="Included","Stretched L2","")</f>
        <v/>
      </c>
      <c r="M77" s="42"/>
      <c r="N77" s="45"/>
      <c r="O77" s="45"/>
      <c r="P77" s="45"/>
    </row>
    <row r="78" spans="2:16" s="3" customFormat="1" ht="20" customHeight="1">
      <c r="B78" s="21" t="s">
        <v>547</v>
      </c>
      <c r="C78" s="22" t="str">
        <f>CONCATENATE(prefix_wld_az1_vlan,"20")</f>
        <v>1320</v>
      </c>
      <c r="D78" s="14"/>
      <c r="E78" s="22" t="str">
        <f>CONCATENATE(prefix_wld_az1_cidr,"20.0/24")</f>
        <v>10.13.20.0/24</v>
      </c>
      <c r="F78" s="14"/>
      <c r="G78" s="22" t="str">
        <f>CONCATENATE(prefix_wld_az1_cidr,"20.1")</f>
        <v>10.13.20.1</v>
      </c>
      <c r="H78" s="14"/>
      <c r="I78" s="22">
        <v>9000</v>
      </c>
      <c r="J78" s="14"/>
      <c r="K78" s="54" t="str">
        <f>IF(AND((wld_stretched_cluster_result="Included"),(wld_nsxt_federation_result="Included")),"Stretched L2. MTU must be configured on all infrastructure between federated VCF instances",IF(wld_stretched_cluster_result="Included","Stretched L2",IF(wld_nsxt_federation_result="Included","MTU must be configured on all infrastructure between federated VCF instances","")))</f>
        <v/>
      </c>
      <c r="M78" s="42"/>
      <c r="N78" s="45"/>
      <c r="O78" s="45"/>
      <c r="P78" s="45"/>
    </row>
    <row r="79" spans="2:16" s="3" customFormat="1" ht="16" customHeight="1"/>
    <row r="80" spans="2:16" s="3" customFormat="1" ht="34" customHeight="1">
      <c r="B80" s="427" t="s">
        <v>3999</v>
      </c>
      <c r="C80" s="428"/>
      <c r="D80" s="426"/>
    </row>
    <row r="81" spans="2:16" s="3" customFormat="1" ht="20" customHeight="1">
      <c r="B81" s="8" t="s">
        <v>553</v>
      </c>
      <c r="C81" s="8" t="s">
        <v>554</v>
      </c>
      <c r="D81" s="20" t="s">
        <v>555</v>
      </c>
    </row>
    <row r="82" spans="2:16" s="3" customFormat="1" ht="20" customHeight="1">
      <c r="B82" s="21" t="s">
        <v>556</v>
      </c>
      <c r="C82" s="22" t="str">
        <f>IF(mgmt_domain_chosen="First Domain","65102",IF(mgmt_nsxt_federation_result="Included","65102","65202"))</f>
        <v>65102</v>
      </c>
      <c r="D82" s="14"/>
    </row>
    <row r="83" spans="2:16" s="3" customFormat="1" ht="20" customHeight="1">
      <c r="B83" s="21" t="s">
        <v>557</v>
      </c>
      <c r="C83" s="22" t="str">
        <f>CONCATENATE(prefix_wld_az1_cidr,"17.10")</f>
        <v>10.13.17.10</v>
      </c>
      <c r="D83" s="14"/>
    </row>
    <row r="84" spans="2:16" s="3" customFormat="1" ht="20" customHeight="1">
      <c r="B84" s="21" t="s">
        <v>558</v>
      </c>
      <c r="C84" s="22" t="str">
        <f>IF(wld_domain_chosen="First Domain",CONCATENATE(asn_start,asn_instance,asn_wld_az1,1),IF(wld_nsxt_federation_result="Included",CONCATENATE(asn_start,asn_instance,asn_wld_az1,1),CONCATENATE(asn_start,asn_instance,asn_wld_az1,1)))</f>
        <v>65131</v>
      </c>
      <c r="D84" s="14"/>
    </row>
    <row r="85" spans="2:16" s="3" customFormat="1" ht="20" customHeight="1">
      <c r="B85" s="21" t="s">
        <v>559</v>
      </c>
      <c r="C85" s="22" t="s">
        <v>4098</v>
      </c>
      <c r="D85" s="14"/>
    </row>
    <row r="86" spans="2:16" s="3" customFormat="1" ht="20" customHeight="1">
      <c r="B86" s="21" t="s">
        <v>560</v>
      </c>
      <c r="C86" s="22" t="str">
        <f>CONCATENATE(prefix_wld_az1_cidr,"18.10")</f>
        <v>10.13.18.10</v>
      </c>
      <c r="D86" s="14"/>
    </row>
    <row r="87" spans="2:16" s="3" customFormat="1" ht="20" customHeight="1">
      <c r="B87" s="21" t="s">
        <v>561</v>
      </c>
      <c r="C87" s="22" t="str">
        <f>IF(wld_domain_chosen="First Domain",CONCATENATE(asn_start,asn_instance,asn_wld_az1,1),IF(wld_nsxt_federation_result="Included",CONCATENATE(asn_start,asn_instance,asn_wld_az1,1),CONCATENATE(asn_start,asn_instance,asn_wld_az1,1)))</f>
        <v>65131</v>
      </c>
      <c r="D87" s="14"/>
    </row>
    <row r="88" spans="2:16" s="3" customFormat="1" ht="20" customHeight="1">
      <c r="B88" s="21" t="s">
        <v>562</v>
      </c>
      <c r="C88" s="22" t="s">
        <v>4098</v>
      </c>
      <c r="D88" s="14"/>
    </row>
    <row r="89" spans="2:16" s="3" customFormat="1" ht="16" customHeight="1"/>
    <row r="90" spans="2:16" s="3" customFormat="1" ht="34" customHeight="1">
      <c r="B90" s="427" t="s">
        <v>4000</v>
      </c>
      <c r="C90" s="428"/>
      <c r="D90" s="428"/>
      <c r="E90" s="428"/>
      <c r="F90" s="428"/>
      <c r="G90" s="428"/>
      <c r="H90" s="428"/>
      <c r="I90" s="428"/>
      <c r="J90" s="428"/>
      <c r="K90" s="426"/>
      <c r="M90" s="42"/>
    </row>
    <row r="91" spans="2:16" s="3" customFormat="1" ht="20" customHeight="1">
      <c r="B91" s="419" t="s">
        <v>529</v>
      </c>
      <c r="C91" s="420"/>
      <c r="D91" s="420"/>
      <c r="E91" s="420"/>
      <c r="F91" s="420"/>
      <c r="G91" s="420"/>
      <c r="H91" s="420"/>
      <c r="I91" s="420"/>
      <c r="J91" s="420"/>
      <c r="K91" s="421"/>
      <c r="M91" s="42"/>
    </row>
    <row r="92" spans="2:16" s="3" customFormat="1" ht="20" customHeight="1">
      <c r="B92" s="8" t="s">
        <v>530</v>
      </c>
      <c r="C92" s="8" t="s">
        <v>531</v>
      </c>
      <c r="D92" s="20" t="s">
        <v>532</v>
      </c>
      <c r="E92" s="8" t="s">
        <v>533</v>
      </c>
      <c r="F92" s="20" t="s">
        <v>534</v>
      </c>
      <c r="G92" s="8" t="s">
        <v>535</v>
      </c>
      <c r="H92" s="20" t="s">
        <v>536</v>
      </c>
      <c r="I92" s="8" t="s">
        <v>537</v>
      </c>
      <c r="J92" s="20" t="s">
        <v>538</v>
      </c>
      <c r="K92" s="8" t="s">
        <v>222</v>
      </c>
      <c r="M92" s="43"/>
    </row>
    <row r="93" spans="2:16" s="3" customFormat="1" ht="20" customHeight="1">
      <c r="B93" s="21" t="s">
        <v>4235</v>
      </c>
      <c r="C93" s="22" t="str">
        <f>CONCATENATE(prefix_wld_az2_vlan,"11")</f>
        <v>1411</v>
      </c>
      <c r="D93" s="14"/>
      <c r="E93" s="22" t="str">
        <f>CONCATENATE(prefix_wld_az2_cidr,"11.0/24")</f>
        <v>10.14.11.0/24</v>
      </c>
      <c r="F93" s="14"/>
      <c r="G93" s="22" t="str">
        <f>CONCATENATE(prefix_wld_az2_cidr,"11.1")</f>
        <v>10.14.11.1</v>
      </c>
      <c r="H93" s="14"/>
      <c r="I93" s="22">
        <v>1500</v>
      </c>
      <c r="J93" s="14"/>
      <c r="K93" s="40"/>
      <c r="M93" s="43"/>
      <c r="N93" s="45"/>
      <c r="O93" s="45"/>
      <c r="P93" s="45"/>
    </row>
    <row r="94" spans="2:16" s="3" customFormat="1" ht="20" customHeight="1">
      <c r="B94" s="21" t="s">
        <v>540</v>
      </c>
      <c r="C94" s="22" t="str">
        <f>CONCATENATE(prefix_wld_az2_vlan,"12")</f>
        <v>1412</v>
      </c>
      <c r="D94" s="14"/>
      <c r="E94" s="22" t="str">
        <f>CONCATENATE(prefix_wld_az2_cidr,"12.0/24")</f>
        <v>10.14.12.0/24</v>
      </c>
      <c r="F94" s="14"/>
      <c r="G94" s="22" t="str">
        <f>CONCATENATE(prefix_wld_az2_cidr,"12.1")</f>
        <v>10.14.12.1</v>
      </c>
      <c r="H94" s="14"/>
      <c r="I94" s="22">
        <v>9000</v>
      </c>
      <c r="J94" s="14"/>
      <c r="K94" s="40"/>
      <c r="M94" s="43"/>
      <c r="N94" s="45"/>
      <c r="O94" s="45"/>
      <c r="P94" s="45"/>
    </row>
    <row r="95" spans="2:16" s="3" customFormat="1" ht="20" customHeight="1">
      <c r="B95" s="21" t="str">
        <f>_xlfn.CONCAT("Principal Storage Network (",wld_principal_storage_chosen,")")</f>
        <v>Principal Storage Network (vSAN-ESA)</v>
      </c>
      <c r="C95" s="22" t="str">
        <f>CONCATENATE(prefix_wld_az2_vlan,"13")</f>
        <v>1413</v>
      </c>
      <c r="D95" s="14"/>
      <c r="E95" s="22" t="str">
        <f>CONCATENATE(prefix_wld_az2_cidr,"13.0/24")</f>
        <v>10.14.13.0/24</v>
      </c>
      <c r="F95" s="14"/>
      <c r="G95" s="22" t="str">
        <f>CONCATENATE(prefix_wld_az2_cidr,"13.1")</f>
        <v>10.14.13.1</v>
      </c>
      <c r="H95" s="14"/>
      <c r="I95" s="22">
        <v>9000</v>
      </c>
      <c r="J95" s="14"/>
      <c r="K95" s="41" t="s">
        <v>542</v>
      </c>
      <c r="M95" s="43"/>
      <c r="N95" s="45"/>
      <c r="O95" s="45"/>
      <c r="P95" s="45"/>
    </row>
    <row r="96" spans="2:16" s="3" customFormat="1" ht="20" customHeight="1">
      <c r="B96" s="21" t="s">
        <v>543</v>
      </c>
      <c r="C96" s="22" t="str">
        <f>CONCATENATE(prefix_wld_az2_vlan,"14")</f>
        <v>1414</v>
      </c>
      <c r="D96" s="14"/>
      <c r="E96" s="22" t="str">
        <f>CONCATENATE(prefix_wld_az2_cidr,"14.0/24")</f>
        <v>10.14.14.0/24</v>
      </c>
      <c r="F96" s="14"/>
      <c r="G96" s="22" t="str">
        <f>CONCATENATE(prefix_wld_az2_cidr,"14.1")</f>
        <v>10.14.14.1</v>
      </c>
      <c r="H96" s="14"/>
      <c r="I96" s="22">
        <v>9000</v>
      </c>
      <c r="J96" s="14"/>
      <c r="K96" s="41" t="str">
        <f>IF(wld_host_overlay_addressing_chosen="Static","","DHCP")</f>
        <v/>
      </c>
      <c r="M96" s="43"/>
      <c r="N96" s="45"/>
      <c r="O96" s="45"/>
      <c r="P96" s="45"/>
    </row>
    <row r="97" spans="2:16" s="3" customFormat="1" ht="20" customHeight="1">
      <c r="B97" s="21" t="s">
        <v>566</v>
      </c>
      <c r="C97" s="22" t="str">
        <f>CONCATENATE(prefix_wld_az2_vlan,"15")</f>
        <v>1415</v>
      </c>
      <c r="D97" s="14"/>
      <c r="E97" s="22" t="str">
        <f>CONCATENATE(prefix_wld_az2_cidr,"15.0/24")</f>
        <v>10.14.15.0/24</v>
      </c>
      <c r="F97" s="14"/>
      <c r="G97" s="22" t="str">
        <f>CONCATENATE(prefix_wld_az2_cidr,"15.1")</f>
        <v>10.14.15.1</v>
      </c>
      <c r="H97" s="14"/>
      <c r="I97" s="22">
        <v>9000</v>
      </c>
      <c r="J97" s="14"/>
      <c r="K97" s="41"/>
      <c r="M97" s="42"/>
      <c r="N97" s="45"/>
      <c r="O97" s="45"/>
      <c r="P97" s="45"/>
    </row>
    <row r="98" spans="2:16" s="3" customFormat="1" ht="20" customHeight="1">
      <c r="B98" s="21" t="s">
        <v>548</v>
      </c>
      <c r="C98" s="22" t="str">
        <f>sample_wld_az1_vrms_vlan</f>
        <v>1316</v>
      </c>
      <c r="D98" s="18" t="str">
        <f>IF(NOT(ISBLANK(input_wld_az1_vrms_vlan)),input_wld_az1_vrms_vlan,"")</f>
        <v/>
      </c>
      <c r="E98" s="22" t="str">
        <f>sample_wld_az1_vrms_cidr</f>
        <v>10.13.16.0/24</v>
      </c>
      <c r="F98" s="18" t="str">
        <f>IF(NOT(ISBLANK(input_wld_az1_vrms_cidr)),input_wld_az1_vrms_cidr,"")</f>
        <v/>
      </c>
      <c r="G98" s="22" t="str">
        <f>sample_wld_az1_vrms_gateway_ip</f>
        <v>10.13.16.1</v>
      </c>
      <c r="H98" s="18" t="str">
        <f>IF(NOT(ISBLANK(input_wld_az1_vrms_gateway_ip)),input_wld_az1_vrms_gateway_ip,"")</f>
        <v/>
      </c>
      <c r="I98" s="22">
        <f>sample_wld_az1_vrms_mtu</f>
        <v>9000</v>
      </c>
      <c r="J98" s="14" t="str">
        <f>IF(NOT(ISBLANK(input_wld_az1_vrms_mtu)),input_wld_az1_vrms_mtu,"")</f>
        <v/>
      </c>
      <c r="K98" s="54" t="str">
        <f>IF(wld_stretched_cluster_result="Included","Stretched L2","")</f>
        <v/>
      </c>
      <c r="M98" s="42"/>
      <c r="N98" s="45"/>
      <c r="O98" s="45"/>
      <c r="P98" s="45"/>
    </row>
    <row r="99" spans="2:16" s="3" customFormat="1" ht="20" customHeight="1">
      <c r="B99" s="21" t="s">
        <v>544</v>
      </c>
      <c r="C99" s="22" t="str">
        <f>sample_wld_az1_uplink01_vlan</f>
        <v>1317</v>
      </c>
      <c r="D99" s="18" t="str">
        <f>IF(NOT(ISBLANK(input_wld_az1_uplink01_vlan)),input_wld_az1_uplink01_vlan,"")</f>
        <v/>
      </c>
      <c r="E99" s="22" t="str">
        <f>E75</f>
        <v>10.13.17.0/24</v>
      </c>
      <c r="F99" s="18" t="str">
        <f>IF(NOT(ISBLANK(input_wld_az1_uplink01_cidr)),input_wld_az1_uplink01_cidr,"")</f>
        <v/>
      </c>
      <c r="G99" s="22" t="str">
        <f>G75</f>
        <v>10.13.17.1</v>
      </c>
      <c r="H99" s="18" t="str">
        <f>IF(NOT(ISBLANK(input_wld_az1_uplink01_gateway_ip)),input_wld_az1_uplink01_gateway_ip,"")</f>
        <v/>
      </c>
      <c r="I99" s="22">
        <f>I75</f>
        <v>9000</v>
      </c>
      <c r="J99" s="18" t="str">
        <f>IF(NOT(ISBLANK(input_wld_az1_uplink01_mtu)),input_wld_az1_uplink01_mtu,"")</f>
        <v/>
      </c>
      <c r="K99" s="54" t="str">
        <f>IF(wld_stretched_cluster_result="Included","Stretched L2","")</f>
        <v/>
      </c>
      <c r="M99" s="42"/>
      <c r="N99" s="45"/>
      <c r="O99" s="45"/>
      <c r="P99" s="45"/>
    </row>
    <row r="100" spans="2:16" s="3" customFormat="1" ht="20" customHeight="1">
      <c r="B100" s="21" t="s">
        <v>545</v>
      </c>
      <c r="C100" s="22" t="str">
        <f>sample_wld_az1_uplink02_vlan</f>
        <v>1318</v>
      </c>
      <c r="D100" s="18" t="str">
        <f>IF(NOT(ISBLANK(input_wld_az1_uplink02_vlan)),input_wld_az1_uplink02_vlan,"")</f>
        <v/>
      </c>
      <c r="E100" s="22" t="str">
        <f>E76</f>
        <v>10.13.18.0/24</v>
      </c>
      <c r="F100" s="18" t="str">
        <f>IF(NOT(ISBLANK(input_wld_az1_uplink02_cidr)),input_wld_az1_uplink02_cidr,"")</f>
        <v/>
      </c>
      <c r="G100" s="22" t="str">
        <f>G76</f>
        <v>10.13.18.1</v>
      </c>
      <c r="H100" s="18" t="str">
        <f>IF(NOT(ISBLANK(input_wld_az1_uplink02_gateway_ip)),input_wld_az1_uplink02_gateway_ip,"")</f>
        <v/>
      </c>
      <c r="I100" s="22">
        <f>I76</f>
        <v>9000</v>
      </c>
      <c r="J100" s="18" t="str">
        <f>IF(NOT(ISBLANK(input_wld_az1_uplink02_mtu)),input_wld_az1_uplink02_mtu,"")</f>
        <v/>
      </c>
      <c r="K100" s="54" t="str">
        <f>IF(wld_stretched_cluster_result="Included","Stretched L2","")</f>
        <v/>
      </c>
      <c r="M100" s="42"/>
      <c r="N100" s="45"/>
      <c r="O100" s="45"/>
      <c r="P100" s="45"/>
    </row>
    <row r="101" spans="2:16" s="3" customFormat="1" ht="20" customHeight="1">
      <c r="B101" s="21" t="s">
        <v>546</v>
      </c>
      <c r="C101" s="22" t="str">
        <f>sample_wld_az1_edge_overlay_vlan</f>
        <v>1319</v>
      </c>
      <c r="D101" s="18" t="str">
        <f>IF(NOT(ISBLANK(input_wld_az1_edge_overlay_vlan)),input_wld_az1_edge_overlay_vlan,"")</f>
        <v/>
      </c>
      <c r="E101" s="22" t="str">
        <f>E77</f>
        <v>10.13.19.0/24</v>
      </c>
      <c r="F101" s="18" t="str">
        <f>IF(NOT(ISBLANK(input_wld_az1_edge_overlay_cidr)),input_wld_az1_edge_overlay_cidr,"")</f>
        <v/>
      </c>
      <c r="G101" s="22" t="str">
        <f>G77</f>
        <v>10.13.19.1</v>
      </c>
      <c r="H101" s="18" t="str">
        <f>IF(NOT(ISBLANK(input_wld_az1_edge_overlay_gateway_ip)),input_wld_az1_edge_overlay_gateway_ip,"")</f>
        <v/>
      </c>
      <c r="I101" s="22">
        <f>I77</f>
        <v>9000</v>
      </c>
      <c r="J101" s="18" t="str">
        <f>IF(NOT(ISBLANK(input_wld_az1_edge_overlay_mtu)),input_wld_az1_edge_overlay_mtu,"")</f>
        <v/>
      </c>
      <c r="K101" s="54" t="str">
        <f>IF(wld_stretched_cluster_result="Included","Stretched L2","")</f>
        <v/>
      </c>
      <c r="M101" s="42"/>
      <c r="N101" s="45"/>
      <c r="O101" s="45"/>
      <c r="P101" s="45"/>
    </row>
    <row r="102" spans="2:16" s="3" customFormat="1" ht="20" customHeight="1">
      <c r="B102" s="21" t="s">
        <v>547</v>
      </c>
      <c r="C102" s="22" t="str">
        <f>sample_wld_az1_rtep_overlay_vlan</f>
        <v>1320</v>
      </c>
      <c r="D102" s="18" t="str">
        <f>IF(NOT(ISBLANK(input_wld_az1_rtep_overlay_vlan)),input_wld_az1_rtep_overlay_vlan,"")</f>
        <v/>
      </c>
      <c r="E102" s="22" t="str">
        <f>E78</f>
        <v>10.13.20.0/24</v>
      </c>
      <c r="F102" s="18" t="str">
        <f>IF(NOT(ISBLANK(input_wld_az1_rtep_overlay_cidr)),input_wld_az1_rtep_overlay_cidr,"")</f>
        <v/>
      </c>
      <c r="G102" s="22" t="str">
        <f>G78</f>
        <v>10.13.20.1</v>
      </c>
      <c r="H102" s="18" t="str">
        <f>IF(NOT(ISBLANK(input_wld_az1_rtep_overlay_gateway_ip)),input_wld_az1_rtep_overlay_gateway_ip,"")</f>
        <v/>
      </c>
      <c r="I102" s="22">
        <f>I78</f>
        <v>9000</v>
      </c>
      <c r="J102" s="18" t="str">
        <f>IF(NOT(ISBLANK(input_wld_az1_rtep_overlay_mtu)),input_wld_az1_rtep_overlay_mtu,"")</f>
        <v/>
      </c>
      <c r="K102" s="54" t="str">
        <f>IF(AND((wld_stretched_cluster_result="Included"),(wld_nsxt_federation_result="Included")),"Stretched L2. MTU must be configured on all infrastructure between federated VCF instances",IF(wld_stretched_cluster_result="Included","Stretched L2",IF(wld_nsxt_federation_result="Included","MTU must be configured on all infrastructure between federated VCF instances","")))</f>
        <v/>
      </c>
      <c r="M102" s="42"/>
      <c r="N102" s="45"/>
      <c r="O102" s="45"/>
      <c r="P102" s="45"/>
    </row>
    <row r="103" spans="2:16" s="3" customFormat="1" ht="16" customHeight="1"/>
    <row r="104" spans="2:16" s="3" customFormat="1" ht="34" customHeight="1">
      <c r="B104" s="427" t="s">
        <v>4001</v>
      </c>
      <c r="C104" s="428"/>
      <c r="D104" s="426"/>
    </row>
    <row r="105" spans="2:16" s="3" customFormat="1" ht="20" customHeight="1">
      <c r="B105" s="8" t="s">
        <v>553</v>
      </c>
      <c r="C105" s="8" t="s">
        <v>554</v>
      </c>
      <c r="D105" s="20" t="s">
        <v>555</v>
      </c>
    </row>
    <row r="106" spans="2:16" s="3" customFormat="1" ht="20" customHeight="1">
      <c r="B106" s="21" t="s">
        <v>557</v>
      </c>
      <c r="C106" s="22" t="str">
        <f>CONCATENATE(prefix_wld_az1_cidr,"17.11")</f>
        <v>10.13.17.11</v>
      </c>
      <c r="D106" s="14"/>
    </row>
    <row r="107" spans="2:16" s="3" customFormat="1" ht="20" customHeight="1">
      <c r="B107" s="21" t="s">
        <v>558</v>
      </c>
      <c r="C107" s="22" t="str">
        <f>IF(wld_domain_chosen="First Domain",CONCATENATE(asn_start,asn_instance,asn_wld_az2,1),IF(wld_nsxt_federation_result="Included",CONCATENATE(asn_start,asn_instance,asn_wld_az2,1),CONCATENATE(asn_start,asn_instance,asn_wld_az2,1)))</f>
        <v>65141</v>
      </c>
      <c r="D107" s="14"/>
    </row>
    <row r="108" spans="2:16" s="3" customFormat="1" ht="20" customHeight="1">
      <c r="B108" s="21" t="s">
        <v>559</v>
      </c>
      <c r="C108" s="22" t="s">
        <v>4098</v>
      </c>
      <c r="D108" s="14"/>
    </row>
    <row r="109" spans="2:16" s="3" customFormat="1" ht="20" customHeight="1">
      <c r="B109" s="21" t="s">
        <v>560</v>
      </c>
      <c r="C109" s="22" t="str">
        <f>CONCATENATE(prefix_wld_az1_cidr,"18.11")</f>
        <v>10.13.18.11</v>
      </c>
      <c r="D109" s="14"/>
    </row>
    <row r="110" spans="2:16" s="3" customFormat="1" ht="20" customHeight="1">
      <c r="B110" s="21" t="s">
        <v>561</v>
      </c>
      <c r="C110" s="22" t="str">
        <f>IF(wld_domain_chosen="First Domain",CONCATENATE(asn_start,asn_instance,asn_wld_az2,1),IF(wld_nsxt_federation_result="Included",CONCATENATE(asn_start,asn_instance,asn_wld_az2,1),CONCATENATE(asn_start,asn_instance,asn_wld_az2,1)))</f>
        <v>65141</v>
      </c>
      <c r="D110" s="14"/>
    </row>
    <row r="111" spans="2:16" s="3" customFormat="1" ht="20" customHeight="1">
      <c r="B111" s="21" t="s">
        <v>562</v>
      </c>
      <c r="C111" s="22" t="s">
        <v>4098</v>
      </c>
      <c r="D111" s="14"/>
    </row>
    <row r="112" spans="2:16" s="3" customFormat="1" ht="16" customHeight="1"/>
    <row r="113" spans="2:13" s="4" customFormat="1" ht="34" customHeight="1">
      <c r="B113" s="427" t="s">
        <v>4002</v>
      </c>
      <c r="C113" s="428"/>
      <c r="D113" s="428"/>
      <c r="E113" s="428"/>
      <c r="F113" s="428"/>
      <c r="G113" s="428"/>
      <c r="H113" s="428"/>
      <c r="I113" s="428"/>
      <c r="J113" s="428"/>
      <c r="K113" s="426"/>
      <c r="L113" s="3"/>
      <c r="M113" s="3"/>
    </row>
    <row r="114" spans="2:13" s="3" customFormat="1" ht="20" customHeight="1">
      <c r="B114" s="419" t="s">
        <v>529</v>
      </c>
      <c r="C114" s="420"/>
      <c r="D114" s="420"/>
      <c r="E114" s="420"/>
      <c r="F114" s="420"/>
      <c r="G114" s="420"/>
      <c r="H114" s="420"/>
      <c r="I114" s="420"/>
      <c r="J114" s="420"/>
      <c r="K114" s="421"/>
      <c r="M114" s="42"/>
    </row>
    <row r="115" spans="2:13" s="3" customFormat="1" ht="20" customHeight="1">
      <c r="B115" s="8" t="s">
        <v>530</v>
      </c>
      <c r="C115" s="8" t="s">
        <v>531</v>
      </c>
      <c r="D115" s="20" t="s">
        <v>532</v>
      </c>
      <c r="E115" s="8" t="s">
        <v>533</v>
      </c>
      <c r="F115" s="20" t="s">
        <v>534</v>
      </c>
      <c r="G115" s="8" t="s">
        <v>535</v>
      </c>
      <c r="H115" s="20" t="s">
        <v>536</v>
      </c>
      <c r="I115" s="8" t="s">
        <v>537</v>
      </c>
      <c r="J115" s="20" t="s">
        <v>538</v>
      </c>
      <c r="K115" s="8" t="s">
        <v>222</v>
      </c>
      <c r="M115" s="42"/>
    </row>
    <row r="116" spans="2:13" s="3" customFormat="1" ht="20" customHeight="1">
      <c r="B116" s="21" t="s">
        <v>3184</v>
      </c>
      <c r="C116" s="22" t="str">
        <f>IF(mgmt_dpg_separation_result="Included",CONCATENATE(prefix_wld_witness_vlan,"10"),CONCATENATE(prefix_wld_witness_vlan,"11"))</f>
        <v>2110</v>
      </c>
      <c r="D116" s="14"/>
      <c r="E116" s="22" t="str">
        <f>IF(mgmt_dpg_separation_result="Included",CONCATENATE(prefix_wld_witness_cidr,"10.0/24"),CONCATENATE(prefix_wld_witness_cidr,"11.0/24"))</f>
        <v>10.21.10.0/24</v>
      </c>
      <c r="F116" s="14"/>
      <c r="G116" s="22" t="str">
        <f>IF(mgmt_dpg_separation_result="Included",CONCATENATE(prefix_wld_witness_cidr,"10.1"),CONCATENATE(prefix_wld_witness_cidr,"11.1"))</f>
        <v>10.21.10.1</v>
      </c>
      <c r="H116" s="14"/>
      <c r="I116" s="22">
        <v>1500</v>
      </c>
      <c r="J116" s="14"/>
      <c r="K116" s="40"/>
      <c r="M116" s="42"/>
    </row>
    <row r="117" spans="2:13" s="3" customFormat="1" ht="16" customHeight="1">
      <c r="J117" s="5"/>
    </row>
    <row r="118" spans="2:13" ht="34" customHeight="1">
      <c r="B118" s="438" t="s">
        <v>3986</v>
      </c>
      <c r="C118" s="439"/>
      <c r="D118" s="439"/>
      <c r="E118" s="439"/>
      <c r="F118" s="439"/>
      <c r="G118" s="439"/>
      <c r="H118" s="439"/>
      <c r="I118" s="439"/>
      <c r="J118" s="439"/>
      <c r="K118" s="440"/>
    </row>
    <row r="119" spans="2:13" ht="20" customHeight="1">
      <c r="B119" s="437" t="s">
        <v>529</v>
      </c>
      <c r="C119" s="437"/>
      <c r="D119" s="437"/>
      <c r="E119" s="437"/>
      <c r="F119" s="437"/>
      <c r="G119" s="437"/>
      <c r="H119" s="437"/>
      <c r="I119" s="437"/>
      <c r="J119" s="437"/>
      <c r="K119" s="437"/>
    </row>
    <row r="120" spans="2:13" ht="20" customHeight="1">
      <c r="B120" s="190" t="s">
        <v>530</v>
      </c>
      <c r="C120" s="190" t="s">
        <v>531</v>
      </c>
      <c r="D120" s="113" t="s">
        <v>532</v>
      </c>
      <c r="E120" s="190" t="s">
        <v>533</v>
      </c>
      <c r="F120" s="113" t="s">
        <v>534</v>
      </c>
      <c r="G120" s="190" t="s">
        <v>535</v>
      </c>
      <c r="H120" s="113" t="s">
        <v>536</v>
      </c>
      <c r="I120" s="190" t="s">
        <v>537</v>
      </c>
      <c r="J120" s="113" t="s">
        <v>538</v>
      </c>
      <c r="K120" s="190" t="s">
        <v>222</v>
      </c>
    </row>
    <row r="121" spans="2:13" ht="20" customHeight="1">
      <c r="B121" s="21" t="s">
        <v>3184</v>
      </c>
      <c r="C121" s="25" t="str" cm="1">
        <f t="array" ref="C121">IF(wld_dpg_separation_result="Included",CONCATENATE(prefix_wld_az1_rack_vlan,"21"),CONCATENATE(prefix_wld_az1_rack_vlan,"22"))</f>
        <v>1322</v>
      </c>
      <c r="D121" s="14"/>
      <c r="E121" s="22" t="str">
        <f>IF(wld_dpg_separation_result="Included",(CONCATENATE(prefix_wld_az1_rack_cidr,".21.0/24")),(CONCATENATE(prefix_wld_az1_rack_cidr,".22.0/24")))</f>
        <v>10.13.22.0/24</v>
      </c>
      <c r="F121" s="14"/>
      <c r="G121" s="22" t="str">
        <f>IF(wld_dpg_separation_result="Included",CONCATENATE(prefix_wld_az1_rack_cidr,".21.1"),CONCATENATE(prefix_wld_az1_rack_cidr,".22.1"))</f>
        <v>10.13.22.1</v>
      </c>
      <c r="H121" s="14"/>
      <c r="I121" s="22">
        <v>1500</v>
      </c>
      <c r="J121" s="14"/>
      <c r="K121" s="54"/>
    </row>
    <row r="122" spans="2:13" ht="20" customHeight="1">
      <c r="B122" s="21" t="s">
        <v>4235</v>
      </c>
      <c r="C122" s="22" t="str">
        <f>CONCATENATE(prefix_wld_az1_rack_vlan,"22")</f>
        <v>1322</v>
      </c>
      <c r="D122" s="14"/>
      <c r="E122" s="22" t="str">
        <f>CONCATENATE(prefix_wld_az1_rack_cidr,".22.0/24")</f>
        <v>10.13.22.0/24</v>
      </c>
      <c r="F122" s="14"/>
      <c r="G122" s="22" t="str">
        <f>CONCATENATE(prefix_wld_az1_rack_cidr,".22.1")</f>
        <v>10.13.22.1</v>
      </c>
      <c r="H122" s="14"/>
      <c r="I122" s="22">
        <v>1500</v>
      </c>
      <c r="J122" s="14"/>
      <c r="K122" s="54"/>
    </row>
    <row r="123" spans="2:13" ht="20" customHeight="1">
      <c r="B123" s="21" t="s">
        <v>540</v>
      </c>
      <c r="C123" s="22" t="str">
        <f>CONCATENATE(prefix_wld_az1_rack_vlan,"23")</f>
        <v>1323</v>
      </c>
      <c r="D123" s="14"/>
      <c r="E123" s="22" t="str">
        <f>CONCATENATE(prefix_wld_az1_rack_cidr,".23.0/24")</f>
        <v>10.13.23.0/24</v>
      </c>
      <c r="F123" s="14"/>
      <c r="G123" s="22" t="str">
        <f>CONCATENATE(prefix_wld_az1_rack_cidr,".23.1")</f>
        <v>10.13.23.1</v>
      </c>
      <c r="H123" s="14"/>
      <c r="I123" s="22">
        <v>9000</v>
      </c>
      <c r="J123" s="14"/>
      <c r="K123" s="40"/>
    </row>
    <row r="124" spans="2:13" ht="20" customHeight="1">
      <c r="B124" s="21" t="s">
        <v>541</v>
      </c>
      <c r="C124" s="22" t="str">
        <f>CONCATENATE(prefix_wld_az1_rack_vlan,"24")</f>
        <v>1324</v>
      </c>
      <c r="D124" s="14"/>
      <c r="E124" s="22" t="str">
        <f>CONCATENATE(prefix_wld_az1_rack_cidr,".24.0/24")</f>
        <v>10.13.24.0/24</v>
      </c>
      <c r="F124" s="14"/>
      <c r="G124" s="22" t="str">
        <f>CONCATENATE(prefix_wld_az1_rack_cidr,".24.1")</f>
        <v>10.13.24.1</v>
      </c>
      <c r="H124" s="14"/>
      <c r="I124" s="22">
        <v>9000</v>
      </c>
      <c r="J124" s="14"/>
      <c r="K124" s="41" t="s">
        <v>542</v>
      </c>
    </row>
    <row r="125" spans="2:13" ht="20" customHeight="1">
      <c r="B125" s="21" t="s">
        <v>543</v>
      </c>
      <c r="C125" s="22" t="str">
        <f>CONCATENATE(prefix_wld_az1_rack_vlan,"25")</f>
        <v>1325</v>
      </c>
      <c r="D125" s="14"/>
      <c r="E125" s="22" t="str">
        <f>CONCATENATE(prefix_wld_az1_rack_cidr,".25.0/24")</f>
        <v>10.13.25.0/24</v>
      </c>
      <c r="F125" s="14"/>
      <c r="G125" s="22" t="str">
        <f>IF(wld_host_overlay_addressing_chosen="Static",CONCATENATE(prefix_wld_az1_rack_cidr,".25.1"),"DHCP")</f>
        <v>10.13.25.1</v>
      </c>
      <c r="H125" s="14"/>
      <c r="I125" s="22">
        <v>9000</v>
      </c>
      <c r="J125" s="14"/>
      <c r="K125" s="54"/>
    </row>
    <row r="126" spans="2:13" ht="20" customHeight="1">
      <c r="B126" s="21" t="s">
        <v>3931</v>
      </c>
      <c r="C126" s="22" t="str">
        <f>CONCATENATE(prefix_wld_az1_rack_vlan,"26")</f>
        <v>1326</v>
      </c>
      <c r="D126" s="14"/>
      <c r="E126" s="22" t="str">
        <f>CONCATENATE(prefix_wld_az1_rack_cidr,".26.0/24")</f>
        <v>10.13.26.0/24</v>
      </c>
      <c r="F126" s="14"/>
      <c r="G126" s="22" t="str">
        <f>CONCATENATE(prefix_wld_az1_rack_cidr,".26.1")</f>
        <v>10.13.26.1</v>
      </c>
      <c r="H126" s="14"/>
      <c r="I126" s="22">
        <v>9000</v>
      </c>
      <c r="J126" s="14"/>
      <c r="K126" s="41"/>
    </row>
    <row r="127" spans="2:13" ht="20" customHeight="1">
      <c r="B127" s="21" t="s">
        <v>548</v>
      </c>
      <c r="C127" s="22" t="str">
        <f>CONCATENATE(prefix_wld_az1_rack_vlan,"27")</f>
        <v>1327</v>
      </c>
      <c r="D127" s="14"/>
      <c r="E127" s="22" t="str">
        <f>CONCATENATE(prefix_wld_az1_rack_cidr,".27.0/24")</f>
        <v>10.13.27.0/24</v>
      </c>
      <c r="F127" s="14"/>
      <c r="G127" s="22" t="str">
        <f>CONCATENATE(prefix_wld_az1_rack_cidr,".27.1")</f>
        <v>10.13.27.1</v>
      </c>
      <c r="H127" s="14"/>
      <c r="I127" s="22">
        <v>9000</v>
      </c>
      <c r="J127" s="14"/>
      <c r="K127" s="54"/>
    </row>
    <row r="128" spans="2:13" ht="20" customHeight="1">
      <c r="B128" s="21" t="s">
        <v>544</v>
      </c>
      <c r="C128" s="22" t="str">
        <f>CONCATENATE(prefix_wld_az1_rack_vlan,"28")</f>
        <v>1328</v>
      </c>
      <c r="D128" s="14"/>
      <c r="E128" s="22" t="str">
        <f>CONCATENATE(prefix_wld_az1_rack_cidr,".28.0/24")</f>
        <v>10.13.28.0/24</v>
      </c>
      <c r="F128" s="14"/>
      <c r="G128" s="22" t="str">
        <f>CONCATENATE(prefix_wld_az1_rack_cidr,".28.1")</f>
        <v>10.13.28.1</v>
      </c>
      <c r="H128" s="14"/>
      <c r="I128" s="22">
        <v>9000</v>
      </c>
      <c r="J128" s="14"/>
      <c r="K128" s="54"/>
    </row>
    <row r="129" spans="2:11" ht="20" customHeight="1">
      <c r="B129" s="21" t="s">
        <v>545</v>
      </c>
      <c r="C129" s="22" t="str">
        <f>CONCATENATE(prefix_wld_az1_rack_vlan,"29")</f>
        <v>1329</v>
      </c>
      <c r="D129" s="14"/>
      <c r="E129" s="22" t="str">
        <f>CONCATENATE(prefix_wld_az1_rack_cidr,".29.0/24")</f>
        <v>10.13.29.0/24</v>
      </c>
      <c r="F129" s="14"/>
      <c r="G129" s="22" t="str">
        <f>CONCATENATE(prefix_wld_az1_rack_cidr,".29.1")</f>
        <v>10.13.29.1</v>
      </c>
      <c r="H129" s="14"/>
      <c r="I129" s="22">
        <v>9000</v>
      </c>
      <c r="J129" s="14"/>
      <c r="K129" s="54"/>
    </row>
    <row r="130" spans="2:11" ht="20" customHeight="1">
      <c r="B130" s="21" t="s">
        <v>546</v>
      </c>
      <c r="C130" s="22" t="str">
        <f>CONCATENATE(prefix_wld_az1_rack_vlan,"30")</f>
        <v>1330</v>
      </c>
      <c r="D130" s="14"/>
      <c r="E130" s="22" t="str">
        <f>CONCATENATE(prefix_wld_az1_rack_cidr,".30.0/24")</f>
        <v>10.13.30.0/24</v>
      </c>
      <c r="F130" s="14"/>
      <c r="G130" s="22" t="str">
        <f>CONCATENATE(prefix_wld_az1_rack_cidr,".30.1")</f>
        <v>10.13.30.1</v>
      </c>
      <c r="H130" s="14"/>
      <c r="I130" s="22">
        <v>9000</v>
      </c>
      <c r="J130" s="14"/>
      <c r="K130" s="54"/>
    </row>
    <row r="131" spans="2:11" ht="20" customHeight="1">
      <c r="B131" s="21" t="s">
        <v>547</v>
      </c>
      <c r="C131" s="22" t="str">
        <f>CONCATENATE(prefix_wld_az1_rack_vlan,"31")</f>
        <v>1331</v>
      </c>
      <c r="D131" s="14"/>
      <c r="E131" s="22" t="str">
        <f>CONCATENATE(prefix_wld_az1_rack_cidr,".31.0/24")</f>
        <v>10.13.31.0/24</v>
      </c>
      <c r="F131" s="14"/>
      <c r="G131" s="22" t="str">
        <f>CONCATENATE(prefix_wld_az1_rack_cidr,".31.1")</f>
        <v>10.13.31.1</v>
      </c>
      <c r="H131" s="14"/>
      <c r="I131" s="22">
        <v>9000</v>
      </c>
      <c r="J131" s="14"/>
      <c r="K131" s="54"/>
    </row>
    <row r="132" spans="2:11" ht="16" customHeight="1">
      <c r="B132" s="3"/>
      <c r="C132" s="3"/>
      <c r="D132" s="3"/>
      <c r="E132" s="3"/>
      <c r="F132" s="3"/>
      <c r="G132" s="3"/>
      <c r="H132" s="3"/>
      <c r="I132" s="3"/>
      <c r="J132" s="3"/>
      <c r="K132" s="3"/>
    </row>
    <row r="133" spans="2:11" ht="34" customHeight="1">
      <c r="B133" s="438" t="s">
        <v>3987</v>
      </c>
      <c r="C133" s="439"/>
      <c r="D133" s="440"/>
      <c r="E133" s="3"/>
      <c r="F133" s="3"/>
      <c r="G133" s="3"/>
      <c r="H133" s="3"/>
      <c r="I133" s="3"/>
      <c r="J133" s="3"/>
      <c r="K133" s="3"/>
    </row>
    <row r="134" spans="2:11" ht="20" customHeight="1">
      <c r="B134" s="190" t="s">
        <v>553</v>
      </c>
      <c r="C134" s="190" t="s">
        <v>554</v>
      </c>
      <c r="D134" s="113" t="s">
        <v>555</v>
      </c>
      <c r="E134" s="3"/>
      <c r="F134" s="3"/>
      <c r="G134" s="3"/>
      <c r="H134" s="3"/>
      <c r="I134" s="3"/>
      <c r="J134" s="3"/>
      <c r="K134" s="3"/>
    </row>
    <row r="135" spans="2:11" ht="20" customHeight="1">
      <c r="B135" s="21" t="s">
        <v>556</v>
      </c>
      <c r="C135" s="22" t="str">
        <f>IF(wld_domain_chosen="First Domain","65102",IF(wld_nsxt_federation_result="Included","65202","65102"))</f>
        <v>65102</v>
      </c>
      <c r="D135" s="14"/>
      <c r="E135" s="3"/>
      <c r="F135" s="3"/>
      <c r="G135" s="3"/>
      <c r="H135" s="3"/>
      <c r="I135" s="3"/>
      <c r="J135" s="3"/>
      <c r="K135" s="3"/>
    </row>
    <row r="136" spans="2:11" ht="20" customHeight="1">
      <c r="B136" s="21" t="s">
        <v>557</v>
      </c>
      <c r="C136" s="22" t="str">
        <f>CONCATENATE(prefix_wld_az1_cidr,"28.10")</f>
        <v>10.13.28.10</v>
      </c>
      <c r="D136" s="14"/>
      <c r="E136" s="3"/>
      <c r="F136" s="3"/>
      <c r="G136" s="3"/>
      <c r="H136" s="3"/>
      <c r="I136" s="3"/>
      <c r="J136" s="3"/>
      <c r="K136" s="3"/>
    </row>
    <row r="137" spans="2:11" ht="20" customHeight="1">
      <c r="B137" s="21" t="s">
        <v>558</v>
      </c>
      <c r="C137" s="22" t="str">
        <f>IF(wld_domain_chosen="First Domain",CONCATENATE(asn_start,asn_instance,asn_wld_az1,2),IF(wld_nsxt_federation_result="Included",CONCATENATE(asn_start,asn_instance,asn_wld_az1,2),CONCATENATE(asn_start,asn_instance,asn_wld_az1,2)))</f>
        <v>65132</v>
      </c>
      <c r="D137" s="14"/>
      <c r="E137" s="3"/>
      <c r="F137" s="3"/>
      <c r="G137" s="3"/>
      <c r="H137" s="3"/>
      <c r="I137" s="3"/>
      <c r="J137" s="3"/>
      <c r="K137" s="3"/>
    </row>
    <row r="138" spans="2:11" ht="20" customHeight="1">
      <c r="B138" s="21" t="s">
        <v>559</v>
      </c>
      <c r="C138" s="22" t="s">
        <v>4098</v>
      </c>
      <c r="D138" s="14"/>
      <c r="E138" s="3"/>
      <c r="F138" s="3"/>
      <c r="G138" s="3"/>
      <c r="H138" s="3"/>
      <c r="I138" s="3"/>
      <c r="J138" s="3"/>
      <c r="K138" s="3"/>
    </row>
    <row r="139" spans="2:11" ht="20" customHeight="1">
      <c r="B139" s="21" t="s">
        <v>560</v>
      </c>
      <c r="C139" s="22" t="str">
        <f>CONCATENATE(prefix_wld_az1_cidr,"29.10")</f>
        <v>10.13.29.10</v>
      </c>
      <c r="D139" s="14"/>
      <c r="E139" s="3"/>
      <c r="F139" s="3"/>
      <c r="G139" s="3"/>
      <c r="H139" s="3"/>
      <c r="I139" s="3"/>
      <c r="J139" s="3"/>
      <c r="K139" s="3"/>
    </row>
    <row r="140" spans="2:11" ht="20" customHeight="1">
      <c r="B140" s="21" t="s">
        <v>561</v>
      </c>
      <c r="C140" s="22" t="str">
        <f>IF(wld_domain_chosen="First Domain",CONCATENATE(asn_start,asn_instance,asn_wld_az1,2),IF(wld_nsxt_federation_result="Included",CONCATENATE(asn_start,asn_instance,asn_wld_az1,2),CONCATENATE(asn_start,asn_instance,asn_wld_az1,2)))</f>
        <v>65132</v>
      </c>
      <c r="D140" s="14"/>
      <c r="E140" s="3"/>
      <c r="F140" s="3"/>
      <c r="G140" s="3"/>
      <c r="H140" s="3"/>
      <c r="I140" s="3"/>
      <c r="J140" s="3"/>
      <c r="K140" s="3"/>
    </row>
    <row r="141" spans="2:11" ht="20" customHeight="1">
      <c r="B141" s="21" t="s">
        <v>562</v>
      </c>
      <c r="C141" s="22" t="s">
        <v>4098</v>
      </c>
      <c r="D141" s="14"/>
      <c r="E141" s="3"/>
      <c r="F141" s="3"/>
      <c r="G141" s="3"/>
      <c r="H141" s="3"/>
      <c r="I141" s="3"/>
      <c r="J141" s="3"/>
      <c r="K141" s="3"/>
    </row>
    <row r="142" spans="2:11" ht="16" customHeight="1"/>
    <row r="143" spans="2:11" ht="34" customHeight="1">
      <c r="B143" s="436" t="s">
        <v>4003</v>
      </c>
      <c r="C143" s="436"/>
      <c r="D143" s="436"/>
      <c r="E143" s="436"/>
      <c r="F143" s="436"/>
      <c r="G143" s="436"/>
      <c r="H143" s="436"/>
      <c r="I143" s="436"/>
      <c r="J143" s="436"/>
      <c r="K143" s="436"/>
    </row>
    <row r="144" spans="2:11" ht="20" customHeight="1">
      <c r="B144" s="437" t="s">
        <v>529</v>
      </c>
      <c r="C144" s="437"/>
      <c r="D144" s="437"/>
      <c r="E144" s="437"/>
      <c r="F144" s="437"/>
      <c r="G144" s="437"/>
      <c r="H144" s="437"/>
      <c r="I144" s="437"/>
      <c r="J144" s="437"/>
      <c r="K144" s="437"/>
    </row>
    <row r="145" spans="2:11" ht="20" customHeight="1">
      <c r="B145" s="190" t="s">
        <v>530</v>
      </c>
      <c r="C145" s="190" t="s">
        <v>531</v>
      </c>
      <c r="D145" s="113" t="s">
        <v>532</v>
      </c>
      <c r="E145" s="190" t="s">
        <v>533</v>
      </c>
      <c r="F145" s="113" t="s">
        <v>534</v>
      </c>
      <c r="G145" s="190" t="s">
        <v>535</v>
      </c>
      <c r="H145" s="113" t="s">
        <v>536</v>
      </c>
      <c r="I145" s="190" t="s">
        <v>537</v>
      </c>
      <c r="J145" s="113" t="s">
        <v>538</v>
      </c>
      <c r="K145" s="190" t="s">
        <v>222</v>
      </c>
    </row>
    <row r="146" spans="2:11" ht="20" customHeight="1">
      <c r="B146" s="21" t="s">
        <v>3184</v>
      </c>
      <c r="C146" s="25" t="str">
        <f>IF(wld_dpg_separation_result="Included",CONCATENATE(prefix_wld_az1_rack_vlan,"32"),CONCATENATE(prefix_wld_az1_rack_vlan,"33"))</f>
        <v>1333</v>
      </c>
      <c r="D146" s="14"/>
      <c r="E146" s="22" t="str">
        <f>IF(wld_dpg_separation_result="Included",(CONCATENATE(prefix_wld_az1_rack_cidr,".32.0/24")),(CONCATENATE(prefix_wld_az1_rack_cidr,".33.0/24")))</f>
        <v>10.13.33.0/24</v>
      </c>
      <c r="F146" s="14"/>
      <c r="G146" s="22" t="str">
        <f>IF(wld_dpg_separation_result="Included",CONCATENATE(prefix_wld_az1_rack_cidr,".32.1"),CONCATENATE(prefix_wld_az1_rack_cidr,".33.1"))</f>
        <v>10.13.33.1</v>
      </c>
      <c r="H146" s="14"/>
      <c r="I146" s="22">
        <v>1500</v>
      </c>
      <c r="J146" s="14"/>
      <c r="K146" s="54"/>
    </row>
    <row r="147" spans="2:11" ht="20" customHeight="1">
      <c r="B147" s="21" t="s">
        <v>4235</v>
      </c>
      <c r="C147" s="22" t="str">
        <f>CONCATENATE(prefix_wld_az1_rack_vlan,"33")</f>
        <v>1333</v>
      </c>
      <c r="D147" s="14"/>
      <c r="E147" s="22" t="str">
        <f>CONCATENATE(prefix_wld_az1_rack_cidr,".33.0/24")</f>
        <v>10.13.33.0/24</v>
      </c>
      <c r="F147" s="14"/>
      <c r="G147" s="22" t="str">
        <f>CONCATENATE(prefix_wld_az1_rack_cidr,".33.1")</f>
        <v>10.13.33.1</v>
      </c>
      <c r="H147" s="14"/>
      <c r="I147" s="22">
        <v>1500</v>
      </c>
      <c r="J147" s="14"/>
      <c r="K147" s="54"/>
    </row>
    <row r="148" spans="2:11" ht="20" customHeight="1">
      <c r="B148" s="21" t="s">
        <v>540</v>
      </c>
      <c r="C148" s="22" t="str">
        <f>CONCATENATE(prefix_wld_az1_rack_vlan,"34")</f>
        <v>1334</v>
      </c>
      <c r="D148" s="14"/>
      <c r="E148" s="22" t="str">
        <f>CONCATENATE(prefix_wld_az1_rack_cidr,".34.0/24")</f>
        <v>10.13.34.0/24</v>
      </c>
      <c r="F148" s="14"/>
      <c r="G148" s="22" t="str">
        <f>CONCATENATE(prefix_wld_az1_rack_cidr,".34.1")</f>
        <v>10.13.34.1</v>
      </c>
      <c r="H148" s="14"/>
      <c r="I148" s="22">
        <v>9000</v>
      </c>
      <c r="J148" s="14"/>
      <c r="K148" s="40"/>
    </row>
    <row r="149" spans="2:11" ht="20" customHeight="1">
      <c r="B149" s="21" t="s">
        <v>541</v>
      </c>
      <c r="C149" s="22" t="str">
        <f>CONCATENATE(prefix_wld_az1_rack_vlan,"35")</f>
        <v>1335</v>
      </c>
      <c r="D149" s="14"/>
      <c r="E149" s="22" t="str">
        <f>CONCATENATE(prefix_wld_az1_rack_cidr,".35.0/24")</f>
        <v>10.13.35.0/24</v>
      </c>
      <c r="F149" s="14"/>
      <c r="G149" s="22" t="str">
        <f>CONCATENATE(prefix_wld_az1_rack_cidr,".35.1")</f>
        <v>10.13.35.1</v>
      </c>
      <c r="H149" s="14"/>
      <c r="I149" s="22">
        <v>9000</v>
      </c>
      <c r="J149" s="14"/>
      <c r="K149" s="41" t="s">
        <v>542</v>
      </c>
    </row>
    <row r="150" spans="2:11" ht="20" customHeight="1">
      <c r="B150" s="21" t="s">
        <v>543</v>
      </c>
      <c r="C150" s="22" t="str">
        <f>CONCATENATE(prefix_wld_az1_rack_vlan,"36")</f>
        <v>1336</v>
      </c>
      <c r="D150" s="14"/>
      <c r="E150" s="22" t="str">
        <f>CONCATENATE(prefix_wld_az1_rack_cidr,".36.0/24")</f>
        <v>10.13.36.0/24</v>
      </c>
      <c r="F150" s="14"/>
      <c r="G150" s="22" t="str">
        <f>IF(wld_host_overlay_addressing_chosen="Static",CONCATENATE(prefix_wld_az1_rack_cidr,".36.1"),"DHCP")</f>
        <v>10.13.36.1</v>
      </c>
      <c r="H150" s="14"/>
      <c r="I150" s="22">
        <v>9000</v>
      </c>
      <c r="J150" s="14"/>
      <c r="K150" s="54"/>
    </row>
    <row r="151" spans="2:11" ht="20" customHeight="1">
      <c r="B151" s="21" t="s">
        <v>3931</v>
      </c>
      <c r="C151" s="22" t="str">
        <f>CONCATENATE(prefix_wld_az1_rack_vlan,"37")</f>
        <v>1337</v>
      </c>
      <c r="D151" s="14"/>
      <c r="E151" s="22" t="str">
        <f>CONCATENATE(prefix_wld_az1_rack_cidr,".37.0/24")</f>
        <v>10.13.37.0/24</v>
      </c>
      <c r="F151" s="14"/>
      <c r="G151" s="22" t="str">
        <f>CONCATENATE(prefix_wld_az1_rack_cidr,".37.1")</f>
        <v>10.13.37.1</v>
      </c>
      <c r="H151" s="14"/>
      <c r="I151" s="22">
        <v>9000</v>
      </c>
      <c r="J151" s="14"/>
      <c r="K151" s="41"/>
    </row>
    <row r="152" spans="2:11" ht="20" customHeight="1">
      <c r="B152" s="21" t="s">
        <v>548</v>
      </c>
      <c r="C152" s="22" t="str">
        <f>CONCATENATE(prefix_wld_az1_rack_vlan,"38")</f>
        <v>1338</v>
      </c>
      <c r="D152" s="14"/>
      <c r="E152" s="22" t="str">
        <f>CONCATENATE(prefix_wld_az1_rack_cidr,".38.0/24")</f>
        <v>10.13.38.0/24</v>
      </c>
      <c r="F152" s="14"/>
      <c r="G152" s="22" t="str">
        <f>CONCATENATE(prefix_wld_az1_rack_cidr,".38.1")</f>
        <v>10.13.38.1</v>
      </c>
      <c r="H152" s="14"/>
      <c r="I152" s="22">
        <v>9000</v>
      </c>
      <c r="J152" s="14"/>
      <c r="K152" s="54"/>
    </row>
    <row r="153" spans="2:11" ht="20" customHeight="1">
      <c r="B153" s="21" t="s">
        <v>544</v>
      </c>
      <c r="C153" s="22" t="str">
        <f>CONCATENATE(prefix_wld_az1_rack_vlan,"39")</f>
        <v>1339</v>
      </c>
      <c r="D153" s="14"/>
      <c r="E153" s="22" t="str">
        <f>CONCATENATE(prefix_wld_az1_rack_cidr,".39.0/24")</f>
        <v>10.13.39.0/24</v>
      </c>
      <c r="F153" s="14"/>
      <c r="G153" s="22" t="str">
        <f>CONCATENATE(prefix_wld_az1_rack_cidr,".39.1")</f>
        <v>10.13.39.1</v>
      </c>
      <c r="H153" s="14"/>
      <c r="I153" s="22">
        <v>9000</v>
      </c>
      <c r="J153" s="14"/>
      <c r="K153" s="54"/>
    </row>
    <row r="154" spans="2:11" ht="20" customHeight="1">
      <c r="B154" s="21" t="s">
        <v>545</v>
      </c>
      <c r="C154" s="22" t="str">
        <f>CONCATENATE(prefix_wld_az1_rack_vlan,"40")</f>
        <v>1340</v>
      </c>
      <c r="D154" s="14"/>
      <c r="E154" s="22" t="str">
        <f>CONCATENATE(prefix_wld_az1_rack_cidr,".40.0/24")</f>
        <v>10.13.40.0/24</v>
      </c>
      <c r="F154" s="14"/>
      <c r="G154" s="22" t="str">
        <f>CONCATENATE(prefix_wld_az1_rack_cidr,".40.1")</f>
        <v>10.13.40.1</v>
      </c>
      <c r="H154" s="14"/>
      <c r="I154" s="22">
        <v>9000</v>
      </c>
      <c r="J154" s="14"/>
      <c r="K154" s="54"/>
    </row>
    <row r="155" spans="2:11" ht="20" customHeight="1">
      <c r="B155" s="21" t="s">
        <v>546</v>
      </c>
      <c r="C155" s="22" t="str">
        <f>CONCATENATE(prefix_wld_az1_rack_vlan,"41")</f>
        <v>1341</v>
      </c>
      <c r="D155" s="14"/>
      <c r="E155" s="22" t="str">
        <f>CONCATENATE(prefix_wld_az1_rack_cidr,".41.0/24")</f>
        <v>10.13.41.0/24</v>
      </c>
      <c r="F155" s="14"/>
      <c r="G155" s="22" t="str">
        <f>CONCATENATE(prefix_wld_az1_rack_cidr,".41.1")</f>
        <v>10.13.41.1</v>
      </c>
      <c r="H155" s="14"/>
      <c r="I155" s="22">
        <v>9000</v>
      </c>
      <c r="J155" s="14"/>
      <c r="K155" s="54"/>
    </row>
    <row r="156" spans="2:11" ht="20" customHeight="1">
      <c r="B156" s="21" t="s">
        <v>547</v>
      </c>
      <c r="C156" s="22" t="str">
        <f>CONCATENATE(prefix_wld_az1_rack_vlan,"42")</f>
        <v>1342</v>
      </c>
      <c r="D156" s="14"/>
      <c r="E156" s="22" t="str">
        <f>CONCATENATE(prefix_wld_az1_rack_cidr,".42.0/24")</f>
        <v>10.13.42.0/24</v>
      </c>
      <c r="F156" s="14"/>
      <c r="G156" s="22" t="str">
        <f>CONCATENATE(prefix_wld_az1_rack_cidr,".42.1")</f>
        <v>10.13.42.1</v>
      </c>
      <c r="H156" s="14"/>
      <c r="I156" s="22">
        <v>9000</v>
      </c>
      <c r="J156" s="14"/>
      <c r="K156" s="54"/>
    </row>
    <row r="157" spans="2:11" ht="16" customHeight="1">
      <c r="B157" s="3"/>
      <c r="C157" s="3"/>
      <c r="D157" s="3"/>
      <c r="E157" s="3"/>
      <c r="F157" s="3"/>
      <c r="G157" s="3"/>
      <c r="H157" s="3"/>
      <c r="I157" s="3"/>
      <c r="J157" s="3"/>
      <c r="K157" s="3"/>
    </row>
    <row r="158" spans="2:11" ht="34" customHeight="1">
      <c r="B158" s="438" t="s">
        <v>4004</v>
      </c>
      <c r="C158" s="439"/>
      <c r="D158" s="440"/>
      <c r="E158" s="3"/>
      <c r="F158" s="3"/>
      <c r="G158" s="3"/>
      <c r="H158" s="3"/>
      <c r="I158" s="3"/>
      <c r="J158" s="3"/>
      <c r="K158" s="3"/>
    </row>
    <row r="159" spans="2:11" ht="20" customHeight="1">
      <c r="B159" s="190" t="s">
        <v>553</v>
      </c>
      <c r="C159" s="190" t="s">
        <v>554</v>
      </c>
      <c r="D159" s="113" t="s">
        <v>555</v>
      </c>
      <c r="E159" s="3"/>
      <c r="F159" s="3"/>
      <c r="G159" s="3"/>
      <c r="H159" s="3"/>
      <c r="I159" s="3"/>
      <c r="J159" s="3"/>
      <c r="K159" s="3"/>
    </row>
    <row r="160" spans="2:11" ht="20" customHeight="1">
      <c r="B160" s="21" t="s">
        <v>556</v>
      </c>
      <c r="C160" s="22" t="str">
        <f>IF(wld_domain_chosen="First Domain","65102",IF(wld_nsxt_federation_result="Included","65202","65102"))</f>
        <v>65102</v>
      </c>
      <c r="D160" s="14"/>
      <c r="E160" s="3"/>
      <c r="F160" s="3"/>
      <c r="G160" s="3"/>
      <c r="H160" s="3"/>
      <c r="I160" s="3"/>
      <c r="J160" s="3"/>
      <c r="K160" s="3"/>
    </row>
    <row r="161" spans="2:11" ht="20" customHeight="1">
      <c r="B161" s="21" t="s">
        <v>557</v>
      </c>
      <c r="C161" s="22" t="str">
        <f>CONCATENATE(prefix_wld_az1_rack_cidr,".39.10")</f>
        <v>10.13.39.10</v>
      </c>
      <c r="D161" s="14"/>
      <c r="E161" s="3"/>
      <c r="F161" s="3"/>
      <c r="G161" s="3"/>
      <c r="H161" s="3"/>
      <c r="I161" s="3"/>
      <c r="J161" s="3"/>
      <c r="K161" s="3"/>
    </row>
    <row r="162" spans="2:11" ht="20" customHeight="1">
      <c r="B162" s="21" t="s">
        <v>558</v>
      </c>
      <c r="C162" s="22" t="str">
        <f>IF(wld_domain_chosen="First Domain",CONCATENATE(asn_start,asn_instance,asn_wld_az1,3),IF(wld_nsxt_federation_result="Included",CONCATENATE(asn_start,asn_instance,asn_wld_az1,3),CONCATENATE(asn_start,asn_instance,asn_wld_az1,3)))</f>
        <v>65133</v>
      </c>
      <c r="D162" s="14"/>
      <c r="E162" s="3"/>
      <c r="F162" s="3"/>
      <c r="G162" s="3"/>
      <c r="H162" s="3"/>
      <c r="I162" s="3"/>
      <c r="J162" s="3"/>
      <c r="K162" s="3"/>
    </row>
    <row r="163" spans="2:11" ht="20" customHeight="1">
      <c r="B163" s="21" t="s">
        <v>559</v>
      </c>
      <c r="C163" s="22" t="s">
        <v>4098</v>
      </c>
      <c r="D163" s="14"/>
      <c r="E163" s="3"/>
      <c r="F163" s="3"/>
      <c r="G163" s="3"/>
      <c r="H163" s="3"/>
      <c r="I163" s="3"/>
      <c r="J163" s="3"/>
      <c r="K163" s="3"/>
    </row>
    <row r="164" spans="2:11" ht="20" customHeight="1">
      <c r="B164" s="21" t="s">
        <v>560</v>
      </c>
      <c r="C164" s="22" t="str">
        <f>CONCATENATE(prefix_wld_az1_rack_cidr,".40.10")</f>
        <v>10.13.40.10</v>
      </c>
      <c r="D164" s="14"/>
      <c r="E164" s="3"/>
      <c r="F164" s="3"/>
      <c r="G164" s="3"/>
      <c r="H164" s="3"/>
      <c r="I164" s="3"/>
      <c r="J164" s="3"/>
      <c r="K164" s="3"/>
    </row>
    <row r="165" spans="2:11" ht="20" customHeight="1">
      <c r="B165" s="21" t="s">
        <v>561</v>
      </c>
      <c r="C165" s="22" t="str">
        <f>IF(wld_domain_chosen="First Domain",CONCATENATE(asn_start,asn_instance,asn_wld_az1,3),IF(wld_nsxt_federation_result="Included",CONCATENATE(asn_start,asn_instance,asn_wld_az1,3),CONCATENATE(asn_start,asn_instance,asn_wld_az1,3)))</f>
        <v>65133</v>
      </c>
      <c r="D165" s="14"/>
      <c r="E165" s="3"/>
      <c r="F165" s="3"/>
      <c r="G165" s="3"/>
      <c r="H165" s="3"/>
      <c r="I165" s="3"/>
      <c r="J165" s="3"/>
      <c r="K165" s="3"/>
    </row>
    <row r="166" spans="2:11" ht="20" customHeight="1">
      <c r="B166" s="21" t="s">
        <v>562</v>
      </c>
      <c r="C166" s="22" t="s">
        <v>4098</v>
      </c>
      <c r="D166" s="14"/>
      <c r="E166" s="3"/>
      <c r="F166" s="3"/>
      <c r="G166" s="3"/>
      <c r="H166" s="3"/>
      <c r="I166" s="3"/>
      <c r="J166" s="3"/>
      <c r="K166" s="3"/>
    </row>
    <row r="167" spans="2:11" ht="16" customHeight="1"/>
    <row r="168" spans="2:11" ht="34" customHeight="1">
      <c r="B168" s="436" t="s">
        <v>3988</v>
      </c>
      <c r="C168" s="436"/>
      <c r="D168" s="436"/>
      <c r="E168" s="436"/>
      <c r="F168" s="436"/>
      <c r="G168" s="436"/>
      <c r="H168" s="436"/>
      <c r="I168" s="436"/>
      <c r="J168" s="436"/>
      <c r="K168" s="436"/>
    </row>
    <row r="169" spans="2:11" ht="20" customHeight="1">
      <c r="B169" s="437" t="s">
        <v>529</v>
      </c>
      <c r="C169" s="437"/>
      <c r="D169" s="437"/>
      <c r="E169" s="437"/>
      <c r="F169" s="437"/>
      <c r="G169" s="437"/>
      <c r="H169" s="437"/>
      <c r="I169" s="437"/>
      <c r="J169" s="437"/>
      <c r="K169" s="437"/>
    </row>
    <row r="170" spans="2:11" ht="20" customHeight="1">
      <c r="B170" s="190" t="s">
        <v>530</v>
      </c>
      <c r="C170" s="190" t="s">
        <v>531</v>
      </c>
      <c r="D170" s="113" t="s">
        <v>532</v>
      </c>
      <c r="E170" s="190" t="s">
        <v>533</v>
      </c>
      <c r="F170" s="113" t="s">
        <v>534</v>
      </c>
      <c r="G170" s="190" t="s">
        <v>535</v>
      </c>
      <c r="H170" s="113" t="s">
        <v>536</v>
      </c>
      <c r="I170" s="190" t="s">
        <v>537</v>
      </c>
      <c r="J170" s="113" t="s">
        <v>538</v>
      </c>
      <c r="K170" s="190" t="s">
        <v>222</v>
      </c>
    </row>
    <row r="171" spans="2:11" ht="20" customHeight="1">
      <c r="B171" s="21" t="s">
        <v>3184</v>
      </c>
      <c r="C171" s="25" t="str">
        <f>IF(wld_dpg_separation_result="Included",CONCATENATE(prefix_wld_az1_rack_vlan,"43"),CONCATENATE(prefix_wld_az1_rack_vlan,"44"))</f>
        <v>1344</v>
      </c>
      <c r="D171" s="14"/>
      <c r="E171" s="22" t="str">
        <f>IF(wld_dpg_separation_result="Included",(CONCATENATE(prefix_wld_az1_rack_cidr,".43.0/24")),(CONCATENATE(prefix_wld_az1_rack_cidr,".44.0/24")))</f>
        <v>10.13.44.0/24</v>
      </c>
      <c r="F171" s="14"/>
      <c r="G171" s="22" t="str">
        <f>IF(wld_dpg_separation_result="Included",CONCATENATE(prefix_wld_az1_rack_cidr,".43.1"),CONCATENATE(prefix_wld_az1_rack_cidr,".44.1"))</f>
        <v>10.13.44.1</v>
      </c>
      <c r="H171" s="14"/>
      <c r="I171" s="22">
        <v>1500</v>
      </c>
      <c r="J171" s="14"/>
      <c r="K171" s="54"/>
    </row>
    <row r="172" spans="2:11" ht="20" customHeight="1">
      <c r="B172" s="21" t="s">
        <v>4235</v>
      </c>
      <c r="C172" s="22" t="str">
        <f>CONCATENATE(prefix_wld_az1_rack_vlan,"44")</f>
        <v>1344</v>
      </c>
      <c r="D172" s="14"/>
      <c r="E172" s="22" t="str">
        <f>CONCATENATE(prefix_wld_az1_rack_cidr,".44.0/24")</f>
        <v>10.13.44.0/24</v>
      </c>
      <c r="F172" s="14"/>
      <c r="G172" s="22" t="str">
        <f>CONCATENATE(prefix_wld_az1_rack_cidr,".44.1")</f>
        <v>10.13.44.1</v>
      </c>
      <c r="H172" s="14"/>
      <c r="I172" s="22">
        <v>1500</v>
      </c>
      <c r="J172" s="14"/>
      <c r="K172" s="54"/>
    </row>
    <row r="173" spans="2:11" ht="20" customHeight="1">
      <c r="B173" s="21" t="s">
        <v>540</v>
      </c>
      <c r="C173" s="22" t="str">
        <f>CONCATENATE(prefix_wld_az1_rack_vlan,"45")</f>
        <v>1345</v>
      </c>
      <c r="D173" s="14"/>
      <c r="E173" s="22" t="str">
        <f>CONCATENATE(prefix_wld_az1_rack_cidr,".45.0/24")</f>
        <v>10.13.45.0/24</v>
      </c>
      <c r="F173" s="14"/>
      <c r="G173" s="22" t="str">
        <f>CONCATENATE(prefix_wld_az1_rack_cidr,".45.1")</f>
        <v>10.13.45.1</v>
      </c>
      <c r="H173" s="14"/>
      <c r="I173" s="22">
        <v>9000</v>
      </c>
      <c r="J173" s="14"/>
      <c r="K173" s="40"/>
    </row>
    <row r="174" spans="2:11" ht="20" customHeight="1">
      <c r="B174" s="21" t="s">
        <v>541</v>
      </c>
      <c r="C174" s="22" t="str">
        <f>CONCATENATE(prefix_wld_az1_rack_vlan,"46")</f>
        <v>1346</v>
      </c>
      <c r="D174" s="14"/>
      <c r="E174" s="22" t="str">
        <f>CONCATENATE(prefix_wld_az1_rack_cidr,".46.0/24")</f>
        <v>10.13.46.0/24</v>
      </c>
      <c r="F174" s="14"/>
      <c r="G174" s="22" t="str">
        <f>CONCATENATE(prefix_wld_az1_rack_cidr,".46.1")</f>
        <v>10.13.46.1</v>
      </c>
      <c r="H174" s="14"/>
      <c r="I174" s="22">
        <v>9000</v>
      </c>
      <c r="J174" s="14"/>
      <c r="K174" s="41" t="s">
        <v>542</v>
      </c>
    </row>
    <row r="175" spans="2:11" ht="20" customHeight="1">
      <c r="B175" s="21" t="s">
        <v>543</v>
      </c>
      <c r="C175" s="22" t="str">
        <f>CONCATENATE(prefix_wld_az1_rack_vlan,"47")</f>
        <v>1347</v>
      </c>
      <c r="D175" s="14"/>
      <c r="E175" s="22" t="str">
        <f>CONCATENATE(prefix_wld_az1_rack_cidr,".47.0/24")</f>
        <v>10.13.47.0/24</v>
      </c>
      <c r="F175" s="14"/>
      <c r="G175" s="22" t="str">
        <f>IF(wld_host_overlay_addressing_chosen="Static",CONCATENATE(prefix_wld_az1_rack_cidr,".47.1"),"DHCP")</f>
        <v>10.13.47.1</v>
      </c>
      <c r="H175" s="14"/>
      <c r="I175" s="22">
        <v>9000</v>
      </c>
      <c r="J175" s="14"/>
      <c r="K175" s="54"/>
    </row>
    <row r="176" spans="2:11" ht="20" customHeight="1">
      <c r="B176" s="21" t="s">
        <v>3931</v>
      </c>
      <c r="C176" s="22" t="str">
        <f>CONCATENATE(prefix_wld_az1_rack_vlan,"48")</f>
        <v>1348</v>
      </c>
      <c r="D176" s="14"/>
      <c r="E176" s="22" t="str">
        <f>CONCATENATE(prefix_wld_az1_rack_cidr,".48.0/24")</f>
        <v>10.13.48.0/24</v>
      </c>
      <c r="F176" s="14"/>
      <c r="G176" s="22" t="str">
        <f>CONCATENATE(prefix_wld_az1_rack_cidr,".48.1")</f>
        <v>10.13.48.1</v>
      </c>
      <c r="H176" s="14"/>
      <c r="I176" s="22">
        <v>9000</v>
      </c>
      <c r="J176" s="14"/>
      <c r="K176" s="41"/>
    </row>
    <row r="177" spans="2:11" ht="20" customHeight="1">
      <c r="B177" s="21" t="s">
        <v>548</v>
      </c>
      <c r="C177" s="22" t="str">
        <f>CONCATENATE(prefix_wld_az1_rack_vlan,"49")</f>
        <v>1349</v>
      </c>
      <c r="D177" s="14"/>
      <c r="E177" s="22" t="str">
        <f>CONCATENATE(prefix_wld_az1_rack_cidr,".49.0/24")</f>
        <v>10.13.49.0/24</v>
      </c>
      <c r="F177" s="14"/>
      <c r="G177" s="22" t="str">
        <f>CONCATENATE(prefix_wld_az1_rack_cidr,".49.1")</f>
        <v>10.13.49.1</v>
      </c>
      <c r="H177" s="14"/>
      <c r="I177" s="22">
        <v>9000</v>
      </c>
      <c r="J177" s="14"/>
      <c r="K177" s="54"/>
    </row>
    <row r="178" spans="2:11" ht="20" customHeight="1">
      <c r="B178" s="21" t="s">
        <v>544</v>
      </c>
      <c r="C178" s="22" t="str">
        <f>CONCATENATE(prefix_wld_az1_rack_vlan,"50")</f>
        <v>1350</v>
      </c>
      <c r="D178" s="14"/>
      <c r="E178" s="22" t="str">
        <f>CONCATENATE(prefix_wld_az1_rack_cidr,".50.0/24")</f>
        <v>10.13.50.0/24</v>
      </c>
      <c r="F178" s="14"/>
      <c r="G178" s="22" t="str">
        <f>CONCATENATE(prefix_wld_az1_rack_cidr,".50.1")</f>
        <v>10.13.50.1</v>
      </c>
      <c r="H178" s="14"/>
      <c r="I178" s="22">
        <v>9000</v>
      </c>
      <c r="J178" s="14"/>
      <c r="K178" s="54"/>
    </row>
    <row r="179" spans="2:11" ht="20" customHeight="1">
      <c r="B179" s="21" t="s">
        <v>545</v>
      </c>
      <c r="C179" s="22" t="str">
        <f>CONCATENATE(prefix_wld_az1_rack_vlan,"51")</f>
        <v>1351</v>
      </c>
      <c r="D179" s="14"/>
      <c r="E179" s="22" t="str">
        <f>CONCATENATE(prefix_wld_az1_rack_cidr,".51.0/24")</f>
        <v>10.13.51.0/24</v>
      </c>
      <c r="F179" s="14"/>
      <c r="G179" s="22" t="str">
        <f>CONCATENATE(prefix_wld_az1_rack_cidr,".51.1")</f>
        <v>10.13.51.1</v>
      </c>
      <c r="H179" s="14"/>
      <c r="I179" s="22">
        <v>9000</v>
      </c>
      <c r="J179" s="14"/>
      <c r="K179" s="54"/>
    </row>
    <row r="180" spans="2:11" ht="20" customHeight="1">
      <c r="B180" s="21" t="s">
        <v>546</v>
      </c>
      <c r="C180" s="22" t="str">
        <f>CONCATENATE(prefix_wld_az1_rack_vlan,"52")</f>
        <v>1352</v>
      </c>
      <c r="D180" s="14"/>
      <c r="E180" s="22" t="str">
        <f>CONCATENATE(prefix_wld_az1_rack_cidr,".52.0/24")</f>
        <v>10.13.52.0/24</v>
      </c>
      <c r="F180" s="14"/>
      <c r="G180" s="22" t="str">
        <f>CONCATENATE(prefix_wld_az1_rack_cidr,".52.1")</f>
        <v>10.13.52.1</v>
      </c>
      <c r="H180" s="14"/>
      <c r="I180" s="22">
        <v>9000</v>
      </c>
      <c r="J180" s="14"/>
      <c r="K180" s="54"/>
    </row>
    <row r="181" spans="2:11" ht="20" customHeight="1">
      <c r="B181" s="21" t="s">
        <v>547</v>
      </c>
      <c r="C181" s="22" t="str">
        <f>CONCATENATE(prefix_wld_az1_rack_vlan,"53")</f>
        <v>1353</v>
      </c>
      <c r="D181" s="14"/>
      <c r="E181" s="22" t="str">
        <f>CONCATENATE(prefix_wld_az1_rack_cidr,".53.0/24")</f>
        <v>10.13.53.0/24</v>
      </c>
      <c r="F181" s="14"/>
      <c r="G181" s="22" t="str">
        <f>CONCATENATE(prefix_wld_az1_rack_cidr,".53.1")</f>
        <v>10.13.53.1</v>
      </c>
      <c r="H181" s="14"/>
      <c r="I181" s="22">
        <v>9000</v>
      </c>
      <c r="J181" s="14"/>
      <c r="K181" s="54"/>
    </row>
    <row r="182" spans="2:11" ht="16" customHeight="1">
      <c r="B182" s="3"/>
      <c r="C182" s="3"/>
      <c r="D182" s="3"/>
      <c r="E182" s="3"/>
      <c r="F182" s="3"/>
      <c r="G182" s="3"/>
      <c r="H182" s="3"/>
      <c r="I182" s="3"/>
      <c r="J182" s="3"/>
      <c r="K182" s="3"/>
    </row>
    <row r="183" spans="2:11" ht="34" customHeight="1">
      <c r="B183" s="438" t="s">
        <v>3989</v>
      </c>
      <c r="C183" s="439"/>
      <c r="D183" s="440"/>
      <c r="E183" s="3"/>
      <c r="F183" s="3"/>
      <c r="G183" s="3"/>
      <c r="H183" s="3"/>
      <c r="I183" s="3"/>
      <c r="J183" s="3"/>
      <c r="K183" s="3"/>
    </row>
    <row r="184" spans="2:11" ht="20" customHeight="1">
      <c r="B184" s="190" t="s">
        <v>553</v>
      </c>
      <c r="C184" s="190" t="s">
        <v>554</v>
      </c>
      <c r="D184" s="113" t="s">
        <v>555</v>
      </c>
      <c r="E184" s="3"/>
      <c r="F184" s="3"/>
      <c r="G184" s="3"/>
      <c r="H184" s="3"/>
      <c r="I184" s="3"/>
      <c r="J184" s="3"/>
      <c r="K184" s="3"/>
    </row>
    <row r="185" spans="2:11" ht="20" customHeight="1">
      <c r="B185" s="21" t="s">
        <v>556</v>
      </c>
      <c r="C185" s="22" t="str">
        <f>IF(wld_domain_chosen="First Domain","65102",IF(wld_nsxt_federation_result="Included","65202","65102"))</f>
        <v>65102</v>
      </c>
      <c r="D185" s="14"/>
      <c r="E185" s="3"/>
      <c r="F185" s="3"/>
      <c r="G185" s="3"/>
      <c r="H185" s="3"/>
      <c r="I185" s="3"/>
      <c r="J185" s="3"/>
      <c r="K185" s="3"/>
    </row>
    <row r="186" spans="2:11" ht="20" customHeight="1">
      <c r="B186" s="21" t="s">
        <v>557</v>
      </c>
      <c r="C186" s="22" t="str">
        <f>CONCATENATE(prefix_wld_az1_rack_cidr,".50.10")</f>
        <v>10.13.50.10</v>
      </c>
      <c r="D186" s="14"/>
      <c r="E186" s="3"/>
      <c r="F186" s="3"/>
      <c r="G186" s="3"/>
      <c r="H186" s="3"/>
      <c r="I186" s="3"/>
      <c r="J186" s="3"/>
      <c r="K186" s="3"/>
    </row>
    <row r="187" spans="2:11" ht="20" customHeight="1">
      <c r="B187" s="21" t="s">
        <v>558</v>
      </c>
      <c r="C187" s="22" t="str">
        <f>IF(wld_domain_chosen="First Domain",CONCATENATE(asn_start,asn_instance,asn_wld_az1,4),IF(wld_nsxt_federation_result="Included",CONCATENATE(asn_start,asn_instance,asn_wld_az1,4),CONCATENATE(asn_start,asn_instance,asn_wld_az1,4)))</f>
        <v>65134</v>
      </c>
      <c r="D187" s="14"/>
      <c r="E187" s="3"/>
      <c r="F187" s="3"/>
      <c r="G187" s="3"/>
      <c r="H187" s="3"/>
      <c r="I187" s="3"/>
      <c r="J187" s="3"/>
      <c r="K187" s="3"/>
    </row>
    <row r="188" spans="2:11" ht="20" customHeight="1">
      <c r="B188" s="21" t="s">
        <v>559</v>
      </c>
      <c r="C188" s="22" t="s">
        <v>4098</v>
      </c>
      <c r="D188" s="14"/>
      <c r="E188" s="3"/>
      <c r="F188" s="3"/>
      <c r="G188" s="3"/>
      <c r="H188" s="3"/>
      <c r="I188" s="3"/>
      <c r="J188" s="3"/>
      <c r="K188" s="3"/>
    </row>
    <row r="189" spans="2:11" ht="20" customHeight="1">
      <c r="B189" s="21" t="s">
        <v>560</v>
      </c>
      <c r="C189" s="22" t="str">
        <f>CONCATENATE(prefix_wld_az1_rack_cidr,".51.10")</f>
        <v>10.13.51.10</v>
      </c>
      <c r="D189" s="14"/>
      <c r="E189" s="3"/>
      <c r="F189" s="3"/>
      <c r="G189" s="3"/>
      <c r="H189" s="3"/>
      <c r="I189" s="3"/>
      <c r="J189" s="3"/>
      <c r="K189" s="3"/>
    </row>
    <row r="190" spans="2:11" ht="20" customHeight="1">
      <c r="B190" s="21" t="s">
        <v>561</v>
      </c>
      <c r="C190" s="22" t="str">
        <f>IF(wld_domain_chosen="First Domain",CONCATENATE(asn_start,asn_instance,asn_wld_az1,4),IF(wld_nsxt_federation_result="Included",CONCATENATE(asn_start,asn_instance,asn_wld_az1,4),CONCATENATE(asn_start,asn_instance,asn_wld_az1,4)))</f>
        <v>65134</v>
      </c>
      <c r="D190" s="14"/>
      <c r="E190" s="3"/>
      <c r="F190" s="3"/>
      <c r="G190" s="3"/>
      <c r="H190" s="3"/>
      <c r="I190" s="3"/>
      <c r="J190" s="3"/>
      <c r="K190" s="3"/>
    </row>
    <row r="191" spans="2:11" ht="20" customHeight="1">
      <c r="B191" s="21" t="s">
        <v>562</v>
      </c>
      <c r="C191" s="22" t="s">
        <v>4098</v>
      </c>
      <c r="D191" s="14"/>
      <c r="E191" s="3"/>
      <c r="F191" s="3"/>
      <c r="G191" s="3"/>
      <c r="H191" s="3"/>
      <c r="I191" s="3"/>
      <c r="J191" s="3"/>
      <c r="K191" s="3"/>
    </row>
    <row r="192" spans="2:11" ht="16" customHeight="1"/>
    <row r="193" spans="2:11" ht="34" customHeight="1">
      <c r="B193" s="436" t="s">
        <v>3990</v>
      </c>
      <c r="C193" s="436"/>
      <c r="D193" s="436"/>
      <c r="E193" s="436"/>
      <c r="F193" s="436"/>
      <c r="G193" s="436"/>
      <c r="H193" s="436"/>
      <c r="I193" s="436"/>
      <c r="J193" s="436"/>
      <c r="K193" s="436"/>
    </row>
    <row r="194" spans="2:11" ht="20" customHeight="1">
      <c r="B194" s="437" t="s">
        <v>529</v>
      </c>
      <c r="C194" s="437"/>
      <c r="D194" s="437"/>
      <c r="E194" s="437"/>
      <c r="F194" s="437"/>
      <c r="G194" s="437"/>
      <c r="H194" s="437"/>
      <c r="I194" s="437"/>
      <c r="J194" s="437"/>
      <c r="K194" s="437"/>
    </row>
    <row r="195" spans="2:11" ht="20" customHeight="1">
      <c r="B195" s="190" t="s">
        <v>530</v>
      </c>
      <c r="C195" s="190" t="s">
        <v>531</v>
      </c>
      <c r="D195" s="113" t="s">
        <v>532</v>
      </c>
      <c r="E195" s="190" t="s">
        <v>533</v>
      </c>
      <c r="F195" s="113" t="s">
        <v>534</v>
      </c>
      <c r="G195" s="190" t="s">
        <v>535</v>
      </c>
      <c r="H195" s="113" t="s">
        <v>536</v>
      </c>
      <c r="I195" s="190" t="s">
        <v>537</v>
      </c>
      <c r="J195" s="113" t="s">
        <v>538</v>
      </c>
      <c r="K195" s="190" t="s">
        <v>222</v>
      </c>
    </row>
    <row r="196" spans="2:11" ht="20" customHeight="1">
      <c r="B196" s="21" t="s">
        <v>3184</v>
      </c>
      <c r="C196" s="25" t="str">
        <f>IF(wld_dpg_separation_result="Included",CONCATENATE(prefix_wld_az1_rack_vlan,"54"),CONCATENATE(prefix_wld_az1_rack_vlan,"55"))</f>
        <v>1355</v>
      </c>
      <c r="D196" s="14"/>
      <c r="E196" s="22" t="str">
        <f>IF(wld_dpg_separation_result="Included",(CONCATENATE(prefix_wld_az1_rack_cidr,".54.0/24")),(CONCATENATE(prefix_wld_az1_rack_cidr,".55.0/24")))</f>
        <v>10.13.55.0/24</v>
      </c>
      <c r="F196" s="14"/>
      <c r="G196" s="22" t="str">
        <f>IF(wld_dpg_separation_result="Included",CONCATENATE(prefix_wld_az1_rack_cidr,".54.1"),CONCATENATE(prefix_wld_az1_rack_cidr,".55.1"))</f>
        <v>10.13.55.1</v>
      </c>
      <c r="H196" s="14"/>
      <c r="I196" s="22">
        <v>1500</v>
      </c>
      <c r="J196" s="14"/>
      <c r="K196" s="54"/>
    </row>
    <row r="197" spans="2:11" ht="20" customHeight="1">
      <c r="B197" s="21" t="s">
        <v>4235</v>
      </c>
      <c r="C197" s="22" t="str">
        <f>CONCATENATE(prefix_wld_az1_rack_vlan,"55")</f>
        <v>1355</v>
      </c>
      <c r="D197" s="14"/>
      <c r="E197" s="22" t="str">
        <f>CONCATENATE(prefix_wld_az1_rack_cidr,".55.0/24")</f>
        <v>10.13.55.0/24</v>
      </c>
      <c r="F197" s="14"/>
      <c r="G197" s="22" t="str">
        <f>CONCATENATE(prefix_wld_az1_rack_cidr,".55.1")</f>
        <v>10.13.55.1</v>
      </c>
      <c r="H197" s="14"/>
      <c r="I197" s="22">
        <v>1500</v>
      </c>
      <c r="J197" s="14"/>
      <c r="K197" s="54"/>
    </row>
    <row r="198" spans="2:11" ht="20" customHeight="1">
      <c r="B198" s="21" t="s">
        <v>540</v>
      </c>
      <c r="C198" s="22" t="str">
        <f>CONCATENATE(prefix_wld_az1_rack_vlan,"56")</f>
        <v>1356</v>
      </c>
      <c r="D198" s="14"/>
      <c r="E198" s="22" t="str">
        <f>CONCATENATE(prefix_wld_az1_rack_cidr,".56.0/24")</f>
        <v>10.13.56.0/24</v>
      </c>
      <c r="F198" s="14"/>
      <c r="G198" s="22" t="str">
        <f>CONCATENATE(prefix_wld_az1_rack_cidr,".56.1")</f>
        <v>10.13.56.1</v>
      </c>
      <c r="H198" s="14"/>
      <c r="I198" s="22">
        <v>9000</v>
      </c>
      <c r="J198" s="14"/>
      <c r="K198" s="40"/>
    </row>
    <row r="199" spans="2:11" ht="20" customHeight="1">
      <c r="B199" s="21" t="s">
        <v>541</v>
      </c>
      <c r="C199" s="22" t="str">
        <f>CONCATENATE(prefix_wld_az1_rack_vlan,"57")</f>
        <v>1357</v>
      </c>
      <c r="D199" s="14"/>
      <c r="E199" s="22" t="str">
        <f>CONCATENATE(prefix_wld_az1_rack_cidr,".57.0/24")</f>
        <v>10.13.57.0/24</v>
      </c>
      <c r="F199" s="14"/>
      <c r="G199" s="22" t="str">
        <f>CONCATENATE(prefix_wld_az1_rack_cidr,".57.1")</f>
        <v>10.13.57.1</v>
      </c>
      <c r="H199" s="14"/>
      <c r="I199" s="22">
        <v>9000</v>
      </c>
      <c r="J199" s="14"/>
      <c r="K199" s="41" t="s">
        <v>542</v>
      </c>
    </row>
    <row r="200" spans="2:11" ht="20" customHeight="1">
      <c r="B200" s="21" t="s">
        <v>543</v>
      </c>
      <c r="C200" s="22" t="str">
        <f>CONCATENATE(prefix_wld_az1_rack_vlan,"58")</f>
        <v>1358</v>
      </c>
      <c r="D200" s="14"/>
      <c r="E200" s="22" t="str">
        <f>CONCATENATE(prefix_wld_az1_rack_cidr,".58.0/24")</f>
        <v>10.13.58.0/24</v>
      </c>
      <c r="F200" s="14"/>
      <c r="G200" s="22" t="str">
        <f>IF(wld_host_overlay_addressing_chosen="Static",CONCATENATE(prefix_wld_az1_rack_cidr,".58.1"),"DHCP")</f>
        <v>10.13.58.1</v>
      </c>
      <c r="H200" s="14"/>
      <c r="I200" s="22">
        <v>9000</v>
      </c>
      <c r="J200" s="14"/>
      <c r="K200" s="54"/>
    </row>
    <row r="201" spans="2:11" ht="20" customHeight="1">
      <c r="B201" s="21" t="s">
        <v>3931</v>
      </c>
      <c r="C201" s="22" t="str">
        <f>CONCATENATE(prefix_wld_az1_rack_vlan,"59")</f>
        <v>1359</v>
      </c>
      <c r="D201" s="14"/>
      <c r="E201" s="22" t="str">
        <f>CONCATENATE(prefix_wld_az1_rack_cidr,".59.0/24")</f>
        <v>10.13.59.0/24</v>
      </c>
      <c r="F201" s="14"/>
      <c r="G201" s="22" t="str">
        <f>CONCATENATE(prefix_wld_az1_rack_cidr,".59.1")</f>
        <v>10.13.59.1</v>
      </c>
      <c r="H201" s="14"/>
      <c r="I201" s="22">
        <v>9000</v>
      </c>
      <c r="J201" s="14"/>
      <c r="K201" s="41"/>
    </row>
    <row r="202" spans="2:11" ht="20" customHeight="1">
      <c r="B202" s="21" t="s">
        <v>548</v>
      </c>
      <c r="C202" s="22" t="str">
        <f>CONCATENATE(prefix_wld_az1_rack_vlan,"60")</f>
        <v>1360</v>
      </c>
      <c r="D202" s="14"/>
      <c r="E202" s="22" t="str">
        <f>CONCATENATE(prefix_wld_az1_rack_cidr,".60.0/24")</f>
        <v>10.13.60.0/24</v>
      </c>
      <c r="F202" s="14"/>
      <c r="G202" s="22" t="str">
        <f>CONCATENATE(prefix_wld_az1_rack_cidr,".60.1")</f>
        <v>10.13.60.1</v>
      </c>
      <c r="H202" s="14"/>
      <c r="I202" s="22">
        <v>9000</v>
      </c>
      <c r="J202" s="14"/>
      <c r="K202" s="54"/>
    </row>
    <row r="203" spans="2:11" ht="20" customHeight="1">
      <c r="B203" s="21" t="s">
        <v>544</v>
      </c>
      <c r="C203" s="22" t="str">
        <f>CONCATENATE(prefix_wld_az1_rack_vlan,"61")</f>
        <v>1361</v>
      </c>
      <c r="D203" s="14"/>
      <c r="E203" s="22" t="str">
        <f>CONCATENATE(prefix_wld_az1_rack_cidr,".61.0/24")</f>
        <v>10.13.61.0/24</v>
      </c>
      <c r="F203" s="14"/>
      <c r="G203" s="22" t="str">
        <f>CONCATENATE(prefix_wld_az1_rack_cidr,".61.1")</f>
        <v>10.13.61.1</v>
      </c>
      <c r="H203" s="14"/>
      <c r="I203" s="22">
        <v>9000</v>
      </c>
      <c r="J203" s="14"/>
      <c r="K203" s="54"/>
    </row>
    <row r="204" spans="2:11" ht="20" customHeight="1">
      <c r="B204" s="21" t="s">
        <v>545</v>
      </c>
      <c r="C204" s="22" t="str">
        <f>CONCATENATE(prefix_wld_az1_rack_vlan,"62")</f>
        <v>1362</v>
      </c>
      <c r="D204" s="14"/>
      <c r="E204" s="22" t="str">
        <f>CONCATENATE(prefix_wld_az1_rack_cidr,".62.0/24")</f>
        <v>10.13.62.0/24</v>
      </c>
      <c r="F204" s="14"/>
      <c r="G204" s="22" t="str">
        <f>CONCATENATE(prefix_wld_az1_rack_cidr,".62.1")</f>
        <v>10.13.62.1</v>
      </c>
      <c r="H204" s="14"/>
      <c r="I204" s="22">
        <v>9000</v>
      </c>
      <c r="J204" s="14"/>
      <c r="K204" s="54"/>
    </row>
    <row r="205" spans="2:11" ht="20" customHeight="1">
      <c r="B205" s="21" t="s">
        <v>546</v>
      </c>
      <c r="C205" s="22" t="str">
        <f>CONCATENATE(prefix_wld_az1_rack_vlan,"63")</f>
        <v>1363</v>
      </c>
      <c r="D205" s="14"/>
      <c r="E205" s="22" t="str">
        <f>CONCATENATE(prefix_wld_az1_rack_cidr,".63.0/24")</f>
        <v>10.13.63.0/24</v>
      </c>
      <c r="F205" s="14"/>
      <c r="G205" s="22" t="str">
        <f>CONCATENATE(prefix_wld_az1_rack_cidr,".63.1")</f>
        <v>10.13.63.1</v>
      </c>
      <c r="H205" s="14"/>
      <c r="I205" s="22">
        <v>9000</v>
      </c>
      <c r="J205" s="14"/>
      <c r="K205" s="54"/>
    </row>
    <row r="206" spans="2:11" ht="20" customHeight="1">
      <c r="B206" s="21" t="s">
        <v>547</v>
      </c>
      <c r="C206" s="22" t="str">
        <f>CONCATENATE(prefix_wld_az1_rack_vlan,"64")</f>
        <v>1364</v>
      </c>
      <c r="D206" s="14"/>
      <c r="E206" s="22" t="str">
        <f>CONCATENATE(prefix_wld_az1_rack_cidr,".64.0/24")</f>
        <v>10.13.64.0/24</v>
      </c>
      <c r="F206" s="14"/>
      <c r="G206" s="22" t="str">
        <f>CONCATENATE(prefix_wld_az1_rack_cidr,".64.1")</f>
        <v>10.13.64.1</v>
      </c>
      <c r="H206" s="14"/>
      <c r="I206" s="22">
        <v>9000</v>
      </c>
      <c r="J206" s="14"/>
      <c r="K206" s="54"/>
    </row>
    <row r="207" spans="2:11" ht="16" customHeight="1">
      <c r="B207" s="3"/>
      <c r="C207" s="3"/>
      <c r="D207" s="3"/>
      <c r="E207" s="3"/>
      <c r="F207" s="3"/>
      <c r="G207" s="3"/>
      <c r="H207" s="3"/>
      <c r="I207" s="3"/>
      <c r="J207" s="3"/>
      <c r="K207" s="3"/>
    </row>
    <row r="208" spans="2:11" ht="34" customHeight="1">
      <c r="B208" s="438" t="s">
        <v>3991</v>
      </c>
      <c r="C208" s="439"/>
      <c r="D208" s="440"/>
      <c r="E208" s="3"/>
      <c r="F208" s="3"/>
      <c r="G208" s="3"/>
      <c r="H208" s="3"/>
      <c r="I208" s="3"/>
      <c r="J208" s="3"/>
      <c r="K208" s="3"/>
    </row>
    <row r="209" spans="2:11" ht="20" customHeight="1">
      <c r="B209" s="190" t="s">
        <v>553</v>
      </c>
      <c r="C209" s="190" t="s">
        <v>554</v>
      </c>
      <c r="D209" s="113" t="s">
        <v>555</v>
      </c>
      <c r="E209" s="3"/>
      <c r="F209" s="3"/>
      <c r="G209" s="3"/>
      <c r="H209" s="3"/>
      <c r="I209" s="3"/>
      <c r="J209" s="3"/>
      <c r="K209" s="3"/>
    </row>
    <row r="210" spans="2:11" ht="20" customHeight="1">
      <c r="B210" s="21" t="s">
        <v>556</v>
      </c>
      <c r="C210" s="22" t="str">
        <f>IF(wld_domain_chosen="First Domain","65102",IF(wld_nsxt_federation_result="Included","65202","65102"))</f>
        <v>65102</v>
      </c>
      <c r="D210" s="14"/>
      <c r="E210" s="3"/>
      <c r="F210" s="3"/>
      <c r="G210" s="3"/>
      <c r="H210" s="3"/>
      <c r="I210" s="3"/>
      <c r="J210" s="3"/>
      <c r="K210" s="3"/>
    </row>
    <row r="211" spans="2:11" ht="20" customHeight="1">
      <c r="B211" s="21" t="s">
        <v>557</v>
      </c>
      <c r="C211" s="22" t="str">
        <f>CONCATENATE(prefix_wld_az1_rack_cidr,".61.10")</f>
        <v>10.13.61.10</v>
      </c>
      <c r="D211" s="14"/>
      <c r="E211" s="3"/>
      <c r="F211" s="3"/>
      <c r="G211" s="3"/>
      <c r="H211" s="3"/>
      <c r="I211" s="3"/>
      <c r="J211" s="3"/>
      <c r="K211" s="3"/>
    </row>
    <row r="212" spans="2:11" ht="20" customHeight="1">
      <c r="B212" s="21" t="s">
        <v>558</v>
      </c>
      <c r="C212" s="22" t="str">
        <f>IF(wld_domain_chosen="First Domain",CONCATENATE(asn_start,asn_instance,asn_wld_az1,5),IF(wld_nsxt_federation_result="Included",CONCATENATE(asn_start,asn_instance,asn_wld_az1,5),CONCATENATE(asn_start,asn_instance,asn_wld_az1,5)))</f>
        <v>65135</v>
      </c>
      <c r="D212" s="14"/>
      <c r="E212" s="3"/>
      <c r="F212" s="3"/>
      <c r="G212" s="3"/>
      <c r="H212" s="3"/>
      <c r="I212" s="3"/>
      <c r="J212" s="3"/>
      <c r="K212" s="3"/>
    </row>
    <row r="213" spans="2:11" ht="20" customHeight="1">
      <c r="B213" s="21" t="s">
        <v>559</v>
      </c>
      <c r="C213" s="22" t="s">
        <v>4098</v>
      </c>
      <c r="D213" s="14"/>
      <c r="E213" s="3"/>
      <c r="F213" s="3"/>
      <c r="G213" s="3"/>
      <c r="H213" s="3"/>
      <c r="I213" s="3"/>
      <c r="J213" s="3"/>
      <c r="K213" s="3"/>
    </row>
    <row r="214" spans="2:11" ht="20" customHeight="1">
      <c r="B214" s="21" t="s">
        <v>560</v>
      </c>
      <c r="C214" s="22" t="str">
        <f>CONCATENATE(prefix_wld_az1_rack_cidr,".62.10")</f>
        <v>10.13.62.10</v>
      </c>
      <c r="D214" s="14"/>
      <c r="E214" s="3"/>
      <c r="F214" s="3"/>
      <c r="G214" s="3"/>
      <c r="H214" s="3"/>
      <c r="I214" s="3"/>
      <c r="J214" s="3"/>
      <c r="K214" s="3"/>
    </row>
    <row r="215" spans="2:11" ht="20" customHeight="1">
      <c r="B215" s="21" t="s">
        <v>561</v>
      </c>
      <c r="C215" s="22" t="str">
        <f>IF(wld_domain_chosen="First Domain",CONCATENATE(asn_start,asn_instance,asn_wld_az1,5),IF(wld_nsxt_federation_result="Included",CONCATENATE(asn_start,asn_instance,asn_wld_az1,5),CONCATENATE(asn_start,asn_instance,asn_wld_az1,5)))</f>
        <v>65135</v>
      </c>
      <c r="D215" s="14"/>
      <c r="E215" s="3"/>
      <c r="F215" s="3"/>
      <c r="G215" s="3"/>
      <c r="H215" s="3"/>
      <c r="I215" s="3"/>
      <c r="J215" s="3"/>
      <c r="K215" s="3"/>
    </row>
    <row r="216" spans="2:11" ht="20" customHeight="1">
      <c r="B216" s="21" t="s">
        <v>562</v>
      </c>
      <c r="C216" s="22" t="s">
        <v>4098</v>
      </c>
      <c r="D216" s="14"/>
      <c r="E216" s="3"/>
      <c r="F216" s="3"/>
      <c r="G216" s="3"/>
      <c r="H216" s="3"/>
      <c r="I216" s="3"/>
      <c r="J216" s="3"/>
      <c r="K216" s="3"/>
    </row>
    <row r="217" spans="2:11" ht="16" customHeight="1"/>
    <row r="218" spans="2:11" ht="34" customHeight="1">
      <c r="B218" s="436" t="s">
        <v>3997</v>
      </c>
      <c r="C218" s="436"/>
      <c r="D218" s="436"/>
      <c r="E218" s="436"/>
      <c r="F218" s="436"/>
      <c r="G218" s="436"/>
      <c r="H218" s="436"/>
      <c r="I218" s="436"/>
      <c r="J218" s="436"/>
      <c r="K218" s="436"/>
    </row>
    <row r="219" spans="2:11" ht="20" customHeight="1">
      <c r="B219" s="437" t="s">
        <v>529</v>
      </c>
      <c r="C219" s="437"/>
      <c r="D219" s="437"/>
      <c r="E219" s="437"/>
      <c r="F219" s="437"/>
      <c r="G219" s="437"/>
      <c r="H219" s="437"/>
      <c r="I219" s="437"/>
      <c r="J219" s="437"/>
      <c r="K219" s="437"/>
    </row>
    <row r="220" spans="2:11" ht="20" customHeight="1">
      <c r="B220" s="190" t="s">
        <v>530</v>
      </c>
      <c r="C220" s="190" t="s">
        <v>531</v>
      </c>
      <c r="D220" s="113" t="s">
        <v>532</v>
      </c>
      <c r="E220" s="190" t="s">
        <v>533</v>
      </c>
      <c r="F220" s="113" t="s">
        <v>534</v>
      </c>
      <c r="G220" s="190" t="s">
        <v>535</v>
      </c>
      <c r="H220" s="113" t="s">
        <v>536</v>
      </c>
      <c r="I220" s="190" t="s">
        <v>537</v>
      </c>
      <c r="J220" s="113" t="s">
        <v>538</v>
      </c>
      <c r="K220" s="190" t="s">
        <v>222</v>
      </c>
    </row>
    <row r="221" spans="2:11" ht="20" customHeight="1">
      <c r="B221" s="21" t="s">
        <v>3184</v>
      </c>
      <c r="C221" s="25" t="str">
        <f>IF(wld_dpg_separation_result="Included",CONCATENATE(prefix_wld_az1_rack_vlan,"65"),CONCATENATE(prefix_wld_az1_rack_vlan,"66"))</f>
        <v>1366</v>
      </c>
      <c r="D221" s="14"/>
      <c r="E221" s="22" t="str">
        <f>IF(wld_dpg_separation_result="Included",(CONCATENATE(prefix_wld_az1_rack_cidr,".65.0/24")),(CONCATENATE(prefix_wld_az1_rack_cidr,".66.0/24")))</f>
        <v>10.13.66.0/24</v>
      </c>
      <c r="F221" s="14"/>
      <c r="G221" s="22" t="str">
        <f>IF(wld_dpg_separation_result="Included",CONCATENATE(prefix_wld_az1_rack_cidr,".65.1"),CONCATENATE(prefix_wld_az1_rack_cidr,".66.1"))</f>
        <v>10.13.66.1</v>
      </c>
      <c r="H221" s="14"/>
      <c r="I221" s="22">
        <v>1500</v>
      </c>
      <c r="J221" s="14"/>
      <c r="K221" s="54"/>
    </row>
    <row r="222" spans="2:11" ht="20" customHeight="1">
      <c r="B222" s="21" t="s">
        <v>4235</v>
      </c>
      <c r="C222" s="22" t="str">
        <f>CONCATENATE(prefix_wld_az1_rack_vlan,"66")</f>
        <v>1366</v>
      </c>
      <c r="D222" s="14"/>
      <c r="E222" s="22" t="str">
        <f>CONCATENATE(prefix_wld_az1_rack_cidr,".66.0/24")</f>
        <v>10.13.66.0/24</v>
      </c>
      <c r="F222" s="14"/>
      <c r="G222" s="22" t="str">
        <f>CONCATENATE(prefix_wld_az1_rack_cidr,".66.1")</f>
        <v>10.13.66.1</v>
      </c>
      <c r="H222" s="14"/>
      <c r="I222" s="22">
        <v>1500</v>
      </c>
      <c r="J222" s="14"/>
      <c r="K222" s="54"/>
    </row>
    <row r="223" spans="2:11" ht="20" customHeight="1">
      <c r="B223" s="21" t="s">
        <v>540</v>
      </c>
      <c r="C223" s="22" t="str">
        <f>CONCATENATE(prefix_wld_az1_rack_vlan,"67")</f>
        <v>1367</v>
      </c>
      <c r="D223" s="14"/>
      <c r="E223" s="22" t="str">
        <f>CONCATENATE(prefix_wld_az1_rack_cidr,".67.0/24")</f>
        <v>10.13.67.0/24</v>
      </c>
      <c r="F223" s="14"/>
      <c r="G223" s="22" t="str">
        <f>CONCATENATE(prefix_wld_az1_rack_cidr,".67.1")</f>
        <v>10.13.67.1</v>
      </c>
      <c r="H223" s="14"/>
      <c r="I223" s="22">
        <v>9000</v>
      </c>
      <c r="J223" s="14"/>
      <c r="K223" s="40"/>
    </row>
    <row r="224" spans="2:11" ht="20" customHeight="1">
      <c r="B224" s="21" t="s">
        <v>541</v>
      </c>
      <c r="C224" s="22" t="str">
        <f>CONCATENATE(prefix_wld_az1_rack_vlan,"68")</f>
        <v>1368</v>
      </c>
      <c r="D224" s="14"/>
      <c r="E224" s="22" t="str">
        <f>CONCATENATE(prefix_wld_az1_rack_cidr,".68.0/24")</f>
        <v>10.13.68.0/24</v>
      </c>
      <c r="F224" s="14"/>
      <c r="G224" s="22" t="str">
        <f>CONCATENATE(prefix_wld_az1_rack_cidr,".68.1")</f>
        <v>10.13.68.1</v>
      </c>
      <c r="H224" s="14"/>
      <c r="I224" s="22">
        <v>9000</v>
      </c>
      <c r="J224" s="14"/>
      <c r="K224" s="41" t="s">
        <v>542</v>
      </c>
    </row>
    <row r="225" spans="2:11" ht="20" customHeight="1">
      <c r="B225" s="21" t="s">
        <v>543</v>
      </c>
      <c r="C225" s="22" t="str">
        <f>CONCATENATE(prefix_wld_az1_rack_vlan,"69")</f>
        <v>1369</v>
      </c>
      <c r="D225" s="14"/>
      <c r="E225" s="22" t="str">
        <f>CONCATENATE(prefix_wld_az1_rack_cidr,".69.0/24")</f>
        <v>10.13.69.0/24</v>
      </c>
      <c r="F225" s="14"/>
      <c r="G225" s="22" t="str">
        <f>IF(wld_host_overlay_addressing_chosen="Static",CONCATENATE(prefix_wld_az1_rack_cidr,".69.1"),"DHCP")</f>
        <v>10.13.69.1</v>
      </c>
      <c r="H225" s="14"/>
      <c r="I225" s="22">
        <v>9000</v>
      </c>
      <c r="J225" s="14"/>
      <c r="K225" s="54"/>
    </row>
    <row r="226" spans="2:11" ht="20" customHeight="1">
      <c r="B226" s="21" t="s">
        <v>3931</v>
      </c>
      <c r="C226" s="22" t="str">
        <f>CONCATENATE(prefix_wld_az1_rack_vlan,"70")</f>
        <v>1370</v>
      </c>
      <c r="D226" s="14"/>
      <c r="E226" s="22" t="str">
        <f>CONCATENATE(prefix_wld_az1_rack_cidr,".70.0/24")</f>
        <v>10.13.70.0/24</v>
      </c>
      <c r="F226" s="14"/>
      <c r="G226" s="22" t="str">
        <f>CONCATENATE(prefix_wld_az1_rack_cidr,".70.1")</f>
        <v>10.13.70.1</v>
      </c>
      <c r="H226" s="14"/>
      <c r="I226" s="22">
        <v>9000</v>
      </c>
      <c r="J226" s="14"/>
      <c r="K226" s="41"/>
    </row>
    <row r="227" spans="2:11" ht="20" customHeight="1">
      <c r="B227" s="21" t="s">
        <v>548</v>
      </c>
      <c r="C227" s="22" t="str">
        <f>CONCATENATE(prefix_wld_az1_rack_vlan,"71")</f>
        <v>1371</v>
      </c>
      <c r="D227" s="14"/>
      <c r="E227" s="22" t="str">
        <f>CONCATENATE(prefix_wld_az1_rack_cidr,".71.0/24")</f>
        <v>10.13.71.0/24</v>
      </c>
      <c r="F227" s="14"/>
      <c r="G227" s="22" t="str">
        <f>CONCATENATE(prefix_wld_az1_rack_cidr,".71.1")</f>
        <v>10.13.71.1</v>
      </c>
      <c r="H227" s="14"/>
      <c r="I227" s="22">
        <v>9000</v>
      </c>
      <c r="J227" s="14"/>
      <c r="K227" s="54"/>
    </row>
    <row r="228" spans="2:11" ht="20" customHeight="1">
      <c r="B228" s="21" t="s">
        <v>544</v>
      </c>
      <c r="C228" s="22" t="str">
        <f>CONCATENATE(prefix_wld_az1_rack_vlan,"72")</f>
        <v>1372</v>
      </c>
      <c r="D228" s="14"/>
      <c r="E228" s="22" t="str">
        <f>CONCATENATE(prefix_wld_az1_rack_cidr,".72.0/24")</f>
        <v>10.13.72.0/24</v>
      </c>
      <c r="F228" s="14"/>
      <c r="G228" s="22" t="str">
        <f>CONCATENATE(prefix_wld_az1_rack_cidr,".72.1")</f>
        <v>10.13.72.1</v>
      </c>
      <c r="H228" s="14"/>
      <c r="I228" s="22">
        <v>9000</v>
      </c>
      <c r="J228" s="14"/>
      <c r="K228" s="54"/>
    </row>
    <row r="229" spans="2:11" ht="20" customHeight="1">
      <c r="B229" s="21" t="s">
        <v>545</v>
      </c>
      <c r="C229" s="22" t="str">
        <f>CONCATENATE(prefix_wld_az1_rack_vlan,"73")</f>
        <v>1373</v>
      </c>
      <c r="D229" s="14"/>
      <c r="E229" s="22" t="str">
        <f>CONCATENATE(prefix_wld_az1_rack_cidr,".73.0/24")</f>
        <v>10.13.73.0/24</v>
      </c>
      <c r="F229" s="14"/>
      <c r="G229" s="22" t="str">
        <f>CONCATENATE(prefix_wld_az1_rack_cidr,".73.1")</f>
        <v>10.13.73.1</v>
      </c>
      <c r="H229" s="14"/>
      <c r="I229" s="22">
        <v>9000</v>
      </c>
      <c r="J229" s="14"/>
      <c r="K229" s="54"/>
    </row>
    <row r="230" spans="2:11" ht="20" customHeight="1">
      <c r="B230" s="21" t="s">
        <v>546</v>
      </c>
      <c r="C230" s="22" t="str">
        <f>CONCATENATE(prefix_wld_az1_rack_vlan,"74")</f>
        <v>1374</v>
      </c>
      <c r="D230" s="14"/>
      <c r="E230" s="22" t="str">
        <f>CONCATENATE(prefix_wld_az1_rack_cidr,".74.0/24")</f>
        <v>10.13.74.0/24</v>
      </c>
      <c r="F230" s="14"/>
      <c r="G230" s="22" t="str">
        <f>CONCATENATE(prefix_wld_az1_rack_cidr,".74.1")</f>
        <v>10.13.74.1</v>
      </c>
      <c r="H230" s="14"/>
      <c r="I230" s="22">
        <v>9000</v>
      </c>
      <c r="J230" s="14"/>
      <c r="K230" s="54"/>
    </row>
    <row r="231" spans="2:11" ht="20" customHeight="1">
      <c r="B231" s="21" t="s">
        <v>547</v>
      </c>
      <c r="C231" s="22" t="str">
        <f>CONCATENATE(prefix_wld_az1_rack_vlan,"75")</f>
        <v>1375</v>
      </c>
      <c r="D231" s="14"/>
      <c r="E231" s="22" t="str">
        <f>CONCATENATE(prefix_wld_az1_rack_cidr,".75.0/24")</f>
        <v>10.13.75.0/24</v>
      </c>
      <c r="F231" s="14"/>
      <c r="G231" s="22" t="str">
        <f>CONCATENATE(prefix_wld_az1_rack_cidr,".75.1")</f>
        <v>10.13.75.1</v>
      </c>
      <c r="H231" s="14"/>
      <c r="I231" s="22">
        <v>9000</v>
      </c>
      <c r="J231" s="14"/>
      <c r="K231" s="54"/>
    </row>
    <row r="232" spans="2:11" ht="16" customHeight="1">
      <c r="B232" s="3"/>
      <c r="C232" s="3"/>
      <c r="D232" s="3"/>
      <c r="E232" s="3"/>
      <c r="F232" s="3"/>
      <c r="G232" s="3"/>
      <c r="H232" s="3"/>
      <c r="I232" s="3"/>
      <c r="J232" s="3"/>
      <c r="K232" s="3"/>
    </row>
    <row r="233" spans="2:11" ht="34" customHeight="1">
      <c r="B233" s="438" t="s">
        <v>3992</v>
      </c>
      <c r="C233" s="439"/>
      <c r="D233" s="440"/>
      <c r="E233" s="3"/>
      <c r="F233" s="3"/>
      <c r="G233" s="3"/>
      <c r="H233" s="3"/>
      <c r="I233" s="3"/>
      <c r="J233" s="3"/>
      <c r="K233" s="3"/>
    </row>
    <row r="234" spans="2:11" ht="20" customHeight="1">
      <c r="B234" s="190" t="s">
        <v>553</v>
      </c>
      <c r="C234" s="190" t="s">
        <v>554</v>
      </c>
      <c r="D234" s="113" t="s">
        <v>555</v>
      </c>
      <c r="E234" s="3"/>
      <c r="F234" s="3"/>
      <c r="G234" s="3"/>
      <c r="H234" s="3"/>
      <c r="I234" s="3"/>
      <c r="J234" s="3"/>
      <c r="K234" s="3"/>
    </row>
    <row r="235" spans="2:11" ht="20" customHeight="1">
      <c r="B235" s="21" t="s">
        <v>556</v>
      </c>
      <c r="C235" s="22" t="str">
        <f>IF(wld_domain_chosen="First Domain","65102",IF(wld_nsxt_federation_result="Included","65202","65102"))</f>
        <v>65102</v>
      </c>
      <c r="D235" s="14"/>
      <c r="E235" s="3"/>
      <c r="F235" s="3"/>
      <c r="G235" s="3"/>
      <c r="H235" s="3"/>
      <c r="I235" s="3"/>
      <c r="J235" s="3"/>
      <c r="K235" s="3"/>
    </row>
    <row r="236" spans="2:11" ht="20" customHeight="1">
      <c r="B236" s="21" t="s">
        <v>557</v>
      </c>
      <c r="C236" s="22" t="str">
        <f>CONCATENATE(prefix_wld_az1_rack_cidr,".72.10")</f>
        <v>10.13.72.10</v>
      </c>
      <c r="D236" s="14"/>
      <c r="E236" s="3"/>
      <c r="F236" s="3"/>
      <c r="G236" s="3"/>
      <c r="H236" s="3"/>
      <c r="I236" s="3"/>
      <c r="J236" s="3"/>
      <c r="K236" s="3"/>
    </row>
    <row r="237" spans="2:11" ht="20" customHeight="1">
      <c r="B237" s="21" t="s">
        <v>558</v>
      </c>
      <c r="C237" s="22" t="str">
        <f>IF(wld_domain_chosen="First Domain",CONCATENATE(asn_start,asn_instance,asn_wld_az1,6),IF(wld_nsxt_federation_result="Included",CONCATENATE(asn_start,asn_instance,asn_wld_az1,6),CONCATENATE(asn_start,asn_instance,asn_wld_az1,6)))</f>
        <v>65136</v>
      </c>
      <c r="D237" s="14"/>
      <c r="E237" s="3"/>
      <c r="F237" s="3"/>
      <c r="G237" s="3"/>
      <c r="H237" s="3"/>
      <c r="I237" s="3"/>
      <c r="J237" s="3"/>
      <c r="K237" s="3"/>
    </row>
    <row r="238" spans="2:11" ht="20" customHeight="1">
      <c r="B238" s="21" t="s">
        <v>559</v>
      </c>
      <c r="C238" s="22" t="s">
        <v>4098</v>
      </c>
      <c r="D238" s="14"/>
      <c r="E238" s="3"/>
      <c r="F238" s="3"/>
      <c r="G238" s="3"/>
      <c r="H238" s="3"/>
      <c r="I238" s="3"/>
      <c r="J238" s="3"/>
      <c r="K238" s="3"/>
    </row>
    <row r="239" spans="2:11" ht="20" customHeight="1">
      <c r="B239" s="21" t="s">
        <v>560</v>
      </c>
      <c r="C239" s="22" t="str">
        <f>CONCATENATE(prefix_wld_az1_rack_cidr,".73.10")</f>
        <v>10.13.73.10</v>
      </c>
      <c r="D239" s="14"/>
      <c r="E239" s="3"/>
      <c r="F239" s="3"/>
      <c r="G239" s="3"/>
      <c r="H239" s="3"/>
      <c r="I239" s="3"/>
      <c r="J239" s="3"/>
      <c r="K239" s="3"/>
    </row>
    <row r="240" spans="2:11" ht="20" customHeight="1">
      <c r="B240" s="21" t="s">
        <v>561</v>
      </c>
      <c r="C240" s="22" t="str">
        <f>IF(wld_domain_chosen="First Domain",CONCATENATE(asn_start,asn_instance,asn_wld_az1,6),IF(wld_nsxt_federation_result="Included",CONCATENATE(asn_start,asn_instance,asn_wld_az1,6),CONCATENATE(asn_start,asn_instance,asn_wld_az1,6)))</f>
        <v>65136</v>
      </c>
      <c r="D240" s="14"/>
      <c r="E240" s="3"/>
      <c r="F240" s="3"/>
      <c r="G240" s="3"/>
      <c r="H240" s="3"/>
      <c r="I240" s="3"/>
      <c r="J240" s="3"/>
      <c r="K240" s="3"/>
    </row>
    <row r="241" spans="2:11" ht="20" customHeight="1">
      <c r="B241" s="21" t="s">
        <v>562</v>
      </c>
      <c r="C241" s="22" t="s">
        <v>4098</v>
      </c>
      <c r="D241" s="14"/>
      <c r="E241" s="3"/>
      <c r="F241" s="3"/>
      <c r="G241" s="3"/>
      <c r="H241" s="3"/>
      <c r="I241" s="3"/>
      <c r="J241" s="3"/>
      <c r="K241" s="3"/>
    </row>
    <row r="242" spans="2:11" ht="16" customHeight="1"/>
    <row r="243" spans="2:11" ht="34" customHeight="1">
      <c r="B243" s="436" t="s">
        <v>3993</v>
      </c>
      <c r="C243" s="436"/>
      <c r="D243" s="436"/>
      <c r="E243" s="436"/>
      <c r="F243" s="436"/>
      <c r="G243" s="436"/>
      <c r="H243" s="436"/>
      <c r="I243" s="436"/>
      <c r="J243" s="436"/>
      <c r="K243" s="436"/>
    </row>
    <row r="244" spans="2:11" ht="20" customHeight="1">
      <c r="B244" s="437" t="s">
        <v>529</v>
      </c>
      <c r="C244" s="437"/>
      <c r="D244" s="437"/>
      <c r="E244" s="437"/>
      <c r="F244" s="437"/>
      <c r="G244" s="437"/>
      <c r="H244" s="437"/>
      <c r="I244" s="437"/>
      <c r="J244" s="437"/>
      <c r="K244" s="437"/>
    </row>
    <row r="245" spans="2:11" ht="20" customHeight="1">
      <c r="B245" s="190" t="s">
        <v>530</v>
      </c>
      <c r="C245" s="190" t="s">
        <v>531</v>
      </c>
      <c r="D245" s="113" t="s">
        <v>532</v>
      </c>
      <c r="E245" s="190" t="s">
        <v>533</v>
      </c>
      <c r="F245" s="113" t="s">
        <v>534</v>
      </c>
      <c r="G245" s="190" t="s">
        <v>535</v>
      </c>
      <c r="H245" s="113" t="s">
        <v>536</v>
      </c>
      <c r="I245" s="190" t="s">
        <v>537</v>
      </c>
      <c r="J245" s="113" t="s">
        <v>538</v>
      </c>
      <c r="K245" s="190" t="s">
        <v>222</v>
      </c>
    </row>
    <row r="246" spans="2:11" ht="20" customHeight="1">
      <c r="B246" s="21" t="s">
        <v>3184</v>
      </c>
      <c r="C246" s="25" t="str">
        <f>IF(wld_dpg_separation_result="Included",CONCATENATE(prefix_wld_az1_rack_vlan,"76"),CONCATENATE(prefix_wld_az1_rack_vlan,"77"))</f>
        <v>1377</v>
      </c>
      <c r="D246" s="14"/>
      <c r="E246" s="22" t="str">
        <f>IF(wld_dpg_separation_result="Included",(CONCATENATE(prefix_wld_az1_rack_cidr,".76.0/24")),(CONCATENATE(prefix_wld_az1_rack_cidr,".77.0/24")))</f>
        <v>10.13.77.0/24</v>
      </c>
      <c r="F246" s="14"/>
      <c r="G246" s="22" t="str">
        <f>IF(wld_dpg_separation_result="Included",CONCATENATE(prefix_wld_az1_rack_cidr,".76.1"),CONCATENATE(prefix_wld_az1_rack_cidr,".77.1"))</f>
        <v>10.13.77.1</v>
      </c>
      <c r="H246" s="14"/>
      <c r="I246" s="22">
        <v>1500</v>
      </c>
      <c r="J246" s="14"/>
      <c r="K246" s="54"/>
    </row>
    <row r="247" spans="2:11" ht="20" customHeight="1">
      <c r="B247" s="21" t="s">
        <v>4235</v>
      </c>
      <c r="C247" s="22" t="str">
        <f>CONCATENATE(prefix_wld_az1_rack_vlan,"77")</f>
        <v>1377</v>
      </c>
      <c r="D247" s="14"/>
      <c r="E247" s="22" t="str">
        <f>CONCATENATE(prefix_wld_az1_rack_cidr,".77.0/24")</f>
        <v>10.13.77.0/24</v>
      </c>
      <c r="F247" s="14"/>
      <c r="G247" s="22" t="str">
        <f>CONCATENATE(prefix_wld_az1_rack_cidr,".77.1")</f>
        <v>10.13.77.1</v>
      </c>
      <c r="H247" s="14"/>
      <c r="I247" s="22">
        <v>1500</v>
      </c>
      <c r="J247" s="14"/>
      <c r="K247" s="54"/>
    </row>
    <row r="248" spans="2:11" ht="20" customHeight="1">
      <c r="B248" s="21" t="s">
        <v>540</v>
      </c>
      <c r="C248" s="22" t="str">
        <f>CONCATENATE(prefix_wld_az1_rack_vlan,"78")</f>
        <v>1378</v>
      </c>
      <c r="D248" s="14"/>
      <c r="E248" s="22" t="str">
        <f>CONCATENATE(prefix_wld_az1_rack_cidr,".78.0/24")</f>
        <v>10.13.78.0/24</v>
      </c>
      <c r="F248" s="14"/>
      <c r="G248" s="22" t="str">
        <f>CONCATENATE(prefix_wld_az1_rack_cidr,".78.1")</f>
        <v>10.13.78.1</v>
      </c>
      <c r="H248" s="14"/>
      <c r="I248" s="22">
        <v>9000</v>
      </c>
      <c r="J248" s="14"/>
      <c r="K248" s="40"/>
    </row>
    <row r="249" spans="2:11" ht="20" customHeight="1">
      <c r="B249" s="21" t="s">
        <v>541</v>
      </c>
      <c r="C249" s="22" t="str">
        <f>CONCATENATE(prefix_wld_az1_rack_vlan,"79")</f>
        <v>1379</v>
      </c>
      <c r="D249" s="14"/>
      <c r="E249" s="22" t="str">
        <f>CONCATENATE(prefix_wld_az1_rack_cidr,".79.0/24")</f>
        <v>10.13.79.0/24</v>
      </c>
      <c r="F249" s="14"/>
      <c r="G249" s="22" t="str">
        <f>CONCATENATE(prefix_wld_az1_rack_cidr,".79.1")</f>
        <v>10.13.79.1</v>
      </c>
      <c r="H249" s="14"/>
      <c r="I249" s="22">
        <v>9000</v>
      </c>
      <c r="J249" s="14"/>
      <c r="K249" s="41" t="s">
        <v>542</v>
      </c>
    </row>
    <row r="250" spans="2:11" ht="20" customHeight="1">
      <c r="B250" s="21" t="s">
        <v>543</v>
      </c>
      <c r="C250" s="22" t="str">
        <f>CONCATENATE(prefix_wld_az1_rack_vlan,"80")</f>
        <v>1380</v>
      </c>
      <c r="D250" s="14"/>
      <c r="E250" s="22" t="str">
        <f>CONCATENATE(prefix_wld_az1_rack_cidr,".80.0/24")</f>
        <v>10.13.80.0/24</v>
      </c>
      <c r="F250" s="14"/>
      <c r="G250" s="22" t="str">
        <f>IF(wld_host_overlay_addressing_chosen="Static",CONCATENATE(prefix_wld_az1_rack_cidr,".80.1"),"DHCP")</f>
        <v>10.13.80.1</v>
      </c>
      <c r="H250" s="14"/>
      <c r="I250" s="22">
        <v>9000</v>
      </c>
      <c r="J250" s="14"/>
      <c r="K250" s="54"/>
    </row>
    <row r="251" spans="2:11" ht="20" customHeight="1">
      <c r="B251" s="21" t="s">
        <v>3931</v>
      </c>
      <c r="C251" s="22" t="str">
        <f>CONCATENATE(prefix_wld_az1_rack_vlan,"81")</f>
        <v>1381</v>
      </c>
      <c r="D251" s="14"/>
      <c r="E251" s="22" t="str">
        <f>CONCATENATE(prefix_wld_az1_rack_cidr,".81.0/24")</f>
        <v>10.13.81.0/24</v>
      </c>
      <c r="F251" s="14"/>
      <c r="G251" s="22" t="str">
        <f>CONCATENATE(prefix_wld_az1_rack_cidr,".81.1")</f>
        <v>10.13.81.1</v>
      </c>
      <c r="H251" s="14"/>
      <c r="I251" s="22">
        <v>9000</v>
      </c>
      <c r="J251" s="14"/>
      <c r="K251" s="41"/>
    </row>
    <row r="252" spans="2:11" ht="20" customHeight="1">
      <c r="B252" s="21" t="s">
        <v>548</v>
      </c>
      <c r="C252" s="22" t="str">
        <f>CONCATENATE(prefix_wld_az1_rack_vlan,"82")</f>
        <v>1382</v>
      </c>
      <c r="D252" s="14"/>
      <c r="E252" s="22" t="str">
        <f>CONCATENATE(prefix_wld_az1_rack_cidr,".82.0/24")</f>
        <v>10.13.82.0/24</v>
      </c>
      <c r="F252" s="14"/>
      <c r="G252" s="22" t="str">
        <f>CONCATENATE(prefix_wld_az1_rack_cidr,".82.1")</f>
        <v>10.13.82.1</v>
      </c>
      <c r="H252" s="14"/>
      <c r="I252" s="22">
        <v>9000</v>
      </c>
      <c r="J252" s="14"/>
      <c r="K252" s="54"/>
    </row>
    <row r="253" spans="2:11" ht="20" customHeight="1">
      <c r="B253" s="21" t="s">
        <v>544</v>
      </c>
      <c r="C253" s="22" t="str">
        <f>CONCATENATE(prefix_wld_az1_rack_vlan,"83")</f>
        <v>1383</v>
      </c>
      <c r="D253" s="14"/>
      <c r="E253" s="22" t="str">
        <f>CONCATENATE(prefix_wld_az1_rack_cidr,".83.0/24")</f>
        <v>10.13.83.0/24</v>
      </c>
      <c r="F253" s="14"/>
      <c r="G253" s="22" t="str">
        <f>CONCATENATE(prefix_wld_az1_rack_cidr,".83.1")</f>
        <v>10.13.83.1</v>
      </c>
      <c r="H253" s="14"/>
      <c r="I253" s="22">
        <v>9000</v>
      </c>
      <c r="J253" s="14"/>
      <c r="K253" s="54"/>
    </row>
    <row r="254" spans="2:11" ht="20" customHeight="1">
      <c r="B254" s="21" t="s">
        <v>545</v>
      </c>
      <c r="C254" s="22" t="str">
        <f>CONCATENATE(prefix_wld_az1_rack_vlan,"84")</f>
        <v>1384</v>
      </c>
      <c r="D254" s="14"/>
      <c r="E254" s="22" t="str">
        <f>CONCATENATE(prefix_wld_az1_rack_cidr,".84.0/24")</f>
        <v>10.13.84.0/24</v>
      </c>
      <c r="F254" s="14"/>
      <c r="G254" s="22" t="str">
        <f>CONCATENATE(prefix_wld_az1_rack_cidr,".84.1")</f>
        <v>10.13.84.1</v>
      </c>
      <c r="H254" s="14"/>
      <c r="I254" s="22">
        <v>9000</v>
      </c>
      <c r="J254" s="14"/>
      <c r="K254" s="54"/>
    </row>
    <row r="255" spans="2:11" ht="20" customHeight="1">
      <c r="B255" s="21" t="s">
        <v>546</v>
      </c>
      <c r="C255" s="22" t="str">
        <f>CONCATENATE(prefix_wld_az1_rack_vlan,"85")</f>
        <v>1385</v>
      </c>
      <c r="D255" s="14"/>
      <c r="E255" s="22" t="str">
        <f>CONCATENATE(prefix_wld_az1_rack_cidr,".85.0/24")</f>
        <v>10.13.85.0/24</v>
      </c>
      <c r="F255" s="14"/>
      <c r="G255" s="22" t="str">
        <f>CONCATENATE(prefix_wld_az1_rack_cidr,".85.1")</f>
        <v>10.13.85.1</v>
      </c>
      <c r="H255" s="14"/>
      <c r="I255" s="22">
        <v>9000</v>
      </c>
      <c r="J255" s="14"/>
      <c r="K255" s="54"/>
    </row>
    <row r="256" spans="2:11" ht="20" customHeight="1">
      <c r="B256" s="21" t="s">
        <v>547</v>
      </c>
      <c r="C256" s="22" t="str">
        <f>CONCATENATE(prefix_wld_az1_rack_vlan,"86")</f>
        <v>1386</v>
      </c>
      <c r="D256" s="14"/>
      <c r="E256" s="22" t="str">
        <f>CONCATENATE(prefix_wld_az1_rack_cidr,".86.0/24")</f>
        <v>10.13.86.0/24</v>
      </c>
      <c r="F256" s="14"/>
      <c r="G256" s="22" t="str">
        <f>CONCATENATE(prefix_wld_az1_rack_cidr,".86.1")</f>
        <v>10.13.86.1</v>
      </c>
      <c r="H256" s="14"/>
      <c r="I256" s="22">
        <v>9000</v>
      </c>
      <c r="J256" s="14"/>
      <c r="K256" s="54"/>
    </row>
    <row r="257" spans="2:11" ht="16" customHeight="1">
      <c r="B257" s="3"/>
      <c r="C257" s="3"/>
      <c r="D257" s="3"/>
      <c r="E257" s="3"/>
      <c r="F257" s="3"/>
      <c r="G257" s="3"/>
      <c r="H257" s="3"/>
      <c r="I257" s="3"/>
      <c r="J257" s="3"/>
      <c r="K257" s="3"/>
    </row>
    <row r="258" spans="2:11" ht="20" customHeight="1">
      <c r="B258" s="438" t="s">
        <v>3994</v>
      </c>
      <c r="C258" s="439"/>
      <c r="D258" s="440"/>
      <c r="E258" s="3"/>
      <c r="F258" s="3"/>
      <c r="G258" s="3"/>
      <c r="H258" s="3"/>
      <c r="I258" s="3"/>
      <c r="J258" s="3"/>
      <c r="K258" s="3"/>
    </row>
    <row r="259" spans="2:11" ht="20" customHeight="1">
      <c r="B259" s="190" t="s">
        <v>553</v>
      </c>
      <c r="C259" s="190" t="s">
        <v>554</v>
      </c>
      <c r="D259" s="113" t="s">
        <v>555</v>
      </c>
      <c r="E259" s="3"/>
      <c r="F259" s="3"/>
      <c r="G259" s="3"/>
      <c r="H259" s="3"/>
      <c r="I259" s="3"/>
      <c r="J259" s="3"/>
      <c r="K259" s="3"/>
    </row>
    <row r="260" spans="2:11" ht="20" customHeight="1">
      <c r="B260" s="21" t="s">
        <v>556</v>
      </c>
      <c r="C260" s="22" t="str">
        <f>IF(wld_domain_chosen="First Domain","65102",IF(wld_nsxt_federation_result="Included","65202","65102"))</f>
        <v>65102</v>
      </c>
      <c r="D260" s="14"/>
      <c r="E260" s="3"/>
      <c r="F260" s="3"/>
      <c r="G260" s="3"/>
      <c r="H260" s="3"/>
      <c r="I260" s="3"/>
      <c r="J260" s="3"/>
      <c r="K260" s="3"/>
    </row>
    <row r="261" spans="2:11" ht="20" customHeight="1">
      <c r="B261" s="21" t="s">
        <v>557</v>
      </c>
      <c r="C261" s="22" t="str">
        <f>CONCATENATE(prefix_wld_az1_rack_cidr,".83.10")</f>
        <v>10.13.83.10</v>
      </c>
      <c r="D261" s="14"/>
      <c r="E261" s="3"/>
      <c r="F261" s="3"/>
      <c r="G261" s="3"/>
      <c r="H261" s="3"/>
      <c r="I261" s="3"/>
      <c r="J261" s="3"/>
      <c r="K261" s="3"/>
    </row>
    <row r="262" spans="2:11" ht="20" customHeight="1">
      <c r="B262" s="21" t="s">
        <v>558</v>
      </c>
      <c r="C262" s="22" t="str">
        <f>IF(wld_domain_chosen="First Domain",CONCATENATE(asn_start,asn_instance,asn_wld_az1,7),IF(wld_nsxt_federation_result="Included",CONCATENATE(asn_start,asn_instance,asn_wld_az1,7),CONCATENATE(asn_start,asn_instance,asn_wld_az1,7)))</f>
        <v>65137</v>
      </c>
      <c r="D262" s="14"/>
      <c r="E262" s="3"/>
      <c r="F262" s="3"/>
      <c r="G262" s="3"/>
      <c r="H262" s="3"/>
      <c r="I262" s="3"/>
      <c r="J262" s="3"/>
      <c r="K262" s="3"/>
    </row>
    <row r="263" spans="2:11" ht="20" customHeight="1">
      <c r="B263" s="21" t="s">
        <v>559</v>
      </c>
      <c r="C263" s="22" t="s">
        <v>4098</v>
      </c>
      <c r="D263" s="14"/>
      <c r="E263" s="3"/>
      <c r="F263" s="3"/>
      <c r="G263" s="3"/>
      <c r="H263" s="3"/>
      <c r="I263" s="3"/>
      <c r="J263" s="3"/>
      <c r="K263" s="3"/>
    </row>
    <row r="264" spans="2:11" ht="20" customHeight="1">
      <c r="B264" s="21" t="s">
        <v>560</v>
      </c>
      <c r="C264" s="22" t="str">
        <f>CONCATENATE(prefix_wld_az1_rack_cidr,".84.10")</f>
        <v>10.13.84.10</v>
      </c>
      <c r="D264" s="14"/>
      <c r="E264" s="3"/>
      <c r="F264" s="3"/>
      <c r="G264" s="3"/>
      <c r="H264" s="3"/>
      <c r="I264" s="3"/>
      <c r="J264" s="3"/>
      <c r="K264" s="3"/>
    </row>
    <row r="265" spans="2:11" ht="20" customHeight="1">
      <c r="B265" s="21" t="s">
        <v>561</v>
      </c>
      <c r="C265" s="22" t="str">
        <f>IF(wld_domain_chosen="First Domain",CONCATENATE(asn_start,asn_instance,asn_wld_az1,7),IF(wld_nsxt_federation_result="Included",CONCATENATE(asn_start,asn_instance,asn_wld_az1,7),CONCATENATE(asn_start,asn_instance,asn_wld_az1,7)))</f>
        <v>65137</v>
      </c>
      <c r="D265" s="14"/>
      <c r="E265" s="3"/>
      <c r="F265" s="3"/>
      <c r="G265" s="3"/>
      <c r="H265" s="3"/>
      <c r="I265" s="3"/>
      <c r="J265" s="3"/>
      <c r="K265" s="3"/>
    </row>
    <row r="266" spans="2:11" ht="20" customHeight="1">
      <c r="B266" s="21" t="s">
        <v>562</v>
      </c>
      <c r="C266" s="22" t="s">
        <v>4098</v>
      </c>
      <c r="D266" s="14"/>
      <c r="E266" s="3"/>
      <c r="F266" s="3"/>
      <c r="G266" s="3"/>
      <c r="H266" s="3"/>
      <c r="I266" s="3"/>
      <c r="J266" s="3"/>
      <c r="K266" s="3"/>
    </row>
    <row r="267" spans="2:11" ht="16" customHeight="1"/>
    <row r="268" spans="2:11" ht="34" customHeight="1">
      <c r="B268" s="436" t="s">
        <v>3995</v>
      </c>
      <c r="C268" s="436"/>
      <c r="D268" s="436"/>
      <c r="E268" s="436"/>
      <c r="F268" s="436"/>
      <c r="G268" s="436"/>
      <c r="H268" s="436"/>
      <c r="I268" s="436"/>
      <c r="J268" s="436"/>
      <c r="K268" s="436"/>
    </row>
    <row r="269" spans="2:11" ht="20" customHeight="1">
      <c r="B269" s="437" t="s">
        <v>529</v>
      </c>
      <c r="C269" s="437"/>
      <c r="D269" s="437"/>
      <c r="E269" s="437"/>
      <c r="F269" s="437"/>
      <c r="G269" s="437"/>
      <c r="H269" s="437"/>
      <c r="I269" s="437"/>
      <c r="J269" s="437"/>
      <c r="K269" s="437"/>
    </row>
    <row r="270" spans="2:11" ht="20" customHeight="1">
      <c r="B270" s="190" t="s">
        <v>530</v>
      </c>
      <c r="C270" s="190" t="s">
        <v>531</v>
      </c>
      <c r="D270" s="113" t="s">
        <v>532</v>
      </c>
      <c r="E270" s="190" t="s">
        <v>533</v>
      </c>
      <c r="F270" s="113" t="s">
        <v>534</v>
      </c>
      <c r="G270" s="190" t="s">
        <v>535</v>
      </c>
      <c r="H270" s="113" t="s">
        <v>536</v>
      </c>
      <c r="I270" s="190" t="s">
        <v>537</v>
      </c>
      <c r="J270" s="113" t="s">
        <v>538</v>
      </c>
      <c r="K270" s="190" t="s">
        <v>222</v>
      </c>
    </row>
    <row r="271" spans="2:11" ht="20" customHeight="1">
      <c r="B271" s="21" t="s">
        <v>3184</v>
      </c>
      <c r="C271" s="25" t="str">
        <f>IF(wld_dpg_separation_result="Included",CONCATENATE(prefix_wld_az1_rack_vlan,"87"),CONCATENATE(prefix_wld_az1_rack_vlan,"88"))</f>
        <v>1388</v>
      </c>
      <c r="D271" s="14"/>
      <c r="E271" s="22" t="str">
        <f>IF(wld_dpg_separation_result="Included",(CONCATENATE(prefix_wld_az1_rack_cidr,".87.0/24")),(CONCATENATE(prefix_wld_az1_rack_cidr,".88.0/24")))</f>
        <v>10.13.88.0/24</v>
      </c>
      <c r="F271" s="14"/>
      <c r="G271" s="22" t="str">
        <f>IF(wld_dpg_separation_result="Included",CONCATENATE(prefix_wld_az1_rack_cidr,".87.1"),CONCATENATE(prefix_wld_az1_rack_cidr,".88.1"))</f>
        <v>10.13.88.1</v>
      </c>
      <c r="H271" s="14"/>
      <c r="I271" s="22">
        <v>1500</v>
      </c>
      <c r="J271" s="14"/>
      <c r="K271" s="54"/>
    </row>
    <row r="272" spans="2:11" ht="20" customHeight="1">
      <c r="B272" s="21" t="s">
        <v>4235</v>
      </c>
      <c r="C272" s="22" t="str">
        <f>CONCATENATE(prefix_wld_az1_rack_vlan,"88")</f>
        <v>1388</v>
      </c>
      <c r="D272" s="14"/>
      <c r="E272" s="22" t="str">
        <f>CONCATENATE(prefix_wld_az1_rack_cidr,".88.0/24")</f>
        <v>10.13.88.0/24</v>
      </c>
      <c r="F272" s="14"/>
      <c r="G272" s="22" t="str">
        <f>CONCATENATE(prefix_wld_az1_rack_cidr,".88.1")</f>
        <v>10.13.88.1</v>
      </c>
      <c r="H272" s="14"/>
      <c r="I272" s="22">
        <v>1500</v>
      </c>
      <c r="J272" s="14"/>
      <c r="K272" s="54"/>
    </row>
    <row r="273" spans="2:11" ht="20" customHeight="1">
      <c r="B273" s="21" t="s">
        <v>540</v>
      </c>
      <c r="C273" s="22" t="str">
        <f>CONCATENATE(prefix_wld_az1_rack_vlan,"89")</f>
        <v>1389</v>
      </c>
      <c r="D273" s="14"/>
      <c r="E273" s="22" t="str">
        <f>CONCATENATE(prefix_wld_az1_rack_cidr,".89.0/24")</f>
        <v>10.13.89.0/24</v>
      </c>
      <c r="F273" s="14"/>
      <c r="G273" s="22" t="str">
        <f>CONCATENATE(prefix_wld_az1_rack_cidr,".89.1")</f>
        <v>10.13.89.1</v>
      </c>
      <c r="H273" s="14"/>
      <c r="I273" s="22">
        <v>9000</v>
      </c>
      <c r="J273" s="14"/>
      <c r="K273" s="40"/>
    </row>
    <row r="274" spans="2:11" ht="20" customHeight="1">
      <c r="B274" s="21" t="s">
        <v>541</v>
      </c>
      <c r="C274" s="22" t="str">
        <f>CONCATENATE(prefix_wld_az1_rack_vlan,"90")</f>
        <v>1390</v>
      </c>
      <c r="D274" s="14"/>
      <c r="E274" s="22" t="str">
        <f>CONCATENATE(prefix_wld_az1_rack_cidr,".90.0/24")</f>
        <v>10.13.90.0/24</v>
      </c>
      <c r="F274" s="14"/>
      <c r="G274" s="22" t="str">
        <f>CONCATENATE(prefix_wld_az1_rack_cidr,".90.1")</f>
        <v>10.13.90.1</v>
      </c>
      <c r="H274" s="14"/>
      <c r="I274" s="22">
        <v>9000</v>
      </c>
      <c r="J274" s="14"/>
      <c r="K274" s="41" t="s">
        <v>542</v>
      </c>
    </row>
    <row r="275" spans="2:11" ht="20" customHeight="1">
      <c r="B275" s="21" t="s">
        <v>543</v>
      </c>
      <c r="C275" s="22" t="str">
        <f>CONCATENATE(prefix_wld_az1_rack_vlan,"91")</f>
        <v>1391</v>
      </c>
      <c r="D275" s="14"/>
      <c r="E275" s="22" t="str">
        <f>CONCATENATE(prefix_wld_az1_rack_cidr,".91.0/24")</f>
        <v>10.13.91.0/24</v>
      </c>
      <c r="F275" s="14"/>
      <c r="G275" s="22" t="str">
        <f>IF(wld_host_overlay_addressing_chosen="Static",CONCATENATE(prefix_wld_az1_rack_cidr,".91.1"),"DHCP")</f>
        <v>10.13.91.1</v>
      </c>
      <c r="H275" s="14"/>
      <c r="I275" s="22">
        <v>9000</v>
      </c>
      <c r="J275" s="14"/>
      <c r="K275" s="54"/>
    </row>
    <row r="276" spans="2:11" ht="20" customHeight="1">
      <c r="B276" s="21" t="s">
        <v>3931</v>
      </c>
      <c r="C276" s="22" t="str">
        <f>CONCATENATE(prefix_wld_az1_rack_vlan,"92")</f>
        <v>1392</v>
      </c>
      <c r="D276" s="14"/>
      <c r="E276" s="22" t="str">
        <f>CONCATENATE(prefix_wld_az1_rack_cidr,".92.0/24")</f>
        <v>10.13.92.0/24</v>
      </c>
      <c r="F276" s="14"/>
      <c r="G276" s="22" t="str">
        <f>CONCATENATE(prefix_wld_az1_rack_cidr,".92.1")</f>
        <v>10.13.92.1</v>
      </c>
      <c r="H276" s="14"/>
      <c r="I276" s="22">
        <v>9000</v>
      </c>
      <c r="J276" s="14"/>
      <c r="K276" s="41"/>
    </row>
    <row r="277" spans="2:11" ht="20" customHeight="1">
      <c r="B277" s="21" t="s">
        <v>548</v>
      </c>
      <c r="C277" s="22" t="str">
        <f>CONCATENATE(prefix_wld_az1_rack_vlan,"93")</f>
        <v>1393</v>
      </c>
      <c r="D277" s="14"/>
      <c r="E277" s="22" t="str">
        <f>CONCATENATE(prefix_wld_az1_rack_cidr,".93.0/24")</f>
        <v>10.13.93.0/24</v>
      </c>
      <c r="F277" s="14"/>
      <c r="G277" s="22" t="str">
        <f>CONCATENATE(prefix_wld_az1_rack_cidr,".93.1")</f>
        <v>10.13.93.1</v>
      </c>
      <c r="H277" s="14"/>
      <c r="I277" s="22">
        <v>9000</v>
      </c>
      <c r="J277" s="14"/>
      <c r="K277" s="54"/>
    </row>
    <row r="278" spans="2:11" ht="20" customHeight="1">
      <c r="B278" s="21" t="s">
        <v>544</v>
      </c>
      <c r="C278" s="22" t="str">
        <f>CONCATENATE(prefix_wld_az1_rack_vlan,"94")</f>
        <v>1394</v>
      </c>
      <c r="D278" s="14"/>
      <c r="E278" s="22" t="str">
        <f>CONCATENATE(prefix_wld_az1_rack_cidr,".94.0/24")</f>
        <v>10.13.94.0/24</v>
      </c>
      <c r="F278" s="14"/>
      <c r="G278" s="22" t="str">
        <f>CONCATENATE(prefix_wld_az1_rack_cidr,".94.1")</f>
        <v>10.13.94.1</v>
      </c>
      <c r="H278" s="14"/>
      <c r="I278" s="22">
        <v>9000</v>
      </c>
      <c r="J278" s="14"/>
      <c r="K278" s="54"/>
    </row>
    <row r="279" spans="2:11" ht="20" customHeight="1">
      <c r="B279" s="21" t="s">
        <v>545</v>
      </c>
      <c r="C279" s="22" t="str">
        <f>CONCATENATE(prefix_wld_az1_rack_vlan,"95")</f>
        <v>1395</v>
      </c>
      <c r="D279" s="14"/>
      <c r="E279" s="22" t="str">
        <f>CONCATENATE(prefix_wld_az1_rack_cidr,".95.0/24")</f>
        <v>10.13.95.0/24</v>
      </c>
      <c r="F279" s="14"/>
      <c r="G279" s="22" t="str">
        <f>CONCATENATE(prefix_wld_az1_rack_cidr,".95.1")</f>
        <v>10.13.95.1</v>
      </c>
      <c r="H279" s="14"/>
      <c r="I279" s="22">
        <v>9000</v>
      </c>
      <c r="J279" s="14"/>
      <c r="K279" s="54"/>
    </row>
    <row r="280" spans="2:11" ht="20" customHeight="1">
      <c r="B280" s="21" t="s">
        <v>546</v>
      </c>
      <c r="C280" s="22" t="str">
        <f>CONCATENATE(prefix_wld_az1_rack_vlan,"96")</f>
        <v>1396</v>
      </c>
      <c r="D280" s="14"/>
      <c r="E280" s="22" t="str">
        <f>CONCATENATE(prefix_wld_az1_rack_cidr,".96.0/24")</f>
        <v>10.13.96.0/24</v>
      </c>
      <c r="F280" s="14"/>
      <c r="G280" s="22" t="str">
        <f>CONCATENATE(prefix_wld_az1_rack_cidr,".96.1")</f>
        <v>10.13.96.1</v>
      </c>
      <c r="H280" s="14"/>
      <c r="I280" s="22">
        <v>9000</v>
      </c>
      <c r="J280" s="14"/>
      <c r="K280" s="54"/>
    </row>
    <row r="281" spans="2:11" ht="20" customHeight="1">
      <c r="B281" s="21" t="s">
        <v>547</v>
      </c>
      <c r="C281" s="22" t="str">
        <f>CONCATENATE(prefix_wld_az1_rack_vlan,"97")</f>
        <v>1397</v>
      </c>
      <c r="D281" s="14"/>
      <c r="E281" s="22" t="str">
        <f>CONCATENATE(prefix_wld_az1_rack_cidr,".97.0/24")</f>
        <v>10.13.97.0/24</v>
      </c>
      <c r="F281" s="14"/>
      <c r="G281" s="22" t="str">
        <f>CONCATENATE(prefix_wld_az1_rack_cidr,".97.1")</f>
        <v>10.13.97.1</v>
      </c>
      <c r="H281" s="14"/>
      <c r="I281" s="22">
        <v>9000</v>
      </c>
      <c r="J281" s="14"/>
      <c r="K281" s="54"/>
    </row>
    <row r="282" spans="2:11" ht="16" customHeight="1">
      <c r="B282" s="3"/>
      <c r="C282" s="3"/>
      <c r="D282" s="3"/>
      <c r="E282" s="3"/>
      <c r="F282" s="3"/>
      <c r="G282" s="3"/>
      <c r="H282" s="3"/>
      <c r="I282" s="3"/>
      <c r="J282" s="3"/>
      <c r="K282" s="3"/>
    </row>
    <row r="283" spans="2:11" ht="34" customHeight="1">
      <c r="B283" s="438" t="s">
        <v>3996</v>
      </c>
      <c r="C283" s="439"/>
      <c r="D283" s="440"/>
      <c r="E283" s="3"/>
      <c r="F283" s="3"/>
      <c r="G283" s="3"/>
      <c r="H283" s="3"/>
      <c r="I283" s="3"/>
      <c r="J283" s="3"/>
      <c r="K283" s="3"/>
    </row>
    <row r="284" spans="2:11" ht="20" customHeight="1">
      <c r="B284" s="190" t="s">
        <v>553</v>
      </c>
      <c r="C284" s="190" t="s">
        <v>554</v>
      </c>
      <c r="D284" s="113" t="s">
        <v>555</v>
      </c>
      <c r="E284" s="3"/>
      <c r="F284" s="3"/>
      <c r="G284" s="3"/>
      <c r="H284" s="3"/>
      <c r="I284" s="3"/>
      <c r="J284" s="3"/>
      <c r="K284" s="3"/>
    </row>
    <row r="285" spans="2:11" ht="20" customHeight="1">
      <c r="B285" s="21" t="s">
        <v>556</v>
      </c>
      <c r="C285" s="22" t="str">
        <f>IF(wld_domain_chosen="First Domain","65102",IF(wld_nsxt_federation_result="Included","65202","65102"))</f>
        <v>65102</v>
      </c>
      <c r="D285" s="14"/>
      <c r="E285" s="3"/>
      <c r="F285" s="3"/>
      <c r="G285" s="3"/>
      <c r="H285" s="3"/>
      <c r="I285" s="3"/>
      <c r="J285" s="3"/>
      <c r="K285" s="3"/>
    </row>
    <row r="286" spans="2:11" ht="20" customHeight="1">
      <c r="B286" s="21" t="s">
        <v>557</v>
      </c>
      <c r="C286" s="22" t="str">
        <f>CONCATENATE(prefix_wld_az1_rack_cidr,".94.10")</f>
        <v>10.13.94.10</v>
      </c>
      <c r="D286" s="14"/>
      <c r="E286" s="3"/>
      <c r="F286" s="3"/>
      <c r="G286" s="3"/>
      <c r="H286" s="3"/>
      <c r="I286" s="3"/>
      <c r="J286" s="3"/>
      <c r="K286" s="3"/>
    </row>
    <row r="287" spans="2:11" ht="20" customHeight="1">
      <c r="B287" s="21" t="s">
        <v>558</v>
      </c>
      <c r="C287" s="22" t="str">
        <f>IF(wld_domain_chosen="First Domain",CONCATENATE(asn_start,asn_instance,asn_wld_az1,8),IF(wld_nsxt_federation_result="Included",CONCATENATE(asn_start,asn_instance,asn_wld_az1,8),CONCATENATE(asn_start,asn_instance,asn_wld_az1,8)))</f>
        <v>65138</v>
      </c>
      <c r="D287" s="14"/>
      <c r="E287" s="3"/>
      <c r="F287" s="3"/>
      <c r="G287" s="3"/>
      <c r="H287" s="3"/>
      <c r="I287" s="3"/>
      <c r="J287" s="3"/>
      <c r="K287" s="3"/>
    </row>
    <row r="288" spans="2:11" ht="20" customHeight="1">
      <c r="B288" s="21" t="s">
        <v>559</v>
      </c>
      <c r="C288" s="22" t="s">
        <v>4098</v>
      </c>
      <c r="D288" s="14"/>
      <c r="E288" s="3"/>
      <c r="F288" s="3"/>
      <c r="G288" s="3"/>
      <c r="H288" s="3"/>
      <c r="I288" s="3"/>
      <c r="J288" s="3"/>
      <c r="K288" s="3"/>
    </row>
    <row r="289" spans="2:11" ht="20" customHeight="1">
      <c r="B289" s="21" t="s">
        <v>560</v>
      </c>
      <c r="C289" s="22" t="str">
        <f>CONCATENATE(prefix_wld_az1_rack_cidr,".95.10")</f>
        <v>10.13.95.10</v>
      </c>
      <c r="D289" s="14"/>
      <c r="E289" s="3"/>
      <c r="F289" s="3"/>
      <c r="G289" s="3"/>
      <c r="H289" s="3"/>
      <c r="I289" s="3"/>
      <c r="J289" s="3"/>
      <c r="K289" s="3"/>
    </row>
    <row r="290" spans="2:11" ht="20" customHeight="1">
      <c r="B290" s="21" t="s">
        <v>561</v>
      </c>
      <c r="C290" s="22" t="str">
        <f>IF(wld_domain_chosen="First Domain",CONCATENATE(asn_start,asn_instance,asn_wld_az1,8),IF(wld_nsxt_federation_result="Included",CONCATENATE(asn_start,asn_instance,asn_wld_az1,8),CONCATENATE(asn_start,asn_instance,asn_wld_az1,8)))</f>
        <v>65138</v>
      </c>
      <c r="D290" s="14"/>
      <c r="E290" s="3"/>
      <c r="F290" s="3"/>
      <c r="G290" s="3"/>
      <c r="H290" s="3"/>
      <c r="I290" s="3"/>
      <c r="J290" s="3"/>
      <c r="K290" s="3"/>
    </row>
    <row r="291" spans="2:11" ht="20" customHeight="1">
      <c r="B291" s="21" t="s">
        <v>562</v>
      </c>
      <c r="C291" s="22" t="s">
        <v>4098</v>
      </c>
      <c r="D291" s="14"/>
      <c r="E291" s="3"/>
      <c r="F291" s="3"/>
      <c r="G291" s="3"/>
      <c r="H291" s="3"/>
      <c r="I291" s="3"/>
      <c r="J291" s="3"/>
      <c r="K291" s="3"/>
    </row>
  </sheetData>
  <sheetProtection algorithmName="SHA-512" hashValue="bX/Tb24Xy+gV0DIPaNAWreSaW1/Sts8NRIrFTKxN8WhXQjYndK/KApiylVb2XqQ50EmAETPsNBJzJp6k8UEuvw==" saltValue="pmX3jrqhFHMj+S+oKazdBQ==" spinCount="100000" sheet="1" selectLockedCells="1"/>
  <mergeCells count="42">
    <mergeCell ref="B208:D208"/>
    <mergeCell ref="B118:K118"/>
    <mergeCell ref="B119:K119"/>
    <mergeCell ref="B133:D133"/>
    <mergeCell ref="B158:D158"/>
    <mergeCell ref="B143:K143"/>
    <mergeCell ref="B144:K144"/>
    <mergeCell ref="B168:K168"/>
    <mergeCell ref="B169:K169"/>
    <mergeCell ref="B183:D183"/>
    <mergeCell ref="B193:K193"/>
    <mergeCell ref="B194:K194"/>
    <mergeCell ref="B268:K268"/>
    <mergeCell ref="B269:K269"/>
    <mergeCell ref="B283:D283"/>
    <mergeCell ref="B218:K218"/>
    <mergeCell ref="B219:K219"/>
    <mergeCell ref="B233:D233"/>
    <mergeCell ref="B243:K243"/>
    <mergeCell ref="B244:K244"/>
    <mergeCell ref="B258:D258"/>
    <mergeCell ref="M10:N20"/>
    <mergeCell ref="B90:K90"/>
    <mergeCell ref="B35:K35"/>
    <mergeCell ref="B34:K34"/>
    <mergeCell ref="B51:D51"/>
    <mergeCell ref="B24:D24"/>
    <mergeCell ref="B80:D80"/>
    <mergeCell ref="B66:K66"/>
    <mergeCell ref="B65:K65"/>
    <mergeCell ref="B46:K46"/>
    <mergeCell ref="B61:K61"/>
    <mergeCell ref="B60:K60"/>
    <mergeCell ref="B2:K2"/>
    <mergeCell ref="B3:K3"/>
    <mergeCell ref="B91:K91"/>
    <mergeCell ref="B113:K113"/>
    <mergeCell ref="B114:K114"/>
    <mergeCell ref="B104:D104"/>
    <mergeCell ref="B6:K6"/>
    <mergeCell ref="B7:K7"/>
    <mergeCell ref="B19:K19"/>
  </mergeCells>
  <conditionalFormatting sqref="B24:D32">
    <cfRule type="expression" dxfId="4476" priority="126">
      <formula>mgmt_vns_chosen&lt;&gt;"Overlay-Backed"</formula>
    </cfRule>
  </conditionalFormatting>
  <conditionalFormatting sqref="B51:D58">
    <cfRule type="expression" dxfId="4475" priority="121">
      <formula>OR((mgmt_stretched_cluster_result="Excluded"),(mgmt_vns_chosen&lt;&gt;"Overlay-Backed"))</formula>
    </cfRule>
  </conditionalFormatting>
  <conditionalFormatting sqref="B80:D88">
    <cfRule type="expression" dxfId="4474" priority="115">
      <formula>OR((wld_domain_result="Excluded"),(wld_bgp_chosen&lt;&gt;"Overlay-Backed"))</formula>
    </cfRule>
    <cfRule type="expression" dxfId="4473" priority="50">
      <formula>AND(wld_multi_rack_count_result&lt;&gt;"Excluded",wld_dedicated_edge_cluster_chosen_first&lt;&gt;1,wld_dedicated_edge_cluster_chosen_second&lt;&gt;1)</formula>
    </cfRule>
  </conditionalFormatting>
  <conditionalFormatting sqref="B104:D111">
    <cfRule type="expression" dxfId="4472" priority="47">
      <formula>wld_multi_rack_count_result&lt;&gt;"Excluded"</formula>
    </cfRule>
    <cfRule type="expression" dxfId="4471" priority="110">
      <formula>OR((wld_domain_result="Excluded"),(wld_stretched_cluster_result="Excluded"),(wld_bgp_chosen&lt;&gt;"Overlay-Backed"))</formula>
    </cfRule>
  </conditionalFormatting>
  <conditionalFormatting sqref="B133:D141">
    <cfRule type="expression" dxfId="4470" priority="262">
      <formula>AND(wld_dedicated_edge_cluster_chosen_first&lt;&gt;2,wld_dedicated_edge_cluster_chosen_second&lt;&gt;2)</formula>
    </cfRule>
  </conditionalFormatting>
  <conditionalFormatting sqref="B158:D166">
    <cfRule type="expression" dxfId="4469" priority="261">
      <formula>AND(wld_dedicated_edge_cluster_chosen_first&lt;&gt;3,wld_dedicated_edge_cluster_chosen_second&lt;&gt;3)</formula>
    </cfRule>
  </conditionalFormatting>
  <conditionalFormatting sqref="B183:D191">
    <cfRule type="expression" dxfId="4468" priority="259">
      <formula>AND(wld_dedicated_edge_cluster_chosen_first&lt;&gt;4,wld_dedicated_edge_cluster_chosen_second&lt;&gt;4)</formula>
    </cfRule>
  </conditionalFormatting>
  <conditionalFormatting sqref="B208:D216">
    <cfRule type="expression" dxfId="4467" priority="258">
      <formula>AND(wld_dedicated_edge_cluster_chosen_first&lt;&gt;5,wld_dedicated_edge_cluster_chosen_second&lt;&gt;5)</formula>
    </cfRule>
  </conditionalFormatting>
  <conditionalFormatting sqref="B233:D241">
    <cfRule type="expression" dxfId="4466" priority="257">
      <formula>AND(wld_dedicated_edge_cluster_chosen_first&lt;&gt;6,wld_dedicated_edge_cluster_chosen_second&lt;&gt;6)</formula>
    </cfRule>
  </conditionalFormatting>
  <conditionalFormatting sqref="B258:D266">
    <cfRule type="expression" dxfId="4465" priority="256">
      <formula>AND(wld_dedicated_edge_cluster_chosen_first&lt;&gt;7,wld_dedicated_edge_cluster_chosen_second&lt;&gt;7)</formula>
    </cfRule>
  </conditionalFormatting>
  <conditionalFormatting sqref="B283:D291">
    <cfRule type="expression" dxfId="4464" priority="249">
      <formula>AND(wld_dedicated_edge_cluster_chosen_first&lt;&gt;"8",wld_dedicated_edge_cluster_chosen_second&lt;&gt;"8")</formula>
    </cfRule>
  </conditionalFormatting>
  <conditionalFormatting sqref="B14:K14">
    <cfRule type="expression" dxfId="4463" priority="62">
      <formula>AND((spr_mo_result="False"),(spr_mw_result="False"))</formula>
    </cfRule>
  </conditionalFormatting>
  <conditionalFormatting sqref="B15:K15 B16:B17 D16:K17 C16:C18">
    <cfRule type="expression" dxfId="4462" priority="106">
      <formula>mgmt_vns_result="Excluded"</formula>
    </cfRule>
  </conditionalFormatting>
  <conditionalFormatting sqref="B18:K18">
    <cfRule type="expression" dxfId="4461" priority="125" stopIfTrue="1">
      <formula>mgmt_nsxt_federation_result="Excluded"</formula>
    </cfRule>
  </conditionalFormatting>
  <conditionalFormatting sqref="B19:K22">
    <cfRule type="expression" dxfId="4460" priority="1">
      <formula>mgmt_vns_result="Excluded"</formula>
    </cfRule>
  </conditionalFormatting>
  <conditionalFormatting sqref="B34:K41">
    <cfRule type="expression" dxfId="4459" priority="75">
      <formula>mgmt_stretched_cluster_result="Excluded"</formula>
    </cfRule>
  </conditionalFormatting>
  <conditionalFormatting sqref="B41:K41">
    <cfRule type="expression" dxfId="4458" priority="76">
      <formula>(OR((mgmt_stretched_cluster_result="Excluded"),(AND((spr_mo_result="False"),(spr_mw_result="False")))))</formula>
    </cfRule>
  </conditionalFormatting>
  <conditionalFormatting sqref="B42:K44">
    <cfRule type="expression" dxfId="4457" priority="79">
      <formula>OR((mgmt_stretched_cluster_result="Excluded"),(mgmt_vns_result="Excluded"))</formula>
    </cfRule>
  </conditionalFormatting>
  <conditionalFormatting sqref="B45:K45">
    <cfRule type="expression" dxfId="4456" priority="61">
      <formula>OR((mgmt_stretched_cluster_result="Excluded"),(mgmt_nsxt_federation_result="Excluded"))</formula>
    </cfRule>
  </conditionalFormatting>
  <conditionalFormatting sqref="B46:K49">
    <cfRule type="expression" dxfId="4455" priority="122">
      <formula>OR((mgmt_stretched_cluster_result="Excluded"),(mgmt_vns_result="Excluded"))</formula>
    </cfRule>
  </conditionalFormatting>
  <conditionalFormatting sqref="B60:K63">
    <cfRule type="expression" dxfId="4454" priority="120">
      <formula>mgmt_stretched_cluster_result="Excluded"</formula>
    </cfRule>
  </conditionalFormatting>
  <conditionalFormatting sqref="B65:K74">
    <cfRule type="expression" dxfId="4453" priority="93">
      <formula>wld_domain_result="Excluded"</formula>
    </cfRule>
  </conditionalFormatting>
  <conditionalFormatting sqref="B71:K71">
    <cfRule type="expression" dxfId="4452" priority="119">
      <formula>OR((wld_principal_storage_chosen="VMFS on FC"),(wld_principal_storage_chosen="vVOLS on FC"))</formula>
    </cfRule>
  </conditionalFormatting>
  <conditionalFormatting sqref="B73:K73">
    <cfRule type="expression" dxfId="4451" priority="94">
      <formula>OR((wld_domain_result="Excluded"),(wld_secondary_storage_result="Excluded"))</formula>
    </cfRule>
  </conditionalFormatting>
  <conditionalFormatting sqref="B74:K74">
    <cfRule type="expression" dxfId="4450" priority="60">
      <formula>AND((spr_wo_result="False"),(spr_mw_result="False"))</formula>
    </cfRule>
  </conditionalFormatting>
  <conditionalFormatting sqref="B75:K77">
    <cfRule type="expression" dxfId="4449" priority="95">
      <formula>OR((wld_domain_result="Excluded"),(wld_bgp_result="Excluded"))</formula>
    </cfRule>
  </conditionalFormatting>
  <conditionalFormatting sqref="B75:K78">
    <cfRule type="expression" dxfId="4448" priority="49">
      <formula>AND(wld_multi_rack_count_result&lt;&gt;"Excluded",wld_dedicated_edge_cluster_chosen_first&lt;&gt;1,wld_dedicated_edge_cluster_chosen_second&lt;&gt;1)</formula>
    </cfRule>
  </conditionalFormatting>
  <conditionalFormatting sqref="B78:K78">
    <cfRule type="expression" dxfId="4447" priority="105">
      <formula>OR((wld_domain_result="Excluded"),(wld_nsxt_federation_result="Excluded"))</formula>
    </cfRule>
  </conditionalFormatting>
  <conditionalFormatting sqref="B90:K96">
    <cfRule type="expression" dxfId="4446" priority="56">
      <formula>OR((wld_domain_result="Excluded"),(wld_stretched_cluster_result="Excluded"))</formula>
    </cfRule>
  </conditionalFormatting>
  <conditionalFormatting sqref="B90:K102">
    <cfRule type="expression" dxfId="4445" priority="48">
      <formula>wld_multi_rack_count_result&lt;&gt;"Excluded"</formula>
    </cfRule>
  </conditionalFormatting>
  <conditionalFormatting sqref="B95:K95">
    <cfRule type="expression" dxfId="4444" priority="114">
      <formula>OR((wld_principal_storage_chosen="VMFS on FC"),(wld_principal_storage_chosen="vVOLS on FC"))</formula>
    </cfRule>
  </conditionalFormatting>
  <conditionalFormatting sqref="B97:K98">
    <cfRule type="expression" dxfId="4443" priority="71">
      <formula>OR((wld_domain_result="Excluded"),(wld_stretched_cluster_result="Excluded"),(wld_secondary_storage_result="Excluded"))</formula>
    </cfRule>
  </conditionalFormatting>
  <conditionalFormatting sqref="B98:K98">
    <cfRule type="expression" dxfId="4442" priority="59">
      <formula>(OR((wld_stretched_cluster_result="Excluded"),(AND((spr_wo_result="False"),(spr_mw_result="False")))))</formula>
    </cfRule>
  </conditionalFormatting>
  <conditionalFormatting sqref="B99:K101">
    <cfRule type="expression" dxfId="4441" priority="112">
      <formula>OR((wld_domain_result="Excluded"),(wld_stretched_cluster_result="Excluded"),(wld_bgp_result="Excluded"))</formula>
    </cfRule>
  </conditionalFormatting>
  <conditionalFormatting sqref="B102:K102">
    <cfRule type="expression" dxfId="4440" priority="111">
      <formula>OR((wld_domain_result="Excluded"),(wld_stretched_cluster_result="Excluded"),(wld_nsxt_federation_result="Excluded"))</formula>
    </cfRule>
  </conditionalFormatting>
  <conditionalFormatting sqref="B113:K116">
    <cfRule type="expression" dxfId="4439" priority="109">
      <formula>OR((wld_domain_result="Excluded"),(wld_stretched_cluster_result="Excluded"))</formula>
    </cfRule>
    <cfRule type="expression" dxfId="4438" priority="46">
      <formula>wld_multi_rack_count_result&lt;&gt;"Excluded"</formula>
    </cfRule>
  </conditionalFormatting>
  <conditionalFormatting sqref="B118:K131 B133:D141 B143:K156 B158:D166 B168:K181 B183:D191 B193:K206 B208:D216 B218:K231 B233:D241 B243:K256 B258:D266 B268:K281">
    <cfRule type="expression" dxfId="4437" priority="2">
      <formula>OR(wld_domain_result="Excluded",wld_multirack_result="Excluded")</formula>
    </cfRule>
  </conditionalFormatting>
  <conditionalFormatting sqref="B118:K131">
    <cfRule type="expression" dxfId="4436" priority="33">
      <formula>wld_multi_rack_count_chosen="Exclude"</formula>
    </cfRule>
  </conditionalFormatting>
  <conditionalFormatting sqref="B126:K126">
    <cfRule type="expression" dxfId="4435" priority="39">
      <formula>wld_secondary_storage_result="Excluded"</formula>
    </cfRule>
  </conditionalFormatting>
  <conditionalFormatting sqref="B127:K127">
    <cfRule type="expression" dxfId="4434" priority="36">
      <formula>spr_result="Excluded"</formula>
    </cfRule>
  </conditionalFormatting>
  <conditionalFormatting sqref="B128:K131">
    <cfRule type="expression" dxfId="4433" priority="34">
      <formula>AND(wld_dedicated_edge_cluster_chosen_first&lt;&gt;2,wld_dedicated_edge_cluster_chosen_second&lt;&gt;2)</formula>
    </cfRule>
  </conditionalFormatting>
  <conditionalFormatting sqref="B131:K131">
    <cfRule type="expression" dxfId="4432" priority="35">
      <formula>wld_nsxt_federation_result="Excluded"</formula>
    </cfRule>
  </conditionalFormatting>
  <conditionalFormatting sqref="B143:K156">
    <cfRule type="expression" dxfId="4431" priority="28">
      <formula>wld_multi_rack_count_chosen="Exclude"</formula>
    </cfRule>
  </conditionalFormatting>
  <conditionalFormatting sqref="B143:K166">
    <cfRule type="expression" dxfId="4430" priority="30">
      <formula>wld_multi_rack_count_chosen&lt;2</formula>
    </cfRule>
  </conditionalFormatting>
  <conditionalFormatting sqref="B151:K151">
    <cfRule type="expression" dxfId="4429" priority="32">
      <formula>wld_secondary_storage_result="Excluded"</formula>
    </cfRule>
  </conditionalFormatting>
  <conditionalFormatting sqref="B152:K152">
    <cfRule type="expression" dxfId="4428" priority="31">
      <formula>spr_result="Excluded"</formula>
    </cfRule>
  </conditionalFormatting>
  <conditionalFormatting sqref="B153:K156">
    <cfRule type="expression" dxfId="4427" priority="29">
      <formula>AND(wld_dedicated_edge_cluster_chosen_first&lt;&gt;3,wld_dedicated_edge_cluster_chosen_second&lt;&gt;3)</formula>
    </cfRule>
  </conditionalFormatting>
  <conditionalFormatting sqref="B156:K156">
    <cfRule type="expression" dxfId="4426" priority="301">
      <formula>wld_nsxt_federation_result="Excluded"</formula>
    </cfRule>
  </conditionalFormatting>
  <conditionalFormatting sqref="B168:K181">
    <cfRule type="expression" dxfId="4425" priority="23">
      <formula>wld_multi_rack_count_chosen="Exclude"</formula>
    </cfRule>
  </conditionalFormatting>
  <conditionalFormatting sqref="B168:K191">
    <cfRule type="expression" dxfId="4424" priority="25">
      <formula>wld_multi_rack_count_chosen&lt;3</formula>
    </cfRule>
  </conditionalFormatting>
  <conditionalFormatting sqref="B176:K176">
    <cfRule type="expression" dxfId="4423" priority="27">
      <formula>wld_secondary_storage_result="Excluded"</formula>
    </cfRule>
  </conditionalFormatting>
  <conditionalFormatting sqref="B177:K177">
    <cfRule type="expression" dxfId="4422" priority="26">
      <formula>spr_result="Excluded"</formula>
    </cfRule>
  </conditionalFormatting>
  <conditionalFormatting sqref="B178:K181">
    <cfRule type="expression" dxfId="4421" priority="24">
      <formula>AND(wld_dedicated_edge_cluster_chosen_first&lt;&gt;4,wld_dedicated_edge_cluster_chosen_second&lt;&gt;4)</formula>
    </cfRule>
  </conditionalFormatting>
  <conditionalFormatting sqref="B181:K181">
    <cfRule type="expression" dxfId="4420" priority="296">
      <formula>wld_nsxt_federation_result="Excluded"</formula>
    </cfRule>
  </conditionalFormatting>
  <conditionalFormatting sqref="B193:K206">
    <cfRule type="expression" dxfId="4419" priority="18">
      <formula>wld_multi_rack_count_chosen="Exclude"</formula>
    </cfRule>
  </conditionalFormatting>
  <conditionalFormatting sqref="B193:K216">
    <cfRule type="expression" dxfId="4418" priority="20">
      <formula>wld_multi_rack_count_chosen&lt;4</formula>
    </cfRule>
  </conditionalFormatting>
  <conditionalFormatting sqref="B201:K201">
    <cfRule type="expression" dxfId="4417" priority="22">
      <formula>wld_secondary_storage_result="Excluded"</formula>
    </cfRule>
  </conditionalFormatting>
  <conditionalFormatting sqref="B202:K202">
    <cfRule type="expression" dxfId="4416" priority="21">
      <formula>spr_result="Excluded"</formula>
    </cfRule>
  </conditionalFormatting>
  <conditionalFormatting sqref="B203:K206">
    <cfRule type="expression" dxfId="4415" priority="19">
      <formula>AND(wld_dedicated_edge_cluster_chosen_first&lt;&gt;5,wld_dedicated_edge_cluster_chosen_second&lt;&gt;5)</formula>
    </cfRule>
  </conditionalFormatting>
  <conditionalFormatting sqref="B206:K206">
    <cfRule type="expression" dxfId="4414" priority="291">
      <formula>wld_nsxt_federation_result="Excluded"</formula>
    </cfRule>
  </conditionalFormatting>
  <conditionalFormatting sqref="B218:K231">
    <cfRule type="expression" dxfId="4413" priority="13">
      <formula>wld_multi_rack_count_chosen="Exclude"</formula>
    </cfRule>
  </conditionalFormatting>
  <conditionalFormatting sqref="B218:K241">
    <cfRule type="expression" dxfId="4412" priority="15">
      <formula>wld_multi_rack_count_chosen&lt;5</formula>
    </cfRule>
  </conditionalFormatting>
  <conditionalFormatting sqref="B226:K226">
    <cfRule type="expression" dxfId="4411" priority="17">
      <formula>wld_secondary_storage_result="Excluded"</formula>
    </cfRule>
  </conditionalFormatting>
  <conditionalFormatting sqref="B227:K227">
    <cfRule type="expression" dxfId="4410" priority="16">
      <formula>spr_result="Excluded"</formula>
    </cfRule>
  </conditionalFormatting>
  <conditionalFormatting sqref="B228:K231">
    <cfRule type="expression" dxfId="4409" priority="14">
      <formula>AND(wld_dedicated_edge_cluster_chosen_first&lt;&gt;6,wld_dedicated_edge_cluster_chosen_second&lt;&gt;6)</formula>
    </cfRule>
  </conditionalFormatting>
  <conditionalFormatting sqref="B231:K231">
    <cfRule type="expression" dxfId="4408" priority="286">
      <formula>wld_nsxt_federation_result="Excluded"</formula>
    </cfRule>
  </conditionalFormatting>
  <conditionalFormatting sqref="B243:K256 B258:K266">
    <cfRule type="expression" dxfId="4407" priority="10">
      <formula>wld_multi_rack_count_chosen&lt;6</formula>
    </cfRule>
  </conditionalFormatting>
  <conditionalFormatting sqref="B243:K256">
    <cfRule type="expression" dxfId="4406" priority="8">
      <formula>wld_multi_rack_count_chosen="Exclude"</formula>
    </cfRule>
  </conditionalFormatting>
  <conditionalFormatting sqref="B251:K251">
    <cfRule type="expression" dxfId="4405" priority="12">
      <formula>wld_secondary_storage_result="Excluded"</formula>
    </cfRule>
  </conditionalFormatting>
  <conditionalFormatting sqref="B252:K252">
    <cfRule type="expression" dxfId="4404" priority="11">
      <formula>spr_result="Excluded"</formula>
    </cfRule>
  </conditionalFormatting>
  <conditionalFormatting sqref="B253:K256">
    <cfRule type="expression" dxfId="4403" priority="9">
      <formula>AND(wld_dedicated_edge_cluster_chosen_first&lt;&gt;7,wld_dedicated_edge_cluster_chosen_second&lt;&gt;7)</formula>
    </cfRule>
  </conditionalFormatting>
  <conditionalFormatting sqref="B256:K256">
    <cfRule type="expression" dxfId="4402" priority="281">
      <formula>wld_nsxt_federation_result="Excluded"</formula>
    </cfRule>
  </conditionalFormatting>
  <conditionalFormatting sqref="B268:K281 B283:K291">
    <cfRule type="expression" dxfId="4401" priority="5">
      <formula>wld_multi_rack_count_chosen&lt;7</formula>
    </cfRule>
  </conditionalFormatting>
  <conditionalFormatting sqref="B268:K281">
    <cfRule type="expression" dxfId="4400" priority="3">
      <formula>wld_multi_rack_count_chosen="Exclude"</formula>
    </cfRule>
  </conditionalFormatting>
  <conditionalFormatting sqref="B276:K276">
    <cfRule type="expression" dxfId="4399" priority="7">
      <formula>wld_secondary_storage_result="Excluded"</formula>
    </cfRule>
  </conditionalFormatting>
  <conditionalFormatting sqref="B277:K277">
    <cfRule type="expression" dxfId="4398" priority="6">
      <formula>spr_result="Excluded"</formula>
    </cfRule>
  </conditionalFormatting>
  <conditionalFormatting sqref="B278:K281">
    <cfRule type="expression" dxfId="4397" priority="4">
      <formula>AND(wld_dedicated_edge_cluster_chosen_first&lt;&gt;8,wld_dedicated_edge_cluster_chosen_second&lt;&gt;8)</formula>
    </cfRule>
  </conditionalFormatting>
  <conditionalFormatting sqref="B281:K281">
    <cfRule type="expression" dxfId="4396" priority="276">
      <formula>wld_nsxt_federation_result="Excluded"</formula>
    </cfRule>
  </conditionalFormatting>
  <conditionalFormatting sqref="D9:D18 J9:J18 D93:D102 F97:F102">
    <cfRule type="containsBlanks" dxfId="4395" priority="241">
      <formula>LEN(TRIM(D9))=0</formula>
    </cfRule>
  </conditionalFormatting>
  <conditionalFormatting sqref="D21:D22">
    <cfRule type="expression" dxfId="4394" priority="53">
      <formula>mgmt_vns_chosen="Overlay-Backed"</formula>
    </cfRule>
    <cfRule type="containsBlanks" dxfId="4393" priority="133">
      <formula>LEN(TRIM(D21))=0</formula>
    </cfRule>
    <cfRule type="notContainsBlanks" dxfId="4392" priority="132">
      <formula>LEN(TRIM(D21))&gt;0</formula>
    </cfRule>
  </conditionalFormatting>
  <conditionalFormatting sqref="D26:D32">
    <cfRule type="containsBlanks" dxfId="4391" priority="233">
      <formula>LEN(TRIM(D26))=0</formula>
    </cfRule>
    <cfRule type="notContainsBlanks" dxfId="4390" priority="232">
      <formula>LEN(TRIM(D26))&gt;0</formula>
    </cfRule>
  </conditionalFormatting>
  <conditionalFormatting sqref="D41">
    <cfRule type="containsBlanks" dxfId="4389" priority="124">
      <formula>LEN(TRIM(D41))=0</formula>
    </cfRule>
    <cfRule type="notContainsBlanks" dxfId="4388" priority="123">
      <formula>LEN(TRIM(D41))&gt;0</formula>
    </cfRule>
  </conditionalFormatting>
  <conditionalFormatting sqref="D48:D49">
    <cfRule type="notContainsBlanks" dxfId="4387" priority="148">
      <formula>LEN(TRIM(D48))&gt;0</formula>
    </cfRule>
    <cfRule type="containsBlanks" dxfId="4386" priority="149">
      <formula>LEN(TRIM(D48))=0</formula>
    </cfRule>
  </conditionalFormatting>
  <conditionalFormatting sqref="D53:D58 D60:D61 D63">
    <cfRule type="notContainsBlanks" dxfId="4385" priority="210">
      <formula>LEN(TRIM(D53))&gt;0</formula>
    </cfRule>
    <cfRule type="containsBlanks" dxfId="4384" priority="211">
      <formula>LEN(TRIM(D53))=0</formula>
    </cfRule>
  </conditionalFormatting>
  <conditionalFormatting sqref="D63">
    <cfRule type="notContainsBlanks" dxfId="4383" priority="218">
      <formula>LEN(TRIM(D63))&gt;0</formula>
    </cfRule>
    <cfRule type="containsBlanks" dxfId="4382" priority="219">
      <formula>LEN(TRIM(D63))=0</formula>
    </cfRule>
  </conditionalFormatting>
  <conditionalFormatting sqref="D74 J74">
    <cfRule type="notContainsBlanks" dxfId="4381" priority="97">
      <formula>LEN(TRIM(D74))&gt;0</formula>
    </cfRule>
    <cfRule type="containsBlanks" dxfId="4380" priority="98">
      <formula>LEN(TRIM(D74))=0</formula>
    </cfRule>
  </conditionalFormatting>
  <conditionalFormatting sqref="D82:D88">
    <cfRule type="notContainsBlanks" dxfId="4379" priority="230">
      <formula>LEN(TRIM(D82))&gt;0</formula>
    </cfRule>
    <cfRule type="containsBlanks" dxfId="4378" priority="231">
      <formula>LEN(TRIM(D82))=0</formula>
    </cfRule>
  </conditionalFormatting>
  <conditionalFormatting sqref="D98">
    <cfRule type="notContainsBlanks" dxfId="4377" priority="69">
      <formula>LEN(TRIM(D98))&gt;0</formula>
    </cfRule>
    <cfRule type="containsBlanks" dxfId="4376" priority="70">
      <formula>LEN(TRIM(D98))=0</formula>
    </cfRule>
  </conditionalFormatting>
  <conditionalFormatting sqref="D106:D111 D113:D114 D116">
    <cfRule type="containsBlanks" dxfId="4375" priority="204">
      <formula>LEN(TRIM(D106))=0</formula>
    </cfRule>
  </conditionalFormatting>
  <conditionalFormatting sqref="D116 D106:D111 D113:D114">
    <cfRule type="notContainsBlanks" dxfId="4374" priority="203">
      <formula>LEN(TRIM(D106))&gt;0</formula>
    </cfRule>
  </conditionalFormatting>
  <conditionalFormatting sqref="D116">
    <cfRule type="containsBlanks" dxfId="4373" priority="202">
      <formula>LEN(TRIM(D116))=0</formula>
    </cfRule>
    <cfRule type="notContainsBlanks" dxfId="4372" priority="201">
      <formula>LEN(TRIM(D116))&gt;0</formula>
    </cfRule>
  </conditionalFormatting>
  <conditionalFormatting sqref="D121:D131 F121:F131 H121:H131 D135:D141">
    <cfRule type="containsBlanks" dxfId="4371" priority="275">
      <formula>LEN(TRIM(D121))=0</formula>
    </cfRule>
  </conditionalFormatting>
  <conditionalFormatting sqref="D135:D141 D121:D131 F121:F131 H121:H131">
    <cfRule type="notContainsBlanks" dxfId="4370" priority="274" stopIfTrue="1">
      <formula>LEN(TRIM(D121))&gt;0</formula>
    </cfRule>
  </conditionalFormatting>
  <conditionalFormatting sqref="D146:D156 F146:F156 H146:H156 D160:D166">
    <cfRule type="containsBlanks" dxfId="4369" priority="305">
      <formula>LEN(TRIM(D146))=0</formula>
    </cfRule>
    <cfRule type="notContainsBlanks" dxfId="4368" priority="304" stopIfTrue="1">
      <formula>LEN(TRIM(D146))&gt;0</formula>
    </cfRule>
  </conditionalFormatting>
  <conditionalFormatting sqref="D171:D181 F171:F181 H171:H181 D185:D191">
    <cfRule type="containsBlanks" dxfId="4367" priority="300">
      <formula>LEN(TRIM(D171))=0</formula>
    </cfRule>
    <cfRule type="notContainsBlanks" dxfId="4366" priority="299" stopIfTrue="1">
      <formula>LEN(TRIM(D171))&gt;0</formula>
    </cfRule>
  </conditionalFormatting>
  <conditionalFormatting sqref="D196:D206 F196:F206 H196:H206 D210:D216">
    <cfRule type="containsBlanks" dxfId="4365" priority="295">
      <formula>LEN(TRIM(D196))=0</formula>
    </cfRule>
    <cfRule type="notContainsBlanks" dxfId="4364" priority="294" stopIfTrue="1">
      <formula>LEN(TRIM(D196))&gt;0</formula>
    </cfRule>
  </conditionalFormatting>
  <conditionalFormatting sqref="D221:D231 F221:F231 H221:H231 D235:D241">
    <cfRule type="notContainsBlanks" dxfId="4363" priority="289" stopIfTrue="1">
      <formula>LEN(TRIM(D221))&gt;0</formula>
    </cfRule>
    <cfRule type="containsBlanks" dxfId="4362" priority="290">
      <formula>LEN(TRIM(D221))=0</formula>
    </cfRule>
  </conditionalFormatting>
  <conditionalFormatting sqref="D246:D256 F246:F256 H246:H256 D260:D266">
    <cfRule type="notContainsBlanks" dxfId="4361" priority="284" stopIfTrue="1">
      <formula>LEN(TRIM(D246))&gt;0</formula>
    </cfRule>
    <cfRule type="containsBlanks" dxfId="4360" priority="285">
      <formula>LEN(TRIM(D246))=0</formula>
    </cfRule>
  </conditionalFormatting>
  <conditionalFormatting sqref="D271:D281 F271:F281 H271:H281 D285:D291">
    <cfRule type="notContainsBlanks" dxfId="4359" priority="279" stopIfTrue="1">
      <formula>LEN(TRIM(D271))&gt;0</formula>
    </cfRule>
    <cfRule type="containsBlanks" dxfId="4358" priority="280">
      <formula>LEN(TRIM(D271))=0</formula>
    </cfRule>
  </conditionalFormatting>
  <conditionalFormatting sqref="F9">
    <cfRule type="containsBlanks" dxfId="4357" priority="58">
      <formula>LEN(TRIM(F9))=0</formula>
    </cfRule>
  </conditionalFormatting>
  <conditionalFormatting sqref="F9:F18 D37:D45 D68:D78 J68:J78 J37:J45 D14">
    <cfRule type="notContainsBlanks" dxfId="4356" priority="128">
      <formula>LEN(TRIM(D9))&gt;0</formula>
    </cfRule>
  </conditionalFormatting>
  <conditionalFormatting sqref="F10:F18 D14 D37:D45 J37:J45 D68:D78 J68:J78">
    <cfRule type="containsBlanks" dxfId="4355" priority="129">
      <formula>LEN(TRIM(D10))=0</formula>
    </cfRule>
  </conditionalFormatting>
  <conditionalFormatting sqref="F14">
    <cfRule type="containsBlanks" dxfId="4354" priority="104">
      <formula>LEN(TRIM(F14))=0</formula>
    </cfRule>
    <cfRule type="notContainsBlanks" dxfId="4353" priority="103">
      <formula>LEN(TRIM(F14))&gt;0</formula>
    </cfRule>
  </conditionalFormatting>
  <conditionalFormatting sqref="F21:F22">
    <cfRule type="notContainsBlanks" dxfId="4352" priority="236">
      <formula>LEN(TRIM(F21))&gt;0</formula>
    </cfRule>
    <cfRule type="containsBlanks" dxfId="4351" priority="237">
      <formula>LEN(TRIM(F21))=0</formula>
    </cfRule>
  </conditionalFormatting>
  <conditionalFormatting sqref="F37:F39">
    <cfRule type="containsBlanks" dxfId="4350" priority="229">
      <formula>LEN(TRIM(F37))=0</formula>
    </cfRule>
  </conditionalFormatting>
  <conditionalFormatting sqref="F40:F41">
    <cfRule type="expression" dxfId="4349" priority="178">
      <formula>AND((mgmt_host_overlay_addressing_result="Excluded"),(ISBLANK(input_mgmt_az2_host_overlay_cidr)))</formula>
    </cfRule>
    <cfRule type="expression" dxfId="4348" priority="177">
      <formula>AND((mgmt_host_overlay_addressing_result="Included"),(ISBLANK(input_mgmt_az2_host_overlay_cidr)))</formula>
    </cfRule>
  </conditionalFormatting>
  <conditionalFormatting sqref="F41">
    <cfRule type="notContainsBlanks" dxfId="4347" priority="77">
      <formula>LEN(TRIM(F41))&gt;0</formula>
    </cfRule>
    <cfRule type="containsBlanks" dxfId="4346" priority="78">
      <formula>LEN(TRIM(F41))=0</formula>
    </cfRule>
  </conditionalFormatting>
  <conditionalFormatting sqref="F42:F45">
    <cfRule type="containsBlanks" dxfId="4345" priority="179">
      <formula>LEN(TRIM(F42))=0</formula>
    </cfRule>
  </conditionalFormatting>
  <conditionalFormatting sqref="F48:F49">
    <cfRule type="notContainsBlanks" dxfId="4344" priority="146">
      <formula>LEN(TRIM(F48))&gt;0</formula>
    </cfRule>
    <cfRule type="containsBlanks" dxfId="4343" priority="147">
      <formula>LEN(TRIM(F48))=0</formula>
    </cfRule>
    <cfRule type="notContainsBlanks" dxfId="4342" priority="152">
      <formula>LEN(TRIM(F48))&gt;0</formula>
    </cfRule>
    <cfRule type="containsBlanks" dxfId="4341" priority="153">
      <formula>LEN(TRIM(F48))=0</formula>
    </cfRule>
  </conditionalFormatting>
  <conditionalFormatting sqref="F63">
    <cfRule type="containsBlanks" dxfId="4340" priority="217">
      <formula>LEN(TRIM(F63))=0</formula>
    </cfRule>
    <cfRule type="notContainsBlanks" dxfId="4339" priority="216">
      <formula>LEN(TRIM(F63))&gt;0</formula>
    </cfRule>
  </conditionalFormatting>
  <conditionalFormatting sqref="F68:F71 H68:H71">
    <cfRule type="containsBlanks" dxfId="4338" priority="239">
      <formula>LEN(TRIM(F68))=0</formula>
    </cfRule>
  </conditionalFormatting>
  <conditionalFormatting sqref="F68:F74 H68:H74 H10:H18 F37:F45 D10:D18 J10:J18 D93:D102">
    <cfRule type="notContainsBlanks" dxfId="4337" priority="240">
      <formula>LEN(TRIM(D10))&gt;0</formula>
    </cfRule>
  </conditionalFormatting>
  <conditionalFormatting sqref="F72:F74">
    <cfRule type="expression" dxfId="4336" priority="173">
      <formula>AND((wld_host_overlay_addressing_result="Included"),(ISBLANK(input_wld_az1_host_overlay_cidr)))</formula>
    </cfRule>
    <cfRule type="expression" dxfId="4335" priority="172">
      <formula>AND((wld_host_overlay_addressing_result="Excluded"),(ISBLANK(input_wld_az1_host_overlay_cidr)))</formula>
    </cfRule>
  </conditionalFormatting>
  <conditionalFormatting sqref="F73:F78">
    <cfRule type="containsBlanks" dxfId="4334" priority="118">
      <formula>LEN(TRIM(F73))=0</formula>
    </cfRule>
    <cfRule type="notContainsBlanks" dxfId="4333" priority="108">
      <formula>LEN(TRIM(F73))&gt;0</formula>
    </cfRule>
  </conditionalFormatting>
  <conditionalFormatting sqref="F93:F95">
    <cfRule type="containsBlanks" dxfId="4332" priority="209">
      <formula>LEN(TRIM(F93))=0</formula>
    </cfRule>
  </conditionalFormatting>
  <conditionalFormatting sqref="F93:F102">
    <cfRule type="notContainsBlanks" dxfId="4331" priority="169">
      <formula>LEN(TRIM(F93))&gt;0</formula>
    </cfRule>
  </conditionalFormatting>
  <conditionalFormatting sqref="F96">
    <cfRule type="expression" dxfId="4330" priority="168">
      <formula>AND((wld_host_overlay_addressing_result="Excluded"),(ISBLANK(input_wld_az2_host_overlay_cidr)))</formula>
    </cfRule>
    <cfRule type="expression" dxfId="4329" priority="170">
      <formula>AND((wld_host_overlay_addressing_result="Included"),(ISBLANK(input_wld_az2_host_overlay_cidr)))</formula>
    </cfRule>
  </conditionalFormatting>
  <conditionalFormatting sqref="F97:F98">
    <cfRule type="expression" dxfId="4328" priority="136">
      <formula>AND((wld_host_overlay_addressing_result="Excluded"),(ISBLANK(input_wld_az1_host_overlay_cidr)))</formula>
    </cfRule>
    <cfRule type="notContainsBlanks" dxfId="4327" priority="137">
      <formula>LEN(TRIM(F97))&gt;0</formula>
    </cfRule>
    <cfRule type="expression" dxfId="4326" priority="138">
      <formula>AND((wld_host_overlay_addressing_result="Included"),(ISBLANK(input_wld_az1_host_overlay_cidr)))</formula>
    </cfRule>
  </conditionalFormatting>
  <conditionalFormatting sqref="F98">
    <cfRule type="containsBlanks" dxfId="4325" priority="68">
      <formula>LEN(TRIM(F98))=0</formula>
    </cfRule>
    <cfRule type="notContainsBlanks" dxfId="4324" priority="67">
      <formula>LEN(TRIM(F98))&gt;0</formula>
    </cfRule>
  </conditionalFormatting>
  <conditionalFormatting sqref="F116">
    <cfRule type="containsBlanks" dxfId="4323" priority="200">
      <formula>LEN(TRIM(F116))=0</formula>
    </cfRule>
    <cfRule type="notContainsBlanks" dxfId="4322" priority="199">
      <formula>LEN(TRIM(F116))&gt;0</formula>
    </cfRule>
  </conditionalFormatting>
  <conditionalFormatting sqref="H9 D9 J9">
    <cfRule type="notContainsBlanks" dxfId="4321" priority="107">
      <formula>LEN(TRIM(D9))&gt;0</formula>
    </cfRule>
  </conditionalFormatting>
  <conditionalFormatting sqref="H9:H12">
    <cfRule type="containsBlanks" dxfId="4320" priority="57">
      <formula>LEN(TRIM(H9))=0</formula>
    </cfRule>
  </conditionalFormatting>
  <conditionalFormatting sqref="H13:H14">
    <cfRule type="expression" dxfId="4319" priority="155">
      <formula>AND((mgmt_host_overlay_addressing_result="Excluded"),(ISBLANK(input_mgmt_az1_host_overlay_gateway_ip)))</formula>
    </cfRule>
    <cfRule type="expression" dxfId="4318" priority="154">
      <formula>AND((mgmt_host_overlay_addressing_result="Included"),(ISBLANK(input_mgmt_az1_host_overlay_gateway_ip)))</formula>
    </cfRule>
  </conditionalFormatting>
  <conditionalFormatting sqref="H14">
    <cfRule type="containsBlanks" dxfId="4317" priority="102">
      <formula>LEN(TRIM(H14))=0</formula>
    </cfRule>
    <cfRule type="notContainsBlanks" dxfId="4316" priority="101">
      <formula>LEN(TRIM(H14))&gt;0</formula>
    </cfRule>
  </conditionalFormatting>
  <conditionalFormatting sqref="H15:H18">
    <cfRule type="containsBlanks" dxfId="4315" priority="238">
      <formula>LEN(TRIM(H15))=0</formula>
    </cfRule>
  </conditionalFormatting>
  <conditionalFormatting sqref="H21:H22">
    <cfRule type="notContainsBlanks" dxfId="4314" priority="234">
      <formula>LEN(TRIM(H21))&gt;0</formula>
    </cfRule>
    <cfRule type="containsBlanks" dxfId="4313" priority="235">
      <formula>LEN(TRIM(H21))=0</formula>
    </cfRule>
  </conditionalFormatting>
  <conditionalFormatting sqref="H37:H39">
    <cfRule type="containsBlanks" dxfId="4312" priority="228">
      <formula>LEN(TRIM(H37))=0</formula>
    </cfRule>
  </conditionalFormatting>
  <conditionalFormatting sqref="H37:H41">
    <cfRule type="notContainsBlanks" dxfId="4311" priority="89">
      <formula>LEN(TRIM(H37))&gt;0</formula>
    </cfRule>
  </conditionalFormatting>
  <conditionalFormatting sqref="H40:H41">
    <cfRule type="expression" dxfId="4310" priority="175">
      <formula>AND((mgmt_host_overlay_addressing_result="Included"),(ISBLANK(input_mgmt_az2_host_overlay_gateway_ip)))</formula>
    </cfRule>
    <cfRule type="expression" dxfId="4309" priority="176">
      <formula>AND((mgmt_host_overlay_addressing_result="Excluded"),(ISBLANK(input_mgmt_az2_host_overlay_gateway_ip)))</formula>
    </cfRule>
  </conditionalFormatting>
  <conditionalFormatting sqref="H41">
    <cfRule type="containsBlanks" dxfId="4308" priority="84">
      <formula>LEN(TRIM(H41))=0</formula>
    </cfRule>
    <cfRule type="notContainsBlanks" dxfId="4307" priority="85">
      <formula>LEN(TRIM(H41))&gt;0</formula>
    </cfRule>
    <cfRule type="containsBlanks" dxfId="4306" priority="86">
      <formula>LEN(TRIM(H41))=0</formula>
    </cfRule>
    <cfRule type="containsBlanks" dxfId="4305" priority="90">
      <formula>LEN(TRIM(H41))=0</formula>
    </cfRule>
    <cfRule type="notContainsBlanks" dxfId="4304" priority="83">
      <formula>LEN(TRIM(H41))&gt;0</formula>
    </cfRule>
  </conditionalFormatting>
  <conditionalFormatting sqref="H42:H44">
    <cfRule type="containsBlanks" dxfId="4303" priority="225">
      <formula>LEN(TRIM(H42))=0</formula>
    </cfRule>
    <cfRule type="notContainsBlanks" dxfId="4302" priority="226">
      <formula>LEN(TRIM(H42))&gt;0</formula>
    </cfRule>
    <cfRule type="containsBlanks" dxfId="4301" priority="227">
      <formula>LEN(TRIM(H42))=0</formula>
    </cfRule>
    <cfRule type="notContainsBlanks" dxfId="4300" priority="224">
      <formula>LEN(TRIM(H42))&gt;0</formula>
    </cfRule>
  </conditionalFormatting>
  <conditionalFormatting sqref="H42:H45">
    <cfRule type="notContainsBlanks" dxfId="4299" priority="192">
      <formula>LEN(TRIM(H42))&gt;0</formula>
    </cfRule>
    <cfRule type="containsBlanks" dxfId="4298" priority="193">
      <formula>LEN(TRIM(H42))=0</formula>
    </cfRule>
  </conditionalFormatting>
  <conditionalFormatting sqref="H45">
    <cfRule type="notContainsBlanks" dxfId="4297" priority="186">
      <formula>LEN(TRIM(H45))&gt;0</formula>
    </cfRule>
    <cfRule type="containsBlanks" dxfId="4296" priority="187">
      <formula>LEN(TRIM(H45))=0</formula>
    </cfRule>
    <cfRule type="notContainsBlanks" dxfId="4295" priority="188">
      <formula>LEN(TRIM(H45))&gt;0</formula>
    </cfRule>
    <cfRule type="containsBlanks" dxfId="4294" priority="189">
      <formula>LEN(TRIM(H45))=0</formula>
    </cfRule>
  </conditionalFormatting>
  <conditionalFormatting sqref="H48:H49">
    <cfRule type="notContainsBlanks" dxfId="4293" priority="144">
      <formula>LEN(TRIM(H48))&gt;0</formula>
    </cfRule>
    <cfRule type="containsBlanks" dxfId="4292" priority="151">
      <formula>LEN(TRIM(H48))=0</formula>
    </cfRule>
    <cfRule type="notContainsBlanks" dxfId="4291" priority="150">
      <formula>LEN(TRIM(H48))&gt;0</formula>
    </cfRule>
    <cfRule type="containsBlanks" dxfId="4290" priority="145">
      <formula>LEN(TRIM(H48))=0</formula>
    </cfRule>
  </conditionalFormatting>
  <conditionalFormatting sqref="H63">
    <cfRule type="notContainsBlanks" dxfId="4289" priority="214">
      <formula>LEN(TRIM(H63))&gt;0</formula>
    </cfRule>
    <cfRule type="containsBlanks" dxfId="4288" priority="215">
      <formula>LEN(TRIM(H63))=0</formula>
    </cfRule>
  </conditionalFormatting>
  <conditionalFormatting sqref="H72:H74">
    <cfRule type="expression" dxfId="4287" priority="171">
      <formula>AND((wld_host_overlay_addressing_result="Excluded"),(ISBLANK(input_wld_az1_host_overlay_gateway_ip)))</formula>
    </cfRule>
    <cfRule type="expression" dxfId="4286" priority="194">
      <formula>AND((wld_host_overlay_addressing_result="Included"),(ISBLANK(input_wld_az1_host_overlay_gateway_ip)))</formula>
    </cfRule>
  </conditionalFormatting>
  <conditionalFormatting sqref="H73:H77">
    <cfRule type="notContainsBlanks" dxfId="4285" priority="96">
      <formula>LEN(TRIM(H73))&gt;0</formula>
    </cfRule>
    <cfRule type="containsBlanks" dxfId="4284" priority="117">
      <formula>LEN(TRIM(H73))=0</formula>
    </cfRule>
  </conditionalFormatting>
  <conditionalFormatting sqref="H78">
    <cfRule type="notContainsBlanks" dxfId="4283" priority="163">
      <formula>LEN(TRIM(H78))&gt;0</formula>
    </cfRule>
    <cfRule type="containsBlanks" dxfId="4282" priority="164">
      <formula>LEN(TRIM(H78))=0</formula>
    </cfRule>
  </conditionalFormatting>
  <conditionalFormatting sqref="H93:H95">
    <cfRule type="containsBlanks" dxfId="4281" priority="208">
      <formula>LEN(TRIM(H93))=0</formula>
    </cfRule>
  </conditionalFormatting>
  <conditionalFormatting sqref="H93:H97">
    <cfRule type="notContainsBlanks" dxfId="4280" priority="140">
      <formula>LEN(TRIM(H93))&gt;0</formula>
    </cfRule>
  </conditionalFormatting>
  <conditionalFormatting sqref="H96">
    <cfRule type="expression" dxfId="4279" priority="167">
      <formula>AND((wld_host_overlay_addressing_result="Included"),(ISBLANK(input_wld_az2_host_overlay_gateway_ip)))</formula>
    </cfRule>
  </conditionalFormatting>
  <conditionalFormatting sqref="H97">
    <cfRule type="containsBlanks" dxfId="4278" priority="141">
      <formula>LEN(TRIM(H97))=0</formula>
    </cfRule>
  </conditionalFormatting>
  <conditionalFormatting sqref="H97:H98">
    <cfRule type="expression" dxfId="4277" priority="134">
      <formula>AND((wld_host_overlay_addressing_result="Excluded"),(ISBLANK(input_wld_az1_host_overlay_gateway_ip)))</formula>
    </cfRule>
    <cfRule type="notContainsBlanks" dxfId="4276" priority="135">
      <formula>LEN(TRIM(H97))&gt;0</formula>
    </cfRule>
    <cfRule type="expression" dxfId="4275" priority="139">
      <formula>AND((wld_host_overlay_addressing_result="Included"),(ISBLANK(input_wld_az1_host_overlay_gateway_ip)))</formula>
    </cfRule>
  </conditionalFormatting>
  <conditionalFormatting sqref="H98">
    <cfRule type="containsBlanks" dxfId="4274" priority="74">
      <formula>LEN(TRIM(H98))=0</formula>
    </cfRule>
    <cfRule type="notContainsBlanks" dxfId="4273" priority="65">
      <formula>LEN(TRIM(H98))&gt;0</formula>
    </cfRule>
    <cfRule type="containsBlanks" dxfId="4272" priority="66">
      <formula>LEN(TRIM(H98))=0</formula>
    </cfRule>
    <cfRule type="notContainsBlanks" dxfId="4271" priority="73">
      <formula>LEN(TRIM(H98))&gt;0</formula>
    </cfRule>
  </conditionalFormatting>
  <conditionalFormatting sqref="H99:H102">
    <cfRule type="containsBlanks" dxfId="4270" priority="162">
      <formula>LEN(TRIM(H99))=0</formula>
    </cfRule>
    <cfRule type="notContainsBlanks" dxfId="4269" priority="161">
      <formula>LEN(TRIM(H99))&gt;0</formula>
    </cfRule>
  </conditionalFormatting>
  <conditionalFormatting sqref="H100:H101">
    <cfRule type="containsBlanks" dxfId="4268" priority="207">
      <formula>LEN(TRIM(H100))=0</formula>
    </cfRule>
    <cfRule type="notContainsBlanks" dxfId="4267" priority="206">
      <formula>LEN(TRIM(H100))&gt;0</formula>
    </cfRule>
  </conditionalFormatting>
  <conditionalFormatting sqref="H102">
    <cfRule type="notContainsBlanks" dxfId="4266" priority="158">
      <formula>LEN(TRIM(H102))&gt;0</formula>
    </cfRule>
    <cfRule type="containsBlanks" dxfId="4265" priority="159">
      <formula>LEN(TRIM(H102))=0</formula>
    </cfRule>
  </conditionalFormatting>
  <conditionalFormatting sqref="H116">
    <cfRule type="notContainsBlanks" dxfId="4264" priority="197">
      <formula>LEN(TRIM(H116))&gt;0</formula>
    </cfRule>
    <cfRule type="containsBlanks" dxfId="4263" priority="198">
      <formula>LEN(TRIM(H116))=0</formula>
    </cfRule>
  </conditionalFormatting>
  <conditionalFormatting sqref="J14">
    <cfRule type="notContainsBlanks" dxfId="4262" priority="99">
      <formula>LEN(TRIM(J14))&gt;0</formula>
    </cfRule>
    <cfRule type="containsBlanks" dxfId="4261" priority="100">
      <formula>LEN(TRIM(J14))=0</formula>
    </cfRule>
  </conditionalFormatting>
  <conditionalFormatting sqref="J21:J22">
    <cfRule type="containsBlanks" dxfId="4260" priority="131">
      <formula>LEN(TRIM(J21))=0</formula>
    </cfRule>
    <cfRule type="notContainsBlanks" dxfId="4259" priority="130">
      <formula>LEN(TRIM(J21))&gt;0</formula>
    </cfRule>
  </conditionalFormatting>
  <conditionalFormatting sqref="J41">
    <cfRule type="containsBlanks" dxfId="4258" priority="91">
      <formula>LEN(TRIM(J41))=0</formula>
    </cfRule>
    <cfRule type="containsBlanks" dxfId="4257" priority="87">
      <formula>LEN(TRIM(J41))=0</formula>
    </cfRule>
    <cfRule type="containsBlanks" dxfId="4256" priority="81">
      <formula>LEN(TRIM(J41))=0</formula>
    </cfRule>
    <cfRule type="notContainsBlanks" dxfId="4255" priority="82">
      <formula>LEN(TRIM(J41))&gt;0</formula>
    </cfRule>
    <cfRule type="notContainsBlanks" dxfId="4254" priority="92">
      <formula>LEN(TRIM(J41))&gt;0</formula>
    </cfRule>
    <cfRule type="containsBlanks" dxfId="4253" priority="116">
      <formula>LEN(TRIM(J41))=0</formula>
    </cfRule>
    <cfRule type="notContainsBlanks" dxfId="4252" priority="80">
      <formula>LEN(TRIM(J41))&gt;0</formula>
    </cfRule>
    <cfRule type="notContainsBlanks" dxfId="4251" priority="88">
      <formula>LEN(TRIM(J41))&gt;0</formula>
    </cfRule>
  </conditionalFormatting>
  <conditionalFormatting sqref="J42:J44">
    <cfRule type="containsBlanks" dxfId="4250" priority="223">
      <formula>LEN(TRIM(J42))=0</formula>
    </cfRule>
    <cfRule type="notContainsBlanks" dxfId="4249" priority="222">
      <formula>LEN(TRIM(J42))&gt;0</formula>
    </cfRule>
    <cfRule type="containsBlanks" dxfId="4248" priority="221">
      <formula>LEN(TRIM(J42))=0</formula>
    </cfRule>
    <cfRule type="notContainsBlanks" dxfId="4247" priority="220">
      <formula>LEN(TRIM(J42))&gt;0</formula>
    </cfRule>
  </conditionalFormatting>
  <conditionalFormatting sqref="J42:J45">
    <cfRule type="notContainsBlanks" dxfId="4246" priority="190">
      <formula>LEN(TRIM(J42))&gt;0</formula>
    </cfRule>
    <cfRule type="containsBlanks" dxfId="4245" priority="191">
      <formula>LEN(TRIM(J42))=0</formula>
    </cfRule>
  </conditionalFormatting>
  <conditionalFormatting sqref="J45">
    <cfRule type="notContainsBlanks" dxfId="4244" priority="182">
      <formula>LEN(TRIM(J45))&gt;0</formula>
    </cfRule>
    <cfRule type="containsBlanks" dxfId="4243" priority="183">
      <formula>LEN(TRIM(J45))=0</formula>
    </cfRule>
    <cfRule type="notContainsBlanks" dxfId="4242" priority="184">
      <formula>LEN(TRIM(J45))&gt;0</formula>
    </cfRule>
    <cfRule type="containsBlanks" dxfId="4241" priority="185">
      <formula>LEN(TRIM(J45))=0</formula>
    </cfRule>
  </conditionalFormatting>
  <conditionalFormatting sqref="J48:J49">
    <cfRule type="notContainsBlanks" dxfId="4240" priority="142">
      <formula>LEN(TRIM(J48))&gt;0</formula>
    </cfRule>
    <cfRule type="containsBlanks" dxfId="4239" priority="143">
      <formula>LEN(TRIM(J48))=0</formula>
    </cfRule>
  </conditionalFormatting>
  <conditionalFormatting sqref="J63">
    <cfRule type="notContainsBlanks" dxfId="4238" priority="212">
      <formula>LEN(TRIM(J63))&gt;0</formula>
    </cfRule>
    <cfRule type="containsBlanks" dxfId="4237" priority="213">
      <formula>LEN(TRIM(J63))=0</formula>
    </cfRule>
  </conditionalFormatting>
  <conditionalFormatting sqref="J93:J98">
    <cfRule type="notContainsBlanks" dxfId="4236" priority="113">
      <formula>LEN(TRIM(J93))&gt;0</formula>
    </cfRule>
  </conditionalFormatting>
  <conditionalFormatting sqref="J93:J102">
    <cfRule type="containsBlanks" dxfId="4235" priority="205">
      <formula>LEN(TRIM(J93))=0</formula>
    </cfRule>
  </conditionalFormatting>
  <conditionalFormatting sqref="J98">
    <cfRule type="containsBlanks" dxfId="4234" priority="64">
      <formula>LEN(TRIM(J98))=0</formula>
    </cfRule>
    <cfRule type="containsBlanks" dxfId="4233" priority="72">
      <formula>LEN(TRIM(J98))=0</formula>
    </cfRule>
    <cfRule type="notContainsBlanks" dxfId="4232" priority="63">
      <formula>LEN(TRIM(J98))&gt;0</formula>
    </cfRule>
  </conditionalFormatting>
  <conditionalFormatting sqref="J99:J102">
    <cfRule type="notContainsBlanks" dxfId="4231" priority="160">
      <formula>LEN(TRIM(J99))&gt;0</formula>
    </cfRule>
  </conditionalFormatting>
  <conditionalFormatting sqref="J102">
    <cfRule type="notContainsBlanks" dxfId="4230" priority="156">
      <formula>LEN(TRIM(J102))&gt;0</formula>
    </cfRule>
    <cfRule type="containsBlanks" dxfId="4229" priority="157">
      <formula>LEN(TRIM(J102))=0</formula>
    </cfRule>
  </conditionalFormatting>
  <conditionalFormatting sqref="J116">
    <cfRule type="notContainsBlanks" dxfId="4228" priority="195">
      <formula>LEN(TRIM(J116))&gt;0</formula>
    </cfRule>
    <cfRule type="containsBlanks" dxfId="4227" priority="196">
      <formula>LEN(TRIM(J116))=0</formula>
    </cfRule>
  </conditionalFormatting>
  <conditionalFormatting sqref="J121:J131">
    <cfRule type="containsBlanks" dxfId="4226" priority="272" stopIfTrue="1">
      <formula>LEN(TRIM(J121))=0</formula>
    </cfRule>
    <cfRule type="notContainsBlanks" dxfId="4225" priority="271" stopIfTrue="1">
      <formula>LEN(TRIM(J121))&gt;0</formula>
    </cfRule>
  </conditionalFormatting>
  <conditionalFormatting sqref="J146:J156">
    <cfRule type="notContainsBlanks" dxfId="4224" priority="302" stopIfTrue="1">
      <formula>LEN(TRIM(J146))&gt;0</formula>
    </cfRule>
    <cfRule type="containsBlanks" dxfId="4223" priority="303" stopIfTrue="1">
      <formula>LEN(TRIM(J146))=0</formula>
    </cfRule>
  </conditionalFormatting>
  <conditionalFormatting sqref="J171:J181">
    <cfRule type="notContainsBlanks" dxfId="4222" priority="297" stopIfTrue="1">
      <formula>LEN(TRIM(J171))&gt;0</formula>
    </cfRule>
    <cfRule type="containsBlanks" dxfId="4221" priority="298" stopIfTrue="1">
      <formula>LEN(TRIM(J171))=0</formula>
    </cfRule>
  </conditionalFormatting>
  <conditionalFormatting sqref="J196:J206">
    <cfRule type="notContainsBlanks" dxfId="4220" priority="292" stopIfTrue="1">
      <formula>LEN(TRIM(J196))&gt;0</formula>
    </cfRule>
    <cfRule type="containsBlanks" dxfId="4219" priority="293" stopIfTrue="1">
      <formula>LEN(TRIM(J196))=0</formula>
    </cfRule>
  </conditionalFormatting>
  <conditionalFormatting sqref="J221:J231">
    <cfRule type="notContainsBlanks" dxfId="4218" priority="287" stopIfTrue="1">
      <formula>LEN(TRIM(J221))&gt;0</formula>
    </cfRule>
    <cfRule type="containsBlanks" dxfId="4217" priority="288" stopIfTrue="1">
      <formula>LEN(TRIM(J221))=0</formula>
    </cfRule>
  </conditionalFormatting>
  <conditionalFormatting sqref="J246:J256">
    <cfRule type="containsBlanks" dxfId="4216" priority="283" stopIfTrue="1">
      <formula>LEN(TRIM(J246))=0</formula>
    </cfRule>
    <cfRule type="notContainsBlanks" dxfId="4215" priority="282" stopIfTrue="1">
      <formula>LEN(TRIM(J246))&gt;0</formula>
    </cfRule>
  </conditionalFormatting>
  <conditionalFormatting sqref="J271:J281">
    <cfRule type="containsBlanks" dxfId="4214" priority="278" stopIfTrue="1">
      <formula>LEN(TRIM(J271))=0</formula>
    </cfRule>
    <cfRule type="notContainsBlanks" dxfId="4213" priority="277" stopIfTrue="1">
      <formula>LEN(TRIM(J271))&gt;0</formula>
    </cfRule>
  </conditionalFormatting>
  <conditionalFormatting sqref="K72">
    <cfRule type="expression" dxfId="4212" priority="52">
      <formula>OR((wld_principal_storage_chosen="VMFS on FC"),(wld_principal_storage_chosen="vVOLS on FC"))</formula>
    </cfRule>
  </conditionalFormatting>
  <conditionalFormatting sqref="K96">
    <cfRule type="expression" dxfId="4211" priority="51">
      <formula>OR((wld_principal_storage_chosen="VMFS on FC"),(wld_principal_storage_chosen="vVOLS on FC"))</formula>
    </cfRule>
  </conditionalFormatting>
  <pageMargins left="0.7" right="0.7" top="0.75" bottom="0.75" header="0.3" footer="0.3"/>
  <pageSetup paperSize="9" orientation="portrait" horizontalDpi="0" verticalDpi="0"/>
  <ignoredErrors>
    <ignoredError sqref="B41:K49 J98" unlockedFormula="1"/>
    <ignoredError sqref="F99:F102 H99:J10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79DC9-0BFD-F24E-A1AC-1550B03B63A2}">
  <sheetPr codeName="Sheet6">
    <tabColor theme="5" tint="0.39997558519241921"/>
  </sheetPr>
  <dimension ref="A1:P23"/>
  <sheetViews>
    <sheetView showGridLines="0" zoomScaleNormal="100" workbookViewId="0">
      <pane ySplit="4" topLeftCell="A5" activePane="bottomLeft" state="frozen"/>
      <selection pane="bottomLeft"/>
    </sheetView>
  </sheetViews>
  <sheetFormatPr baseColWidth="10" defaultColWidth="10.83203125" defaultRowHeight="16"/>
  <cols>
    <col min="1" max="1" width="2.83203125" style="3" customWidth="1"/>
    <col min="2" max="2" width="58.33203125" style="3" customWidth="1"/>
    <col min="3" max="10" width="22.83203125" style="3" customWidth="1"/>
    <col min="11" max="11" width="93.1640625" style="3" bestFit="1" customWidth="1"/>
    <col min="12" max="12" width="5.83203125" style="3" customWidth="1"/>
    <col min="13" max="13" width="13.6640625" style="3" bestFit="1" customWidth="1"/>
    <col min="14" max="14" width="10.83203125" style="3" customWidth="1"/>
    <col min="15" max="16384" width="10.83203125" style="3"/>
  </cols>
  <sheetData>
    <row r="1" spans="1:16">
      <c r="A1" s="6" t="s">
        <v>335</v>
      </c>
    </row>
    <row r="2" spans="1:16" ht="54" customHeight="1">
      <c r="B2" s="392" t="s">
        <v>4511</v>
      </c>
      <c r="C2" s="392"/>
      <c r="D2" s="392"/>
      <c r="E2" s="392"/>
      <c r="F2" s="392"/>
      <c r="G2" s="392"/>
      <c r="H2" s="392"/>
      <c r="I2" s="392"/>
      <c r="J2" s="392"/>
      <c r="K2" s="392"/>
      <c r="L2" s="9"/>
    </row>
    <row r="3" spans="1:16" ht="20" customHeight="1">
      <c r="B3" s="393" t="s">
        <v>527</v>
      </c>
      <c r="C3" s="393"/>
      <c r="D3" s="393"/>
      <c r="E3" s="393"/>
      <c r="F3" s="393"/>
      <c r="G3" s="393"/>
      <c r="H3" s="393"/>
      <c r="I3" s="393"/>
      <c r="J3" s="393"/>
      <c r="K3" s="393"/>
      <c r="L3" s="10"/>
    </row>
    <row r="5" spans="1:16" ht="16" customHeight="1"/>
    <row r="6" spans="1:16" ht="34" customHeight="1">
      <c r="B6" s="427" t="s">
        <v>567</v>
      </c>
      <c r="C6" s="428"/>
      <c r="D6" s="428"/>
      <c r="E6" s="428"/>
      <c r="F6" s="428"/>
      <c r="G6" s="428"/>
      <c r="H6" s="428"/>
      <c r="I6" s="428"/>
      <c r="J6" s="428"/>
      <c r="K6" s="426"/>
      <c r="L6" s="4"/>
    </row>
    <row r="7" spans="1:16" ht="20" customHeight="1">
      <c r="B7" s="419" t="s">
        <v>549</v>
      </c>
      <c r="C7" s="420"/>
      <c r="D7" s="420"/>
      <c r="E7" s="420"/>
      <c r="F7" s="420"/>
      <c r="G7" s="420"/>
      <c r="H7" s="420"/>
      <c r="I7" s="420"/>
      <c r="J7" s="420"/>
      <c r="K7" s="421"/>
      <c r="N7" s="45"/>
      <c r="O7" s="45"/>
      <c r="P7" s="45"/>
    </row>
    <row r="8" spans="1:16" ht="20" customHeight="1">
      <c r="B8" s="8" t="s">
        <v>530</v>
      </c>
      <c r="C8" s="8" t="s">
        <v>531</v>
      </c>
      <c r="D8" s="20" t="s">
        <v>532</v>
      </c>
      <c r="E8" s="8" t="s">
        <v>533</v>
      </c>
      <c r="F8" s="20" t="s">
        <v>534</v>
      </c>
      <c r="G8" s="8" t="s">
        <v>535</v>
      </c>
      <c r="H8" s="20" t="s">
        <v>536</v>
      </c>
      <c r="I8" s="8" t="s">
        <v>537</v>
      </c>
      <c r="J8" s="20" t="s">
        <v>538</v>
      </c>
      <c r="K8" s="8" t="s">
        <v>222</v>
      </c>
    </row>
    <row r="9" spans="1:16" ht="20" customHeight="1">
      <c r="B9" s="21" t="s">
        <v>568</v>
      </c>
      <c r="C9" s="22" t="s">
        <v>569</v>
      </c>
      <c r="D9" s="23" t="s">
        <v>569</v>
      </c>
      <c r="E9" s="22" t="str">
        <f>CONCATENATE(prefix_wld_k8s_cidr,0+(wld_domain_number_chosen -1)*3,".0/24")</f>
        <v>192.168.20.0/24</v>
      </c>
      <c r="F9" s="14"/>
      <c r="G9" s="22" t="str">
        <f>CONCATENATE(prefix_wld_k8s_cidr,0+(wld_domain_number_chosen -1)*3,".1")</f>
        <v>192.168.20.1</v>
      </c>
      <c r="H9" s="14"/>
      <c r="I9" s="22" t="s">
        <v>569</v>
      </c>
      <c r="J9" s="23" t="s">
        <v>569</v>
      </c>
      <c r="K9" s="40"/>
    </row>
    <row r="10" spans="1:16" ht="16" customHeight="1"/>
    <row r="11" spans="1:16" ht="34" customHeight="1">
      <c r="B11" s="427" t="s">
        <v>570</v>
      </c>
      <c r="C11" s="428"/>
      <c r="D11" s="426"/>
    </row>
    <row r="12" spans="1:16" ht="20" customHeight="1">
      <c r="B12" s="8" t="s">
        <v>530</v>
      </c>
      <c r="C12" s="8" t="s">
        <v>533</v>
      </c>
      <c r="D12" s="20" t="s">
        <v>534</v>
      </c>
    </row>
    <row r="13" spans="1:16" ht="20" customHeight="1">
      <c r="B13" s="21" t="s">
        <v>3648</v>
      </c>
      <c r="C13" s="22" t="str">
        <f>CONCATENATE(prefix_wld_k8s_cidr,1+(wld_domain_number_chosen -1)*3,".0/24")</f>
        <v>192.168.21.0/24</v>
      </c>
      <c r="D13" s="14"/>
    </row>
    <row r="14" spans="1:16" ht="20" customHeight="1">
      <c r="B14" s="21" t="s">
        <v>3649</v>
      </c>
      <c r="C14" s="22" t="str">
        <f>CONCATENATE(prefix_wld_k8s_cidr,2+(wld_domain_number_chosen -1)*3,".0/24")</f>
        <v>192.168.22.0/24</v>
      </c>
      <c r="D14" s="14"/>
    </row>
    <row r="15" spans="1:16" ht="20" customHeight="1">
      <c r="B15" s="21" t="s">
        <v>571</v>
      </c>
      <c r="C15" s="22" t="s">
        <v>572</v>
      </c>
      <c r="D15" s="14"/>
    </row>
    <row r="16" spans="1:16" ht="20" customHeight="1">
      <c r="B16" s="21" t="s">
        <v>573</v>
      </c>
      <c r="C16" s="22" t="s">
        <v>3614</v>
      </c>
      <c r="D16" s="14"/>
    </row>
    <row r="17" spans="2:4" ht="20" customHeight="1">
      <c r="B17" s="21" t="s">
        <v>574</v>
      </c>
      <c r="C17" s="22" t="s">
        <v>575</v>
      </c>
      <c r="D17" s="14"/>
    </row>
    <row r="18" spans="2:4" ht="20" customHeight="1">
      <c r="B18" s="21" t="s">
        <v>576</v>
      </c>
      <c r="C18" s="22" t="s">
        <v>577</v>
      </c>
      <c r="D18" s="14"/>
    </row>
    <row r="19" spans="2:4" ht="16" customHeight="1"/>
    <row r="20" spans="2:4" ht="34" customHeight="1">
      <c r="B20" s="427" t="s">
        <v>578</v>
      </c>
      <c r="C20" s="428"/>
      <c r="D20" s="426"/>
    </row>
    <row r="21" spans="2:4" ht="20" customHeight="1">
      <c r="B21" s="8" t="s">
        <v>530</v>
      </c>
      <c r="C21" s="8" t="s">
        <v>533</v>
      </c>
      <c r="D21" s="20" t="s">
        <v>534</v>
      </c>
    </row>
    <row r="22" spans="2:4" ht="20" customHeight="1">
      <c r="B22" s="21" t="str">
        <f>_xlfn.CONCAT(automation_product_name, " Kubernetes Cluster Network")</f>
        <v>VMware Aria Automation Kubernetes Cluster Network</v>
      </c>
      <c r="C22" s="22" t="s">
        <v>579</v>
      </c>
      <c r="D22" s="14"/>
    </row>
    <row r="23" spans="2:4" ht="20" customHeight="1">
      <c r="B23" s="21" t="str">
        <f>_xlfn.CONCAT(automation_product_name," Kubernetes Service Network")</f>
        <v>VMware Aria Automation Kubernetes Service Network</v>
      </c>
      <c r="C23" s="22" t="s">
        <v>580</v>
      </c>
      <c r="D23" s="14"/>
    </row>
  </sheetData>
  <sheetProtection algorithmName="SHA-512" hashValue="338ShXpD1Lvcj/tHf8ox95yX4FBYc7NfMnNCd+oby7ODP+b1URVhF+c1mkU6pW+/HbJxroKchaGzXKbSV7exTQ==" saltValue="FA0AERDTqhV0vNXNES5tGQ==" spinCount="100000" sheet="1" objects="1" scenarios="1" selectLockedCells="1"/>
  <mergeCells count="6">
    <mergeCell ref="B11:D11"/>
    <mergeCell ref="B20:D20"/>
    <mergeCell ref="B7:K7"/>
    <mergeCell ref="B6:K6"/>
    <mergeCell ref="B2:K2"/>
    <mergeCell ref="B3:K3"/>
  </mergeCells>
  <phoneticPr fontId="4" type="noConversion"/>
  <conditionalFormatting sqref="B11:D18">
    <cfRule type="expression" dxfId="4210" priority="131">
      <formula>developer_ready_result="Excluded"</formula>
    </cfRule>
  </conditionalFormatting>
  <conditionalFormatting sqref="B20:D23">
    <cfRule type="expression" dxfId="4209" priority="132">
      <formula>OR((private_cloud_result="Excluded"),(private_cloud_chosen="Connect Instance"))</formula>
    </cfRule>
  </conditionalFormatting>
  <conditionalFormatting sqref="B6:K9">
    <cfRule type="expression" dxfId="4208" priority="130">
      <formula>developer_ready_result="Excluded"</formula>
    </cfRule>
  </conditionalFormatting>
  <conditionalFormatting sqref="D7">
    <cfRule type="notContainsBlanks" dxfId="4207" priority="477">
      <formula>LEN(TRIM(D7))&gt;0</formula>
    </cfRule>
    <cfRule type="containsBlanks" dxfId="4206" priority="478">
      <formula>LEN(TRIM(D7))=0</formula>
    </cfRule>
  </conditionalFormatting>
  <conditionalFormatting sqref="D13:D18">
    <cfRule type="notContainsBlanks" dxfId="4205" priority="133">
      <formula>LEN(TRIM(D13))&gt;0</formula>
    </cfRule>
    <cfRule type="containsBlanks" dxfId="4204" priority="134">
      <formula>LEN(TRIM(D13))=0</formula>
    </cfRule>
  </conditionalFormatting>
  <conditionalFormatting sqref="D22:D23">
    <cfRule type="notContainsBlanks" dxfId="4203" priority="141">
      <formula>LEN(TRIM(D22))&gt;0</formula>
    </cfRule>
    <cfRule type="containsBlanks" dxfId="4202" priority="142">
      <formula>LEN(TRIM(D22))=0</formula>
    </cfRule>
  </conditionalFormatting>
  <conditionalFormatting sqref="F9">
    <cfRule type="notContainsBlanks" dxfId="4201" priority="493">
      <formula>LEN(TRIM(F9))&gt;0</formula>
    </cfRule>
    <cfRule type="containsBlanks" dxfId="4200" priority="494">
      <formula>LEN(TRIM(F9))=0</formula>
    </cfRule>
  </conditionalFormatting>
  <conditionalFormatting sqref="H9">
    <cfRule type="notContainsBlanks" dxfId="4199" priority="491">
      <formula>LEN(TRIM(H9))&gt;0</formula>
    </cfRule>
    <cfRule type="containsBlanks" dxfId="4198" priority="492">
      <formula>LEN(TRIM(H9))=0</formula>
    </cfRule>
  </conditionalFormatting>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2670E-B8C4-104B-8332-BDD1E44C6349}">
  <sheetPr codeName="Sheet7">
    <tabColor theme="5" tint="0.39997558519241921"/>
  </sheetPr>
  <dimension ref="A1:O162"/>
  <sheetViews>
    <sheetView showGridLines="0" zoomScaleNormal="100" workbookViewId="0">
      <pane ySplit="4" topLeftCell="A5" activePane="bottomLeft" state="frozen"/>
      <selection pane="bottomLeft"/>
    </sheetView>
  </sheetViews>
  <sheetFormatPr baseColWidth="10" defaultColWidth="10.83203125" defaultRowHeight="16"/>
  <cols>
    <col min="1" max="1" width="2.83203125" style="3" customWidth="1"/>
    <col min="2" max="2" width="49.5" style="3" bestFit="1" customWidth="1"/>
    <col min="3" max="3" width="25.83203125" style="3" customWidth="1"/>
    <col min="4" max="4" width="27.83203125" style="3" customWidth="1"/>
    <col min="5" max="5" width="27" style="3" bestFit="1" customWidth="1"/>
    <col min="6" max="6" width="27.33203125" style="3" customWidth="1"/>
    <col min="7" max="7" width="23.5" style="3" bestFit="1" customWidth="1"/>
    <col min="8" max="8" width="22.33203125" style="3" bestFit="1" customWidth="1"/>
    <col min="9" max="9" width="20" style="3" bestFit="1" customWidth="1"/>
    <col min="10" max="10" width="93.5" style="5" customWidth="1"/>
    <col min="11" max="11" width="10.83203125" style="3" customWidth="1"/>
    <col min="12" max="16384" width="10.83203125" style="3"/>
  </cols>
  <sheetData>
    <row r="1" spans="1:15">
      <c r="A1" s="6"/>
      <c r="J1" s="3"/>
    </row>
    <row r="2" spans="1:15" ht="54" customHeight="1">
      <c r="B2" s="392" t="s">
        <v>4850</v>
      </c>
      <c r="C2" s="392"/>
      <c r="D2" s="392"/>
      <c r="E2" s="392"/>
      <c r="F2" s="392"/>
      <c r="G2" s="392"/>
      <c r="H2" s="392"/>
      <c r="I2" s="392"/>
      <c r="J2" s="392"/>
      <c r="K2" s="34"/>
      <c r="L2" s="35"/>
      <c r="M2" s="35"/>
      <c r="N2" s="35"/>
      <c r="O2" s="35"/>
    </row>
    <row r="3" spans="1:15" ht="20" customHeight="1">
      <c r="A3" s="24"/>
      <c r="B3" s="434" t="s">
        <v>581</v>
      </c>
      <c r="C3" s="434"/>
      <c r="D3" s="434"/>
      <c r="E3" s="434"/>
      <c r="F3" s="434"/>
      <c r="G3" s="434"/>
      <c r="H3" s="434"/>
      <c r="I3" s="434"/>
      <c r="J3" s="434"/>
      <c r="K3" s="36"/>
      <c r="L3" s="36"/>
      <c r="M3" s="36"/>
      <c r="N3" s="37"/>
      <c r="O3" s="37"/>
    </row>
    <row r="5" spans="1:15" ht="16" customHeight="1"/>
    <row r="6" spans="1:15" s="19" customFormat="1" ht="34" customHeight="1">
      <c r="B6" s="344" t="s">
        <v>582</v>
      </c>
      <c r="C6" s="344"/>
      <c r="D6" s="344"/>
      <c r="E6" s="344"/>
      <c r="F6" s="344"/>
      <c r="G6" s="344"/>
      <c r="H6" s="344"/>
      <c r="I6" s="344"/>
      <c r="J6" s="344"/>
    </row>
    <row r="7" spans="1:15" ht="20" customHeight="1">
      <c r="B7" s="425" t="s">
        <v>318</v>
      </c>
      <c r="C7" s="425"/>
      <c r="D7" s="425"/>
      <c r="E7" s="425"/>
      <c r="F7" s="425"/>
      <c r="G7" s="425"/>
      <c r="H7" s="425"/>
      <c r="I7" s="425"/>
      <c r="J7" s="425"/>
    </row>
    <row r="8" spans="1:15" ht="20" customHeight="1">
      <c r="B8" s="8" t="s">
        <v>583</v>
      </c>
      <c r="C8" s="8" t="s">
        <v>554</v>
      </c>
      <c r="D8" s="20" t="s">
        <v>555</v>
      </c>
      <c r="E8" s="345" t="s">
        <v>222</v>
      </c>
      <c r="F8" s="345"/>
      <c r="G8" s="345"/>
      <c r="H8" s="345"/>
      <c r="I8" s="345"/>
      <c r="J8" s="345"/>
    </row>
    <row r="9" spans="1:15" ht="20" customHeight="1">
      <c r="B9" s="21" t="s">
        <v>584</v>
      </c>
      <c r="C9" s="22" t="str">
        <f>CONCATENATE("ntp.",this_instance,".rainpole.io")</f>
        <v>ntp.sfo.rainpole.io</v>
      </c>
      <c r="D9" s="14"/>
      <c r="E9" s="445" t="s">
        <v>585</v>
      </c>
      <c r="F9" s="445"/>
      <c r="G9" s="445"/>
      <c r="H9" s="445"/>
      <c r="I9" s="445"/>
      <c r="J9" s="445"/>
    </row>
    <row r="10" spans="1:15" ht="20" customHeight="1">
      <c r="B10" s="21" t="s">
        <v>586</v>
      </c>
      <c r="C10" s="22" t="s">
        <v>569</v>
      </c>
      <c r="D10" s="38"/>
      <c r="E10" s="445" t="s">
        <v>587</v>
      </c>
      <c r="F10" s="445"/>
      <c r="G10" s="445"/>
      <c r="H10" s="445"/>
      <c r="I10" s="445"/>
      <c r="J10" s="445"/>
    </row>
    <row r="11" spans="1:15" ht="20" customHeight="1">
      <c r="B11" s="21" t="s">
        <v>588</v>
      </c>
      <c r="C11" s="22" t="str">
        <f>CONCATENATE("ntp.",this_instance,".rainpole.io")</f>
        <v>ntp.sfo.rainpole.io</v>
      </c>
      <c r="D11" s="14"/>
      <c r="E11" s="445" t="s">
        <v>589</v>
      </c>
      <c r="F11" s="445"/>
      <c r="G11" s="445"/>
      <c r="H11" s="445"/>
      <c r="I11" s="445"/>
      <c r="J11" s="445"/>
    </row>
    <row r="12" spans="1:15" ht="20" customHeight="1">
      <c r="B12" s="21" t="s">
        <v>590</v>
      </c>
      <c r="C12" s="22" t="str">
        <f>CONCATENATE("ntp.",other_instance,".rainpole.io")</f>
        <v>ntp.lax.rainpole.io</v>
      </c>
      <c r="D12" s="38"/>
      <c r="E12" s="445" t="s">
        <v>591</v>
      </c>
      <c r="F12" s="445"/>
      <c r="G12" s="445"/>
      <c r="H12" s="445"/>
      <c r="I12" s="445"/>
      <c r="J12" s="445"/>
    </row>
    <row r="13" spans="1:15" ht="20" customHeight="1">
      <c r="B13" s="21" t="s">
        <v>592</v>
      </c>
      <c r="C13" s="22" t="str">
        <f>CONCATENATE("ntp.",other_instance,".rainpole.io")</f>
        <v>ntp.lax.rainpole.io</v>
      </c>
      <c r="D13" s="14"/>
      <c r="E13" s="445" t="s">
        <v>593</v>
      </c>
      <c r="F13" s="445"/>
      <c r="G13" s="445"/>
      <c r="H13" s="445"/>
      <c r="I13" s="445"/>
      <c r="J13" s="445"/>
    </row>
    <row r="14" spans="1:15" ht="20" customHeight="1">
      <c r="B14" s="21" t="s">
        <v>594</v>
      </c>
      <c r="C14" s="22" t="s">
        <v>569</v>
      </c>
      <c r="D14" s="38"/>
      <c r="E14" s="445" t="s">
        <v>587</v>
      </c>
      <c r="F14" s="445"/>
      <c r="G14" s="445"/>
      <c r="H14" s="445"/>
      <c r="I14" s="445"/>
      <c r="J14" s="445"/>
    </row>
    <row r="15" spans="1:15" ht="20" customHeight="1">
      <c r="B15" s="425" t="s">
        <v>306</v>
      </c>
      <c r="C15" s="425"/>
      <c r="D15" s="425"/>
      <c r="E15" s="425"/>
      <c r="F15" s="425"/>
      <c r="G15" s="425"/>
      <c r="H15" s="425"/>
      <c r="I15" s="425"/>
      <c r="J15" s="425"/>
    </row>
    <row r="16" spans="1:15" ht="20" customHeight="1">
      <c r="B16" s="8" t="s">
        <v>583</v>
      </c>
      <c r="C16" s="8" t="s">
        <v>554</v>
      </c>
      <c r="D16" s="20" t="s">
        <v>555</v>
      </c>
      <c r="E16" s="345" t="s">
        <v>222</v>
      </c>
      <c r="F16" s="345"/>
      <c r="G16" s="345"/>
      <c r="H16" s="345"/>
      <c r="I16" s="345"/>
      <c r="J16" s="345"/>
    </row>
    <row r="17" spans="2:10" ht="20" customHeight="1">
      <c r="B17" s="21" t="s">
        <v>595</v>
      </c>
      <c r="C17" s="22" t="s">
        <v>294</v>
      </c>
      <c r="D17" s="14"/>
      <c r="E17" s="445" t="s">
        <v>596</v>
      </c>
      <c r="F17" s="445"/>
      <c r="G17" s="445"/>
      <c r="H17" s="445"/>
      <c r="I17" s="445"/>
      <c r="J17" s="445"/>
    </row>
    <row r="18" spans="2:10" ht="20" customHeight="1">
      <c r="B18" s="21" t="s">
        <v>597</v>
      </c>
      <c r="C18" s="22" t="str">
        <f>CONCATENATE(this_instance,".rainpole.io")</f>
        <v>sfo.rainpole.io</v>
      </c>
      <c r="D18" s="14"/>
      <c r="E18" s="445" t="s">
        <v>598</v>
      </c>
      <c r="F18" s="445"/>
      <c r="G18" s="445"/>
      <c r="H18" s="445"/>
      <c r="I18" s="445"/>
      <c r="J18" s="445"/>
    </row>
    <row r="19" spans="2:10" ht="20" customHeight="1">
      <c r="B19" s="21" t="s">
        <v>599</v>
      </c>
      <c r="C19" s="22" t="str">
        <f>CONCATENATE(other_instance,".rainpole.io")</f>
        <v>lax.rainpole.io</v>
      </c>
      <c r="D19" s="14"/>
      <c r="E19" s="445" t="s">
        <v>600</v>
      </c>
      <c r="F19" s="445"/>
      <c r="G19" s="445"/>
      <c r="H19" s="445"/>
      <c r="I19" s="445"/>
      <c r="J19" s="445"/>
    </row>
    <row r="20" spans="2:10" ht="20" customHeight="1">
      <c r="B20" s="21" t="s">
        <v>601</v>
      </c>
      <c r="C20" s="22" t="str">
        <f>IF(mgmt_dpg_separation_result="Included",CONCATENATE(prefix_mgmt_az1_cidr,"10.4"),CONCATENATE(prefix_mgmt_az1_cidr,"11.4"))</f>
        <v>10.11.10.4</v>
      </c>
      <c r="D20" s="14"/>
      <c r="E20" s="445" t="s">
        <v>602</v>
      </c>
      <c r="F20" s="445"/>
      <c r="G20" s="445"/>
      <c r="H20" s="445"/>
      <c r="I20" s="445"/>
      <c r="J20" s="445"/>
    </row>
    <row r="21" spans="2:10" ht="20" customHeight="1">
      <c r="B21" s="21" t="s">
        <v>603</v>
      </c>
      <c r="C21" s="22" t="str">
        <f>IF(mgmt_dpg_separation_result="Included",CONCATENATE(prefix_mgmt_az1_cidr,"10.5"),CONCATENATE(prefix_mgmt_az1_cidr,"11.5"))</f>
        <v>10.11.10.5</v>
      </c>
      <c r="D21" s="14"/>
      <c r="E21" s="445" t="s">
        <v>604</v>
      </c>
      <c r="F21" s="445"/>
      <c r="G21" s="445"/>
      <c r="H21" s="445"/>
      <c r="I21" s="445"/>
      <c r="J21" s="445"/>
    </row>
    <row r="22" spans="2:10" ht="20" customHeight="1">
      <c r="B22" s="21" t="s">
        <v>605</v>
      </c>
      <c r="C22" s="22" t="str">
        <f>IF(mgmt_dpg_separation_result="Included",CONCATENATE(prefix_mgmt_az1_cidr,"10.4"),CONCATENATE(prefix_mgmt_az1_cidr,"11.4"))</f>
        <v>10.11.10.4</v>
      </c>
      <c r="D22" s="14"/>
      <c r="E22" s="445" t="s">
        <v>606</v>
      </c>
      <c r="F22" s="445"/>
      <c r="G22" s="445"/>
      <c r="H22" s="445"/>
      <c r="I22" s="445"/>
      <c r="J22" s="445"/>
    </row>
    <row r="23" spans="2:10" ht="20" customHeight="1">
      <c r="B23" s="21" t="s">
        <v>607</v>
      </c>
      <c r="C23" s="22" t="str">
        <f>IF(mgmt_dpg_separation_result="Included",CONCATENATE(prefix_mgmt_az1_cidr,"10.5"),CONCATENATE(prefix_mgmt_az1_cidr,"11.5"))</f>
        <v>10.11.10.5</v>
      </c>
      <c r="D23" s="14"/>
      <c r="E23" s="445" t="s">
        <v>608</v>
      </c>
      <c r="F23" s="445"/>
      <c r="G23" s="445"/>
      <c r="H23" s="445"/>
      <c r="I23" s="445"/>
      <c r="J23" s="445"/>
    </row>
    <row r="24" spans="2:10" ht="20" customHeight="1">
      <c r="B24" s="21" t="s">
        <v>609</v>
      </c>
      <c r="C24" s="22" t="str">
        <f>IF(mgmt_dpg_separation_result="Included",CONCATENATE(prefix_other_region_az1_cidr,"10.4"),CONCATENATE(prefix_other_region_az1_cidr,"11.4"))</f>
        <v>10.21.10.4</v>
      </c>
      <c r="D24" s="14"/>
      <c r="E24" s="445" t="s">
        <v>610</v>
      </c>
      <c r="F24" s="445"/>
      <c r="G24" s="445"/>
      <c r="H24" s="445"/>
      <c r="I24" s="445"/>
      <c r="J24" s="445"/>
    </row>
    <row r="25" spans="2:10" ht="20" customHeight="1">
      <c r="B25" s="21" t="s">
        <v>611</v>
      </c>
      <c r="C25" s="22" t="str">
        <f>IF(mgmt_dpg_separation_result="Included",CONCATENATE(prefix_other_region_az1_cidr,"10.5"),CONCATENATE(prefix_other_region_az1_cidr,"11.5"))</f>
        <v>10.21.10.5</v>
      </c>
      <c r="D25" s="14"/>
      <c r="E25" s="445" t="s">
        <v>612</v>
      </c>
      <c r="F25" s="445"/>
      <c r="G25" s="445"/>
      <c r="H25" s="445"/>
      <c r="I25" s="445"/>
      <c r="J25" s="445"/>
    </row>
    <row r="26" spans="2:10" ht="20" customHeight="1">
      <c r="B26" s="425" t="s">
        <v>613</v>
      </c>
      <c r="C26" s="425"/>
      <c r="D26" s="425"/>
      <c r="E26" s="425"/>
      <c r="F26" s="425"/>
      <c r="G26" s="425"/>
      <c r="H26" s="425"/>
      <c r="I26" s="425"/>
      <c r="J26" s="425"/>
    </row>
    <row r="27" spans="2:10" ht="20" customHeight="1">
      <c r="B27" s="8" t="s">
        <v>583</v>
      </c>
      <c r="C27" s="8" t="s">
        <v>554</v>
      </c>
      <c r="D27" s="20" t="s">
        <v>555</v>
      </c>
      <c r="E27" s="345" t="s">
        <v>222</v>
      </c>
      <c r="F27" s="345"/>
      <c r="G27" s="345"/>
      <c r="H27" s="345"/>
      <c r="I27" s="345"/>
      <c r="J27" s="345"/>
    </row>
    <row r="28" spans="2:10" ht="20" customHeight="1">
      <c r="B28" s="21" t="s">
        <v>614</v>
      </c>
      <c r="C28" s="22" t="str">
        <f>CONCATENATE(this_instance,"-ad01")</f>
        <v>sfo-ad01</v>
      </c>
      <c r="D28" s="14"/>
      <c r="E28" s="445" t="s">
        <v>615</v>
      </c>
      <c r="F28" s="445"/>
      <c r="G28" s="445"/>
      <c r="H28" s="445"/>
      <c r="I28" s="445"/>
      <c r="J28" s="445"/>
    </row>
    <row r="29" spans="2:10" ht="20" customHeight="1">
      <c r="B29" s="21" t="s">
        <v>616</v>
      </c>
      <c r="C29" s="22" t="s">
        <v>4918</v>
      </c>
      <c r="D29" s="14"/>
      <c r="E29" s="445" t="s">
        <v>617</v>
      </c>
      <c r="F29" s="445"/>
      <c r="G29" s="445"/>
      <c r="H29" s="445"/>
      <c r="I29" s="445"/>
      <c r="J29" s="445"/>
    </row>
    <row r="30" spans="2:10" ht="20" customHeight="1">
      <c r="B30" s="21" t="s">
        <v>618</v>
      </c>
      <c r="C30" s="22" t="s">
        <v>619</v>
      </c>
      <c r="D30" s="14"/>
      <c r="E30" s="445" t="s">
        <v>620</v>
      </c>
      <c r="F30" s="445"/>
      <c r="G30" s="445"/>
      <c r="H30" s="445"/>
      <c r="I30" s="445"/>
      <c r="J30" s="445"/>
    </row>
    <row r="31" spans="2:10" ht="20" customHeight="1">
      <c r="B31" s="21" t="s">
        <v>331</v>
      </c>
      <c r="C31" s="22" t="s">
        <v>3390</v>
      </c>
      <c r="D31" s="14"/>
      <c r="E31" s="445" t="s">
        <v>621</v>
      </c>
      <c r="F31" s="445"/>
      <c r="G31" s="445"/>
      <c r="H31" s="445"/>
      <c r="I31" s="445"/>
      <c r="J31" s="445"/>
    </row>
    <row r="32" spans="2:10" ht="20" customHeight="1">
      <c r="B32" s="21" t="s">
        <v>622</v>
      </c>
      <c r="C32" s="22" t="s">
        <v>623</v>
      </c>
      <c r="D32" s="14"/>
      <c r="E32" s="445" t="s">
        <v>624</v>
      </c>
      <c r="F32" s="445"/>
      <c r="G32" s="445"/>
      <c r="H32" s="445"/>
      <c r="I32" s="445"/>
      <c r="J32" s="445"/>
    </row>
    <row r="33" spans="2:12" ht="20" customHeight="1">
      <c r="B33" s="21" t="s">
        <v>625</v>
      </c>
      <c r="C33" s="22">
        <v>25</v>
      </c>
      <c r="D33" s="14"/>
      <c r="E33" s="445" t="s">
        <v>626</v>
      </c>
      <c r="F33" s="445"/>
      <c r="G33" s="445"/>
      <c r="H33" s="445"/>
      <c r="I33" s="445"/>
      <c r="J33" s="445"/>
    </row>
    <row r="34" spans="2:12" ht="16" customHeight="1"/>
    <row r="35" spans="2:12" s="4" customFormat="1" ht="34" customHeight="1">
      <c r="B35" s="344" t="s">
        <v>627</v>
      </c>
      <c r="C35" s="344"/>
      <c r="D35" s="344"/>
      <c r="E35" s="344"/>
      <c r="F35" s="344"/>
      <c r="G35" s="344"/>
      <c r="H35" s="344"/>
      <c r="I35" s="344"/>
      <c r="J35" s="344"/>
    </row>
    <row r="36" spans="2:12" ht="20" customHeight="1">
      <c r="B36" s="425" t="s">
        <v>628</v>
      </c>
      <c r="C36" s="425"/>
      <c r="D36" s="425"/>
      <c r="E36" s="425"/>
      <c r="F36" s="425"/>
      <c r="G36" s="425"/>
      <c r="H36" s="425"/>
      <c r="I36" s="425"/>
      <c r="J36" s="425"/>
    </row>
    <row r="37" spans="2:12" ht="20" customHeight="1">
      <c r="B37" s="8" t="s">
        <v>583</v>
      </c>
      <c r="C37" s="8" t="s">
        <v>489</v>
      </c>
      <c r="D37" s="8" t="s">
        <v>629</v>
      </c>
      <c r="E37" s="20" t="s">
        <v>630</v>
      </c>
      <c r="F37" s="8" t="s">
        <v>631</v>
      </c>
      <c r="G37" s="20" t="s">
        <v>632</v>
      </c>
      <c r="H37" s="345" t="s">
        <v>222</v>
      </c>
      <c r="I37" s="345"/>
      <c r="J37" s="345"/>
    </row>
    <row r="38" spans="2:12" ht="20" customHeight="1">
      <c r="B38" s="26" t="s">
        <v>633</v>
      </c>
      <c r="C38" s="22" t="s">
        <v>634</v>
      </c>
      <c r="D38" s="25" t="str">
        <f>CONCATENATE(this_instance,"-cb01")</f>
        <v>sfo-cb01</v>
      </c>
      <c r="E38" s="14"/>
      <c r="F38" s="25" t="str">
        <f>IF(mgmt_dpg_separation_result="Included",CONCATENATE(prefix_mgmt_az1_cidr,"10.60"),CONCATENATE(prefix_mgmt_az1_cidr,"11.60"))</f>
        <v>10.11.10.60</v>
      </c>
      <c r="G38" s="14"/>
      <c r="H38" s="445" t="s">
        <v>635</v>
      </c>
      <c r="I38" s="445"/>
      <c r="J38" s="445"/>
    </row>
    <row r="39" spans="2:12" ht="20" customHeight="1">
      <c r="B39" s="26" t="s">
        <v>353</v>
      </c>
      <c r="C39" s="22" t="s">
        <v>634</v>
      </c>
      <c r="D39" s="25" t="str">
        <f>CONCATENATE(this_instance,"-vcf01")</f>
        <v>sfo-vcf01</v>
      </c>
      <c r="E39" s="14"/>
      <c r="F39" s="25" t="str">
        <f>IF(mgmt_dpg_separation_result="Included",CONCATENATE(prefix_mgmt_az1_cidr,"10.59"),CONCATENATE(prefix_mgmt_az1_cidr,"11.59"))</f>
        <v>10.11.10.59</v>
      </c>
      <c r="G39" s="14"/>
      <c r="H39" s="445" t="s">
        <v>636</v>
      </c>
      <c r="I39" s="445"/>
      <c r="J39" s="445"/>
    </row>
    <row r="40" spans="2:12" ht="20" customHeight="1">
      <c r="B40" s="26" t="s">
        <v>637</v>
      </c>
      <c r="C40" s="22" t="s">
        <v>634</v>
      </c>
      <c r="D40" s="25" t="str">
        <f>CONCATENATE(this_instance,"-m01-vc01")</f>
        <v>sfo-m01-vc01</v>
      </c>
      <c r="E40" s="14"/>
      <c r="F40" s="25" t="str">
        <f>IF(mgmt_dpg_separation_result="Included",CONCATENATE(prefix_mgmt_az1_cidr,"10.70"),CONCATENATE(prefix_mgmt_az1_cidr,"11.70"))</f>
        <v>10.11.10.70</v>
      </c>
      <c r="G40" s="14"/>
      <c r="H40" s="445" t="s">
        <v>638</v>
      </c>
      <c r="I40" s="445"/>
      <c r="J40" s="445"/>
    </row>
    <row r="41" spans="2:12" ht="20" customHeight="1">
      <c r="B41" s="26" t="s">
        <v>648</v>
      </c>
      <c r="C41" s="22" t="s">
        <v>634</v>
      </c>
      <c r="D41" s="25" t="str">
        <f>CONCATENATE(this_instance,"-m01-nsx01")</f>
        <v>sfo-m01-nsx01</v>
      </c>
      <c r="E41" s="14"/>
      <c r="F41" s="25" t="str">
        <f>IF(mgmt_dpg_separation_result="Included",CONCATENATE(prefix_mgmt_az1_cidr,"10.71"),CONCATENATE(prefix_mgmt_az1_cidr,"11.71"))</f>
        <v>10.11.10.71</v>
      </c>
      <c r="G41" s="14"/>
      <c r="H41" s="445" t="s">
        <v>649</v>
      </c>
      <c r="I41" s="445"/>
      <c r="J41" s="445"/>
    </row>
    <row r="42" spans="2:12" ht="20" customHeight="1">
      <c r="B42" s="16"/>
      <c r="C42" s="22" t="s">
        <v>634</v>
      </c>
      <c r="D42" s="25" t="str">
        <f>CONCATENATE(this_instance,"-m01-nsx01a")</f>
        <v>sfo-m01-nsx01a</v>
      </c>
      <c r="E42" s="14"/>
      <c r="F42" s="25" t="str">
        <f>IF(mgmt_dpg_separation_result="Included",CONCATENATE(prefix_mgmt_az1_cidr,"10.72"),CONCATENATE(prefix_mgmt_az1_cidr,"11.72"))</f>
        <v>10.11.10.72</v>
      </c>
      <c r="G42" s="14"/>
      <c r="H42" s="445" t="s">
        <v>650</v>
      </c>
      <c r="I42" s="445"/>
      <c r="J42" s="445"/>
    </row>
    <row r="43" spans="2:12" ht="20" customHeight="1">
      <c r="B43" s="16"/>
      <c r="C43" s="22" t="s">
        <v>634</v>
      </c>
      <c r="D43" s="25" t="str">
        <f>CONCATENATE(this_instance,"-m01-nsx01b")</f>
        <v>sfo-m01-nsx01b</v>
      </c>
      <c r="E43" s="14"/>
      <c r="F43" s="25" t="str">
        <f>IF(mgmt_dpg_separation_result="Included",CONCATENATE(prefix_mgmt_az1_cidr,"10.73"),CONCATENATE(prefix_mgmt_az1_cidr,"11.73"))</f>
        <v>10.11.10.73</v>
      </c>
      <c r="G43" s="14"/>
      <c r="H43" s="445" t="s">
        <v>651</v>
      </c>
      <c r="I43" s="445"/>
      <c r="J43" s="445"/>
    </row>
    <row r="44" spans="2:12" ht="20" customHeight="1">
      <c r="B44" s="16"/>
      <c r="C44" s="22" t="s">
        <v>634</v>
      </c>
      <c r="D44" s="25" t="str">
        <f>CONCATENATE(this_instance,"-m01-nsx01c")</f>
        <v>sfo-m01-nsx01c</v>
      </c>
      <c r="E44" s="14"/>
      <c r="F44" s="25" t="str">
        <f>IF(mgmt_dpg_separation_result="Included",CONCATENATE(prefix_mgmt_az1_cidr,"10.74"),CONCATENATE(prefix_mgmt_az1_cidr,"11.74"))</f>
        <v>10.11.10.74</v>
      </c>
      <c r="G44" s="14"/>
      <c r="H44" s="445" t="s">
        <v>652</v>
      </c>
      <c r="I44" s="445"/>
      <c r="J44" s="445"/>
      <c r="K44" s="5"/>
      <c r="L44" s="5"/>
    </row>
    <row r="45" spans="2:12" ht="20" customHeight="1">
      <c r="B45" s="26"/>
      <c r="C45" s="22" t="s">
        <v>634</v>
      </c>
      <c r="D45" s="25" t="str">
        <f>CONCATENATE(this_instance,"-m01-nsx-gm01")</f>
        <v>sfo-m01-nsx-gm01</v>
      </c>
      <c r="E45" s="14"/>
      <c r="F45" s="25" t="str">
        <f>IF(mgmt_dpg_separation_result="Included",CONCATENATE(prefix_mgmt_az1_cidr,"10.81"),CONCATENATE(prefix_mgmt_az1_cidr,"11.81"))</f>
        <v>10.11.10.81</v>
      </c>
      <c r="G45" s="14"/>
      <c r="H45" s="445" t="s">
        <v>653</v>
      </c>
      <c r="I45" s="445"/>
      <c r="J45" s="445"/>
      <c r="K45" s="5"/>
      <c r="L45" s="5"/>
    </row>
    <row r="46" spans="2:12" ht="20" customHeight="1">
      <c r="B46" s="16"/>
      <c r="C46" s="22" t="s">
        <v>634</v>
      </c>
      <c r="D46" s="25" t="str">
        <f>CONCATENATE(this_instance,"-m01-nsx-gm01a")</f>
        <v>sfo-m01-nsx-gm01a</v>
      </c>
      <c r="E46" s="14"/>
      <c r="F46" s="25" t="str">
        <f>IF(mgmt_dpg_separation_result="Included",CONCATENATE(prefix_mgmt_az1_cidr,"10.82"),CONCATENATE(prefix_mgmt_az1_cidr,"11.82"))</f>
        <v>10.11.10.82</v>
      </c>
      <c r="G46" s="14"/>
      <c r="H46" s="445" t="s">
        <v>654</v>
      </c>
      <c r="I46" s="445"/>
      <c r="J46" s="445"/>
      <c r="K46" s="5"/>
      <c r="L46" s="5"/>
    </row>
    <row r="47" spans="2:12" ht="20" customHeight="1">
      <c r="B47" s="16"/>
      <c r="C47" s="22" t="s">
        <v>634</v>
      </c>
      <c r="D47" s="25" t="str">
        <f>CONCATENATE(this_instance,"-m01-nsx-gm01b")</f>
        <v>sfo-m01-nsx-gm01b</v>
      </c>
      <c r="E47" s="14"/>
      <c r="F47" s="25" t="str">
        <f>IF(mgmt_dpg_separation_result="Included",CONCATENATE(prefix_mgmt_az1_cidr,"10.83"),CONCATENATE(prefix_mgmt_az1_cidr,"11.83"))</f>
        <v>10.11.10.83</v>
      </c>
      <c r="G47" s="14"/>
      <c r="H47" s="445" t="s">
        <v>655</v>
      </c>
      <c r="I47" s="445"/>
      <c r="J47" s="445"/>
      <c r="K47" s="5"/>
      <c r="L47" s="5"/>
    </row>
    <row r="48" spans="2:12" ht="20" customHeight="1">
      <c r="B48" s="16"/>
      <c r="C48" s="22" t="s">
        <v>634</v>
      </c>
      <c r="D48" s="25" t="str">
        <f>CONCATENATE(this_instance,"-m01-nsx-gm01c")</f>
        <v>sfo-m01-nsx-gm01c</v>
      </c>
      <c r="E48" s="14"/>
      <c r="F48" s="25" t="str">
        <f>IF(mgmt_dpg_separation_result="Included",CONCATENATE(prefix_mgmt_az1_cidr,"10.84"),CONCATENATE(prefix_mgmt_az1_cidr,"11.84"))</f>
        <v>10.11.10.84</v>
      </c>
      <c r="G48" s="14"/>
      <c r="H48" s="445" t="s">
        <v>656</v>
      </c>
      <c r="I48" s="445"/>
      <c r="J48" s="445"/>
      <c r="K48" s="5"/>
      <c r="L48" s="5"/>
    </row>
    <row r="49" spans="2:12" ht="20" customHeight="1">
      <c r="B49" s="21" t="s">
        <v>4234</v>
      </c>
      <c r="C49" s="22" t="s">
        <v>634</v>
      </c>
      <c r="D49" s="25" t="str">
        <f>CONCATENATE(this_instance,"-m01-avlb01")</f>
        <v>sfo-m01-avlb01</v>
      </c>
      <c r="E49" s="14"/>
      <c r="F49" s="25" t="str">
        <f>IF(mgmt_dpg_separation_result="Included",CONCATENATE(prefix_mgmt_az1_cidr,"10.91"),CONCATENATE(prefix_mgmt_az1_cidr,"11.91"))</f>
        <v>10.11.10.91</v>
      </c>
      <c r="G49" s="14"/>
      <c r="H49" s="441" t="s">
        <v>4250</v>
      </c>
      <c r="I49" s="441"/>
      <c r="J49" s="441"/>
    </row>
    <row r="50" spans="2:12" ht="20" customHeight="1">
      <c r="B50" s="21"/>
      <c r="C50" s="22" t="s">
        <v>634</v>
      </c>
      <c r="D50" s="25" t="s">
        <v>569</v>
      </c>
      <c r="E50" s="23" t="s">
        <v>569</v>
      </c>
      <c r="F50" s="25" t="str">
        <f>IF(mgmt_dpg_separation_result="Included",CONCATENATE(prefix_mgmt_az1_cidr,"10.92"),CONCATENATE(prefix_mgmt_az1_cidr,"11.92"))</f>
        <v>10.11.10.92</v>
      </c>
      <c r="G50" s="14"/>
      <c r="H50" s="441" t="s">
        <v>4253</v>
      </c>
      <c r="I50" s="441"/>
      <c r="J50" s="441"/>
    </row>
    <row r="51" spans="2:12" ht="20" customHeight="1">
      <c r="B51" s="21"/>
      <c r="C51" s="22" t="s">
        <v>634</v>
      </c>
      <c r="D51" s="25" t="s">
        <v>569</v>
      </c>
      <c r="E51" s="23" t="s">
        <v>569</v>
      </c>
      <c r="F51" s="25" t="str">
        <f>IF(mgmt_dpg_separation_result="Included",CONCATENATE(prefix_mgmt_az1_cidr,"10.93"),CONCATENATE(prefix_mgmt_az1_cidr,"11.93"))</f>
        <v>10.11.10.93</v>
      </c>
      <c r="G51" s="14"/>
      <c r="H51" s="441" t="s">
        <v>4252</v>
      </c>
      <c r="I51" s="441"/>
      <c r="J51" s="441"/>
    </row>
    <row r="52" spans="2:12" ht="20" customHeight="1">
      <c r="B52" s="21"/>
      <c r="C52" s="22" t="s">
        <v>634</v>
      </c>
      <c r="D52" s="25" t="s">
        <v>569</v>
      </c>
      <c r="E52" s="23" t="s">
        <v>569</v>
      </c>
      <c r="F52" s="25" t="str">
        <f>IF(mgmt_dpg_separation_result="Included",CONCATENATE(prefix_mgmt_az1_cidr,"10.94"),CONCATENATE(prefix_mgmt_az1_cidr,"11.94"))</f>
        <v>10.11.10.94</v>
      </c>
      <c r="G52" s="14"/>
      <c r="H52" s="441" t="s">
        <v>4251</v>
      </c>
      <c r="I52" s="441"/>
      <c r="J52" s="441"/>
    </row>
    <row r="53" spans="2:12" ht="16" customHeight="1"/>
    <row r="54" spans="2:12" ht="34" customHeight="1">
      <c r="B54" s="344" t="s">
        <v>685</v>
      </c>
      <c r="C54" s="344"/>
      <c r="D54" s="344"/>
      <c r="E54" s="344"/>
      <c r="F54" s="344"/>
      <c r="G54" s="344"/>
      <c r="H54" s="344"/>
      <c r="I54" s="344"/>
      <c r="J54" s="344"/>
    </row>
    <row r="55" spans="2:12" ht="20" customHeight="1">
      <c r="B55" s="425" t="s">
        <v>628</v>
      </c>
      <c r="C55" s="425"/>
      <c r="D55" s="425"/>
      <c r="E55" s="425"/>
      <c r="F55" s="425"/>
      <c r="G55" s="425"/>
      <c r="H55" s="425"/>
      <c r="I55" s="425"/>
      <c r="J55" s="425"/>
    </row>
    <row r="56" spans="2:12" ht="20" customHeight="1">
      <c r="B56" s="8" t="s">
        <v>583</v>
      </c>
      <c r="C56" s="8" t="s">
        <v>489</v>
      </c>
      <c r="D56" s="8" t="s">
        <v>629</v>
      </c>
      <c r="E56" s="20" t="s">
        <v>630</v>
      </c>
      <c r="F56" s="8" t="s">
        <v>631</v>
      </c>
      <c r="G56" s="20" t="s">
        <v>632</v>
      </c>
      <c r="H56" s="345" t="s">
        <v>222</v>
      </c>
      <c r="I56" s="345"/>
      <c r="J56" s="345"/>
    </row>
    <row r="57" spans="2:12" ht="20" customHeight="1">
      <c r="B57" s="26" t="s">
        <v>637</v>
      </c>
      <c r="C57" s="22" t="s">
        <v>634</v>
      </c>
      <c r="D57" s="25" t="str">
        <f>CONCATENATE(other_instance,"-m01-vc01")</f>
        <v>lax-m01-vc01</v>
      </c>
      <c r="E57" s="14"/>
      <c r="F57" s="25" t="str">
        <f>IF(mgmt_dpg_separation_result="Included",CONCATENATE(prefix_other_region_az1_cidr,"10.70"),CONCATENATE(prefix_other_region_az1_cidr,"11.70"))</f>
        <v>10.21.10.70</v>
      </c>
      <c r="G57" s="14"/>
      <c r="H57" s="445" t="s">
        <v>686</v>
      </c>
      <c r="I57" s="445"/>
      <c r="J57" s="445"/>
    </row>
    <row r="58" spans="2:12" ht="20" customHeight="1">
      <c r="B58" s="26" t="s">
        <v>687</v>
      </c>
      <c r="C58" s="22" t="s">
        <v>634</v>
      </c>
      <c r="D58" s="25" t="str">
        <f>CONCATENATE(this_instance,"-m01-cl01-vsw01")</f>
        <v>sfo-m01-cl01-vsw01</v>
      </c>
      <c r="E58" s="14"/>
      <c r="F58" s="25" t="str">
        <f>IF(mgmt_dpg_separation_result="Included",CONCATENATE(prefix_other_region_az1_cidr,"10.218"),CONCATENATE(prefix_other_region_az1_cidr,"11.219"))</f>
        <v>10.21.10.218</v>
      </c>
      <c r="G58" s="14"/>
      <c r="H58" s="445" t="s">
        <v>688</v>
      </c>
      <c r="I58" s="445"/>
      <c r="J58" s="445"/>
    </row>
    <row r="59" spans="2:12" ht="16" customHeight="1">
      <c r="J59" s="3"/>
    </row>
    <row r="60" spans="2:12" ht="34" customHeight="1">
      <c r="B60" s="344" t="s">
        <v>689</v>
      </c>
      <c r="C60" s="344"/>
      <c r="D60" s="344"/>
      <c r="E60" s="344"/>
      <c r="F60" s="344"/>
      <c r="G60" s="344"/>
      <c r="H60" s="344"/>
      <c r="I60" s="344"/>
      <c r="J60" s="344"/>
    </row>
    <row r="61" spans="2:12" ht="20" customHeight="1">
      <c r="B61" s="425" t="s">
        <v>628</v>
      </c>
      <c r="C61" s="425"/>
      <c r="D61" s="425"/>
      <c r="E61" s="425"/>
      <c r="F61" s="425"/>
      <c r="G61" s="425"/>
      <c r="H61" s="425"/>
      <c r="I61" s="425"/>
      <c r="J61" s="425"/>
    </row>
    <row r="62" spans="2:12" ht="20" customHeight="1">
      <c r="B62" s="8" t="s">
        <v>583</v>
      </c>
      <c r="C62" s="8" t="s">
        <v>489</v>
      </c>
      <c r="D62" s="8" t="s">
        <v>629</v>
      </c>
      <c r="E62" s="20" t="s">
        <v>630</v>
      </c>
      <c r="F62" s="8" t="s">
        <v>631</v>
      </c>
      <c r="G62" s="20" t="s">
        <v>632</v>
      </c>
      <c r="H62" s="345" t="s">
        <v>222</v>
      </c>
      <c r="I62" s="345"/>
      <c r="J62" s="345"/>
    </row>
    <row r="63" spans="2:12" ht="20" customHeight="1">
      <c r="B63" s="26" t="s">
        <v>637</v>
      </c>
      <c r="C63" s="22" t="s">
        <v>634</v>
      </c>
      <c r="D63" s="25" t="str">
        <f>CONCATENATE(this_instance,"-w0",wld_domain_number_chosen,"-vc01")</f>
        <v>sfo-w01-vc01</v>
      </c>
      <c r="E63" s="14"/>
      <c r="F63" s="25" t="str">
        <f>IF(mgmt_dpg_separation_result="Included",CONCATENATE(prefix_mgmt_az1_cidr,"10.",(130 + (30*(wld_domain_number_chosen - 1)))),CONCATENATE(prefix_mgmt_az1_cidr,"11.",(130 + (30*(wld_domain_number_chosen - 1)))))</f>
        <v>10.11.10.130</v>
      </c>
      <c r="G63" s="14"/>
      <c r="H63" s="445" t="s">
        <v>690</v>
      </c>
      <c r="I63" s="445"/>
      <c r="J63" s="445"/>
      <c r="K63" s="5"/>
      <c r="L63" s="5"/>
    </row>
    <row r="64" spans="2:12" ht="20" customHeight="1">
      <c r="B64" s="26" t="s">
        <v>648</v>
      </c>
      <c r="C64" s="22" t="s">
        <v>634</v>
      </c>
      <c r="D64" s="25" t="str">
        <f>CONCATENATE(this_instance,"-w0",wld_domain_number_chosen,"-nsx01")</f>
        <v>sfo-w01-nsx01</v>
      </c>
      <c r="E64" s="160"/>
      <c r="F64" s="25" t="str">
        <f>IF(mgmt_dpg_separation_result="Included",CONCATENATE(prefix_mgmt_az1_cidr,"10.",(131+(30*(wld_domain_number_chosen-1)))),CONCATENATE(prefix_mgmt_az1_cidr,"11.",(131+(30*(wld_domain_number_chosen-1)))))</f>
        <v>10.11.10.131</v>
      </c>
      <c r="G64" s="14"/>
      <c r="H64" s="445" t="s">
        <v>649</v>
      </c>
      <c r="I64" s="445"/>
      <c r="J64" s="445"/>
      <c r="K64" s="5"/>
      <c r="L64" s="5"/>
    </row>
    <row r="65" spans="2:12" ht="20" customHeight="1">
      <c r="B65" s="16"/>
      <c r="C65" s="22" t="s">
        <v>634</v>
      </c>
      <c r="D65" s="25" t="str">
        <f>CONCATENATE(this_instance,"-w0",wld_domain_number_chosen,"-nsx01a")</f>
        <v>sfo-w01-nsx01a</v>
      </c>
      <c r="E65" s="160"/>
      <c r="F65" s="25" t="str">
        <f>IF(mgmt_dpg_separation_result="Included",CONCATENATE(prefix_mgmt_az1_cidr,"10.",(132 + (30*(wld_domain_number_chosen - 1)))),CONCATENATE(prefix_mgmt_az1_cidr,"11.",(132 + (30*(wld_domain_number_chosen - 1)))))</f>
        <v>10.11.10.132</v>
      </c>
      <c r="G65" s="14"/>
      <c r="H65" s="445" t="s">
        <v>650</v>
      </c>
      <c r="I65" s="445"/>
      <c r="J65" s="445"/>
      <c r="K65" s="5"/>
      <c r="L65" s="5"/>
    </row>
    <row r="66" spans="2:12" ht="20" customHeight="1">
      <c r="B66" s="16"/>
      <c r="C66" s="22" t="s">
        <v>634</v>
      </c>
      <c r="D66" s="25" t="str">
        <f>CONCATENATE(this_instance,"-w0",wld_domain_number_chosen,"-nsx01b")</f>
        <v>sfo-w01-nsx01b</v>
      </c>
      <c r="E66" s="14"/>
      <c r="F66" s="25" t="str">
        <f>IF(mgmt_dpg_separation_result="Included",CONCATENATE(prefix_mgmt_az1_cidr,"10.",(133 + (30*(wld_domain_number_chosen - 1)))),CONCATENATE(prefix_mgmt_az1_cidr,"11.",(133 + (30*(wld_domain_number_chosen - 1)))))</f>
        <v>10.11.10.133</v>
      </c>
      <c r="G66" s="14"/>
      <c r="H66" s="445" t="s">
        <v>651</v>
      </c>
      <c r="I66" s="445"/>
      <c r="J66" s="445"/>
      <c r="K66" s="5"/>
      <c r="L66" s="5"/>
    </row>
    <row r="67" spans="2:12" ht="20" customHeight="1">
      <c r="B67" s="16"/>
      <c r="C67" s="22" t="s">
        <v>634</v>
      </c>
      <c r="D67" s="25" t="str">
        <f>CONCATENATE(this_instance,"-w0",wld_domain_number_chosen,"-nsx01c")</f>
        <v>sfo-w01-nsx01c</v>
      </c>
      <c r="E67" s="14"/>
      <c r="F67" s="25" t="str">
        <f>IF(mgmt_dpg_separation_result="Included",CONCATENATE(prefix_mgmt_az1_cidr,"10.",(134 + (30*(wld_domain_number_chosen - 1)))),CONCATENATE(prefix_mgmt_az1_cidr,"11.",(134 + (30*(wld_domain_number_chosen - 1)))))</f>
        <v>10.11.10.134</v>
      </c>
      <c r="G67" s="14"/>
      <c r="H67" s="445" t="s">
        <v>652</v>
      </c>
      <c r="I67" s="445"/>
      <c r="J67" s="445"/>
      <c r="K67" s="5"/>
      <c r="L67" s="5"/>
    </row>
    <row r="68" spans="2:12" ht="20" customHeight="1">
      <c r="B68" s="26"/>
      <c r="C68" s="22" t="s">
        <v>634</v>
      </c>
      <c r="D68" s="25" t="str">
        <f>CONCATENATE(this_instance,"-w0",wld_domain_number_chosen,"-nsx-gm01")</f>
        <v>sfo-w01-nsx-gm01</v>
      </c>
      <c r="E68" s="14"/>
      <c r="F68" s="25" t="str">
        <f>IF(mgmt_dpg_separation_result="Included",CONCATENATE(prefix_mgmt_az1_cidr,"10.",(141 + (30*(wld_domain_number_chosen - 1)))),CONCATENATE(prefix_mgmt_az1_cidr,"11.",(141 + (30*(wld_domain_number_chosen - 1)))))</f>
        <v>10.11.10.141</v>
      </c>
      <c r="G68" s="14"/>
      <c r="H68" s="445" t="s">
        <v>653</v>
      </c>
      <c r="I68" s="445"/>
      <c r="J68" s="445"/>
    </row>
    <row r="69" spans="2:12" ht="20" customHeight="1">
      <c r="B69" s="16"/>
      <c r="C69" s="22" t="s">
        <v>634</v>
      </c>
      <c r="D69" s="25" t="str">
        <f>CONCATENATE(this_instance,"-w0",wld_domain_number_chosen,"-nsx-gm01a")</f>
        <v>sfo-w01-nsx-gm01a</v>
      </c>
      <c r="E69" s="14"/>
      <c r="F69" s="25" t="str">
        <f>IF(mgmt_dpg_separation_result="Included",CONCATENATE(prefix_mgmt_az1_cidr,"10.",(142 + (30*(wld_domain_number_chosen - 1)))),CONCATENATE(prefix_mgmt_az1_cidr,"11.",(142 + (30*(wld_domain_number_chosen - 1)))))</f>
        <v>10.11.10.142</v>
      </c>
      <c r="G69" s="14"/>
      <c r="H69" s="445" t="s">
        <v>654</v>
      </c>
      <c r="I69" s="445"/>
      <c r="J69" s="445"/>
    </row>
    <row r="70" spans="2:12" ht="20" customHeight="1">
      <c r="B70" s="16"/>
      <c r="C70" s="22" t="s">
        <v>634</v>
      </c>
      <c r="D70" s="25" t="str">
        <f>CONCATENATE(this_instance,"-w0",wld_domain_number_chosen,"-nsx-gm01b")</f>
        <v>sfo-w01-nsx-gm01b</v>
      </c>
      <c r="E70" s="14"/>
      <c r="F70" s="25" t="str">
        <f>IF(mgmt_dpg_separation_result="Included",CONCATENATE(prefix_mgmt_az1_cidr,"10.",(143 + (30*(wld_domain_number_chosen - 1)))),CONCATENATE(prefix_mgmt_az1_cidr,"11.",(143 + (30*(wld_domain_number_chosen - 1)))))</f>
        <v>10.11.10.143</v>
      </c>
      <c r="G70" s="14"/>
      <c r="H70" s="445" t="s">
        <v>655</v>
      </c>
      <c r="I70" s="445"/>
      <c r="J70" s="445"/>
    </row>
    <row r="71" spans="2:12" ht="20" customHeight="1">
      <c r="B71" s="16"/>
      <c r="C71" s="22" t="s">
        <v>634</v>
      </c>
      <c r="D71" s="25" t="str">
        <f>CONCATENATE(this_instance,"-w0",wld_domain_number_chosen,"-nsx-gm01c")</f>
        <v>sfo-w01-nsx-gm01c</v>
      </c>
      <c r="E71" s="14"/>
      <c r="F71" s="25" t="str">
        <f>IF(mgmt_dpg_separation_result="Included",CONCATENATE(prefix_mgmt_az1_cidr,"10.",(144 + (30*(wld_domain_number_chosen - 1)))),CONCATENATE(prefix_mgmt_az1_cidr,"11.",(144 + (30*(wld_domain_number_chosen - 1)))))</f>
        <v>10.11.10.144</v>
      </c>
      <c r="G71" s="14"/>
      <c r="H71" s="445" t="s">
        <v>656</v>
      </c>
      <c r="I71" s="445"/>
      <c r="J71" s="445"/>
    </row>
    <row r="72" spans="2:12" ht="20" customHeight="1">
      <c r="B72" s="21" t="s">
        <v>4234</v>
      </c>
      <c r="C72" s="22" t="s">
        <v>634</v>
      </c>
      <c r="D72" s="25" t="str">
        <f>CONCATENATE(this_instance,"-w0",wld_domain_number_chosen,"-avlb01")</f>
        <v>sfo-w01-avlb01</v>
      </c>
      <c r="E72" s="14"/>
      <c r="F72" s="25" t="str">
        <f>IF(mgmt_dpg_separation_result="Included",CONCATENATE(prefix_mgmt_az1_cidr,"10.",(151 + (30*(wld_domain_number_chosen - 1)))),CONCATENATE(prefix_mgmt_az1_cidr,"11.",(151 + (30*(wld_domain_number_chosen - 1)))))</f>
        <v>10.11.10.151</v>
      </c>
      <c r="G72" s="14"/>
      <c r="H72" s="441" t="s">
        <v>4250</v>
      </c>
      <c r="I72" s="441"/>
      <c r="J72" s="441"/>
    </row>
    <row r="73" spans="2:12" ht="20" customHeight="1">
      <c r="B73" s="21"/>
      <c r="C73" s="22" t="s">
        <v>634</v>
      </c>
      <c r="D73" s="25" t="s">
        <v>569</v>
      </c>
      <c r="E73" s="23" t="s">
        <v>569</v>
      </c>
      <c r="F73" s="25" t="str">
        <f>IF(mgmt_dpg_separation_result="Included",CONCATENATE(prefix_mgmt_az1_cidr,"10.",(152 + (30*(wld_domain_number_chosen - 1)))),CONCATENATE(prefix_mgmt_az1_cidr,"11.",(152 + (30*(wld_domain_number_chosen - 1)))))</f>
        <v>10.11.10.152</v>
      </c>
      <c r="G73" s="14"/>
      <c r="H73" s="441" t="s">
        <v>4253</v>
      </c>
      <c r="I73" s="441"/>
      <c r="J73" s="441"/>
    </row>
    <row r="74" spans="2:12" ht="20" customHeight="1">
      <c r="B74" s="21"/>
      <c r="C74" s="22" t="s">
        <v>634</v>
      </c>
      <c r="D74" s="25" t="s">
        <v>569</v>
      </c>
      <c r="E74" s="23" t="s">
        <v>569</v>
      </c>
      <c r="F74" s="25" t="str">
        <f>IF(mgmt_dpg_separation_result="Included",CONCATENATE(prefix_mgmt_az1_cidr,"10.",(153 + (30*(wld_domain_number_chosen - 1)))),CONCATENATE(prefix_mgmt_az1_cidr,"11.",(153 + (30*(wld_domain_number_chosen - 1)))))</f>
        <v>10.11.10.153</v>
      </c>
      <c r="G74" s="14"/>
      <c r="H74" s="441" t="s">
        <v>4252</v>
      </c>
      <c r="I74" s="441"/>
      <c r="J74" s="441"/>
    </row>
    <row r="75" spans="2:12" s="4" customFormat="1" ht="20" customHeight="1">
      <c r="B75" s="21"/>
      <c r="C75" s="22" t="s">
        <v>634</v>
      </c>
      <c r="D75" s="25" t="s">
        <v>569</v>
      </c>
      <c r="E75" s="23" t="s">
        <v>569</v>
      </c>
      <c r="F75" s="25" t="str">
        <f>IF(mgmt_dpg_separation_result="Included",CONCATENATE(prefix_mgmt_az1_cidr,"10.",(154 + (30*(wld_domain_number_chosen - 1)))),CONCATENATE(prefix_mgmt_az1_cidr,"11.",(154 + (30*(wld_domain_number_chosen - 1)))))</f>
        <v>10.11.10.154</v>
      </c>
      <c r="G75" s="14"/>
      <c r="H75" s="441" t="s">
        <v>4251</v>
      </c>
      <c r="I75" s="441"/>
      <c r="J75" s="441"/>
    </row>
    <row r="76" spans="2:12" ht="16" customHeight="1">
      <c r="J76" s="3"/>
    </row>
    <row r="77" spans="2:12" ht="34" customHeight="1">
      <c r="B77" s="344" t="s">
        <v>697</v>
      </c>
      <c r="C77" s="344"/>
      <c r="D77" s="344"/>
      <c r="E77" s="344"/>
      <c r="F77" s="344"/>
      <c r="G77" s="344"/>
      <c r="H77" s="344"/>
      <c r="I77" s="344"/>
      <c r="J77" s="344"/>
    </row>
    <row r="78" spans="2:12" ht="20" customHeight="1">
      <c r="B78" s="425" t="s">
        <v>628</v>
      </c>
      <c r="C78" s="425"/>
      <c r="D78" s="425"/>
      <c r="E78" s="425"/>
      <c r="F78" s="425"/>
      <c r="G78" s="425"/>
      <c r="H78" s="425"/>
      <c r="I78" s="425"/>
      <c r="J78" s="425"/>
    </row>
    <row r="79" spans="2:12" ht="20" customHeight="1">
      <c r="B79" s="8" t="s">
        <v>583</v>
      </c>
      <c r="C79" s="8" t="s">
        <v>489</v>
      </c>
      <c r="D79" s="8" t="s">
        <v>629</v>
      </c>
      <c r="E79" s="20" t="s">
        <v>630</v>
      </c>
      <c r="F79" s="8" t="s">
        <v>631</v>
      </c>
      <c r="G79" s="20" t="s">
        <v>632</v>
      </c>
      <c r="H79" s="345" t="s">
        <v>222</v>
      </c>
      <c r="I79" s="345"/>
      <c r="J79" s="345"/>
    </row>
    <row r="80" spans="2:12" ht="20" customHeight="1">
      <c r="B80" s="26" t="s">
        <v>637</v>
      </c>
      <c r="C80" s="22" t="s">
        <v>634</v>
      </c>
      <c r="D80" s="25" t="str">
        <f>CONCATENATE(other_instance,"-m01-vc01")</f>
        <v>lax-m01-vc01</v>
      </c>
      <c r="E80" s="14"/>
      <c r="F80" s="25" t="str">
        <f>IF(mgmt_dpg_separation_result="Included",CONCATENATE(prefix_other_region_az1_cidr,"10.70"),CONCATENATE(prefix_other_region_az1_cidr,"11.70"))</f>
        <v>10.21.10.70</v>
      </c>
      <c r="G80" s="14"/>
      <c r="H80" s="445" t="s">
        <v>686</v>
      </c>
      <c r="I80" s="445"/>
      <c r="J80" s="445"/>
    </row>
    <row r="81" spans="2:10" ht="20" customHeight="1">
      <c r="B81" s="26" t="s">
        <v>687</v>
      </c>
      <c r="C81" s="22" t="s">
        <v>634</v>
      </c>
      <c r="D81" s="25" t="str">
        <f>CONCATENATE(this_instance,"-w0",wld_domain_number_chosen,"-cl01-vsw01")</f>
        <v>sfo-w01-cl01-vsw01</v>
      </c>
      <c r="E81" s="14"/>
      <c r="F81" s="25" t="str">
        <f>IF(mgmt_dpg_separation_result="Included",CONCATENATE(prefix_other_region_az1_cidr,"10.",(218 + wld_domain_number_chosen)),CONCATENATE(prefix_other_region_az1_cidr,"11.",(218 + wld_domain_number_chosen)))</f>
        <v>10.21.10.219</v>
      </c>
      <c r="G81" s="14"/>
      <c r="H81" s="445" t="s">
        <v>688</v>
      </c>
      <c r="I81" s="445"/>
      <c r="J81" s="445"/>
    </row>
    <row r="82" spans="2:10" s="4" customFormat="1" ht="16" customHeight="1">
      <c r="B82" s="3"/>
      <c r="C82" s="3"/>
      <c r="D82" s="3"/>
      <c r="E82" s="3"/>
      <c r="F82" s="3"/>
      <c r="G82" s="3"/>
      <c r="H82" s="5"/>
      <c r="I82" s="5"/>
      <c r="J82" s="5"/>
    </row>
    <row r="83" spans="2:10" ht="34" customHeight="1">
      <c r="B83" s="344" t="s">
        <v>3329</v>
      </c>
      <c r="C83" s="344"/>
      <c r="D83" s="344"/>
      <c r="E83" s="344"/>
      <c r="F83" s="344"/>
      <c r="G83" s="344"/>
      <c r="H83" s="344"/>
      <c r="I83" s="344"/>
      <c r="J83" s="344"/>
    </row>
    <row r="84" spans="2:10" ht="20" customHeight="1">
      <c r="B84" s="425" t="s">
        <v>698</v>
      </c>
      <c r="C84" s="425"/>
      <c r="D84" s="425"/>
      <c r="E84" s="425"/>
      <c r="F84" s="425"/>
      <c r="G84" s="425"/>
      <c r="H84" s="425"/>
      <c r="I84" s="425"/>
      <c r="J84" s="425"/>
    </row>
    <row r="85" spans="2:10" ht="20" customHeight="1">
      <c r="B85" s="8" t="s">
        <v>583</v>
      </c>
      <c r="C85" s="8" t="s">
        <v>489</v>
      </c>
      <c r="D85" s="8" t="s">
        <v>699</v>
      </c>
      <c r="E85" s="8" t="s">
        <v>700</v>
      </c>
      <c r="F85" s="8" t="s">
        <v>631</v>
      </c>
      <c r="G85" s="20" t="s">
        <v>632</v>
      </c>
      <c r="H85" s="345" t="s">
        <v>222</v>
      </c>
      <c r="I85" s="345"/>
      <c r="J85" s="345"/>
    </row>
    <row r="86" spans="2:10" ht="20" customHeight="1">
      <c r="B86" s="21" t="s">
        <v>701</v>
      </c>
      <c r="C86" s="22" t="s">
        <v>569</v>
      </c>
      <c r="D86" s="22" t="s">
        <v>569</v>
      </c>
      <c r="E86" s="22" t="s">
        <v>569</v>
      </c>
      <c r="F86" s="22" t="str">
        <f>IF(mgmt_vns_chosen="VLAN-Backed",CONCATENATE(prefix_mgmt_az1_cidr,"99.2"),CONCATENATE(prefix_xreg_cidr,".2"))</f>
        <v>192.168.11.2</v>
      </c>
      <c r="G86" s="14"/>
      <c r="H86" s="441" t="s">
        <v>4584</v>
      </c>
      <c r="I86" s="441"/>
      <c r="J86" s="441"/>
    </row>
    <row r="87" spans="2:10" ht="20" customHeight="1">
      <c r="B87" s="425" t="s">
        <v>628</v>
      </c>
      <c r="C87" s="425"/>
      <c r="D87" s="425"/>
      <c r="E87" s="425"/>
      <c r="F87" s="425"/>
      <c r="G87" s="425"/>
      <c r="H87" s="425"/>
      <c r="I87" s="425"/>
      <c r="J87" s="425"/>
    </row>
    <row r="88" spans="2:10" ht="20" customHeight="1">
      <c r="B88" s="8" t="s">
        <v>583</v>
      </c>
      <c r="C88" s="8" t="s">
        <v>489</v>
      </c>
      <c r="D88" s="8" t="s">
        <v>629</v>
      </c>
      <c r="E88" s="20" t="s">
        <v>630</v>
      </c>
      <c r="F88" s="8" t="s">
        <v>631</v>
      </c>
      <c r="G88" s="20" t="s">
        <v>632</v>
      </c>
      <c r="H88" s="345" t="s">
        <v>222</v>
      </c>
      <c r="I88" s="345"/>
      <c r="J88" s="345"/>
    </row>
    <row r="89" spans="2:10" ht="20" customHeight="1">
      <c r="B89" s="21" t="s">
        <v>3329</v>
      </c>
      <c r="C89" s="22" t="s">
        <v>702</v>
      </c>
      <c r="D89" s="22" t="str">
        <f>IF(mgmt_domain_chosen="First Domain",CONCATENATE(prefix_portable_component,"-lcm01"),CONCATENATE(prefix_portable_component,"-lcm02"))</f>
        <v>xint-lcm01</v>
      </c>
      <c r="E89" s="14"/>
      <c r="F89" s="22" t="str">
        <f>IF(mgmt_vns_chosen="VLAN-Backed",CONCATENATE(prefix_mgmt_az1_cidr,"99.20"),CONCATENATE(prefix_xreg_cidr,".20"))</f>
        <v>192.168.11.20</v>
      </c>
      <c r="G89" s="14"/>
      <c r="H89" s="441" t="s">
        <v>3331</v>
      </c>
      <c r="I89" s="441"/>
      <c r="J89" s="441"/>
    </row>
    <row r="90" spans="2:10" ht="16" customHeight="1">
      <c r="H90" s="5"/>
      <c r="I90" s="5"/>
    </row>
    <row r="91" spans="2:10" s="4" customFormat="1" ht="34" customHeight="1">
      <c r="B91" s="427" t="s">
        <v>703</v>
      </c>
      <c r="C91" s="428"/>
      <c r="D91" s="428"/>
      <c r="E91" s="428"/>
      <c r="F91" s="428"/>
      <c r="G91" s="428"/>
      <c r="H91" s="428"/>
      <c r="I91" s="428"/>
      <c r="J91" s="426"/>
    </row>
    <row r="92" spans="2:10" ht="20" customHeight="1">
      <c r="B92" s="8" t="s">
        <v>583</v>
      </c>
      <c r="C92" s="8" t="s">
        <v>489</v>
      </c>
      <c r="D92" s="8" t="s">
        <v>629</v>
      </c>
      <c r="E92" s="20" t="s">
        <v>630</v>
      </c>
      <c r="F92" s="8" t="s">
        <v>631</v>
      </c>
      <c r="G92" s="20" t="s">
        <v>632</v>
      </c>
      <c r="H92" s="345" t="s">
        <v>222</v>
      </c>
      <c r="I92" s="345"/>
      <c r="J92" s="345"/>
    </row>
    <row r="93" spans="2:10" ht="20" customHeight="1">
      <c r="B93" s="21" t="str">
        <f>IF(vcf_aware_wsa_chosen="Standard","Standard Workspace ONE Access ","Clustered Workspace ONE Access")</f>
        <v>Clustered Workspace ONE Access</v>
      </c>
      <c r="C93" s="22" t="s">
        <v>702</v>
      </c>
      <c r="D93" s="22" t="str">
        <f>CONCATENATE(prefix_portable_component,"-idm01")</f>
        <v>xint-idm01</v>
      </c>
      <c r="E93" s="14"/>
      <c r="F93" s="22" t="str">
        <f>IF(mgmt_vns_chosen="VLAN-Backed",CONCATENATE(prefix_mgmt_az1_cidr,"99.60"),CONCATENATE(prefix_xreg_cidr,".60"))</f>
        <v>192.168.11.60</v>
      </c>
      <c r="G93" s="14"/>
      <c r="H93" s="445" t="str">
        <f>IF(vcf_aware_wsa_chosen="Standard","Standard Workspace ONE Access Appliance","VIP address of the external load balancer of cross-instance Workspace ONE Access cluster")</f>
        <v>VIP address of the external load balancer of cross-instance Workspace ONE Access cluster</v>
      </c>
      <c r="I93" s="445"/>
      <c r="J93" s="445"/>
    </row>
    <row r="94" spans="2:10" ht="20" customHeight="1">
      <c r="B94" s="18"/>
      <c r="C94" s="22" t="s">
        <v>702</v>
      </c>
      <c r="D94" s="22" t="str">
        <f>CONCATENATE(prefix_portable_component,"-idm01a")</f>
        <v>xint-idm01a</v>
      </c>
      <c r="E94" s="14"/>
      <c r="F94" s="22" t="str">
        <f>IF(mgmt_vns_chosen="VLAN-Backed",CONCATENATE(prefix_mgmt_az1_cidr,"99.61"),CONCATENATE(prefix_xreg_cidr,".61"))</f>
        <v>192.168.11.61</v>
      </c>
      <c r="G94" s="14"/>
      <c r="H94" s="445" t="s">
        <v>704</v>
      </c>
      <c r="I94" s="445"/>
      <c r="J94" s="445"/>
    </row>
    <row r="95" spans="2:10" ht="20" customHeight="1">
      <c r="B95" s="21"/>
      <c r="C95" s="22" t="s">
        <v>702</v>
      </c>
      <c r="D95" s="22" t="str">
        <f>CONCATENATE(prefix_portable_component,"-idm01b")</f>
        <v>xint-idm01b</v>
      </c>
      <c r="E95" s="14"/>
      <c r="F95" s="22" t="str">
        <f>IF(mgmt_vns_chosen="VLAN-Backed",CONCATENATE(prefix_mgmt_az1_cidr,"99.62"),CONCATENATE(prefix_xreg_cidr,".62"))</f>
        <v>192.168.11.62</v>
      </c>
      <c r="G95" s="14"/>
      <c r="H95" s="445" t="s">
        <v>705</v>
      </c>
      <c r="I95" s="445"/>
      <c r="J95" s="445"/>
    </row>
    <row r="96" spans="2:10" s="4" customFormat="1" ht="20" customHeight="1">
      <c r="B96" s="18"/>
      <c r="C96" s="22" t="s">
        <v>702</v>
      </c>
      <c r="D96" s="22" t="str">
        <f>CONCATENATE(prefix_portable_component,"-idm01c")</f>
        <v>xint-idm01c</v>
      </c>
      <c r="E96" s="14"/>
      <c r="F96" s="22" t="str">
        <f>IF(mgmt_vns_chosen="VLAN-Backed",CONCATENATE(prefix_mgmt_az1_cidr,"99.63"),CONCATENATE(prefix_xreg_cidr,".63"))</f>
        <v>192.168.11.63</v>
      </c>
      <c r="G96" s="14"/>
      <c r="H96" s="445" t="s">
        <v>706</v>
      </c>
      <c r="I96" s="445"/>
      <c r="J96" s="445"/>
    </row>
    <row r="97" spans="2:13" ht="20" customHeight="1">
      <c r="B97" s="18"/>
      <c r="C97" s="22" t="s">
        <v>569</v>
      </c>
      <c r="D97" s="22" t="s">
        <v>569</v>
      </c>
      <c r="E97" s="22" t="s">
        <v>569</v>
      </c>
      <c r="F97" s="22" t="str">
        <f>IF(mgmt_vns_chosen="VLAN-Backed",CONCATENATE(prefix_mgmt_az1_cidr,"99.64"),CONCATENATE(prefix_xreg_cidr,".64"))</f>
        <v>192.168.11.64</v>
      </c>
      <c r="G97" s="14"/>
      <c r="H97" s="445" t="s">
        <v>707</v>
      </c>
      <c r="I97" s="445"/>
      <c r="J97" s="445"/>
    </row>
    <row r="98" spans="2:13" ht="16" customHeight="1">
      <c r="H98" s="5"/>
      <c r="I98" s="5"/>
    </row>
    <row r="99" spans="2:13" ht="34" customHeight="1">
      <c r="B99" s="427" t="s">
        <v>709</v>
      </c>
      <c r="C99" s="428"/>
      <c r="D99" s="428"/>
      <c r="E99" s="428"/>
      <c r="F99" s="428"/>
      <c r="G99" s="428"/>
      <c r="H99" s="428"/>
      <c r="I99" s="428"/>
      <c r="J99" s="426"/>
    </row>
    <row r="100" spans="2:13" ht="20" customHeight="1">
      <c r="B100" s="8" t="s">
        <v>583</v>
      </c>
      <c r="C100" s="8" t="s">
        <v>489</v>
      </c>
      <c r="D100" s="8" t="s">
        <v>629</v>
      </c>
      <c r="E100" s="20" t="s">
        <v>630</v>
      </c>
      <c r="F100" s="8" t="s">
        <v>631</v>
      </c>
      <c r="G100" s="20" t="s">
        <v>632</v>
      </c>
      <c r="H100" s="345" t="s">
        <v>222</v>
      </c>
      <c r="I100" s="345"/>
      <c r="J100" s="345"/>
    </row>
    <row r="101" spans="2:13" ht="20" customHeight="1">
      <c r="B101" s="21" t="s">
        <v>3188</v>
      </c>
      <c r="C101" s="22" t="s">
        <v>634</v>
      </c>
      <c r="D101" s="22" t="str">
        <f>CONCATENATE(this_instance,"-logs01")</f>
        <v>sfo-logs01</v>
      </c>
      <c r="E101" s="14"/>
      <c r="F101" s="22" t="str">
        <f>IF(mgmt_vns_chosen="VLAN-Backed",CONCATENATE(prefix_mgmt_az1_cidr,"98.10"),CONCATENATE(prefix_reg_cidr,".10"))</f>
        <v>192.168.31.10</v>
      </c>
      <c r="G101" s="14"/>
      <c r="H101" s="441" t="s">
        <v>3189</v>
      </c>
      <c r="I101" s="441"/>
      <c r="J101" s="441"/>
    </row>
    <row r="102" spans="2:13" ht="20" customHeight="1">
      <c r="B102" s="21"/>
      <c r="C102" s="22" t="s">
        <v>634</v>
      </c>
      <c r="D102" s="22" t="str">
        <f>CONCATENATE(this_instance,"-logs01a")</f>
        <v>sfo-logs01a</v>
      </c>
      <c r="E102" s="14"/>
      <c r="F102" s="22" t="str">
        <f>IF(mgmt_vns_chosen="VLAN-Backed",CONCATENATE(prefix_mgmt_az1_cidr,"98.11"),CONCATENATE(prefix_reg_cidr,".11"))</f>
        <v>192.168.31.11</v>
      </c>
      <c r="G102" s="14"/>
      <c r="H102" s="441" t="s">
        <v>3190</v>
      </c>
      <c r="I102" s="441"/>
      <c r="J102" s="441"/>
    </row>
    <row r="103" spans="2:13" s="4" customFormat="1" ht="20" customHeight="1">
      <c r="B103" s="21"/>
      <c r="C103" s="22" t="s">
        <v>634</v>
      </c>
      <c r="D103" s="22" t="str">
        <f>CONCATENATE(this_instance,"-logs01b")</f>
        <v>sfo-logs01b</v>
      </c>
      <c r="E103" s="14"/>
      <c r="F103" s="22" t="str">
        <f>IF(mgmt_vns_chosen="VLAN-Backed",CONCATENATE(prefix_mgmt_az1_cidr,"98.12"),CONCATENATE(prefix_reg_cidr,".12"))</f>
        <v>192.168.31.12</v>
      </c>
      <c r="G103" s="14"/>
      <c r="H103" s="441" t="s">
        <v>3191</v>
      </c>
      <c r="I103" s="441"/>
      <c r="J103" s="441"/>
    </row>
    <row r="104" spans="2:13" ht="20" customHeight="1">
      <c r="B104" s="21"/>
      <c r="C104" s="22" t="s">
        <v>634</v>
      </c>
      <c r="D104" s="22" t="str">
        <f>CONCATENATE(this_instance,"-logs01c")</f>
        <v>sfo-logs01c</v>
      </c>
      <c r="E104" s="14"/>
      <c r="F104" s="22" t="str">
        <f>IF(mgmt_vns_chosen="VLAN-Backed",CONCATENATE(prefix_mgmt_az1_cidr,"98.13"),CONCATENATE(prefix_reg_cidr,".13"))</f>
        <v>192.168.31.13</v>
      </c>
      <c r="G104" s="14"/>
      <c r="H104" s="441" t="s">
        <v>3192</v>
      </c>
      <c r="I104" s="441"/>
      <c r="J104" s="441"/>
    </row>
    <row r="105" spans="2:13" ht="16" customHeight="1">
      <c r="H105" s="5"/>
      <c r="I105" s="5"/>
      <c r="K105" s="5"/>
      <c r="L105" s="5"/>
    </row>
    <row r="106" spans="2:13" ht="34" customHeight="1">
      <c r="B106" s="427" t="s">
        <v>52</v>
      </c>
      <c r="C106" s="428"/>
      <c r="D106" s="428"/>
      <c r="E106" s="428"/>
      <c r="F106" s="428"/>
      <c r="G106" s="428"/>
      <c r="H106" s="428"/>
      <c r="I106" s="428"/>
      <c r="J106" s="426"/>
      <c r="K106" s="5"/>
      <c r="L106" s="5"/>
    </row>
    <row r="107" spans="2:13" ht="20" customHeight="1">
      <c r="B107" s="8" t="s">
        <v>583</v>
      </c>
      <c r="C107" s="8" t="s">
        <v>489</v>
      </c>
      <c r="D107" s="8" t="s">
        <v>629</v>
      </c>
      <c r="E107" s="20" t="s">
        <v>630</v>
      </c>
      <c r="F107" s="8" t="s">
        <v>631</v>
      </c>
      <c r="G107" s="20" t="s">
        <v>632</v>
      </c>
      <c r="H107" s="345" t="s">
        <v>222</v>
      </c>
      <c r="I107" s="345"/>
      <c r="J107" s="345"/>
    </row>
    <row r="108" spans="2:13" ht="20" customHeight="1">
      <c r="B108" s="21" t="s">
        <v>3392</v>
      </c>
      <c r="C108" s="22" t="s">
        <v>702</v>
      </c>
      <c r="D108" s="22" t="str">
        <f>CONCATENATE(prefix_portable_component,"-ops01")</f>
        <v>xint-ops01</v>
      </c>
      <c r="E108" s="14"/>
      <c r="F108" s="22" t="str">
        <f>IF(mgmt_vns_chosen="VLAN-Backed",CONCATENATE(prefix_mgmt_az1_cidr,"99.30"),CONCATENATE(prefix_xreg_cidr,".30"))</f>
        <v>192.168.11.30</v>
      </c>
      <c r="G108" s="14"/>
      <c r="H108" s="441" t="s">
        <v>3393</v>
      </c>
      <c r="I108" s="441"/>
      <c r="J108" s="441"/>
    </row>
    <row r="109" spans="2:13" ht="20" customHeight="1">
      <c r="B109" s="21"/>
      <c r="C109" s="22" t="s">
        <v>702</v>
      </c>
      <c r="D109" s="22" t="str">
        <f>CONCATENATE(prefix_portable_component,"-ops01a")</f>
        <v>xint-ops01a</v>
      </c>
      <c r="E109" s="14"/>
      <c r="F109" s="22" t="str">
        <f>IF(mgmt_vns_chosen="VLAN-Backed",CONCATENATE(prefix_mgmt_az1_cidr,"99.31"),CONCATENATE(prefix_xreg_cidr,".31"))</f>
        <v>192.168.11.31</v>
      </c>
      <c r="G109" s="14"/>
      <c r="H109" s="441" t="s">
        <v>3394</v>
      </c>
      <c r="I109" s="441"/>
      <c r="J109" s="441"/>
    </row>
    <row r="110" spans="2:13" s="4" customFormat="1" ht="20" customHeight="1">
      <c r="B110" s="21"/>
      <c r="C110" s="22" t="s">
        <v>702</v>
      </c>
      <c r="D110" s="22" t="str">
        <f>CONCATENATE(prefix_portable_component,"-ops01b")</f>
        <v>xint-ops01b</v>
      </c>
      <c r="E110" s="14"/>
      <c r="F110" s="22" t="str">
        <f>IF(mgmt_vns_chosen="VLAN-Backed",CONCATENATE(prefix_mgmt_az1_cidr,"99.32"),CONCATENATE(prefix_xreg_cidr,".32"))</f>
        <v>192.168.11.32</v>
      </c>
      <c r="G110" s="14"/>
      <c r="H110" s="441" t="s">
        <v>3395</v>
      </c>
      <c r="I110" s="441"/>
      <c r="J110" s="441"/>
      <c r="M110" s="3"/>
    </row>
    <row r="111" spans="2:13" ht="20" customHeight="1">
      <c r="B111" s="21"/>
      <c r="C111" s="22" t="s">
        <v>702</v>
      </c>
      <c r="D111" s="22" t="str">
        <f>CONCATENATE(prefix_portable_component,"-ops01c")</f>
        <v>xint-ops01c</v>
      </c>
      <c r="E111" s="14"/>
      <c r="F111" s="22" t="str">
        <f>IF(mgmt_vns_chosen="VLAN-Backed",CONCATENATE(prefix_mgmt_az1_cidr,"99.33"),CONCATENATE(prefix_xreg_cidr,".33"))</f>
        <v>192.168.11.33</v>
      </c>
      <c r="G111" s="14"/>
      <c r="H111" s="441" t="s">
        <v>3396</v>
      </c>
      <c r="I111" s="441"/>
      <c r="J111" s="441"/>
    </row>
    <row r="112" spans="2:13" ht="20" customHeight="1">
      <c r="B112" s="21"/>
      <c r="C112" s="22" t="s">
        <v>634</v>
      </c>
      <c r="D112" s="22" t="str">
        <f>CONCATENATE(this_instance,"-ops-pxy01a")</f>
        <v>sfo-ops-pxy01a</v>
      </c>
      <c r="E112" s="14"/>
      <c r="F112" s="22" t="str">
        <f>IF(mgmt_vns_chosen="VLAN-Backed",CONCATENATE(prefix_mgmt_az1_cidr,"98.31"),CONCATENATE(prefix_reg_cidr,".31"))</f>
        <v>192.168.31.31</v>
      </c>
      <c r="G112" s="14"/>
      <c r="H112" s="441" t="s">
        <v>4585</v>
      </c>
      <c r="I112" s="441"/>
      <c r="J112" s="441"/>
    </row>
    <row r="113" spans="2:10" ht="20" customHeight="1">
      <c r="B113" s="21"/>
      <c r="C113" s="22" t="s">
        <v>634</v>
      </c>
      <c r="D113" s="22" t="str">
        <f>CONCATENATE(this_instance,"-ops-pxy01b")</f>
        <v>sfo-ops-pxy01b</v>
      </c>
      <c r="E113" s="14"/>
      <c r="F113" s="22" t="str">
        <f>IF(mgmt_vns_chosen="VLAN-Backed",CONCATENATE(prefix_mgmt_az1_cidr,"98.32"),CONCATENATE(prefix_reg_cidr,".32"))</f>
        <v>192.168.31.32</v>
      </c>
      <c r="G113" s="14"/>
      <c r="H113" s="441" t="s">
        <v>4586</v>
      </c>
      <c r="I113" s="441"/>
      <c r="J113" s="441"/>
    </row>
    <row r="114" spans="2:10" ht="20" customHeight="1">
      <c r="H114" s="5"/>
      <c r="I114" s="5"/>
    </row>
    <row r="115" spans="2:10" ht="34" customHeight="1">
      <c r="B115" s="427" t="s">
        <v>3640</v>
      </c>
      <c r="C115" s="428"/>
      <c r="D115" s="428"/>
      <c r="E115" s="428"/>
      <c r="F115" s="428"/>
      <c r="G115" s="428"/>
      <c r="H115" s="428"/>
      <c r="I115" s="428"/>
      <c r="J115" s="426"/>
    </row>
    <row r="116" spans="2:10" ht="20" customHeight="1">
      <c r="B116" s="8" t="s">
        <v>583</v>
      </c>
      <c r="C116" s="8" t="s">
        <v>489</v>
      </c>
      <c r="D116" s="8" t="s">
        <v>629</v>
      </c>
      <c r="E116" s="20" t="s">
        <v>630</v>
      </c>
      <c r="F116" s="8" t="s">
        <v>631</v>
      </c>
      <c r="G116" s="20" t="s">
        <v>632</v>
      </c>
      <c r="H116" s="345" t="s">
        <v>222</v>
      </c>
      <c r="I116" s="345"/>
      <c r="J116" s="345"/>
    </row>
    <row r="117" spans="2:10" ht="20" customHeight="1">
      <c r="B117" s="21" t="s">
        <v>3681</v>
      </c>
      <c r="C117" s="22" t="s">
        <v>702</v>
      </c>
      <c r="D117" s="22" t="str">
        <f>CONCATENATE(prefix_portable_component,"-net01a")</f>
        <v>xint-net01a</v>
      </c>
      <c r="E117" s="14"/>
      <c r="F117" s="22" t="str">
        <f>IF(mgmt_vns_chosen="VLAN-Backed",CONCATENATE(prefix_mgmt_az1_cidr,"99.41"),CONCATENATE(prefix_xreg_cidr,".41"))</f>
        <v>192.168.11.41</v>
      </c>
      <c r="G117" s="14"/>
      <c r="H117" s="441" t="s">
        <v>4587</v>
      </c>
      <c r="I117" s="441"/>
      <c r="J117" s="441"/>
    </row>
    <row r="118" spans="2:10" ht="20" customHeight="1">
      <c r="B118" s="21" t="s">
        <v>3689</v>
      </c>
      <c r="C118" s="22" t="s">
        <v>634</v>
      </c>
      <c r="D118" s="22" t="str">
        <f>CONCATENATE(this_instance,"-net-pxy01a")</f>
        <v>sfo-net-pxy01a</v>
      </c>
      <c r="E118" s="14"/>
      <c r="F118" s="22" t="str">
        <f>IF(mgmt_vns_chosen="VLAN-Backed",CONCATENATE(prefix_mgmt_az1_cidr,"98.41"),CONCATENATE(prefix_reg_cidr,".41"))</f>
        <v>192.168.31.41</v>
      </c>
      <c r="G118" s="14"/>
      <c r="H118" s="441" t="s">
        <v>4588</v>
      </c>
      <c r="I118" s="441"/>
      <c r="J118" s="441"/>
    </row>
    <row r="119" spans="2:10" ht="16" customHeight="1"/>
    <row r="120" spans="2:10" ht="34" customHeight="1">
      <c r="B120" s="427" t="s">
        <v>45</v>
      </c>
      <c r="C120" s="428"/>
      <c r="D120" s="428"/>
      <c r="E120" s="428"/>
      <c r="F120" s="428"/>
      <c r="G120" s="428"/>
      <c r="H120" s="428"/>
      <c r="I120" s="428"/>
      <c r="J120" s="426"/>
    </row>
    <row r="121" spans="2:10" ht="20" customHeight="1">
      <c r="B121" s="8" t="s">
        <v>583</v>
      </c>
      <c r="C121" s="8" t="s">
        <v>489</v>
      </c>
      <c r="D121" s="8" t="s">
        <v>629</v>
      </c>
      <c r="E121" s="20" t="s">
        <v>630</v>
      </c>
      <c r="F121" s="8" t="s">
        <v>631</v>
      </c>
      <c r="G121" s="20" t="s">
        <v>632</v>
      </c>
      <c r="H121" s="345" t="s">
        <v>222</v>
      </c>
      <c r="I121" s="345"/>
      <c r="J121" s="345"/>
    </row>
    <row r="122" spans="2:10" ht="20" customHeight="1">
      <c r="B122" s="21" t="str">
        <f>automation_product_name</f>
        <v>VMware Aria Automation</v>
      </c>
      <c r="C122" s="22" t="s">
        <v>702</v>
      </c>
      <c r="D122" s="22" t="str">
        <f>CONCATENATE(prefix_portable_component,"-cmp01")</f>
        <v>xint-cmp01</v>
      </c>
      <c r="E122" s="14"/>
      <c r="F122" s="22" t="str">
        <f>IF(mgmt_vns_chosen="VLAN-Backed",CONCATENATE(prefix_mgmt_az1_cidr,"99.50"),CONCATENATE(prefix_xreg_cidr,".50"))</f>
        <v>192.168.11.50</v>
      </c>
      <c r="G122" s="14"/>
      <c r="H122" s="441" t="str">
        <f>_xlfn.CONCAT("VIP address of the external load balancer of the",automation_product_name," Cluster")</f>
        <v>VIP address of the external load balancer of theVMware Aria Automation Cluster</v>
      </c>
      <c r="I122" s="441"/>
      <c r="J122" s="441"/>
    </row>
    <row r="123" spans="2:10" s="4" customFormat="1" ht="20" customHeight="1">
      <c r="B123" s="21"/>
      <c r="C123" s="22" t="s">
        <v>702</v>
      </c>
      <c r="D123" s="22" t="str">
        <f>CONCATENATE(prefix_portable_component,"-cmp01a")</f>
        <v>xint-cmp01a</v>
      </c>
      <c r="E123" s="14"/>
      <c r="F123" s="22" t="str">
        <f>IF(mgmt_vns_chosen="VLAN-Backed",CONCATENATE(prefix_mgmt_az1_cidr,"99.51"),CONCATENATE(prefix_xreg_cidr,".51"))</f>
        <v>192.168.11.51</v>
      </c>
      <c r="G123" s="14"/>
      <c r="H123" s="445" t="str">
        <f>_xlfn.CONCAT("Primary node of ",automation_product_name)</f>
        <v>Primary node of VMware Aria Automation</v>
      </c>
      <c r="I123" s="445"/>
      <c r="J123" s="445"/>
    </row>
    <row r="124" spans="2:10" ht="20" customHeight="1">
      <c r="B124" s="21"/>
      <c r="C124" s="22" t="s">
        <v>702</v>
      </c>
      <c r="D124" s="22" t="str">
        <f>CONCATENATE(prefix_portable_component,"-cmp01b")</f>
        <v>xint-cmp01b</v>
      </c>
      <c r="E124" s="14"/>
      <c r="F124" s="22" t="str">
        <f>IF(mgmt_vns_chosen="VLAN-Backed",CONCATENATE(prefix_mgmt_az1_cidr,"99.52"),CONCATENATE(prefix_xreg_cidr,".52"))</f>
        <v>192.168.11.52</v>
      </c>
      <c r="G124" s="14"/>
      <c r="H124" s="445" t="str">
        <f>_xlfn.CONCAT("Secondary node 1 of ",automation_product_name)</f>
        <v>Secondary node 1 of VMware Aria Automation</v>
      </c>
      <c r="I124" s="445"/>
      <c r="J124" s="445"/>
    </row>
    <row r="125" spans="2:10" ht="20" customHeight="1">
      <c r="B125" s="21"/>
      <c r="C125" s="22" t="s">
        <v>702</v>
      </c>
      <c r="D125" s="22" t="str">
        <f>CONCATENATE(prefix_portable_component,"-cmp01c")</f>
        <v>xint-cmp01c</v>
      </c>
      <c r="E125" s="14"/>
      <c r="F125" s="22" t="str">
        <f>IF(mgmt_vns_chosen="VLAN-Backed",CONCATENATE(prefix_mgmt_az1_cidr,"99.53"),CONCATENATE(prefix_xreg_cidr,".53"))</f>
        <v>192.168.11.53</v>
      </c>
      <c r="G125" s="14"/>
      <c r="H125" s="445" t="str">
        <f>_xlfn.CONCAT("Secondary node 2 of ",automation_product_name)</f>
        <v>Secondary node 2 of VMware Aria Automation</v>
      </c>
      <c r="I125" s="445"/>
      <c r="J125" s="445"/>
    </row>
    <row r="126" spans="2:10" ht="16" customHeight="1"/>
    <row r="127" spans="2:10" ht="34" customHeight="1">
      <c r="B127" s="427" t="s">
        <v>42</v>
      </c>
      <c r="C127" s="428"/>
      <c r="D127" s="428"/>
      <c r="E127" s="428"/>
      <c r="F127" s="428"/>
      <c r="G127" s="428"/>
      <c r="H127" s="428"/>
      <c r="I127" s="428"/>
      <c r="J127" s="426"/>
    </row>
    <row r="128" spans="2:10" ht="20" customHeight="1">
      <c r="B128" s="425" t="s">
        <v>667</v>
      </c>
      <c r="C128" s="425"/>
      <c r="D128" s="425"/>
      <c r="E128" s="425"/>
      <c r="F128" s="425"/>
      <c r="G128" s="425"/>
      <c r="H128" s="425"/>
      <c r="I128" s="425"/>
      <c r="J128" s="425"/>
    </row>
    <row r="129" spans="2:10" ht="20" customHeight="1">
      <c r="B129" s="8" t="s">
        <v>668</v>
      </c>
      <c r="C129" s="345"/>
      <c r="D129" s="345"/>
      <c r="E129" s="345"/>
      <c r="F129" s="8" t="s">
        <v>631</v>
      </c>
      <c r="G129" s="20" t="s">
        <v>632</v>
      </c>
      <c r="H129" s="345" t="s">
        <v>222</v>
      </c>
      <c r="I129" s="345"/>
      <c r="J129" s="345"/>
    </row>
    <row r="130" spans="2:10" s="4" customFormat="1" ht="20" customHeight="1">
      <c r="B130" s="26" t="s">
        <v>710</v>
      </c>
      <c r="C130" s="441"/>
      <c r="D130" s="441"/>
      <c r="E130" s="441"/>
      <c r="F130" s="22" t="str">
        <f>CONCATENATE(prefix_wld_k8s_cidr,0+(wld_domain_number_chosen -1)*3,".10")</f>
        <v>192.168.20.10</v>
      </c>
      <c r="G130" s="14"/>
      <c r="H130" s="445" t="s">
        <v>711</v>
      </c>
      <c r="I130" s="445"/>
      <c r="J130" s="445"/>
    </row>
    <row r="131" spans="2:10" ht="20" customHeight="1">
      <c r="B131" s="8" t="s">
        <v>583</v>
      </c>
      <c r="C131" s="8" t="s">
        <v>489</v>
      </c>
      <c r="D131" s="8" t="s">
        <v>629</v>
      </c>
      <c r="E131" s="20" t="s">
        <v>630</v>
      </c>
      <c r="F131" s="8" t="s">
        <v>631</v>
      </c>
      <c r="G131" s="20" t="s">
        <v>632</v>
      </c>
      <c r="H131" s="345" t="s">
        <v>222</v>
      </c>
      <c r="I131" s="345"/>
      <c r="J131" s="345"/>
    </row>
    <row r="132" spans="2:10" ht="20" customHeight="1">
      <c r="B132" s="21" t="s">
        <v>712</v>
      </c>
      <c r="C132" s="22" t="s">
        <v>634</v>
      </c>
      <c r="D132" s="22" t="str">
        <f>CONCATENATE(this_instance,"-w0",wld_domain_number_chosen,"-cl01")</f>
        <v>sfo-w01-cl01</v>
      </c>
      <c r="E132" s="14"/>
      <c r="F132" s="22" t="str">
        <f>CONCATENATE(prefix_wld_k8s_cidr,"1.1")</f>
        <v>192.168.21.1</v>
      </c>
      <c r="G132" s="14"/>
      <c r="H132" s="441" t="s">
        <v>713</v>
      </c>
      <c r="I132" s="441"/>
      <c r="J132" s="441"/>
    </row>
    <row r="133" spans="2:10" ht="20" customHeight="1">
      <c r="B133" s="21" t="s">
        <v>4621</v>
      </c>
      <c r="C133" s="22" t="s">
        <v>634</v>
      </c>
      <c r="D133" s="25" t="s">
        <v>4620</v>
      </c>
      <c r="E133" s="14"/>
      <c r="F133" s="25" t="str">
        <f>IF(wld_dpg_separation_result="Included",CONCATENATE(prefix_wld_az1_cidr,"10.150"),CONCATENATE(prefix_wld_az1_cidr,"11.150"))</f>
        <v>10.13.11.150</v>
      </c>
      <c r="G133" s="14"/>
      <c r="H133" s="441"/>
      <c r="I133" s="441"/>
      <c r="J133" s="441"/>
    </row>
    <row r="134" spans="2:10" ht="16" customHeight="1"/>
    <row r="135" spans="2:10" ht="34" customHeight="1">
      <c r="B135" s="344" t="s">
        <v>714</v>
      </c>
      <c r="C135" s="344"/>
      <c r="D135" s="344"/>
      <c r="E135" s="344"/>
      <c r="F135" s="344"/>
      <c r="G135" s="344"/>
      <c r="H135" s="344"/>
      <c r="I135" s="344"/>
      <c r="J135" s="344"/>
    </row>
    <row r="136" spans="2:10" ht="20" customHeight="1">
      <c r="B136" s="425" t="s">
        <v>36</v>
      </c>
      <c r="C136" s="425"/>
      <c r="D136" s="425"/>
      <c r="E136" s="425"/>
      <c r="F136" s="425"/>
      <c r="G136" s="425"/>
      <c r="H136" s="425"/>
      <c r="I136" s="425"/>
      <c r="J136" s="425"/>
    </row>
    <row r="137" spans="2:10" ht="20" customHeight="1">
      <c r="B137" s="8" t="s">
        <v>583</v>
      </c>
      <c r="C137" s="8" t="s">
        <v>489</v>
      </c>
      <c r="D137" s="8" t="s">
        <v>629</v>
      </c>
      <c r="E137" s="20" t="s">
        <v>630</v>
      </c>
      <c r="F137" s="8" t="s">
        <v>631</v>
      </c>
      <c r="G137" s="20" t="s">
        <v>632</v>
      </c>
      <c r="H137" s="345" t="s">
        <v>222</v>
      </c>
      <c r="I137" s="345"/>
      <c r="J137" s="345"/>
    </row>
    <row r="138" spans="2:10" ht="20" customHeight="1">
      <c r="B138" s="26" t="s">
        <v>548</v>
      </c>
      <c r="C138" s="22" t="s">
        <v>634</v>
      </c>
      <c r="D138" s="25" t="str">
        <f>CONCATENATE(this_instance,"-m01-vrms01")</f>
        <v>sfo-m01-vrms01</v>
      </c>
      <c r="E138" s="14"/>
      <c r="F138" s="25" t="str">
        <f>IF(mgmt_dpg_separation_result="Included",CONCATENATE(prefix_mgmt_az1_cidr,"10.125"),CONCATENATE(prefix_mgmt_az1_cidr,"11.125"))</f>
        <v>10.11.10.125</v>
      </c>
      <c r="G138" s="14"/>
      <c r="H138" s="454" t="s">
        <v>715</v>
      </c>
      <c r="I138" s="455"/>
      <c r="J138" s="456"/>
    </row>
    <row r="139" spans="2:10" ht="20" customHeight="1">
      <c r="B139" s="26"/>
      <c r="C139" s="22" t="s">
        <v>569</v>
      </c>
      <c r="D139" s="25" t="s">
        <v>569</v>
      </c>
      <c r="E139" s="23" t="s">
        <v>569</v>
      </c>
      <c r="F139" s="25" t="str">
        <f>CONCATENATE(prefix_mgmt_az1_cidr,"16.125")</f>
        <v>10.11.16.125</v>
      </c>
      <c r="G139" s="14"/>
      <c r="H139" s="454" t="s">
        <v>716</v>
      </c>
      <c r="I139" s="455"/>
      <c r="J139" s="456"/>
    </row>
    <row r="140" spans="2:10" s="4" customFormat="1" ht="20" customHeight="1">
      <c r="B140" s="26" t="s">
        <v>717</v>
      </c>
      <c r="C140" s="22" t="s">
        <v>634</v>
      </c>
      <c r="D140" s="25" t="str">
        <f>CONCATENATE(this_instance,"-m01-srm01")</f>
        <v>sfo-m01-srm01</v>
      </c>
      <c r="E140" s="14"/>
      <c r="F140" s="25" t="str">
        <f>IF(mgmt_dpg_separation_result="Included",CONCATENATE(prefix_mgmt_az1_cidr,"10.126"),CONCATENATE(prefix_mgmt_az1_cidr,"11.126"))</f>
        <v>10.11.10.126</v>
      </c>
      <c r="G140" s="14"/>
      <c r="H140" s="454" t="s">
        <v>718</v>
      </c>
      <c r="I140" s="455"/>
      <c r="J140" s="456"/>
    </row>
    <row r="141" spans="2:10" ht="20" customHeight="1">
      <c r="B141" s="26" t="s">
        <v>719</v>
      </c>
      <c r="C141" s="22"/>
      <c r="D141" s="25" t="s">
        <v>569</v>
      </c>
      <c r="E141" s="23" t="s">
        <v>569</v>
      </c>
      <c r="F141" s="25" t="str">
        <f>IF(mgmt_vns_chosen="VLAN-Backed",CONCATENATE(prefix_mgmt_az1_cidr,"99.3"),CONCATENATE(prefix_xreg_cidr,".3"))</f>
        <v>192.168.11.3</v>
      </c>
      <c r="G141" s="14"/>
      <c r="H141" s="454"/>
      <c r="I141" s="455"/>
      <c r="J141" s="456"/>
    </row>
    <row r="142" spans="2:10" ht="20" customHeight="1">
      <c r="B142" s="425" t="s">
        <v>39</v>
      </c>
      <c r="C142" s="425"/>
      <c r="D142" s="425"/>
      <c r="E142" s="425"/>
      <c r="F142" s="425"/>
      <c r="G142" s="425"/>
      <c r="H142" s="425"/>
      <c r="I142" s="425"/>
      <c r="J142" s="425"/>
    </row>
    <row r="143" spans="2:10" ht="20" customHeight="1">
      <c r="B143" s="8" t="s">
        <v>583</v>
      </c>
      <c r="C143" s="8" t="s">
        <v>489</v>
      </c>
      <c r="D143" s="8" t="s">
        <v>629</v>
      </c>
      <c r="E143" s="20" t="s">
        <v>630</v>
      </c>
      <c r="F143" s="8" t="s">
        <v>631</v>
      </c>
      <c r="G143" s="20" t="s">
        <v>632</v>
      </c>
      <c r="H143" s="345" t="s">
        <v>222</v>
      </c>
      <c r="I143" s="345"/>
      <c r="J143" s="345"/>
    </row>
    <row r="144" spans="2:10" ht="20" customHeight="1">
      <c r="B144" s="26" t="s">
        <v>548</v>
      </c>
      <c r="C144" s="22" t="s">
        <v>634</v>
      </c>
      <c r="D144" s="25" t="str">
        <f>CONCATENATE(this_instance,"-w0",wld_domain_number_chosen,"-vrms01")</f>
        <v>sfo-w01-vrms01</v>
      </c>
      <c r="E144" s="14"/>
      <c r="F144" s="25" t="str">
        <f>IF(mgmt_dpg_separation_result="Included",CONCATENATE(prefix_wld_az1_cidr,"10.125"),CONCATENATE(prefix_wld_az1_cidr,"11.125"))</f>
        <v>10.13.10.125</v>
      </c>
      <c r="G144" s="14"/>
      <c r="H144" s="454" t="s">
        <v>720</v>
      </c>
      <c r="I144" s="455"/>
      <c r="J144" s="456"/>
    </row>
    <row r="145" spans="2:10" s="4" customFormat="1" ht="20" customHeight="1">
      <c r="B145" s="26"/>
      <c r="C145" s="22" t="s">
        <v>569</v>
      </c>
      <c r="D145" s="25" t="s">
        <v>569</v>
      </c>
      <c r="E145" s="23" t="s">
        <v>569</v>
      </c>
      <c r="F145" s="25" t="str">
        <f>CONCATENATE(prefix_wld_az1_cidr,"16.125")</f>
        <v>10.13.16.125</v>
      </c>
      <c r="G145" s="14"/>
      <c r="H145" s="454" t="s">
        <v>721</v>
      </c>
      <c r="I145" s="455"/>
      <c r="J145" s="456"/>
    </row>
    <row r="146" spans="2:10" ht="20" customHeight="1">
      <c r="B146" s="26" t="s">
        <v>717</v>
      </c>
      <c r="C146" s="22" t="s">
        <v>634</v>
      </c>
      <c r="D146" s="25" t="str">
        <f>CONCATENATE(this_instance,"-w0",wld_domain_number_chosen,"-srm01")</f>
        <v>sfo-w01-srm01</v>
      </c>
      <c r="E146" s="14"/>
      <c r="F146" s="25" t="str">
        <f>IF(mgmt_dpg_separation_result="Included",CONCATENATE(prefix_mgmt_az1_cidr,"10.127"),CONCATENATE(prefix_mgmt_az1_cidr,"11.127"))</f>
        <v>10.11.10.127</v>
      </c>
      <c r="G146" s="14"/>
      <c r="H146" s="454" t="s">
        <v>722</v>
      </c>
      <c r="I146" s="455"/>
      <c r="J146" s="456"/>
    </row>
    <row r="147" spans="2:10" ht="16" customHeight="1"/>
    <row r="148" spans="2:10" ht="34" customHeight="1">
      <c r="B148" s="427" t="s">
        <v>3130</v>
      </c>
      <c r="C148" s="428"/>
      <c r="D148" s="428"/>
      <c r="E148" s="428"/>
      <c r="F148" s="428"/>
      <c r="G148" s="428"/>
      <c r="H148" s="428"/>
      <c r="I148" s="428"/>
      <c r="J148" s="426"/>
    </row>
    <row r="149" spans="2:10" ht="20" customHeight="1">
      <c r="B149" s="8" t="s">
        <v>583</v>
      </c>
      <c r="C149" s="8" t="s">
        <v>489</v>
      </c>
      <c r="D149" s="8" t="s">
        <v>629</v>
      </c>
      <c r="E149" s="20" t="s">
        <v>630</v>
      </c>
      <c r="F149" s="8" t="s">
        <v>631</v>
      </c>
      <c r="G149" s="20" t="s">
        <v>632</v>
      </c>
      <c r="H149" s="345" t="s">
        <v>222</v>
      </c>
      <c r="I149" s="345"/>
      <c r="J149" s="345"/>
    </row>
    <row r="150" spans="2:10" ht="20" customHeight="1">
      <c r="B150" s="21" t="s">
        <v>724</v>
      </c>
      <c r="C150" s="22" t="s">
        <v>634</v>
      </c>
      <c r="D150" s="22" t="str">
        <f>CONCATENATE(this_instance,"-ccm-hcx01")</f>
        <v>sfo-ccm-hcx01</v>
      </c>
      <c r="E150" s="14"/>
      <c r="F150" s="22" t="str">
        <f>IF(mgmt_dpg_separation_result="Included",CONCATENATE(prefix_mgmt_az1_cidr,"10.46"),CONCATENATE(prefix_mgmt_az1_cidr,"11.46"))</f>
        <v>10.11.10.46</v>
      </c>
      <c r="G150" s="14"/>
      <c r="H150" s="441" t="s">
        <v>724</v>
      </c>
      <c r="I150" s="441"/>
      <c r="J150" s="441"/>
    </row>
    <row r="151" spans="2:10" ht="20" customHeight="1">
      <c r="B151" s="446" t="s">
        <v>727</v>
      </c>
      <c r="C151" s="447"/>
      <c r="D151" s="446" t="s">
        <v>728</v>
      </c>
      <c r="E151" s="447"/>
      <c r="F151" s="448" t="s">
        <v>729</v>
      </c>
      <c r="G151" s="447"/>
      <c r="H151" s="345"/>
      <c r="I151" s="345"/>
      <c r="J151" s="345"/>
    </row>
    <row r="152" spans="2:10" ht="20" customHeight="1">
      <c r="B152" s="449" t="s">
        <v>730</v>
      </c>
      <c r="C152" s="450"/>
      <c r="D152" s="442" t="str">
        <f>IF(mgmt_dpg_separation_result="Included",CONCATENATE(prefix_wld_az1_cidr,"10.221-",prefix_wld_az1_cidr,"10.225"),CONCATENATE(prefix_wld_az1_cidr,"11.221-",prefix_wld_az1_cidr,"11.225"))</f>
        <v>10.13.10.221-10.13.10.225</v>
      </c>
      <c r="E152" s="451"/>
      <c r="F152" s="452"/>
      <c r="G152" s="453"/>
      <c r="H152" s="442"/>
      <c r="I152" s="443"/>
      <c r="J152" s="444"/>
    </row>
    <row r="153" spans="2:10" ht="20" customHeight="1">
      <c r="B153" s="449" t="s">
        <v>731</v>
      </c>
      <c r="C153" s="450"/>
      <c r="D153" s="442" t="str">
        <f>CONCATENATE(prefix_wld_az1_cidr,"12.221-",prefix_wld_az1_cidr,"12.225")</f>
        <v>10.13.12.221-10.13.12.225</v>
      </c>
      <c r="E153" s="451"/>
      <c r="F153" s="452"/>
      <c r="G153" s="453"/>
      <c r="H153" s="442"/>
      <c r="I153" s="443"/>
      <c r="J153" s="444"/>
    </row>
    <row r="154" spans="2:10" ht="16" customHeight="1"/>
    <row r="155" spans="2:10" ht="34" customHeight="1">
      <c r="B155" s="427" t="s">
        <v>3542</v>
      </c>
      <c r="C155" s="428"/>
      <c r="D155" s="428"/>
      <c r="E155" s="428"/>
      <c r="F155" s="428"/>
      <c r="G155" s="428"/>
      <c r="H155" s="428"/>
      <c r="I155" s="428"/>
      <c r="J155" s="426"/>
    </row>
    <row r="156" spans="2:10" ht="20" customHeight="1">
      <c r="B156" s="8" t="s">
        <v>583</v>
      </c>
      <c r="C156" s="8" t="s">
        <v>489</v>
      </c>
      <c r="D156" s="8" t="s">
        <v>629</v>
      </c>
      <c r="E156" s="20" t="s">
        <v>630</v>
      </c>
      <c r="F156" s="8" t="s">
        <v>631</v>
      </c>
      <c r="G156" s="20" t="s">
        <v>632</v>
      </c>
      <c r="H156" s="345" t="s">
        <v>222</v>
      </c>
      <c r="I156" s="345"/>
      <c r="J156" s="345"/>
    </row>
    <row r="157" spans="2:10" ht="20" customHeight="1">
      <c r="B157" s="21" t="s">
        <v>725</v>
      </c>
      <c r="C157" s="22" t="s">
        <v>634</v>
      </c>
      <c r="D157" s="22" t="str">
        <f>CONCATENATE(this_instance,"-cbr-cdp01a")</f>
        <v>sfo-cbr-cdp01a</v>
      </c>
      <c r="E157" s="14"/>
      <c r="F157" s="22" t="str">
        <f>IF(mgmt_dpg_separation_result="Included",CONCATENATE(prefix_mgmt_az1_cidr,"10.44"),CONCATENATE(prefix_mgmt_az1_cidr,"11.44"))</f>
        <v>10.11.10.44</v>
      </c>
      <c r="G157" s="14"/>
      <c r="H157" s="441"/>
      <c r="I157" s="441"/>
      <c r="J157" s="441"/>
    </row>
    <row r="158" spans="2:10" ht="20" customHeight="1">
      <c r="B158" s="21"/>
      <c r="C158" s="22" t="s">
        <v>726</v>
      </c>
      <c r="D158" s="22" t="str">
        <f>CONCATENATE(this_instance,"-cbr-cdp01b")</f>
        <v>sfo-cbr-cdp01b</v>
      </c>
      <c r="E158" s="14"/>
      <c r="F158" s="22" t="str">
        <f>IF(mgmt_dpg_separation_result="Included",CONCATENATE(prefix_mgmt_az1_cidr,"10.45"),CONCATENATE(prefix_mgmt_az1_cidr,"11.45"))</f>
        <v>10.11.10.45</v>
      </c>
      <c r="G158" s="14"/>
      <c r="H158" s="442"/>
      <c r="I158" s="443"/>
      <c r="J158" s="444"/>
    </row>
    <row r="159" spans="2:10" ht="16" customHeight="1"/>
    <row r="160" spans="2:10" ht="34" customHeight="1">
      <c r="B160" s="427" t="s">
        <v>59</v>
      </c>
      <c r="C160" s="428"/>
      <c r="D160" s="428"/>
      <c r="E160" s="428"/>
      <c r="F160" s="428"/>
      <c r="G160" s="428"/>
      <c r="H160" s="428"/>
      <c r="I160" s="428"/>
      <c r="J160" s="426"/>
    </row>
    <row r="161" spans="2:10" ht="20" customHeight="1">
      <c r="B161" s="8" t="s">
        <v>583</v>
      </c>
      <c r="C161" s="8" t="s">
        <v>489</v>
      </c>
      <c r="D161" s="8" t="s">
        <v>629</v>
      </c>
      <c r="E161" s="20" t="s">
        <v>630</v>
      </c>
      <c r="F161" s="8" t="s">
        <v>631</v>
      </c>
      <c r="G161" s="20" t="s">
        <v>632</v>
      </c>
      <c r="H161" s="345" t="s">
        <v>222</v>
      </c>
      <c r="I161" s="345"/>
      <c r="J161" s="345"/>
    </row>
    <row r="162" spans="2:10" ht="20" customHeight="1">
      <c r="B162" s="21" t="s">
        <v>732</v>
      </c>
      <c r="C162" s="22" t="s">
        <v>634</v>
      </c>
      <c r="D162" s="22" t="str">
        <f>CONCATENATE(this_instance,"-m01-hrm01")</f>
        <v>sfo-m01-hrm01</v>
      </c>
      <c r="E162" s="14"/>
      <c r="F162" s="22" t="str">
        <f>IF(mgmt_dpg_separation_result="Included",CONCATENATE(prefix_mgmt_az1_cidr,"10.50"),CONCATENATE(prefix_mgmt_az1_cidr,"11.50"))</f>
        <v>10.11.10.50</v>
      </c>
      <c r="G162" s="14"/>
      <c r="H162" s="441"/>
      <c r="I162" s="441"/>
      <c r="J162" s="441"/>
    </row>
  </sheetData>
  <sheetProtection algorithmName="SHA-512" hashValue="nDGb+42ypnRimp2GKYZxWr4wzEFIY6MPJ3r9rRzhpjPxFOFR7Ma+HDzW0/AAj+mlYfci30YyoU6msUZ+CUpIBg==" saltValue="S+gmvmqwlODXbgDYN7zVhw==" spinCount="100000" sheet="1" selectLockedCells="1"/>
  <mergeCells count="155">
    <mergeCell ref="H66:J66"/>
    <mergeCell ref="B83:J83"/>
    <mergeCell ref="H80:J80"/>
    <mergeCell ref="B128:J128"/>
    <mergeCell ref="C129:E129"/>
    <mergeCell ref="H129:J129"/>
    <mergeCell ref="H47:J47"/>
    <mergeCell ref="B60:J60"/>
    <mergeCell ref="B54:J54"/>
    <mergeCell ref="H89:J89"/>
    <mergeCell ref="H95:J95"/>
    <mergeCell ref="H96:J96"/>
    <mergeCell ref="H97:J97"/>
    <mergeCell ref="H93:J93"/>
    <mergeCell ref="H94:J94"/>
    <mergeCell ref="H62:J62"/>
    <mergeCell ref="H65:J65"/>
    <mergeCell ref="H71:J71"/>
    <mergeCell ref="H70:J70"/>
    <mergeCell ref="H69:J69"/>
    <mergeCell ref="B61:J61"/>
    <mergeCell ref="H64:J64"/>
    <mergeCell ref="H81:J81"/>
    <mergeCell ref="B77:J77"/>
    <mergeCell ref="H67:J67"/>
    <mergeCell ref="H111:J111"/>
    <mergeCell ref="H124:J124"/>
    <mergeCell ref="B127:J127"/>
    <mergeCell ref="B120:J120"/>
    <mergeCell ref="H121:J121"/>
    <mergeCell ref="H107:J107"/>
    <mergeCell ref="H100:J100"/>
    <mergeCell ref="H125:J125"/>
    <mergeCell ref="H123:J123"/>
    <mergeCell ref="H109:J109"/>
    <mergeCell ref="H122:J122"/>
    <mergeCell ref="H110:J110"/>
    <mergeCell ref="H112:J112"/>
    <mergeCell ref="B115:J115"/>
    <mergeCell ref="H116:J116"/>
    <mergeCell ref="H102:J102"/>
    <mergeCell ref="H103:J103"/>
    <mergeCell ref="H68:J68"/>
    <mergeCell ref="B84:J84"/>
    <mergeCell ref="H85:J85"/>
    <mergeCell ref="B91:J91"/>
    <mergeCell ref="H92:J92"/>
    <mergeCell ref="H43:J43"/>
    <mergeCell ref="H46:J46"/>
    <mergeCell ref="H48:J48"/>
    <mergeCell ref="H40:J40"/>
    <mergeCell ref="H118:J118"/>
    <mergeCell ref="H117:J117"/>
    <mergeCell ref="H113:J113"/>
    <mergeCell ref="H108:J108"/>
    <mergeCell ref="B106:J106"/>
    <mergeCell ref="H104:J104"/>
    <mergeCell ref="H101:J101"/>
    <mergeCell ref="H58:J58"/>
    <mergeCell ref="H41:J41"/>
    <mergeCell ref="H45:J45"/>
    <mergeCell ref="B55:J55"/>
    <mergeCell ref="H56:J56"/>
    <mergeCell ref="H57:J57"/>
    <mergeCell ref="H63:J63"/>
    <mergeCell ref="B78:J78"/>
    <mergeCell ref="H79:J79"/>
    <mergeCell ref="H44:J44"/>
    <mergeCell ref="H88:J88"/>
    <mergeCell ref="B87:J87"/>
    <mergeCell ref="H86:J86"/>
    <mergeCell ref="E12:J12"/>
    <mergeCell ref="E20:J20"/>
    <mergeCell ref="E21:J21"/>
    <mergeCell ref="E24:J24"/>
    <mergeCell ref="E25:J25"/>
    <mergeCell ref="E31:J31"/>
    <mergeCell ref="H42:J42"/>
    <mergeCell ref="H39:J39"/>
    <mergeCell ref="B35:J35"/>
    <mergeCell ref="E13:J13"/>
    <mergeCell ref="E14:J14"/>
    <mergeCell ref="E33:J33"/>
    <mergeCell ref="B2:J2"/>
    <mergeCell ref="B3:J3"/>
    <mergeCell ref="B36:J36"/>
    <mergeCell ref="H37:J37"/>
    <mergeCell ref="H38:J38"/>
    <mergeCell ref="E22:J22"/>
    <mergeCell ref="E17:J17"/>
    <mergeCell ref="E18:J18"/>
    <mergeCell ref="E19:J19"/>
    <mergeCell ref="E32:J32"/>
    <mergeCell ref="E23:J23"/>
    <mergeCell ref="B26:J26"/>
    <mergeCell ref="E27:J27"/>
    <mergeCell ref="E29:J29"/>
    <mergeCell ref="E28:J28"/>
    <mergeCell ref="E30:J30"/>
    <mergeCell ref="B6:J6"/>
    <mergeCell ref="B7:J7"/>
    <mergeCell ref="E8:J8"/>
    <mergeCell ref="E9:J9"/>
    <mergeCell ref="E10:J10"/>
    <mergeCell ref="B15:J15"/>
    <mergeCell ref="E16:J16"/>
    <mergeCell ref="E11:J11"/>
    <mergeCell ref="D152:E152"/>
    <mergeCell ref="F152:G152"/>
    <mergeCell ref="B160:J160"/>
    <mergeCell ref="H161:J161"/>
    <mergeCell ref="H146:J146"/>
    <mergeCell ref="B135:J135"/>
    <mergeCell ref="H137:J137"/>
    <mergeCell ref="B136:J136"/>
    <mergeCell ref="H138:J138"/>
    <mergeCell ref="H152:J152"/>
    <mergeCell ref="H139:J139"/>
    <mergeCell ref="H140:J140"/>
    <mergeCell ref="H144:J144"/>
    <mergeCell ref="B142:J142"/>
    <mergeCell ref="H143:J143"/>
    <mergeCell ref="H141:J141"/>
    <mergeCell ref="H145:J145"/>
    <mergeCell ref="D153:E153"/>
    <mergeCell ref="F153:G153"/>
    <mergeCell ref="H153:J153"/>
    <mergeCell ref="B148:J148"/>
    <mergeCell ref="H149:J149"/>
    <mergeCell ref="H150:J150"/>
    <mergeCell ref="B151:C151"/>
    <mergeCell ref="H49:J49"/>
    <mergeCell ref="H50:J50"/>
    <mergeCell ref="H51:J51"/>
    <mergeCell ref="H52:J52"/>
    <mergeCell ref="H72:J72"/>
    <mergeCell ref="H73:J73"/>
    <mergeCell ref="H74:J74"/>
    <mergeCell ref="H75:J75"/>
    <mergeCell ref="H162:J162"/>
    <mergeCell ref="B155:J155"/>
    <mergeCell ref="H156:J156"/>
    <mergeCell ref="H157:J157"/>
    <mergeCell ref="H158:J158"/>
    <mergeCell ref="H133:J133"/>
    <mergeCell ref="H131:J131"/>
    <mergeCell ref="H132:J132"/>
    <mergeCell ref="B99:J99"/>
    <mergeCell ref="C130:E130"/>
    <mergeCell ref="H130:J130"/>
    <mergeCell ref="D151:E151"/>
    <mergeCell ref="F151:G151"/>
    <mergeCell ref="H151:J151"/>
    <mergeCell ref="B153:C153"/>
    <mergeCell ref="B152:C152"/>
  </mergeCells>
  <phoneticPr fontId="4" type="noConversion"/>
  <conditionalFormatting sqref="B11:J12">
    <cfRule type="expression" dxfId="4197" priority="46">
      <formula>vrslcm_result="Excluded"</formula>
    </cfRule>
  </conditionalFormatting>
  <conditionalFormatting sqref="B13:J14">
    <cfRule type="expression" dxfId="4196" priority="370">
      <formula>AND((mgmt_stretched_cluster_result="Excluded"),(wld_stretched_cluster_result="Excluded"))</formula>
    </cfRule>
  </conditionalFormatting>
  <conditionalFormatting sqref="B17:J17">
    <cfRule type="expression" dxfId="4195" priority="369">
      <formula>vrslcm_result="Excluded"</formula>
    </cfRule>
  </conditionalFormatting>
  <conditionalFormatting sqref="B19:J19">
    <cfRule type="expression" dxfId="4194" priority="368">
      <formula>AND((mgmt_stretched_cluster_result="Excluded"),(wld_stretched_cluster_result="Excluded"))</formula>
    </cfRule>
  </conditionalFormatting>
  <conditionalFormatting sqref="B22:J23">
    <cfRule type="expression" dxfId="4193" priority="366">
      <formula>vrslcm_result="Excluded"</formula>
    </cfRule>
  </conditionalFormatting>
  <conditionalFormatting sqref="B24:J25">
    <cfRule type="expression" dxfId="4192" priority="174">
      <formula>AND((mgmt_stretched_cluster_result="Excluded"),(wld_stretched_cluster_result="Excluded"))</formula>
    </cfRule>
  </conditionalFormatting>
  <conditionalFormatting sqref="B28:J28">
    <cfRule type="expression" dxfId="4191" priority="33" stopIfTrue="1">
      <formula>iam_result="Excluded"</formula>
    </cfRule>
  </conditionalFormatting>
  <conditionalFormatting sqref="B29:J30">
    <cfRule type="expression" dxfId="4190" priority="34">
      <formula>mgmt_signed_certs_result="Excluded"</formula>
    </cfRule>
  </conditionalFormatting>
  <conditionalFormatting sqref="B32:J33">
    <cfRule type="expression" dxfId="4189" priority="58">
      <formula>AND((iam_result="Excluded"),(intelligent_operations_result="Excluded"),(intelligent_logging_result="Excluded"),(private_cloud_result="Excluded"))</formula>
    </cfRule>
  </conditionalFormatting>
  <conditionalFormatting sqref="B45:J48">
    <cfRule type="expression" dxfId="4188" priority="362">
      <formula>OR((mgmt_nsxt_federation_result="Excluded"),(mgmt_nsxt_federation_chosen="Connect Instance"))</formula>
    </cfRule>
  </conditionalFormatting>
  <conditionalFormatting sqref="B49:J52">
    <cfRule type="expression" dxfId="4187" priority="14">
      <formula>mgmt_avi_loadbalancer_result="Excluded"</formula>
    </cfRule>
  </conditionalFormatting>
  <conditionalFormatting sqref="B54:J58">
    <cfRule type="expression" dxfId="4186" priority="249">
      <formula>mgmt_stretched_cluster_result="Excluded"</formula>
    </cfRule>
  </conditionalFormatting>
  <conditionalFormatting sqref="B60:J67">
    <cfRule type="expression" dxfId="4185" priority="253">
      <formula>wld_domain_result="Excluded"</formula>
    </cfRule>
  </conditionalFormatting>
  <conditionalFormatting sqref="B68:J71">
    <cfRule type="expression" dxfId="4184" priority="351">
      <formula>OR((wld_domain_result="Excluded"),(wld_nsxt_federation_result="Excluded"),(wld_nsxt_federation_chosen="Connect Instance"))</formula>
    </cfRule>
  </conditionalFormatting>
  <conditionalFormatting sqref="B72:J75">
    <cfRule type="expression" dxfId="4183" priority="13">
      <formula>wld_avi_loadbalancer_result="Excluded"</formula>
    </cfRule>
  </conditionalFormatting>
  <conditionalFormatting sqref="B77:J81">
    <cfRule type="expression" dxfId="4182" priority="198">
      <formula>OR((wld_domain_result="Excluded"),(wld_stretched_cluster_result="Excluded"))</formula>
    </cfRule>
  </conditionalFormatting>
  <conditionalFormatting sqref="B83:J89">
    <cfRule type="expression" dxfId="4181" priority="221">
      <formula>vrslcm_result="Excluded"</formula>
    </cfRule>
  </conditionalFormatting>
  <conditionalFormatting sqref="B91:J97">
    <cfRule type="expression" dxfId="4180" priority="256">
      <formula>vcf_aware_wsa_result="Excluded"</formula>
    </cfRule>
  </conditionalFormatting>
  <conditionalFormatting sqref="B94:J94">
    <cfRule type="expression" dxfId="4179" priority="275">
      <formula>vcf_aware_wsa_chosen="Standard"</formula>
    </cfRule>
  </conditionalFormatting>
  <conditionalFormatting sqref="B95:J97">
    <cfRule type="expression" dxfId="4178" priority="277">
      <formula>(vcf_aware_wsa_chosen="Standard")</formula>
    </cfRule>
  </conditionalFormatting>
  <conditionalFormatting sqref="B99:J104">
    <cfRule type="expression" dxfId="4177" priority="341">
      <formula>intelligent_logging_result="Excluded"</formula>
    </cfRule>
  </conditionalFormatting>
  <conditionalFormatting sqref="B106:J113">
    <cfRule type="expression" dxfId="4176" priority="337">
      <formula>intelligent_operations_result="Excluded"</formula>
    </cfRule>
  </conditionalFormatting>
  <conditionalFormatting sqref="B108:J111">
    <cfRule type="expression" dxfId="4175" priority="340">
      <formula>intelligent_operations_chosen="Connect Instance"</formula>
    </cfRule>
  </conditionalFormatting>
  <conditionalFormatting sqref="B115:J118">
    <cfRule type="expression" dxfId="4174" priority="193">
      <formula>inv_result="Excluded"</formula>
    </cfRule>
  </conditionalFormatting>
  <conditionalFormatting sqref="B120:J125">
    <cfRule type="expression" dxfId="4173" priority="339">
      <formula>OR((private_cloud_result="Excluded"),(private_cloud_chosen="Connect Instance"))</formula>
    </cfRule>
  </conditionalFormatting>
  <conditionalFormatting sqref="B127:J133">
    <cfRule type="expression" dxfId="4172" priority="3">
      <formula>developer_ready_result="Excluded"</formula>
    </cfRule>
  </conditionalFormatting>
  <conditionalFormatting sqref="B135:J140">
    <cfRule type="expression" dxfId="4171" priority="31">
      <formula>(spr_result="Excluded")</formula>
    </cfRule>
  </conditionalFormatting>
  <conditionalFormatting sqref="B141:J141">
    <cfRule type="expression" dxfId="4170" priority="220">
      <formula>(protected_mgmt_result="False")</formula>
    </cfRule>
  </conditionalFormatting>
  <conditionalFormatting sqref="B142:J146">
    <cfRule type="expression" dxfId="4169" priority="218">
      <formula>AND((spr_wo_result="False"),(spr_mw_result="False"))</formula>
    </cfRule>
  </conditionalFormatting>
  <conditionalFormatting sqref="B148:J151 B152:B153 D152:D153 F152:J153">
    <cfRule type="expression" dxfId="4168" priority="179">
      <formula>ccm_result="Excluded"</formula>
    </cfRule>
  </conditionalFormatting>
  <conditionalFormatting sqref="B155:J156 H157:J157 B157:G158 H158">
    <cfRule type="expression" dxfId="4167" priority="35">
      <formula>cbr_result="Excluded"</formula>
    </cfRule>
  </conditionalFormatting>
  <conditionalFormatting sqref="B160:J162">
    <cfRule type="expression" dxfId="4166" priority="258">
      <formula>hrm_result="Excluded"</formula>
    </cfRule>
  </conditionalFormatting>
  <conditionalFormatting sqref="D9">
    <cfRule type="containsBlanks" dxfId="4165" priority="49">
      <formula>LEN(TRIM(D9))=0</formula>
    </cfRule>
  </conditionalFormatting>
  <conditionalFormatting sqref="D9:D10 G38:G40 E38:E44">
    <cfRule type="notContainsBlanks" dxfId="4164" priority="45">
      <formula>LEN(TRIM(D9))&gt;0</formula>
    </cfRule>
  </conditionalFormatting>
  <conditionalFormatting sqref="D11">
    <cfRule type="containsBlanks" dxfId="4163" priority="52">
      <formula>LEN(TRIM(D11))=0</formula>
    </cfRule>
  </conditionalFormatting>
  <conditionalFormatting sqref="D11:D12">
    <cfRule type="notContainsBlanks" dxfId="4162" priority="51">
      <formula>LEN(TRIM(D11))&gt;0</formula>
    </cfRule>
  </conditionalFormatting>
  <conditionalFormatting sqref="D12">
    <cfRule type="expression" dxfId="4161" priority="372">
      <formula>AND((OR((spr_chosen="Management Only"),(spr_chosen="Management &amp; VI Workload"))),(ISBLANK(input_xregion_ntp2_server)))</formula>
    </cfRule>
  </conditionalFormatting>
  <conditionalFormatting sqref="D13 G38:G40">
    <cfRule type="containsBlanks" dxfId="4160" priority="512">
      <formula>LEN(TRIM(D13))=0</formula>
    </cfRule>
  </conditionalFormatting>
  <conditionalFormatting sqref="D13:D15 D17:D25">
    <cfRule type="notContainsBlanks" dxfId="4159" priority="508">
      <formula>LEN(TRIM(D13))&gt;0</formula>
    </cfRule>
  </conditionalFormatting>
  <conditionalFormatting sqref="D17:D25">
    <cfRule type="containsBlanks" dxfId="4158" priority="509">
      <formula>LEN(TRIM(D17))=0</formula>
    </cfRule>
  </conditionalFormatting>
  <conditionalFormatting sqref="D28:D30">
    <cfRule type="notContainsBlanks" dxfId="4157" priority="365">
      <formula>LEN(TRIM(D28))&gt;0</formula>
    </cfRule>
  </conditionalFormatting>
  <conditionalFormatting sqref="D28:D33">
    <cfRule type="containsBlanks" dxfId="4156" priority="363">
      <formula>LEN(TRIM(D28))=0</formula>
    </cfRule>
  </conditionalFormatting>
  <conditionalFormatting sqref="D31:D33">
    <cfRule type="notContainsBlanks" dxfId="4155" priority="59">
      <formula>LEN(TRIM(D31))&gt;0</formula>
    </cfRule>
  </conditionalFormatting>
  <conditionalFormatting sqref="D73:E75">
    <cfRule type="expression" dxfId="4154" priority="15">
      <formula>mgmt_vns_result="Excluded"</formula>
    </cfRule>
  </conditionalFormatting>
  <conditionalFormatting sqref="E38:E48">
    <cfRule type="containsBlanks" dxfId="4153" priority="409">
      <formula>LEN(TRIM(E38))=0</formula>
    </cfRule>
  </conditionalFormatting>
  <conditionalFormatting sqref="E41:E48 G41:G48">
    <cfRule type="notContainsBlanks" dxfId="4152" priority="562" stopIfTrue="1">
      <formula>LEN(TRIM(E41))&gt;0</formula>
    </cfRule>
  </conditionalFormatting>
  <conditionalFormatting sqref="E45:E48">
    <cfRule type="notContainsBlanks" dxfId="4151" priority="408">
      <formula>LEN(TRIM(E45))&gt;0</formula>
    </cfRule>
  </conditionalFormatting>
  <conditionalFormatting sqref="E49 G49:G52">
    <cfRule type="notContainsBlanks" dxfId="4150" priority="24">
      <formula>LEN(TRIM(E49))&gt;0</formula>
    </cfRule>
    <cfRule type="containsBlanks" dxfId="4149" priority="25">
      <formula>LEN(TRIM(E49))=0</formula>
    </cfRule>
  </conditionalFormatting>
  <conditionalFormatting sqref="E57:E58">
    <cfRule type="notContainsBlanks" dxfId="4148" priority="513">
      <formula>LEN(TRIM(E57))&gt;0</formula>
    </cfRule>
    <cfRule type="containsBlanks" dxfId="4147" priority="514">
      <formula>LEN(TRIM(E57))=0</formula>
    </cfRule>
  </conditionalFormatting>
  <conditionalFormatting sqref="E60:E61 E54:E58">
    <cfRule type="containsBlanks" dxfId="4146" priority="499">
      <formula>LEN(TRIM(E54))=0</formula>
    </cfRule>
  </conditionalFormatting>
  <conditionalFormatting sqref="E63 G63">
    <cfRule type="containsBlanks" dxfId="4145" priority="294">
      <formula>LEN(TRIM(E63))=0</formula>
    </cfRule>
    <cfRule type="notContainsBlanks" dxfId="4144" priority="296">
      <formula>LEN(TRIM(E63))&gt;0</formula>
    </cfRule>
  </conditionalFormatting>
  <conditionalFormatting sqref="E63:E67">
    <cfRule type="containsBlanks" dxfId="4143" priority="569">
      <formula>LEN(TRIM(E63))=0</formula>
    </cfRule>
  </conditionalFormatting>
  <conditionalFormatting sqref="E64:E67">
    <cfRule type="notContainsBlanks" dxfId="4142" priority="568">
      <formula>LEN(TRIM(E64))&gt;0</formula>
    </cfRule>
  </conditionalFormatting>
  <conditionalFormatting sqref="E64:E71">
    <cfRule type="containsBlanks" dxfId="4141" priority="406">
      <formula>LEN(TRIM(E64))=0</formula>
    </cfRule>
  </conditionalFormatting>
  <conditionalFormatting sqref="E68:E71">
    <cfRule type="notContainsBlanks" dxfId="4140" priority="405">
      <formula>LEN(TRIM(E68))&gt;0</formula>
    </cfRule>
  </conditionalFormatting>
  <conditionalFormatting sqref="E72 G72:G75">
    <cfRule type="containsBlanks" dxfId="4139" priority="22">
      <formula>LEN(TRIM(E72))=0</formula>
    </cfRule>
    <cfRule type="notContainsBlanks" dxfId="4138" priority="21">
      <formula>LEN(TRIM(E72))&gt;0</formula>
    </cfRule>
  </conditionalFormatting>
  <conditionalFormatting sqref="E80:E81">
    <cfRule type="notContainsBlanks" dxfId="4137" priority="199">
      <formula>LEN(TRIM(E80))&gt;0</formula>
    </cfRule>
    <cfRule type="containsBlanks" dxfId="4136" priority="491">
      <formula>LEN(TRIM(E80))=0</formula>
    </cfRule>
  </conditionalFormatting>
  <conditionalFormatting sqref="E89 E91 E93:E96">
    <cfRule type="containsBlanks" dxfId="4135" priority="585">
      <formula>LEN(TRIM(E89))=0</formula>
    </cfRule>
  </conditionalFormatting>
  <conditionalFormatting sqref="E93:E96 E91 E89">
    <cfRule type="notContainsBlanks" dxfId="4134" priority="584">
      <formula>LEN(TRIM(E89))&gt;0</formula>
    </cfRule>
  </conditionalFormatting>
  <conditionalFormatting sqref="E93:E96">
    <cfRule type="containsBlanks" dxfId="4133" priority="575">
      <formula>LEN(TRIM(E93))=0</formula>
    </cfRule>
    <cfRule type="notContainsBlanks" dxfId="4132" priority="574">
      <formula>LEN(TRIM(E93))&gt;0</formula>
    </cfRule>
  </conditionalFormatting>
  <conditionalFormatting sqref="E101:E104 G101:G104 E108:E113 G108:G113 E122:E125 G122:G125 G93:G97 G89">
    <cfRule type="notContainsBlanks" dxfId="4131" priority="598">
      <formula>LEN(TRIM(E89))&gt;0</formula>
    </cfRule>
  </conditionalFormatting>
  <conditionalFormatting sqref="E117:E118 G117:G118">
    <cfRule type="notContainsBlanks" dxfId="4130" priority="194">
      <formula>LEN(TRIM(E117))&gt;0</formula>
    </cfRule>
    <cfRule type="containsBlanks" dxfId="4129" priority="195">
      <formula>LEN(TRIM(E117))=0</formula>
    </cfRule>
  </conditionalFormatting>
  <conditionalFormatting sqref="E132:E133">
    <cfRule type="containsBlanks" dxfId="4128" priority="10">
      <formula>LEN(TRIM(E132))=0</formula>
    </cfRule>
    <cfRule type="notContainsBlanks" dxfId="4127" priority="7">
      <formula>LEN(TRIM(E132))&gt;0</formula>
    </cfRule>
  </conditionalFormatting>
  <conditionalFormatting sqref="E138">
    <cfRule type="containsBlanks" dxfId="4126" priority="219">
      <formula>LEN(TRIM(E138))=0</formula>
    </cfRule>
    <cfRule type="notContainsBlanks" dxfId="4125" priority="32">
      <formula>LEN(TRIM(E138))&gt;0</formula>
    </cfRule>
  </conditionalFormatting>
  <conditionalFormatting sqref="E140">
    <cfRule type="containsBlanks" dxfId="4124" priority="329">
      <formula>LEN(TRIM(E140))=0</formula>
    </cfRule>
    <cfRule type="notContainsBlanks" dxfId="4123" priority="328">
      <formula>LEN(TRIM(E140))&gt;0</formula>
    </cfRule>
  </conditionalFormatting>
  <conditionalFormatting sqref="E144">
    <cfRule type="notContainsBlanks" dxfId="4122" priority="326">
      <formula>LEN(TRIM(E144))&gt;0</formula>
    </cfRule>
    <cfRule type="containsBlanks" dxfId="4121" priority="327">
      <formula>LEN(TRIM(E144))=0</formula>
    </cfRule>
  </conditionalFormatting>
  <conditionalFormatting sqref="E150 G150">
    <cfRule type="containsBlanks" dxfId="4120" priority="183">
      <formula>LEN(TRIM(E150))=0</formula>
    </cfRule>
    <cfRule type="notContainsBlanks" dxfId="4119" priority="182">
      <formula>LEN(TRIM(E150))&gt;0</formula>
    </cfRule>
  </conditionalFormatting>
  <conditionalFormatting sqref="E157:E158">
    <cfRule type="notContainsBlanks" dxfId="4118" priority="38">
      <formula>LEN(TRIM(E157))&gt;0</formula>
    </cfRule>
    <cfRule type="containsBlanks" dxfId="4117" priority="171">
      <formula>LEN(TRIM(E157))=0</formula>
    </cfRule>
  </conditionalFormatting>
  <conditionalFormatting sqref="E162 G162">
    <cfRule type="notContainsBlanks" dxfId="4116" priority="259">
      <formula>LEN(TRIM(E162))&gt;0</formula>
    </cfRule>
    <cfRule type="containsBlanks" dxfId="4115" priority="260">
      <formula>LEN(TRIM(E162))=0</formula>
    </cfRule>
  </conditionalFormatting>
  <conditionalFormatting sqref="F152:G153">
    <cfRule type="containsBlanks" dxfId="4114" priority="181">
      <formula>LEN(TRIM(F152))=0</formula>
    </cfRule>
    <cfRule type="notContainsBlanks" dxfId="4113" priority="180">
      <formula>LEN(TRIM(F152))&gt;0</formula>
    </cfRule>
  </conditionalFormatting>
  <conditionalFormatting sqref="G41:G48">
    <cfRule type="containsBlanks" dxfId="4112" priority="581" stopIfTrue="1">
      <formula>LEN(TRIM(G41))=0</formula>
    </cfRule>
  </conditionalFormatting>
  <conditionalFormatting sqref="G54:G55 G57:G58 G60:G61 G64:G71">
    <cfRule type="containsBlanks" dxfId="4111" priority="381">
      <formula>LEN(TRIM(G54))=0</formula>
    </cfRule>
  </conditionalFormatting>
  <conditionalFormatting sqref="G57:G58">
    <cfRule type="notContainsBlanks" dxfId="4110" priority="515">
      <formula>LEN(TRIM(G57))&gt;0</formula>
    </cfRule>
    <cfRule type="containsBlanks" dxfId="4109" priority="516">
      <formula>LEN(TRIM(G57))=0</formula>
    </cfRule>
  </conditionalFormatting>
  <conditionalFormatting sqref="G64:G71 G60:G61 G54:G55 G57:G58">
    <cfRule type="notContainsBlanks" dxfId="4108" priority="354">
      <formula>LEN(TRIM(G54))&gt;0</formula>
    </cfRule>
  </conditionalFormatting>
  <conditionalFormatting sqref="G80:G81">
    <cfRule type="containsBlanks" dxfId="4107" priority="493">
      <formula>LEN(TRIM(G80))=0</formula>
    </cfRule>
    <cfRule type="notContainsBlanks" dxfId="4106" priority="345">
      <formula>LEN(TRIM(G80))&gt;0</formula>
    </cfRule>
  </conditionalFormatting>
  <conditionalFormatting sqref="G86">
    <cfRule type="containsBlanks" dxfId="4105" priority="335">
      <formula>LEN(TRIM(G86))=0</formula>
    </cfRule>
    <cfRule type="notContainsBlanks" dxfId="4104" priority="577">
      <formula>LEN(TRIM(G86))&gt;0</formula>
    </cfRule>
  </conditionalFormatting>
  <conditionalFormatting sqref="G89 G93:G97 E101:E104 G101:G104 E108:E113 G108:G113 E122:E125 G122:G125">
    <cfRule type="containsBlanks" dxfId="4103" priority="599">
      <formula>LEN(TRIM(E89))=0</formula>
    </cfRule>
  </conditionalFormatting>
  <conditionalFormatting sqref="G130">
    <cfRule type="containsBlanks" dxfId="4102" priority="600">
      <formula>LEN(TRIM(G130))=0</formula>
    </cfRule>
    <cfRule type="notContainsBlanks" dxfId="4101" priority="217">
      <formula>LEN(TRIM(G130))&gt;0</formula>
    </cfRule>
  </conditionalFormatting>
  <conditionalFormatting sqref="G132:G133">
    <cfRule type="containsBlanks" dxfId="4100" priority="6">
      <formula>LEN(TRIM(G132))=0</formula>
    </cfRule>
    <cfRule type="notContainsBlanks" dxfId="4099" priority="4">
      <formula>LEN(TRIM(G132))&gt;0</formula>
    </cfRule>
  </conditionalFormatting>
  <conditionalFormatting sqref="G135:G142 G144:G146 E146">
    <cfRule type="containsBlanks" dxfId="4098" priority="287">
      <formula>LEN(TRIM(E135))=0</formula>
    </cfRule>
  </conditionalFormatting>
  <conditionalFormatting sqref="G138:G142 G144:G146 E146">
    <cfRule type="notContainsBlanks" dxfId="4097" priority="322">
      <formula>LEN(TRIM(E138))&gt;0</formula>
    </cfRule>
  </conditionalFormatting>
  <conditionalFormatting sqref="G157:G158">
    <cfRule type="containsBlanks" dxfId="4096" priority="37">
      <formula>LEN(TRIM(G157))=0</formula>
    </cfRule>
    <cfRule type="notContainsBlanks" dxfId="4095" priority="36">
      <formula>LEN(TRIM(G157))&gt;0</formula>
    </cfRule>
  </conditionalFormatting>
  <pageMargins left="0.7" right="0.7" top="0.75" bottom="0.75" header="0.3" footer="0.3"/>
  <pageSetup paperSize="9" orientation="portrait" horizontalDpi="0" verticalDpi="0"/>
  <ignoredErrors>
    <ignoredError sqref="C21:C22"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82EF44E0227C24E85294C0D2197735E" ma:contentTypeVersion="16" ma:contentTypeDescription="Create a new document." ma:contentTypeScope="" ma:versionID="0762e96695b87e50645077735b0a3394">
  <xsd:schema xmlns:xsd="http://www.w3.org/2001/XMLSchema" xmlns:xs="http://www.w3.org/2001/XMLSchema" xmlns:p="http://schemas.microsoft.com/office/2006/metadata/properties" xmlns:ns2="7dc73e9a-a2c7-410e-a6a7-fe1b70e2a0b9" xmlns:ns3="daa80f42-9ae5-4835-be60-e49709dd5722" xmlns:ns4="eb3a237d-4129-4a2a-8fb3-b20be8ca4bd3" targetNamespace="http://schemas.microsoft.com/office/2006/metadata/properties" ma:root="true" ma:fieldsID="277ebc50a8058a9c036e40c5cb4292f8" ns2:_="" ns3:_="" ns4:_="">
    <xsd:import namespace="7dc73e9a-a2c7-410e-a6a7-fe1b70e2a0b9"/>
    <xsd:import namespace="daa80f42-9ae5-4835-be60-e49709dd5722"/>
    <xsd:import namespace="eb3a237d-4129-4a2a-8fb3-b20be8ca4bd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c73e9a-a2c7-410e-a6a7-fe1b70e2a0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5e2881d-93c9-4b6d-a08c-48bb4ed1ec6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a80f42-9ae5-4835-be60-e49709dd572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3a237d-4129-4a2a-8fb3-b20be8ca4bd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cf06e5e-f23f-4c2a-8b0f-6461e8fdd81c}" ma:internalName="TaxCatchAll" ma:showField="CatchAllData" ma:web="daa80f42-9ae5-4835-be60-e49709dd57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b3a237d-4129-4a2a-8fb3-b20be8ca4bd3" xsi:nil="true"/>
    <lcf76f155ced4ddcb4097134ff3c332f xmlns="7dc73e9a-a2c7-410e-a6a7-fe1b70e2a0b9">
      <Terms xmlns="http://schemas.microsoft.com/office/infopath/2007/PartnerControls"/>
    </lcf76f155ced4ddcb4097134ff3c332f>
    <SharedWithUsers xmlns="daa80f42-9ae5-4835-be60-e49709dd5722">
      <UserInfo>
        <DisplayName>Andy Beltz</DisplayName>
        <AccountId>525</AccountId>
        <AccountType/>
      </UserInfo>
    </SharedWithUsers>
  </documentManagement>
</p:properties>
</file>

<file path=customXml/itemProps1.xml><?xml version="1.0" encoding="utf-8"?>
<ds:datastoreItem xmlns:ds="http://schemas.openxmlformats.org/officeDocument/2006/customXml" ds:itemID="{9AA35F94-42D7-4DE9-8B50-E0DB83B46D6C}">
  <ds:schemaRefs>
    <ds:schemaRef ds:uri="http://schemas.microsoft.com/sharepoint/v3/contenttype/forms"/>
  </ds:schemaRefs>
</ds:datastoreItem>
</file>

<file path=customXml/itemProps2.xml><?xml version="1.0" encoding="utf-8"?>
<ds:datastoreItem xmlns:ds="http://schemas.openxmlformats.org/officeDocument/2006/customXml" ds:itemID="{68027453-C8FB-4CB4-AFBB-858BEA4663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c73e9a-a2c7-410e-a6a7-fe1b70e2a0b9"/>
    <ds:schemaRef ds:uri="daa80f42-9ae5-4835-be60-e49709dd5722"/>
    <ds:schemaRef ds:uri="eb3a237d-4129-4a2a-8fb3-b20be8ca4b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38FDAF-6C1D-43F6-B941-6E104C721C9F}">
  <ds:schemaRefs>
    <ds:schemaRef ds:uri="eb3a237d-4129-4a2a-8fb3-b20be8ca4bd3"/>
    <ds:schemaRef ds:uri="daa80f42-9ae5-4835-be60-e49709dd5722"/>
    <ds:schemaRef ds:uri="http://www.w3.org/XML/1998/namespace"/>
    <ds:schemaRef ds:uri="http://schemas.microsoft.com/office/2006/metadata/properties"/>
    <ds:schemaRef ds:uri="http://schemas.microsoft.com/office/2006/documentManagement/types"/>
    <ds:schemaRef ds:uri="http://purl.org/dc/elements/1.1/"/>
    <ds:schemaRef ds:uri="http://purl.org/dc/terms/"/>
    <ds:schemaRef ds:uri="7dc73e9a-a2c7-410e-a6a7-fe1b70e2a0b9"/>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40</vt:i4>
      </vt:variant>
      <vt:variant>
        <vt:lpstr>Named Ranges</vt:lpstr>
      </vt:variant>
      <vt:variant>
        <vt:i4>7944</vt:i4>
      </vt:variant>
    </vt:vector>
  </HeadingPairs>
  <TitlesOfParts>
    <vt:vector size="7984" baseType="lpstr">
      <vt:lpstr>Deployment Options</vt:lpstr>
      <vt:lpstr>Unified Installer</vt:lpstr>
      <vt:lpstr>Version History</vt:lpstr>
      <vt:lpstr>Version History Internal</vt:lpstr>
      <vt:lpstr>Prerequisite Checklist</vt:lpstr>
      <vt:lpstr>Management Domain Sizing Inputs</vt:lpstr>
      <vt:lpstr>Network Inputs - Rack</vt:lpstr>
      <vt:lpstr>Network Inputs - VVS</vt:lpstr>
      <vt:lpstr>Name &amp; IP Address Inputs - VM</vt:lpstr>
      <vt:lpstr>Name &amp; IP Address Inputs - Rack</vt:lpstr>
      <vt:lpstr>SDDC Inputs - Common</vt:lpstr>
      <vt:lpstr>SDDC Inputs - Rack</vt:lpstr>
      <vt:lpstr>Active Directory Inputs</vt:lpstr>
      <vt:lpstr>Management Domain Sizing</vt:lpstr>
      <vt:lpstr>Management Domain CertGen File</vt:lpstr>
      <vt:lpstr>Management Domain</vt:lpstr>
      <vt:lpstr>Unified Installer Json</vt:lpstr>
      <vt:lpstr>Aria Lifecycle &amp; VCF Aware WSA</vt:lpstr>
      <vt:lpstr>Unified Installer Reference Tab</vt:lpstr>
      <vt:lpstr>Static Reference Tables</vt:lpstr>
      <vt:lpstr>Value Reference Tables</vt:lpstr>
      <vt:lpstr>Value Reference Tables - MR</vt:lpstr>
      <vt:lpstr>VI Workload Domain CertGen File</vt:lpstr>
      <vt:lpstr>VI Workload Domain Rack Config</vt:lpstr>
      <vt:lpstr>VI Workload Domain</vt:lpstr>
      <vt:lpstr>VI WLD MultiRack API Sample</vt:lpstr>
      <vt:lpstr>VI WLD MultiRack EdgeAPI Sample</vt:lpstr>
      <vt:lpstr>Identity &amp; Access Management</vt:lpstr>
      <vt:lpstr>Developer Ready Infrastructure</vt:lpstr>
      <vt:lpstr>Private AI Ready Infrastructure</vt:lpstr>
      <vt:lpstr>Intelligent Logging &amp; Analytics</vt:lpstr>
      <vt:lpstr>Intelligent Operations Mgmt</vt:lpstr>
      <vt:lpstr>Aria Operations Alert List</vt:lpstr>
      <vt:lpstr>Intelligent Network Visibility</vt:lpstr>
      <vt:lpstr>Private Cloud Automation</vt:lpstr>
      <vt:lpstr>Site Protection &amp; DR</vt:lpstr>
      <vt:lpstr>Health Reporting and Monitoring</vt:lpstr>
      <vt:lpstr>Cloud-Based Ransomware Recovery</vt:lpstr>
      <vt:lpstr>Cross Cloud Mobility</vt:lpstr>
      <vt:lpstr>Config_File_Build</vt:lpstr>
      <vt:lpstr>administrator_vsphere_local_password</vt:lpstr>
      <vt:lpstr>air_chosen</vt:lpstr>
      <vt:lpstr>air_GPU_network_operator_namespace</vt:lpstr>
      <vt:lpstr>air_GPU_operator_namespace</vt:lpstr>
      <vt:lpstr>air_GPU_VM_class</vt:lpstr>
      <vt:lpstr>air_license</vt:lpstr>
      <vt:lpstr>air_result</vt:lpstr>
      <vt:lpstr>all_hosts</vt:lpstr>
      <vt:lpstr>asn_instance</vt:lpstr>
      <vt:lpstr>asn_mgmt_az1</vt:lpstr>
      <vt:lpstr>asn_mgmt_az2</vt:lpstr>
      <vt:lpstr>asn_start</vt:lpstr>
      <vt:lpstr>asn_wld_az1</vt:lpstr>
      <vt:lpstr>asn_wld_az2</vt:lpstr>
      <vt:lpstr>automation_product_name</vt:lpstr>
      <vt:lpstr>avail_host_type_1</vt:lpstr>
      <vt:lpstr>avail_host_type_2</vt:lpstr>
      <vt:lpstr>avail_host_type_3</vt:lpstr>
      <vt:lpstr>avail_host_type_4</vt:lpstr>
      <vt:lpstr>avail_host_type_5</vt:lpstr>
      <vt:lpstr>avail_host_type_6</vt:lpstr>
      <vt:lpstr>avail_host_type_7</vt:lpstr>
      <vt:lpstr>avail_host_type_8</vt:lpstr>
      <vt:lpstr>avail_rack_list</vt:lpstr>
      <vt:lpstr>avail_rack_list_2</vt:lpstr>
      <vt:lpstr>avail_rack_list_3</vt:lpstr>
      <vt:lpstr>avail_rack_list_4</vt:lpstr>
      <vt:lpstr>avail_rack_list_5</vt:lpstr>
      <vt:lpstr>avail_rack_list_6</vt:lpstr>
      <vt:lpstr>avail_rack_list_7</vt:lpstr>
      <vt:lpstr>avail_rack_list_8</vt:lpstr>
      <vt:lpstr>avilb_root_password</vt:lpstr>
      <vt:lpstr>aws_regions</vt:lpstr>
      <vt:lpstr>ca_administrator_password</vt:lpstr>
      <vt:lpstr>ca_administrator_username</vt:lpstr>
      <vt:lpstr>ca_algorithm</vt:lpstr>
      <vt:lpstr>ca_country</vt:lpstr>
      <vt:lpstr>ca_email_address</vt:lpstr>
      <vt:lpstr>ca_key_size</vt:lpstr>
      <vt:lpstr>ca_locality</vt:lpstr>
      <vt:lpstr>ca_organization</vt:lpstr>
      <vt:lpstr>ca_organization_unit</vt:lpstr>
      <vt:lpstr>ca_state</vt:lpstr>
      <vt:lpstr>ca_template_name</vt:lpstr>
      <vt:lpstr>calculated_mgmt_host_count</vt:lpstr>
      <vt:lpstr>cbr_aria_logs_key</vt:lpstr>
      <vt:lpstr>cbr_aria_logs_url</vt:lpstr>
      <vt:lpstr>cbr_chosen</vt:lpstr>
      <vt:lpstr>cbr_firewall_group</vt:lpstr>
      <vt:lpstr>cbr_firewall_ip_addresses</vt:lpstr>
      <vt:lpstr>cbr_firewall_rule_vcenter</vt:lpstr>
      <vt:lpstr>cbr_recovery_host_count</vt:lpstr>
      <vt:lpstr>cbr_recovery_host_type</vt:lpstr>
      <vt:lpstr>cbr_recovery_management_subnet</vt:lpstr>
      <vt:lpstr>cbr_recovery_region</vt:lpstr>
      <vt:lpstr>cbr_recovery_sddc_name</vt:lpstr>
      <vt:lpstr>cbr_recovery_subnet</vt:lpstr>
      <vt:lpstr>cbr_recovery_vpc</vt:lpstr>
      <vt:lpstr>cbr_result</vt:lpstr>
      <vt:lpstr>cbr_vcdr_anti_affinity</vt:lpstr>
      <vt:lpstr>cbr_vcdr_cdp1_hostname</vt:lpstr>
      <vt:lpstr>cbr_vcdr_cdp1_ip</vt:lpstr>
      <vt:lpstr>cbr_vcdr_cdp2_hostname</vt:lpstr>
      <vt:lpstr>cbr_vcdr_cdp2_ip</vt:lpstr>
      <vt:lpstr>cbr_vcdr_cloud_file_system</vt:lpstr>
      <vt:lpstr>cbr_vcdr_email_recipient</vt:lpstr>
      <vt:lpstr>cbr_vcdr_email_sender</vt:lpstr>
      <vt:lpstr>cbr_vcdr_label</vt:lpstr>
      <vt:lpstr>cbr_vcdr_orchestrator_fqdn</vt:lpstr>
      <vt:lpstr>cbr_vcdr_ova</vt:lpstr>
      <vt:lpstr>cbr_vcdr_passcode</vt:lpstr>
      <vt:lpstr>cbr_vcdr_site_name</vt:lpstr>
      <vt:lpstr>cbr_vcdr_timezone</vt:lpstr>
      <vt:lpstr>cbr_vcdr_vsphere_role</vt:lpstr>
      <vt:lpstr>cbr_vm_folder</vt:lpstr>
      <vt:lpstr>ccm_aws_admin_password</vt:lpstr>
      <vt:lpstr>ccm_aws_admin_ssouser</vt:lpstr>
      <vt:lpstr>ccm_aws_host_count</vt:lpstr>
      <vt:lpstr>ccm_aws_host_type</vt:lpstr>
      <vt:lpstr>ccm_aws_management_subnet</vt:lpstr>
      <vt:lpstr>ccm_aws_region</vt:lpstr>
      <vt:lpstr>ccm_aws_sddc_name</vt:lpstr>
      <vt:lpstr>ccm_aws_subnet</vt:lpstr>
      <vt:lpstr>ccm_aws_vpc</vt:lpstr>
      <vt:lpstr>ccm_chosen</vt:lpstr>
      <vt:lpstr>ccm_firewall_group</vt:lpstr>
      <vt:lpstr>ccm_firewall_ip_addresses</vt:lpstr>
      <vt:lpstr>ccm_firewall_rule_hcx</vt:lpstr>
      <vt:lpstr>ccm_firewall_rule_vcenter</vt:lpstr>
      <vt:lpstr>ccm_hcx_admin_password</vt:lpstr>
      <vt:lpstr>ccm_hcx_cdp_hostname</vt:lpstr>
      <vt:lpstr>ccm_hcx_cdp_ip</vt:lpstr>
      <vt:lpstr>ccm_hcx_compute_profile</vt:lpstr>
      <vt:lpstr>ccm_hcx_dc_location</vt:lpstr>
      <vt:lpstr>ccm_hcx_license</vt:lpstr>
      <vt:lpstr>ccm_hcx_mgmt_network_ip_range</vt:lpstr>
      <vt:lpstr>ccm_hcx_nsx_svc_password</vt:lpstr>
      <vt:lpstr>ccm_hcx_nsx_svc_user</vt:lpstr>
      <vt:lpstr>ccm_hcx_remote_url</vt:lpstr>
      <vt:lpstr>ccm_hcx_resource_pool</vt:lpstr>
      <vt:lpstr>ccm_hcx_root_password</vt:lpstr>
      <vt:lpstr>ccm_hcx_service_mesh</vt:lpstr>
      <vt:lpstr>ccm_hcx_vm_folder</vt:lpstr>
      <vt:lpstr>ccm_hcx_vmotion_network_ip_range</vt:lpstr>
      <vt:lpstr>ccm_hcx_vsphere_role</vt:lpstr>
      <vt:lpstr>ccm_hcx_vsphere_svc_password</vt:lpstr>
      <vt:lpstr>ccm_hcx_vsphere_svc_user</vt:lpstr>
      <vt:lpstr>ccm_result</vt:lpstr>
      <vt:lpstr>ccm_vm_folder</vt:lpstr>
      <vt:lpstr>certificate_authority_fqdn</vt:lpstr>
      <vt:lpstr>certificate_authority_model</vt:lpstr>
      <vt:lpstr>certificate_authority_name</vt:lpstr>
      <vt:lpstr>child_ad_bind_dn</vt:lpstr>
      <vt:lpstr>child_ad_groups_ou</vt:lpstr>
      <vt:lpstr>child_ad_users_ou</vt:lpstr>
      <vt:lpstr>child_dns_zone</vt:lpstr>
      <vt:lpstr>child_svc_nsx_ad_password</vt:lpstr>
      <vt:lpstr>child_svc_nsx_ad_user</vt:lpstr>
      <vt:lpstr>child_svc_vsphere_ad_password</vt:lpstr>
      <vt:lpstr>child_svc_vsphere_ad_user</vt:lpstr>
      <vt:lpstr>child_svc_wsa_ad_password</vt:lpstr>
      <vt:lpstr>child_svc_wsa_ad_user</vt:lpstr>
      <vt:lpstr>cloudbuilder_admin_password</vt:lpstr>
      <vt:lpstr>cloudbuilder_admin_username</vt:lpstr>
      <vt:lpstr>cloudbuilder_fqdn</vt:lpstr>
      <vt:lpstr>cloudbuilder_hostname</vt:lpstr>
      <vt:lpstr>cloudbuilder_ip</vt:lpstr>
      <vt:lpstr>cloudbuilder_root_password</vt:lpstr>
      <vt:lpstr>cloudbuilder_target_datastore</vt:lpstr>
      <vt:lpstr>cloudbuilder_target_fqdn</vt:lpstr>
      <vt:lpstr>cloudbuilder_target_network</vt:lpstr>
      <vt:lpstr>developer_ready_chosen</vt:lpstr>
      <vt:lpstr>developer_ready_result</vt:lpstr>
      <vt:lpstr>domain_controller_hostname</vt:lpstr>
      <vt:lpstr>dri_dns_servers</vt:lpstr>
      <vt:lpstr>dri_ec_name</vt:lpstr>
      <vt:lpstr>dri_k8s_server_address</vt:lpstr>
      <vt:lpstr>dri_k8s_size_hint</vt:lpstr>
      <vt:lpstr>dri_load_balancer_ge</vt:lpstr>
      <vt:lpstr>dri_load_balancer_le</vt:lpstr>
      <vt:lpstr>dri_network_address_range_size</vt:lpstr>
      <vt:lpstr>dri_network_mode</vt:lpstr>
      <vt:lpstr>dri_nsxt_vip_fqdn</vt:lpstr>
      <vt:lpstr>dri_ntp_servers</vt:lpstr>
      <vt:lpstr>dri_overlay_transport_zone</vt:lpstr>
      <vt:lpstr>dri_sddc_domain</vt:lpstr>
      <vt:lpstr>dri_tier0_name</vt:lpstr>
      <vt:lpstr>dri_tier1_name</vt:lpstr>
      <vt:lpstr>dri_vcenter_cluster</vt:lpstr>
      <vt:lpstr>dri_vcenter_datacenter</vt:lpstr>
      <vt:lpstr>dri_vcenter_fqdn</vt:lpstr>
      <vt:lpstr>dri_vcenter_vds_name</vt:lpstr>
      <vt:lpstr>dri_vcenter_vsan_datastore</vt:lpstr>
      <vt:lpstr>esx_k8s_license</vt:lpstr>
      <vt:lpstr>esx_std_license</vt:lpstr>
      <vt:lpstr>esxi_root_password</vt:lpstr>
      <vt:lpstr>esxi_thumbprint_validation</vt:lpstr>
      <vt:lpstr>first_domain_mgmt_only_viable</vt:lpstr>
      <vt:lpstr>first_domain_mgmt_vi_viable</vt:lpstr>
      <vt:lpstr>gg_vrni_admin_group</vt:lpstr>
      <vt:lpstr>gg_vrni_admin_group_dn</vt:lpstr>
      <vt:lpstr>gg_vrni_auditor_group</vt:lpstr>
      <vt:lpstr>gg_vrni_auditor_group_dn</vt:lpstr>
      <vt:lpstr>gg_vrni_member_group</vt:lpstr>
      <vt:lpstr>gg_vrni_member_group_dn</vt:lpstr>
      <vt:lpstr>global_env_admin_password</vt:lpstr>
      <vt:lpstr>global_env_admin_password_alias</vt:lpstr>
      <vt:lpstr>global_env_admin_username</vt:lpstr>
      <vt:lpstr>group_gg_kub_admins</vt:lpstr>
      <vt:lpstr>group_gg_kub_readonly</vt:lpstr>
      <vt:lpstr>group_gg_nsx_auditors</vt:lpstr>
      <vt:lpstr>group_gg_nsx_enterprise_admins</vt:lpstr>
      <vt:lpstr>group_gg_nsx_network_admins</vt:lpstr>
      <vt:lpstr>group_gg_sso_admins</vt:lpstr>
      <vt:lpstr>group_gg_vc_admins</vt:lpstr>
      <vt:lpstr>group_gg_vc_read_only</vt:lpstr>
      <vt:lpstr>group_gg_vcf_admins</vt:lpstr>
      <vt:lpstr>group_gg_vcf_operators</vt:lpstr>
      <vt:lpstr>group_gg_vcf_viewers</vt:lpstr>
      <vt:lpstr>group_gg_vra_cloud_assembly_admins</vt:lpstr>
      <vt:lpstr>group_gg_vra_cloud_assembly_users</vt:lpstr>
      <vt:lpstr>group_gg_vra_cloud_assembly_viewers</vt:lpstr>
      <vt:lpstr>group_gg_vra_orchestrator_admins</vt:lpstr>
      <vt:lpstr>group_gg_vra_orchestrator_designers</vt:lpstr>
      <vt:lpstr>group_gg_vra_orchestrator_viewers</vt:lpstr>
      <vt:lpstr>group_gg_vra_org_owners</vt:lpstr>
      <vt:lpstr>group_gg_vra_project_admins_sample</vt:lpstr>
      <vt:lpstr>group_gg_vra_project_users_sample</vt:lpstr>
      <vt:lpstr>group_gg_vra_service_broker_admins</vt:lpstr>
      <vt:lpstr>group_gg_vra_service_broker_users</vt:lpstr>
      <vt:lpstr>group_gg_vra_service_broker_viewers</vt:lpstr>
      <vt:lpstr>group_gg_vrli_admins</vt:lpstr>
      <vt:lpstr>group_gg_vrli_users</vt:lpstr>
      <vt:lpstr>group_gg_vrli_viewers</vt:lpstr>
      <vt:lpstr>group_gg_vrops_admins</vt:lpstr>
      <vt:lpstr>group_gg_vrops_content_admins</vt:lpstr>
      <vt:lpstr>group_gg_vrops_read_only</vt:lpstr>
      <vt:lpstr>group_gg_vrslcm_admins</vt:lpstr>
      <vt:lpstr>group_gg_vrslcm_content_developers</vt:lpstr>
      <vt:lpstr>group_gg_vrslcm_release_managers</vt:lpstr>
      <vt:lpstr>group_parent_gg_wsa_admins</vt:lpstr>
      <vt:lpstr>group_parent_gg_wsa_directory_admins</vt:lpstr>
      <vt:lpstr>group_parent_gg_wsa_read_only</vt:lpstr>
      <vt:lpstr>hrm_chosen</vt:lpstr>
      <vt:lpstr>hrm_notification_email</vt:lpstr>
      <vt:lpstr>hrm_result</vt:lpstr>
      <vt:lpstr>hrm_vm_administrator_password</vt:lpstr>
      <vt:lpstr>hrm_vm_folder</vt:lpstr>
      <vt:lpstr>hrm_vm_fqdn</vt:lpstr>
      <vt:lpstr>hrm_vm_hostname</vt:lpstr>
      <vt:lpstr>hrm_vm_ip</vt:lpstr>
      <vt:lpstr>hrm_vm_root_password</vt:lpstr>
      <vt:lpstr>hrm_vrops_role_description</vt:lpstr>
      <vt:lpstr>hrm_vrops_role_name</vt:lpstr>
      <vt:lpstr>hrm_vrops_scope_description</vt:lpstr>
      <vt:lpstr>hrm_vrops_scope_name</vt:lpstr>
      <vt:lpstr>iam_ad_based_dn</vt:lpstr>
      <vt:lpstr>iam_ad_connection_type</vt:lpstr>
      <vt:lpstr>iam_ad_nsx_domain_controller</vt:lpstr>
      <vt:lpstr>iam_chosen</vt:lpstr>
      <vt:lpstr>iam_nsx_ad_bind_password</vt:lpstr>
      <vt:lpstr>iam_nsx_ad_bind_username</vt:lpstr>
      <vt:lpstr>iam_result</vt:lpstr>
      <vt:lpstr>iam_vsphere_ad_bind_password</vt:lpstr>
      <vt:lpstr>iam_vsphere_ad_bind_username</vt:lpstr>
      <vt:lpstr>ila_github_token</vt:lpstr>
      <vt:lpstr>input_administrator_vsphere_local_password</vt:lpstr>
      <vt:lpstr>input_air_GPU_network_operator_namespace</vt:lpstr>
      <vt:lpstr>input_air_GPU_operator_namespace</vt:lpstr>
      <vt:lpstr>input_air_GPU_VM_class</vt:lpstr>
      <vt:lpstr>input_air_license</vt:lpstr>
      <vt:lpstr>input_avilb_root_password</vt:lpstr>
      <vt:lpstr>input_ca_administrator_password</vt:lpstr>
      <vt:lpstr>input_ca_administrator_username</vt:lpstr>
      <vt:lpstr>input_ca_algorithm</vt:lpstr>
      <vt:lpstr>input_ca_country</vt:lpstr>
      <vt:lpstr>input_ca_email_address</vt:lpstr>
      <vt:lpstr>input_ca_key_size</vt:lpstr>
      <vt:lpstr>input_ca_locality</vt:lpstr>
      <vt:lpstr>input_ca_organization</vt:lpstr>
      <vt:lpstr>input_ca_organization_unit</vt:lpstr>
      <vt:lpstr>input_ca_state</vt:lpstr>
      <vt:lpstr>input_ca_template_name</vt:lpstr>
      <vt:lpstr>input_cbr_aria_logs_key</vt:lpstr>
      <vt:lpstr>input_cbr_aria_logs_url</vt:lpstr>
      <vt:lpstr>input_cbr_firewall_group</vt:lpstr>
      <vt:lpstr>input_cbr_firewall_ip_addresses</vt:lpstr>
      <vt:lpstr>input_cbr_firewall_rule_vcenter</vt:lpstr>
      <vt:lpstr>input_cbr_recovery_host_count</vt:lpstr>
      <vt:lpstr>input_cbr_recovery_host_type</vt:lpstr>
      <vt:lpstr>input_cbr_recovery_management_subnet</vt:lpstr>
      <vt:lpstr>input_cbr_recovery_region</vt:lpstr>
      <vt:lpstr>input_cbr_recovery_sddc_name</vt:lpstr>
      <vt:lpstr>input_cbr_recovery_subnet</vt:lpstr>
      <vt:lpstr>input_cbr_recovery_vpc</vt:lpstr>
      <vt:lpstr>input_cbr_vcdr_anti_affinity</vt:lpstr>
      <vt:lpstr>input_cbr_vcdr_cdp1_hostname</vt:lpstr>
      <vt:lpstr>input_cbr_vcdr_cdp1_ip</vt:lpstr>
      <vt:lpstr>input_cbr_vcdr_cdp2_hostname</vt:lpstr>
      <vt:lpstr>input_cbr_vcdr_cdp2_ip</vt:lpstr>
      <vt:lpstr>input_cbr_vcdr_cloud_file_system</vt:lpstr>
      <vt:lpstr>input_cbr_vcdr_email_recipient</vt:lpstr>
      <vt:lpstr>input_cbr_vcdr_email_sender</vt:lpstr>
      <vt:lpstr>input_cbr_vcdr_label</vt:lpstr>
      <vt:lpstr>input_cbr_vcdr_orchestrator_fqdn</vt:lpstr>
      <vt:lpstr>input_cbr_vcdr_ova</vt:lpstr>
      <vt:lpstr>input_cbr_vcdr_passcode</vt:lpstr>
      <vt:lpstr>input_cbr_vcdr_site_name</vt:lpstr>
      <vt:lpstr>input_cbr_vcdr_timezone</vt:lpstr>
      <vt:lpstr>input_cbr_vcdr_vsphere_role</vt:lpstr>
      <vt:lpstr>input_cbr_vm_folder</vt:lpstr>
      <vt:lpstr>input_ccm_aws_admin_password</vt:lpstr>
      <vt:lpstr>input_ccm_aws_admin_ssouser</vt:lpstr>
      <vt:lpstr>input_ccm_aws_host_count</vt:lpstr>
      <vt:lpstr>input_ccm_aws_host_type</vt:lpstr>
      <vt:lpstr>input_ccm_aws_management_subnet</vt:lpstr>
      <vt:lpstr>input_ccm_aws_region</vt:lpstr>
      <vt:lpstr>input_ccm_aws_sddc_name</vt:lpstr>
      <vt:lpstr>input_ccm_aws_subnet</vt:lpstr>
      <vt:lpstr>input_ccm_aws_vpc</vt:lpstr>
      <vt:lpstr>input_ccm_firewall_group</vt:lpstr>
      <vt:lpstr>input_ccm_firewall_ip_addresses</vt:lpstr>
      <vt:lpstr>input_ccm_firewall_rule_hcx</vt:lpstr>
      <vt:lpstr>input_ccm_firewall_rule_vcenter</vt:lpstr>
      <vt:lpstr>input_ccm_hcx_admin_password</vt:lpstr>
      <vt:lpstr>input_ccm_hcx_cdp_hostname</vt:lpstr>
      <vt:lpstr>input_ccm_hcx_cdp_ip</vt:lpstr>
      <vt:lpstr>input_ccm_hcx_compute_profile</vt:lpstr>
      <vt:lpstr>input_ccm_hcx_dc_location</vt:lpstr>
      <vt:lpstr>input_ccm_hcx_license</vt:lpstr>
      <vt:lpstr>input_ccm_hcx_mgmt_network_ip_range</vt:lpstr>
      <vt:lpstr>input_ccm_hcx_remote_url</vt:lpstr>
      <vt:lpstr>input_ccm_hcx_resource_pool</vt:lpstr>
      <vt:lpstr>input_ccm_hcx_root_password</vt:lpstr>
      <vt:lpstr>input_ccm_hcx_service_mesh</vt:lpstr>
      <vt:lpstr>input_ccm_hcx_vm_folder</vt:lpstr>
      <vt:lpstr>input_ccm_hcx_vmotion_network_ip_range</vt:lpstr>
      <vt:lpstr>input_ccm_hcx_vsphere_role</vt:lpstr>
      <vt:lpstr>input_ccm_vm_folder</vt:lpstr>
      <vt:lpstr>input_certificate_authority_fqdn</vt:lpstr>
      <vt:lpstr>input_certificate_authority_name</vt:lpstr>
      <vt:lpstr>input_child_ad_groups_ou</vt:lpstr>
      <vt:lpstr>input_child_ad_users_ou</vt:lpstr>
      <vt:lpstr>input_child_dns_zone</vt:lpstr>
      <vt:lpstr>input_child_svc_nsx_ad_password</vt:lpstr>
      <vt:lpstr>input_child_svc_nsx_ad_user</vt:lpstr>
      <vt:lpstr>input_child_svc_vsphere_ad_password</vt:lpstr>
      <vt:lpstr>input_child_svc_vsphere_ad_user</vt:lpstr>
      <vt:lpstr>input_child_svc_wsa_ad_password</vt:lpstr>
      <vt:lpstr>input_child_svc_wsa_ad_user</vt:lpstr>
      <vt:lpstr>input_cloudbuilder_admin_password</vt:lpstr>
      <vt:lpstr>input_cloudbuilder_admin_username</vt:lpstr>
      <vt:lpstr>input_cloudbuilder_hostname</vt:lpstr>
      <vt:lpstr>input_cloudbuilder_ip</vt:lpstr>
      <vt:lpstr>input_cloudbuilder_root_password</vt:lpstr>
      <vt:lpstr>input_cloudbuilder_target_datastore</vt:lpstr>
      <vt:lpstr>input_cloudbuilder_target_fqdn</vt:lpstr>
      <vt:lpstr>input_cloudbuilder_target_network</vt:lpstr>
      <vt:lpstr>input_domain_controller_hostname</vt:lpstr>
      <vt:lpstr>input_esx_k8s_license</vt:lpstr>
      <vt:lpstr>input_esx_std_license</vt:lpstr>
      <vt:lpstr>input_esxi_root_password</vt:lpstr>
      <vt:lpstr>input_esxi_thumbprint_validation</vt:lpstr>
      <vt:lpstr>input_gg_kub_admins_group</vt:lpstr>
      <vt:lpstr>input_gg_kub_readonly_group</vt:lpstr>
      <vt:lpstr>input_gg_nsx_auditors_group</vt:lpstr>
      <vt:lpstr>input_gg_nsx_enterprise_admins_group</vt:lpstr>
      <vt:lpstr>input_gg_nsx_network_admins_group</vt:lpstr>
      <vt:lpstr>input_gg_sso_admins_group</vt:lpstr>
      <vt:lpstr>input_gg_vc_admins_group</vt:lpstr>
      <vt:lpstr>input_gg_vc_read_only_group</vt:lpstr>
      <vt:lpstr>input_gg_vcf_admins_group</vt:lpstr>
      <vt:lpstr>input_gg_vcf_operators_group</vt:lpstr>
      <vt:lpstr>input_gg_vcf_viewers_group</vt:lpstr>
      <vt:lpstr>input_gg_vra_cloud_assembly_admins_group</vt:lpstr>
      <vt:lpstr>input_gg_vra_cloud_assembly_users_group</vt:lpstr>
      <vt:lpstr>input_gg_vra_cloud_assembly_viewers_group</vt:lpstr>
      <vt:lpstr>input_gg_vra_orchestrator_admins_group</vt:lpstr>
      <vt:lpstr>input_gg_vra_orchestrator_designers_group</vt:lpstr>
      <vt:lpstr>input_gg_vra_orchestrator_viewers_group</vt:lpstr>
      <vt:lpstr>input_gg_vra_org_owners_group</vt:lpstr>
      <vt:lpstr>input_gg_vra_project_admins_sample_group</vt:lpstr>
      <vt:lpstr>input_gg_vra_project_users_sample_group</vt:lpstr>
      <vt:lpstr>input_gg_vra_service_broker_admins_group</vt:lpstr>
      <vt:lpstr>input_gg_vra_service_broker_users_group</vt:lpstr>
      <vt:lpstr>input_gg_vra_service_broker_viewers_group</vt:lpstr>
      <vt:lpstr>input_gg_vrli_admins_group</vt:lpstr>
      <vt:lpstr>input_gg_vrli_users_group</vt:lpstr>
      <vt:lpstr>input_gg_vrli_viewers_group</vt:lpstr>
      <vt:lpstr>input_gg_vrni_admin_group</vt:lpstr>
      <vt:lpstr>input_gg_vrni_auditor_group</vt:lpstr>
      <vt:lpstr>input_gg_vrni_member_group</vt:lpstr>
      <vt:lpstr>input_gg_vrops_admins_group</vt:lpstr>
      <vt:lpstr>input_gg_vrops_content_admins_group</vt:lpstr>
      <vt:lpstr>input_gg_vrops_read_only_group</vt:lpstr>
      <vt:lpstr>input_gg_vrslcm_admins_group</vt:lpstr>
      <vt:lpstr>input_gg_vrslcm_content_developers_group</vt:lpstr>
      <vt:lpstr>input_gg_vrslcm_release_managers_group</vt:lpstr>
      <vt:lpstr>input_global_env_admin_password</vt:lpstr>
      <vt:lpstr>input_global_env_admin_password_alias</vt:lpstr>
      <vt:lpstr>input_global_env_admin_username</vt:lpstr>
      <vt:lpstr>input_hrm_notification_email</vt:lpstr>
      <vt:lpstr>input_hrm_vm_administrator_password</vt:lpstr>
      <vt:lpstr>input_hrm_vm_folder</vt:lpstr>
      <vt:lpstr>input_hrm_vm_hostname</vt:lpstr>
      <vt:lpstr>input_hrm_vm_ip</vt:lpstr>
      <vt:lpstr>input_hrm_vm_root_password</vt:lpstr>
      <vt:lpstr>input_hrm_vrops_role_description</vt:lpstr>
      <vt:lpstr>input_hrm_vrops_role_name</vt:lpstr>
      <vt:lpstr>input_hrm_vrops_scope_description</vt:lpstr>
      <vt:lpstr>input_hrm_vrops_scope_name</vt:lpstr>
      <vt:lpstr>input_iam_ad_connection_type</vt:lpstr>
      <vt:lpstr>input_ila_github_token</vt:lpstr>
      <vt:lpstr>input_inv_mgmt_nsxt_piuser</vt:lpstr>
      <vt:lpstr>input_inv_vm_folder</vt:lpstr>
      <vt:lpstr>input_inv_vsphere_role</vt:lpstr>
      <vt:lpstr>input_inv_wld_nsxt_piuser</vt:lpstr>
      <vt:lpstr>input_iom_mgmt_nsxt_piuser</vt:lpstr>
      <vt:lpstr>input_iom_vsphere_role</vt:lpstr>
      <vt:lpstr>input_iom_wld_nsxt_piuser</vt:lpstr>
      <vt:lpstr>input_k8s_api_endpoint_hostname</vt:lpstr>
      <vt:lpstr>input_k8s_api_endpoint_ip</vt:lpstr>
      <vt:lpstr>input_k8s_cluster_name</vt:lpstr>
      <vt:lpstr>input_k8s_egress_pool_cidr</vt:lpstr>
      <vt:lpstr>input_k8s_harbor_hostname</vt:lpstr>
      <vt:lpstr>input_k8s_harbor_ip</vt:lpstr>
      <vt:lpstr>input_k8s_ingress_pool_cidr</vt:lpstr>
      <vt:lpstr>input_k8s_ip_prefixlist</vt:lpstr>
      <vt:lpstr>input_k8s_ip_routemap</vt:lpstr>
      <vt:lpstr>input_k8s_kubectl_path</vt:lpstr>
      <vt:lpstr>input_k8s_mgmt_pool_start_ip</vt:lpstr>
      <vt:lpstr>input_k8s_mgmt_seg</vt:lpstr>
      <vt:lpstr>input_k8s_namepsace</vt:lpstr>
      <vt:lpstr>input_k8s_segment_cidr</vt:lpstr>
      <vt:lpstr>input_k8s_segment_gateway_ip</vt:lpstr>
      <vt:lpstr>input_k8s_supervisor_cluster_pod_pool_cidr</vt:lpstr>
      <vt:lpstr>input_k8s_supervisor_cluster_service_pool_cidr</vt:lpstr>
      <vt:lpstr>input_k8s_tanzu_k8s_cluster_pod_pool_cidr</vt:lpstr>
      <vt:lpstr>input_k8s_tanzu_k8s_cluster_service_pool_cidr</vt:lpstr>
      <vt:lpstr>input_k8s_vcenter_category</vt:lpstr>
      <vt:lpstr>input_k8s_vcenter_content_library</vt:lpstr>
      <vt:lpstr>input_k8s_vcenter_storage_policy</vt:lpstr>
      <vt:lpstr>input_k8s_vcenter_tag</vt:lpstr>
      <vt:lpstr>input_k8s_vm_class</vt:lpstr>
      <vt:lpstr>input_local_admin_password</vt:lpstr>
      <vt:lpstr>input_local_admin_password_alias</vt:lpstr>
      <vt:lpstr>input_local_admin_username</vt:lpstr>
      <vt:lpstr>input_local_configadmin_password</vt:lpstr>
      <vt:lpstr>input_local_configadmin_password_alias</vt:lpstr>
      <vt:lpstr>input_local_configadmin_username</vt:lpstr>
      <vt:lpstr>input_local_vcf_aware_wsa_root_password</vt:lpstr>
      <vt:lpstr>input_local_vcf_aware_wsa_root_password_alias</vt:lpstr>
      <vt:lpstr>input_mgmt_avilb_cluster_name</vt:lpstr>
      <vt:lpstr>input_mgmt_avilb_cluster_version</vt:lpstr>
      <vt:lpstr>input_mgmt_avilb_hostname</vt:lpstr>
      <vt:lpstr>input_mgmt_avilb_ip</vt:lpstr>
      <vt:lpstr>input_mgmt_avilb_mgra_hostname</vt:lpstr>
      <vt:lpstr>input_mgmt_avilb_mgra_ip</vt:lpstr>
      <vt:lpstr>input_mgmt_avilb_mgrb_hostname</vt:lpstr>
      <vt:lpstr>input_mgmt_avilb_mgrb_ip</vt:lpstr>
      <vt:lpstr>input_mgmt_avilb_mgrc_hostname</vt:lpstr>
      <vt:lpstr>input_mgmt_avilb_mgrc_ip</vt:lpstr>
      <vt:lpstr>input_mgmt_az1_edge_overlay_cidr</vt:lpstr>
      <vt:lpstr>input_mgmt_az1_edge_overlay_gateway_ip</vt:lpstr>
      <vt:lpstr>input_mgmt_az1_edge_overlay_mtu</vt:lpstr>
      <vt:lpstr>input_mgmt_az1_edge_overlay_network_pool_name</vt:lpstr>
      <vt:lpstr>input_mgmt_az1_edge_overlay_vlan</vt:lpstr>
      <vt:lpstr>input_mgmt_az1_en1_edge_overlay_interface_ip_1_ip</vt:lpstr>
      <vt:lpstr>input_mgmt_az1_en1_edge_overlay_interface_ip_2_ip</vt:lpstr>
      <vt:lpstr>input_mgmt_az1_en1_hostname</vt:lpstr>
      <vt:lpstr>input_mgmt_az1_en1_mgmt_ip</vt:lpstr>
      <vt:lpstr>input_mgmt_az1_en1_uplink01_interface_ip</vt:lpstr>
      <vt:lpstr>input_mgmt_az1_en1_uplink02_interface_ip</vt:lpstr>
      <vt:lpstr>input_mgmt_az1_en2_edge_overlay_interface_ip_1_ip</vt:lpstr>
      <vt:lpstr>input_mgmt_az1_en2_edge_overlay_interface_ip_2_ip</vt:lpstr>
      <vt:lpstr>input_mgmt_az1_en2_hostname</vt:lpstr>
      <vt:lpstr>input_mgmt_az1_en2_mgmt_ip</vt:lpstr>
      <vt:lpstr>input_mgmt_az1_en2_uplink01_interface_ip</vt:lpstr>
      <vt:lpstr>input_mgmt_az1_en2_uplink02_interface_ip</vt:lpstr>
      <vt:lpstr>input_mgmt_az1_host_overlay_cidr</vt:lpstr>
      <vt:lpstr>input_mgmt_az1_host_overlay_gateway_ip</vt:lpstr>
      <vt:lpstr>input_mgmt_az1_host_overlay_mtu</vt:lpstr>
      <vt:lpstr>input_mgmt_az1_host_overlay_network_pool_description</vt:lpstr>
      <vt:lpstr>input_mgmt_az1_host_overlay_network_pool_name</vt:lpstr>
      <vt:lpstr>input_mgmt_az1_host_overlay_network_profile_name</vt:lpstr>
      <vt:lpstr>input_mgmt_az1_host_overlay_pool_end_ip</vt:lpstr>
      <vt:lpstr>input_mgmt_az1_host_overlay_pool_start_ip</vt:lpstr>
      <vt:lpstr>input_mgmt_az1_host_overlay_uplink_profile_name</vt:lpstr>
      <vt:lpstr>input_mgmt_az1_host_overlay_vlan</vt:lpstr>
      <vt:lpstr>input_mgmt_az1_host1_hostname</vt:lpstr>
      <vt:lpstr>input_mgmt_az1_host1_mgmt_ip</vt:lpstr>
      <vt:lpstr>input_mgmt_az1_host1_vrms_ip</vt:lpstr>
      <vt:lpstr>input_mgmt_az1_host10_hostname</vt:lpstr>
      <vt:lpstr>input_mgmt_az1_host10_mgmt_ip</vt:lpstr>
      <vt:lpstr>input_mgmt_az1_host10_vrms_ip</vt:lpstr>
      <vt:lpstr>input_mgmt_az1_host11_hostname</vt:lpstr>
      <vt:lpstr>input_mgmt_az1_host11_mgmt_ip</vt:lpstr>
      <vt:lpstr>input_mgmt_az1_host11_vrms_ip</vt:lpstr>
      <vt:lpstr>input_mgmt_az1_host12_hostname</vt:lpstr>
      <vt:lpstr>input_mgmt_az1_host12_mgmt_ip</vt:lpstr>
      <vt:lpstr>input_mgmt_az1_host12_vrms_ip</vt:lpstr>
      <vt:lpstr>input_mgmt_az1_host13_hostname</vt:lpstr>
      <vt:lpstr>input_mgmt_az1_host13_mgmt_ip</vt:lpstr>
      <vt:lpstr>input_mgmt_az1_host13_vrms_ip</vt:lpstr>
      <vt:lpstr>input_mgmt_az1_host14_hostname</vt:lpstr>
      <vt:lpstr>input_mgmt_az1_host14_mgmt_ip</vt:lpstr>
      <vt:lpstr>input_mgmt_az1_host14_vrms_ip</vt:lpstr>
      <vt:lpstr>input_mgmt_az1_host15_hostname</vt:lpstr>
      <vt:lpstr>input_mgmt_az1_host15_mgmt_ip</vt:lpstr>
      <vt:lpstr>input_mgmt_az1_host15_vrms_ip</vt:lpstr>
      <vt:lpstr>input_mgmt_az1_host16_hostname</vt:lpstr>
      <vt:lpstr>input_mgmt_az1_host16_mgmt_ip</vt:lpstr>
      <vt:lpstr>input_mgmt_az1_host16_vrms_ip</vt:lpstr>
      <vt:lpstr>input_mgmt_az1_host2_hostname</vt:lpstr>
      <vt:lpstr>input_mgmt_az1_host2_mgmt_ip</vt:lpstr>
      <vt:lpstr>input_mgmt_az1_host2_vrms_ip</vt:lpstr>
      <vt:lpstr>input_mgmt_az1_host3_hostname</vt:lpstr>
      <vt:lpstr>input_mgmt_az1_host3_mgmt_ip</vt:lpstr>
      <vt:lpstr>input_mgmt_az1_host3_vrms_ip</vt:lpstr>
      <vt:lpstr>input_mgmt_az1_host4_hostname</vt:lpstr>
      <vt:lpstr>input_mgmt_az1_host4_mgmt_ip</vt:lpstr>
      <vt:lpstr>input_mgmt_az1_host4_vrms_ip</vt:lpstr>
      <vt:lpstr>input_mgmt_az1_host5_hostname</vt:lpstr>
      <vt:lpstr>input_mgmt_az1_host5_mgmt_ip</vt:lpstr>
      <vt:lpstr>input_mgmt_az1_host5_vrms_ip</vt:lpstr>
      <vt:lpstr>input_mgmt_az1_host6_hostname</vt:lpstr>
      <vt:lpstr>input_mgmt_az1_host6_mgmt_ip</vt:lpstr>
      <vt:lpstr>input_mgmt_az1_host6_vrms_ip</vt:lpstr>
      <vt:lpstr>input_mgmt_az1_host7_hostname</vt:lpstr>
      <vt:lpstr>input_mgmt_az1_host7_mgmt_ip</vt:lpstr>
      <vt:lpstr>input_mgmt_az1_host7_vrms_ip</vt:lpstr>
      <vt:lpstr>input_mgmt_az1_host8_hostname</vt:lpstr>
      <vt:lpstr>input_mgmt_az1_host8_mgmt_ip</vt:lpstr>
      <vt:lpstr>input_mgmt_az1_host8_vrms_ip</vt:lpstr>
      <vt:lpstr>input_mgmt_az1_host9_hostname</vt:lpstr>
      <vt:lpstr>input_mgmt_az1_host9_mgmt_ip</vt:lpstr>
      <vt:lpstr>input_mgmt_az1_host9_vrms_ip</vt:lpstr>
      <vt:lpstr>input_mgmt_az1_mgmt_cidr</vt:lpstr>
      <vt:lpstr>input_mgmt_az1_mgmt_gateway_ip</vt:lpstr>
      <vt:lpstr>input_mgmt_az1_mgmt_mtu</vt:lpstr>
      <vt:lpstr>input_mgmt_az1_mgmt_vlan</vt:lpstr>
      <vt:lpstr>input_mgmt_az1_mgmt_vm_cidr</vt:lpstr>
      <vt:lpstr>input_mgmt_az1_mgmt_vm_gateway_ip</vt:lpstr>
      <vt:lpstr>input_mgmt_az1_mgmt_vm_mtu</vt:lpstr>
      <vt:lpstr>input_mgmt_az1_mgmt_vm_vlan</vt:lpstr>
      <vt:lpstr>input_mgmt_az1_pool_name</vt:lpstr>
      <vt:lpstr>input_mgmt_az1_rtep_ip_pool_name</vt:lpstr>
      <vt:lpstr>input_mgmt_az1_rtep_overlay_cidr</vt:lpstr>
      <vt:lpstr>input_mgmt_az1_rtep_overlay_gateway_ip</vt:lpstr>
      <vt:lpstr>input_mgmt_az1_rtep_overlay_mtu</vt:lpstr>
      <vt:lpstr>input_mgmt_az1_rtep_overlay_vlan</vt:lpstr>
      <vt:lpstr>input_mgmt_az1_tor1_peer_asn</vt:lpstr>
      <vt:lpstr>input_mgmt_az1_tor1_peer_bgp_password</vt:lpstr>
      <vt:lpstr>input_mgmt_az1_tor1_peer_ip</vt:lpstr>
      <vt:lpstr>input_mgmt_az1_tor2_peer_asn</vt:lpstr>
      <vt:lpstr>input_mgmt_az1_tor2_peer_bgp_password</vt:lpstr>
      <vt:lpstr>input_mgmt_az1_tor2_peer_ip</vt:lpstr>
      <vt:lpstr>input_mgmt_az1_uplink01_cidr</vt:lpstr>
      <vt:lpstr>input_mgmt_az1_uplink01_gateway_ip</vt:lpstr>
      <vt:lpstr>input_mgmt_az1_uplink01_mtu</vt:lpstr>
      <vt:lpstr>input_mgmt_az1_uplink01_vlan</vt:lpstr>
      <vt:lpstr>input_mgmt_az1_uplink02_cidr</vt:lpstr>
      <vt:lpstr>input_mgmt_az1_uplink02_gateway_ip</vt:lpstr>
      <vt:lpstr>input_mgmt_az1_uplink02_mtu</vt:lpstr>
      <vt:lpstr>input_mgmt_az1_uplink02_vlan</vt:lpstr>
      <vt:lpstr>input_mgmt_az1_vm_group_name</vt:lpstr>
      <vt:lpstr>input_mgmt_az1_vmotion_cidr</vt:lpstr>
      <vt:lpstr>input_mgmt_az1_vmotion_gateway_ip</vt:lpstr>
      <vt:lpstr>input_mgmt_az1_vmotion_mtu</vt:lpstr>
      <vt:lpstr>input_mgmt_az1_vmotion_pool_end_ip</vt:lpstr>
      <vt:lpstr>input_mgmt_az1_vmotion_pool_start_ip</vt:lpstr>
      <vt:lpstr>input_mgmt_az1_vmotion_vlan</vt:lpstr>
      <vt:lpstr>input_mgmt_az1_vrms_cidr</vt:lpstr>
      <vt:lpstr>input_mgmt_az1_vrms_gateway_ip</vt:lpstr>
      <vt:lpstr>input_mgmt_az1_vrms_mtu</vt:lpstr>
      <vt:lpstr>input_mgmt_az1_vrms_vlan</vt:lpstr>
      <vt:lpstr>input_mgmt_az1_vsan_cidr</vt:lpstr>
      <vt:lpstr>input_mgmt_az1_vsan_gateway_ip</vt:lpstr>
      <vt:lpstr>input_mgmt_az1_vsan_mtu</vt:lpstr>
      <vt:lpstr>input_mgmt_az1_vsan_pool_end_ip</vt:lpstr>
      <vt:lpstr>input_mgmt_az1_vsan_pool_start_ip</vt:lpstr>
      <vt:lpstr>input_mgmt_az1_vsan_vlan</vt:lpstr>
      <vt:lpstr>input_mgmt_az2_edge_overlay_cidr</vt:lpstr>
      <vt:lpstr>input_mgmt_az2_edge_overlay_gateway_ip</vt:lpstr>
      <vt:lpstr>input_mgmt_az2_edge_overlay_mtu</vt:lpstr>
      <vt:lpstr>input_mgmt_az2_edge_overlay_vlan</vt:lpstr>
      <vt:lpstr>input_mgmt_az2_host_overlay_cidr</vt:lpstr>
      <vt:lpstr>input_mgmt_az2_host_overlay_gateway_ip</vt:lpstr>
      <vt:lpstr>input_mgmt_az2_host_overlay_mtu</vt:lpstr>
      <vt:lpstr>input_mgmt_az2_host_overlay_network_pool_name</vt:lpstr>
      <vt:lpstr>input_mgmt_az2_host_overlay_network_profile_name</vt:lpstr>
      <vt:lpstr>input_mgmt_az2_host_overlay_pool_end_ip</vt:lpstr>
      <vt:lpstr>input_mgmt_az2_host_overlay_pool_start_ip</vt:lpstr>
      <vt:lpstr>input_mgmt_az2_host_overlay_uplink_profile_name</vt:lpstr>
      <vt:lpstr>input_mgmt_az2_host_overlay_vlan</vt:lpstr>
      <vt:lpstr>input_mgmt_az2_host1_hostname</vt:lpstr>
      <vt:lpstr>input_mgmt_az2_host1_mgmt_ip</vt:lpstr>
      <vt:lpstr>input_mgmt_az2_host1_sddc_id</vt:lpstr>
      <vt:lpstr>input_mgmt_az2_host1_vrms_ip</vt:lpstr>
      <vt:lpstr>input_mgmt_az2_host10_hostname</vt:lpstr>
      <vt:lpstr>input_mgmt_az2_host10_mgmt_ip</vt:lpstr>
      <vt:lpstr>input_mgmt_az2_host10_vrms_ip</vt:lpstr>
      <vt:lpstr>input_mgmt_az2_host11_hostname</vt:lpstr>
      <vt:lpstr>input_mgmt_az2_host11_mgmt_ip</vt:lpstr>
      <vt:lpstr>input_mgmt_az2_host11_vrms_ip</vt:lpstr>
      <vt:lpstr>input_mgmt_az2_host12_hostname</vt:lpstr>
      <vt:lpstr>input_mgmt_az2_host12_mgmt_ip</vt:lpstr>
      <vt:lpstr>input_mgmt_az2_host12_vrms_ip</vt:lpstr>
      <vt:lpstr>input_mgmt_az2_host13_hostname</vt:lpstr>
      <vt:lpstr>input_mgmt_az2_host13_mgmt_ip</vt:lpstr>
      <vt:lpstr>input_mgmt_az2_host13_vrms_ip</vt:lpstr>
      <vt:lpstr>input_mgmt_az2_host14_hostname</vt:lpstr>
      <vt:lpstr>input_mgmt_az2_host14_mgmt_ip</vt:lpstr>
      <vt:lpstr>input_mgmt_az2_host14_vrms_ip</vt:lpstr>
      <vt:lpstr>input_mgmt_az2_host15_hostname</vt:lpstr>
      <vt:lpstr>input_mgmt_az2_host15_mgmt_ip</vt:lpstr>
      <vt:lpstr>input_mgmt_az2_host15_vrms_ip</vt:lpstr>
      <vt:lpstr>input_mgmt_az2_host16_hostname</vt:lpstr>
      <vt:lpstr>input_mgmt_az2_host16_mgmt_ip</vt:lpstr>
      <vt:lpstr>input_mgmt_az2_host16_vrms_ip</vt:lpstr>
      <vt:lpstr>input_mgmt_az2_host2_hostname</vt:lpstr>
      <vt:lpstr>input_mgmt_az2_host2_mgmt_ip</vt:lpstr>
      <vt:lpstr>input_mgmt_az2_host2_sddc_id</vt:lpstr>
      <vt:lpstr>input_mgmt_az2_host2_vrms_ip</vt:lpstr>
      <vt:lpstr>input_mgmt_az2_host3_hostname</vt:lpstr>
      <vt:lpstr>input_mgmt_az2_host3_mgmt_ip</vt:lpstr>
      <vt:lpstr>input_mgmt_az2_host3_sddc_id</vt:lpstr>
      <vt:lpstr>input_mgmt_az2_host3_vrms_ip</vt:lpstr>
      <vt:lpstr>input_mgmt_az2_host4_hostname</vt:lpstr>
      <vt:lpstr>input_mgmt_az2_host4_mgmt_ip</vt:lpstr>
      <vt:lpstr>input_mgmt_az2_host4_sddc_id</vt:lpstr>
      <vt:lpstr>input_mgmt_az2_host4_vrms_ip</vt:lpstr>
      <vt:lpstr>input_mgmt_az2_host5_hostname</vt:lpstr>
      <vt:lpstr>input_mgmt_az2_host5_mgmt_ip</vt:lpstr>
      <vt:lpstr>input_mgmt_az2_host5_vrms_ip</vt:lpstr>
      <vt:lpstr>input_mgmt_az2_host6_hostname</vt:lpstr>
      <vt:lpstr>input_mgmt_az2_host6_mgmt_ip</vt:lpstr>
      <vt:lpstr>input_mgmt_az2_host6_vrms_ip</vt:lpstr>
      <vt:lpstr>input_mgmt_az2_host7_hostname</vt:lpstr>
      <vt:lpstr>input_mgmt_az2_host7_mgmt_ip</vt:lpstr>
      <vt:lpstr>input_mgmt_az2_host7_vrms_ip</vt:lpstr>
      <vt:lpstr>input_mgmt_az2_host8_hostname</vt:lpstr>
      <vt:lpstr>input_mgmt_az2_host8_mgmt_ip</vt:lpstr>
      <vt:lpstr>input_mgmt_az2_host8_vrms_ip</vt:lpstr>
      <vt:lpstr>input_mgmt_az2_host9_hostname</vt:lpstr>
      <vt:lpstr>input_mgmt_az2_host9_mgmt_ip</vt:lpstr>
      <vt:lpstr>input_mgmt_az2_host9_vrms_ip</vt:lpstr>
      <vt:lpstr>input_mgmt_az2_mgmt_cidr</vt:lpstr>
      <vt:lpstr>input_mgmt_az2_mgmt_gateway_ip</vt:lpstr>
      <vt:lpstr>input_mgmt_az2_mgmt_mtu</vt:lpstr>
      <vt:lpstr>input_mgmt_az2_mgmt_vlan</vt:lpstr>
      <vt:lpstr>input_mgmt_az2_pool_name</vt:lpstr>
      <vt:lpstr>input_mgmt_az2_rtep_overlay_cidr</vt:lpstr>
      <vt:lpstr>input_mgmt_az2_rtep_overlay_gateway_ip</vt:lpstr>
      <vt:lpstr>input_mgmt_az2_rtep_overlay_mtu</vt:lpstr>
      <vt:lpstr>input_mgmt_az2_rtep_overlay_vlan</vt:lpstr>
      <vt:lpstr>input_mgmt_az2_tor1_peer_asn</vt:lpstr>
      <vt:lpstr>input_mgmt_az2_tor1_peer_bgp_password</vt:lpstr>
      <vt:lpstr>input_mgmt_az2_tor1_peer_ip</vt:lpstr>
      <vt:lpstr>input_mgmt_az2_tor2_peer_asn</vt:lpstr>
      <vt:lpstr>input_mgmt_az2_tor2_peer_bgp_password</vt:lpstr>
      <vt:lpstr>input_mgmt_az2_tor2_peer_ip</vt:lpstr>
      <vt:lpstr>input_mgmt_az2_uplink01_cidr</vt:lpstr>
      <vt:lpstr>input_mgmt_az2_uplink01_gateway_ip</vt:lpstr>
      <vt:lpstr>input_mgmt_az2_uplink01_mtu</vt:lpstr>
      <vt:lpstr>input_mgmt_az2_uplink01_vlan</vt:lpstr>
      <vt:lpstr>input_mgmt_az2_uplink02_cidr</vt:lpstr>
      <vt:lpstr>input_mgmt_az2_uplink02_gateway_ip</vt:lpstr>
      <vt:lpstr>input_mgmt_az2_uplink02_mtu</vt:lpstr>
      <vt:lpstr>input_mgmt_az2_uplink02_vlan</vt:lpstr>
      <vt:lpstr>input_mgmt_az2_vmotion_cidr</vt:lpstr>
      <vt:lpstr>input_mgmt_az2_vmotion_gateway_ip</vt:lpstr>
      <vt:lpstr>input_mgmt_az2_vmotion_mtu</vt:lpstr>
      <vt:lpstr>input_mgmt_az2_vmotion_pool_end_ip</vt:lpstr>
      <vt:lpstr>input_mgmt_az2_vmotion_pool_start_ip</vt:lpstr>
      <vt:lpstr>input_mgmt_az2_vmotion_vlan</vt:lpstr>
      <vt:lpstr>input_mgmt_az2_vrms_cidr</vt:lpstr>
      <vt:lpstr>input_mgmt_az2_vrms_gateway_ip</vt:lpstr>
      <vt:lpstr>input_mgmt_az2_vrms_mtu</vt:lpstr>
      <vt:lpstr>input_mgmt_az2_vrms_vlan</vt:lpstr>
      <vt:lpstr>input_mgmt_az2_vsan_cidr</vt:lpstr>
      <vt:lpstr>input_mgmt_az2_vsan_gateway_ip</vt:lpstr>
      <vt:lpstr>input_mgmt_az2_vsan_mtu</vt:lpstr>
      <vt:lpstr>input_mgmt_az2_vsan_pool_end_ip</vt:lpstr>
      <vt:lpstr>input_mgmt_az2_vsan_pool_start_ip</vt:lpstr>
      <vt:lpstr>input_mgmt_az2_vsan_vlan</vt:lpstr>
      <vt:lpstr>input_mgmt_ceip_status</vt:lpstr>
      <vt:lpstr>input_mgmt_cl01_az1_mgmt_pg</vt:lpstr>
      <vt:lpstr>input_mgmt_cl01_az1_mgmt_vm_pg</vt:lpstr>
      <vt:lpstr>input_mgmt_cl01_az1_uplink01_pg</vt:lpstr>
      <vt:lpstr>input_mgmt_cl01_az1_uplink02_pg</vt:lpstr>
      <vt:lpstr>input_mgmt_cl01_az1_vmotion_pg</vt:lpstr>
      <vt:lpstr>input_mgmt_cl01_az1_vsan_pg</vt:lpstr>
      <vt:lpstr>input_mgmt_cl01_cluster</vt:lpstr>
      <vt:lpstr>input_mgmt_cl01_cluster_sddc_id</vt:lpstr>
      <vt:lpstr>input_mgmt_cl01_evc_mode</vt:lpstr>
      <vt:lpstr>input_mgmt_cl01_vds_profile</vt:lpstr>
      <vt:lpstr>input_mgmt_cl01_vds01_mtu</vt:lpstr>
      <vt:lpstr>input_mgmt_cl01_vds01_name</vt:lpstr>
      <vt:lpstr>input_mgmt_cl01_vds01_pnics</vt:lpstr>
      <vt:lpstr>input_mgmt_cl01_vds02_mtu</vt:lpstr>
      <vt:lpstr>input_mgmt_cl01_vds02_name</vt:lpstr>
      <vt:lpstr>input_mgmt_cl01_vds02_pnics</vt:lpstr>
      <vt:lpstr>input_mgmt_cl01_vsan_datastore</vt:lpstr>
      <vt:lpstr>input_mgmt_cl01_vsan_dedupe_compression</vt:lpstr>
      <vt:lpstr>input_mgmt_cl01_vsan_ftt</vt:lpstr>
      <vt:lpstr>input_mgmt_cl01_vss_switch</vt:lpstr>
      <vt:lpstr>input_mgmt_datacenter</vt:lpstr>
      <vt:lpstr>input_mgmt_ec_name</vt:lpstr>
      <vt:lpstr>input_mgmt_ec_profile_type</vt:lpstr>
      <vt:lpstr>input_mgmt_en_asn</vt:lpstr>
      <vt:lpstr>input_mgmt_existing_active_nsx_gm</vt:lpstr>
      <vt:lpstr>input_mgmt_existing_cross_instance_t0_name</vt:lpstr>
      <vt:lpstr>input_mgmt_existing_vc_fqdn</vt:lpstr>
      <vt:lpstr>input_mgmt_fips_status</vt:lpstr>
      <vt:lpstr>input_mgmt_host1_sshfingerprint</vt:lpstr>
      <vt:lpstr>input_mgmt_host1_thumbprint</vt:lpstr>
      <vt:lpstr>input_mgmt_host2_sshfingerprint</vt:lpstr>
      <vt:lpstr>input_mgmt_host2_thumbprint</vt:lpstr>
      <vt:lpstr>input_mgmt_host3_sshfingerprint</vt:lpstr>
      <vt:lpstr>input_mgmt_host3_thumbprint</vt:lpstr>
      <vt:lpstr>input_mgmt_host4_sshfingerprint</vt:lpstr>
      <vt:lpstr>input_mgmt_host4_thumbprint</vt:lpstr>
      <vt:lpstr>input_mgmt_internet_proxy_address</vt:lpstr>
      <vt:lpstr>input_mgmt_internet_proxy_auth</vt:lpstr>
      <vt:lpstr>input_mgmt_internet_proxy_password</vt:lpstr>
      <vt:lpstr>input_mgmt_internet_proxy_port</vt:lpstr>
      <vt:lpstr>input_mgmt_internet_proxy_type</vt:lpstr>
      <vt:lpstr>input_mgmt_internet_proxy_user</vt:lpstr>
      <vt:lpstr>input_mgmt_mgmt_rp</vt:lpstr>
      <vt:lpstr>input_mgmt_nsx_rp</vt:lpstr>
      <vt:lpstr>input_mgmt_nsxt_federation_global_manager_name</vt:lpstr>
      <vt:lpstr>input_mgmt_nsxt_federation_location_name</vt:lpstr>
      <vt:lpstr>input_mgmt_nsxt_global_mgr_anti_affinity_rule_name</vt:lpstr>
      <vt:lpstr>input_mgmt_nsxt_global_mgr_certificate_id</vt:lpstr>
      <vt:lpstr>input_mgmt_nsxt_global_mgr_cluster_id</vt:lpstr>
      <vt:lpstr>input_mgmt_nsxt_global_mgr_vmca_signed_thumbprint</vt:lpstr>
      <vt:lpstr>input_mgmt_nsxt_global_mgra_hostname</vt:lpstr>
      <vt:lpstr>input_mgmt_nsxt_global_mgra_ip</vt:lpstr>
      <vt:lpstr>input_mgmt_nsxt_global_mgrb_hostname</vt:lpstr>
      <vt:lpstr>input_mgmt_nsxt_global_mgrb_ip</vt:lpstr>
      <vt:lpstr>input_mgmt_nsxt_global_mgrc_hostname</vt:lpstr>
      <vt:lpstr>input_mgmt_nsxt_global_mgrc_ip</vt:lpstr>
      <vt:lpstr>input_mgmt_nsxt_gm_fingerprint</vt:lpstr>
      <vt:lpstr>input_mgmt_nsxt_gm_hostname</vt:lpstr>
      <vt:lpstr>input_mgmt_nsxt_gm_ip</vt:lpstr>
      <vt:lpstr>input_mgmt_nsxt_hostname</vt:lpstr>
      <vt:lpstr>input_mgmt_nsxt_ip</vt:lpstr>
      <vt:lpstr>input_mgmt_nsxt_lm_fingerprint</vt:lpstr>
      <vt:lpstr>input_mgmt_nsxt_mgra_hostname</vt:lpstr>
      <vt:lpstr>input_mgmt_nsxt_mgra_ip</vt:lpstr>
      <vt:lpstr>input_mgmt_nsxt_mgrb_hostname</vt:lpstr>
      <vt:lpstr>input_mgmt_nsxt_mgrb_ip</vt:lpstr>
      <vt:lpstr>input_mgmt_nsxt_mgrc_hostname</vt:lpstr>
      <vt:lpstr>input_mgmt_nsxt_mgrc_ip</vt:lpstr>
      <vt:lpstr>input_mgmt_nsxt_xreg_t1_name</vt:lpstr>
      <vt:lpstr>input_mgmt_offline_depot_hostname</vt:lpstr>
      <vt:lpstr>input_mgmt_offline_depot_password</vt:lpstr>
      <vt:lpstr>input_mgmt_offline_depot_port</vt:lpstr>
      <vt:lpstr>input_mgmt_offline_depot_user</vt:lpstr>
      <vt:lpstr>input_mgmt_recovery_lb_creation_method</vt:lpstr>
      <vt:lpstr>input_mgmt_rtep_overlay_pool_end_ip</vt:lpstr>
      <vt:lpstr>input_mgmt_rtep_overlay_pool_start_ip</vt:lpstr>
      <vt:lpstr>input_mgmt_sddc_domain</vt:lpstr>
      <vt:lpstr>input_mgmt_srm_admin_email</vt:lpstr>
      <vt:lpstr>input_mgmt_srm_admin_password</vt:lpstr>
      <vt:lpstr>input_mgmt_srm_database_password</vt:lpstr>
      <vt:lpstr>input_mgmt_srm_days</vt:lpstr>
      <vt:lpstr>input_mgmt_srm_hostname</vt:lpstr>
      <vt:lpstr>input_mgmt_srm_instances_per_day</vt:lpstr>
      <vt:lpstr>input_mgmt_srm_ip</vt:lpstr>
      <vt:lpstr>input_mgmt_srm_p12_password</vt:lpstr>
      <vt:lpstr>input_mgmt_srm_recovery_cluster</vt:lpstr>
      <vt:lpstr>input_mgmt_srm_recovery_datastore</vt:lpstr>
      <vt:lpstr>input_mgmt_srm_recovery_nsx_ec_name</vt:lpstr>
      <vt:lpstr>input_mgmt_srm_recovery_nsx_location</vt:lpstr>
      <vt:lpstr>input_mgmt_srm_recovery_sddc_manager_domain</vt:lpstr>
      <vt:lpstr>input_mgmt_srm_recovery_sddc_manager_fqdn</vt:lpstr>
      <vt:lpstr>input_mgmt_srm_recovery_sddc_manager_password</vt:lpstr>
      <vt:lpstr>input_mgmt_srm_recovery_sddc_manager_username</vt:lpstr>
      <vt:lpstr>input_mgmt_srm_recovery_t1_si_ip</vt:lpstr>
      <vt:lpstr>input_mgmt_srm_recovery_vcenter_fqdn</vt:lpstr>
      <vt:lpstr>input_mgmt_srm_recovery_vcenter_password</vt:lpstr>
      <vt:lpstr>input_mgmt_srm_recovery_vcenter_username</vt:lpstr>
      <vt:lpstr>input_mgmt_srm_root_password</vt:lpstr>
      <vt:lpstr>input_mgmt_srm_rpo</vt:lpstr>
      <vt:lpstr>input_mgmt_srm_site_name</vt:lpstr>
      <vt:lpstr>input_mgmt_srm_sso_domain_membership</vt:lpstr>
      <vt:lpstr>input_mgmt_srm_vm_folder</vt:lpstr>
      <vt:lpstr>input_mgmt_srm_vm_size</vt:lpstr>
      <vt:lpstr>input_mgmt_srm_vra_pg</vt:lpstr>
      <vt:lpstr>input_mgmt_srm_vra_rp</vt:lpstr>
      <vt:lpstr>input_mgmt_srm_vrops_pg</vt:lpstr>
      <vt:lpstr>input_mgmt_srm_vrops_rp</vt:lpstr>
      <vt:lpstr>input_mgmt_srm_vrslcm_wsa_pg</vt:lpstr>
      <vt:lpstr>input_mgmt_srm_vrslcm_wsa_rp</vt:lpstr>
      <vt:lpstr>input_mgmt_tier0_name</vt:lpstr>
      <vt:lpstr>input_mgmt_tier1_name</vt:lpstr>
      <vt:lpstr>input_mgmt_user_edge_rp</vt:lpstr>
      <vt:lpstr>input_mgmt_user_vm_rp</vt:lpstr>
      <vt:lpstr>input_mgmt_vc_hostname</vt:lpstr>
      <vt:lpstr>input_mgmt_vc_ip</vt:lpstr>
      <vt:lpstr>input_mgmt_vrms_admin_email</vt:lpstr>
      <vt:lpstr>input_mgmt_vrms_admin_password</vt:lpstr>
      <vt:lpstr>input_mgmt_vrms_hostname</vt:lpstr>
      <vt:lpstr>input_mgmt_vrms_mgmt_ip</vt:lpstr>
      <vt:lpstr>input_mgmt_vrms_p12_password</vt:lpstr>
      <vt:lpstr>input_mgmt_vrms_pg</vt:lpstr>
      <vt:lpstr>input_mgmt_vrms_recovery_replication_cidr</vt:lpstr>
      <vt:lpstr>input_mgmt_vrms_root_password</vt:lpstr>
      <vt:lpstr>input_mgmt_vrms_site_name</vt:lpstr>
      <vt:lpstr>input_mgmt_vrms_vm_folder</vt:lpstr>
      <vt:lpstr>input_mgmt_vrms_vm_size</vt:lpstr>
      <vt:lpstr>input_mgmt_vrms_vrms_ip</vt:lpstr>
      <vt:lpstr>input_mgmt_witness_cluster</vt:lpstr>
      <vt:lpstr>input_mgmt_witness_hostname</vt:lpstr>
      <vt:lpstr>input_mgmt_witness_ip</vt:lpstr>
      <vt:lpstr>input_mgmt_witness_mgmt_pg</vt:lpstr>
      <vt:lpstr>input_mgmt_witness_root_password</vt:lpstr>
      <vt:lpstr>input_mgmt_witness_sddc_domain</vt:lpstr>
      <vt:lpstr>input_mgmt_witness_vm_folder</vt:lpstr>
      <vt:lpstr>input_mgmt_witness_vsan_datastore</vt:lpstr>
      <vt:lpstr>input_mgmt_witness_zone_vc_hostname</vt:lpstr>
      <vt:lpstr>input_mgmt_witness_zone_vc_ip</vt:lpstr>
      <vt:lpstr>input_mgmt_witnessaz_cidr</vt:lpstr>
      <vt:lpstr>input_mgmt_witnessaz_gateway_ip</vt:lpstr>
      <vt:lpstr>input_mgmt_witnessaz_mgmt_cidr</vt:lpstr>
      <vt:lpstr>input_mgmt_witnessaz_mgmt_gateway_ip</vt:lpstr>
      <vt:lpstr>input_mgmt_witnessaz_mgmt_mtu</vt:lpstr>
      <vt:lpstr>input_mgmt_witnessaz_mgmt_vlan</vt:lpstr>
      <vt:lpstr>input_mgmt_witnessaz_mtu</vt:lpstr>
      <vt:lpstr>input_mgmt_witnessaz_vlan</vt:lpstr>
      <vt:lpstr>input_nsxt_en_admin_password</vt:lpstr>
      <vt:lpstr>input_nsxt_en_audit_password</vt:lpstr>
      <vt:lpstr>input_nsxt_en_root_password</vt:lpstr>
      <vt:lpstr>input_nsxt_gm_admin_password</vt:lpstr>
      <vt:lpstr>input_nsxt_gm_audit_password</vt:lpstr>
      <vt:lpstr>input_nsxt_gm_root_password</vt:lpstr>
      <vt:lpstr>input_nsxt_license</vt:lpstr>
      <vt:lpstr>input_nsxt_lm_admin_password</vt:lpstr>
      <vt:lpstr>input_nsxt_lm_audit_password</vt:lpstr>
      <vt:lpstr>input_nsxt_lm_root_password</vt:lpstr>
      <vt:lpstr>input_nsxt_vsphere_role_name</vt:lpstr>
      <vt:lpstr>input_parent_ad_groups_ou</vt:lpstr>
      <vt:lpstr>input_parent_ad_users_ou</vt:lpstr>
      <vt:lpstr>input_parent_dns_zone</vt:lpstr>
      <vt:lpstr>input_parent_gg_wsa_admins_group</vt:lpstr>
      <vt:lpstr>input_parent_gg_wsa_directory_admins_group</vt:lpstr>
      <vt:lpstr>input_parent_gg_wsa_read_only_group</vt:lpstr>
      <vt:lpstr>input_reg_seg01_cidr</vt:lpstr>
      <vt:lpstr>input_reg_seg01_gateway_ip</vt:lpstr>
      <vt:lpstr>input_reg_seg01_mtu</vt:lpstr>
      <vt:lpstr>input_reg_seg01_name</vt:lpstr>
      <vt:lpstr>input_reg_seg01_vlan</vt:lpstr>
      <vt:lpstr>input_region_ad_child_fqdn</vt:lpstr>
      <vt:lpstr>input_region_ad_child_netbios</vt:lpstr>
      <vt:lpstr>input_region_ad_parent_fqdn</vt:lpstr>
      <vt:lpstr>input_region_ad_parent_netbios</vt:lpstr>
      <vt:lpstr>input_region_dns1_ip</vt:lpstr>
      <vt:lpstr>input_region_dns2_ip</vt:lpstr>
      <vt:lpstr>input_region_existing_remote_vrli_host</vt:lpstr>
      <vt:lpstr>input_region_existing_remote_vrli_tag</vt:lpstr>
      <vt:lpstr>input_region_ntp1_server</vt:lpstr>
      <vt:lpstr>input_region_ntp2_server</vt:lpstr>
      <vt:lpstr>input_region_vrli_admin_email</vt:lpstr>
      <vt:lpstr>input_region_vrli_admin_password</vt:lpstr>
      <vt:lpstr>input_region_vrli_admin_password_alias</vt:lpstr>
      <vt:lpstr>input_region_vrli_appliance_size</vt:lpstr>
      <vt:lpstr>input_region_vrli_datastore_size</vt:lpstr>
      <vt:lpstr>input_region_vrli_email_notification_target</vt:lpstr>
      <vt:lpstr>input_region_vrli_log_retention_notification</vt:lpstr>
      <vt:lpstr>input_region_vrli_log_retention_period</vt:lpstr>
      <vt:lpstr>input_region_vrli_nfs_server</vt:lpstr>
      <vt:lpstr>input_region_vrli_nfs_share</vt:lpstr>
      <vt:lpstr>input_region_vrli_nodea_hostname</vt:lpstr>
      <vt:lpstr>input_region_vrli_nodea_ip</vt:lpstr>
      <vt:lpstr>input_region_vrli_nodeb_hostname</vt:lpstr>
      <vt:lpstr>input_region_vrli_nodeb_ip</vt:lpstr>
      <vt:lpstr>input_region_vrli_nodec_hostname</vt:lpstr>
      <vt:lpstr>input_region_vrli_nodec_ip</vt:lpstr>
      <vt:lpstr>input_region_vrli_tag</vt:lpstr>
      <vt:lpstr>input_region_vrli_virtual_hostname</vt:lpstr>
      <vt:lpstr>input_region_vrli_virtual_ip</vt:lpstr>
      <vt:lpstr>input_region_vrni_collector_node_size</vt:lpstr>
      <vt:lpstr>input_region_vrni_nodea_hostname</vt:lpstr>
      <vt:lpstr>input_region_vrni_nodea_ip</vt:lpstr>
      <vt:lpstr>input_region_vrops_existing_rca_fqdn</vt:lpstr>
      <vt:lpstr>input_region_vrops_existing_rca_hostname</vt:lpstr>
      <vt:lpstr>input_region_vrops_existing_rcb_fqdn</vt:lpstr>
      <vt:lpstr>input_region_vrops_existing_rcb_hostname</vt:lpstr>
      <vt:lpstr>input_region_vropsca_hostname</vt:lpstr>
      <vt:lpstr>input_region_vropsca_ip</vt:lpstr>
      <vt:lpstr>input_region_vropscb_hostname</vt:lpstr>
      <vt:lpstr>input_region_vropscb_ip</vt:lpstr>
      <vt:lpstr>input_sddc_mgr_admin_local_password</vt:lpstr>
      <vt:lpstr>input_sddc_mgr_hostname</vt:lpstr>
      <vt:lpstr>input_sddc_mgr_ip</vt:lpstr>
      <vt:lpstr>input_sddc_mgr_root_password</vt:lpstr>
      <vt:lpstr>input_sddc_mgr_vcf_password</vt:lpstr>
      <vt:lpstr>input_sftp_server</vt:lpstr>
      <vt:lpstr>input_sftp_server_backup_dir</vt:lpstr>
      <vt:lpstr>input_sftp_server_passphrase</vt:lpstr>
      <vt:lpstr>input_sftp_server_port</vt:lpstr>
      <vt:lpstr>input_sftp_server_protocol</vt:lpstr>
      <vt:lpstr>input_sftp_server_sshfingerprint</vt:lpstr>
      <vt:lpstr>input_smtp_sender_password</vt:lpstr>
      <vt:lpstr>input_smtp_sender_username</vt:lpstr>
      <vt:lpstr>input_smtp_server</vt:lpstr>
      <vt:lpstr>input_smtp_server_port</vt:lpstr>
      <vt:lpstr>input_srm_license</vt:lpstr>
      <vt:lpstr>input_svc_cbr_vcdr_vsphere_password</vt:lpstr>
      <vt:lpstr>input_svc_cbr_vcdr_vsphere_user</vt:lpstr>
      <vt:lpstr>input_svc_ccm_hcx_nsx_password</vt:lpstr>
      <vt:lpstr>input_svc_ccm_hcx_nsx_user</vt:lpstr>
      <vt:lpstr>input_svc_ccm_hcx_vsphere_password</vt:lpstr>
      <vt:lpstr>input_svc_ccm_hcx_vsphere_user</vt:lpstr>
      <vt:lpstr>input_svc_hrm_vcf_password</vt:lpstr>
      <vt:lpstr>input_svc_hrm_vcf_user</vt:lpstr>
      <vt:lpstr>input_svc_hrm_vrops_password</vt:lpstr>
      <vt:lpstr>input_svc_hrm_vrops_user</vt:lpstr>
      <vt:lpstr>input_svc_ila_ad_password</vt:lpstr>
      <vt:lpstr>input_svc_ila_ad_user</vt:lpstr>
      <vt:lpstr>input_svc_inv_ad_password</vt:lpstr>
      <vt:lpstr>input_svc_inv_ad_user</vt:lpstr>
      <vt:lpstr>input_svc_inv_vrops_password</vt:lpstr>
      <vt:lpstr>input_svc_inv_vrops_user</vt:lpstr>
      <vt:lpstr>input_svc_inv_vsphere_password</vt:lpstr>
      <vt:lpstr>input_svc_inv_vsphere_user</vt:lpstr>
      <vt:lpstr>input_svc_iom_vcf_password</vt:lpstr>
      <vt:lpstr>input_svc_iom_vcf_user</vt:lpstr>
      <vt:lpstr>input_svc_iom_vsphere_password</vt:lpstr>
      <vt:lpstr>input_svc_iom_vsphere_user</vt:lpstr>
      <vt:lpstr>input_svc_my_vmware_logon</vt:lpstr>
      <vt:lpstr>input_svc_my_vmware_password</vt:lpstr>
      <vt:lpstr>input_svc_vcf_bck_password</vt:lpstr>
      <vt:lpstr>input_svc_vcf_bck_user</vt:lpstr>
      <vt:lpstr>input_svc_vcf_ca_vcf_user</vt:lpstr>
      <vt:lpstr>input_svc_vcf_ca_vvd_password</vt:lpstr>
      <vt:lpstr>input_svc_vcf_ca_vvd_user</vt:lpstr>
      <vt:lpstr>input_svc_vra_nsx_password</vt:lpstr>
      <vt:lpstr>input_svc_vra_nsx_user</vt:lpstr>
      <vt:lpstr>input_svc_vra_vcf_password</vt:lpstr>
      <vt:lpstr>input_svc_vra_vcf_user</vt:lpstr>
      <vt:lpstr>input_svc_vra_vrops_password</vt:lpstr>
      <vt:lpstr>input_svc_vra_vrops_user</vt:lpstr>
      <vt:lpstr>input_svc_vra_vsphere_password</vt:lpstr>
      <vt:lpstr>input_svc_vra_vsphere_user</vt:lpstr>
      <vt:lpstr>input_svc_vro_vsphere_password</vt:lpstr>
      <vt:lpstr>input_svc_vro_vsphere_user</vt:lpstr>
      <vt:lpstr>input_svc_vrops_vra_password</vt:lpstr>
      <vt:lpstr>input_svc_vrops_vra_user</vt:lpstr>
      <vt:lpstr>input_vc_license</vt:lpstr>
      <vt:lpstr>input_vcenter_root_password</vt:lpstr>
      <vt:lpstr>input_vcfadmin_local_password</vt:lpstr>
      <vt:lpstr>input_vlcm_image_cluster_moref</vt:lpstr>
      <vt:lpstr>input_vlcm_image_cluster_name</vt:lpstr>
      <vt:lpstr>input_vlcm_image_name</vt:lpstr>
      <vt:lpstr>input_vlcm_image_vc_hostname</vt:lpstr>
      <vt:lpstr>input_vra_license</vt:lpstr>
      <vt:lpstr>input_vra_license_alias</vt:lpstr>
      <vt:lpstr>input_vra_sddc_mgr_integration_name</vt:lpstr>
      <vt:lpstr>input_vrli_license</vt:lpstr>
      <vt:lpstr>input_vrli_license_alias</vt:lpstr>
      <vt:lpstr>input_vrni_license</vt:lpstr>
      <vt:lpstr>input_vrni_license_alias</vt:lpstr>
      <vt:lpstr>input_vrops_license</vt:lpstr>
      <vt:lpstr>input_vrops_license_alias</vt:lpstr>
      <vt:lpstr>input_vrs_license</vt:lpstr>
      <vt:lpstr>input_vrs_t1_lb_si_ip</vt:lpstr>
      <vt:lpstr>input_vrs_t1_lb_si_name</vt:lpstr>
      <vt:lpstr>input_vrslcm_bespoke_svc_vrslcm_vsphere_password</vt:lpstr>
      <vt:lpstr>input_vrslcm_reg_dc</vt:lpstr>
      <vt:lpstr>input_vrslcm_reg_env</vt:lpstr>
      <vt:lpstr>input_vrslcm_root_password</vt:lpstr>
      <vt:lpstr>input_vrslcm_xreg_admin_username</vt:lpstr>
      <vt:lpstr>input_vrslcm_xreg_dc</vt:lpstr>
      <vt:lpstr>input_vrslcm_xreg_env</vt:lpstr>
      <vt:lpstr>input_vrslcm_xreg_env_password</vt:lpstr>
      <vt:lpstr>input_vrslcm_xreg_env_password_alias</vt:lpstr>
      <vt:lpstr>input_vrslcm_xreg_location</vt:lpstr>
      <vt:lpstr>input_vrslcm_xreg_vm_folder</vt:lpstr>
      <vt:lpstr>input_vsan_license</vt:lpstr>
      <vt:lpstr>input_witness_dns_zone</vt:lpstr>
      <vt:lpstr>input_witness_dns1_ip</vt:lpstr>
      <vt:lpstr>input_witness_dns2_ip</vt:lpstr>
      <vt:lpstr>input_witness_ntp1_server</vt:lpstr>
      <vt:lpstr>input_witness_ntp2_server</vt:lpstr>
      <vt:lpstr>input_wld_avilb_cluster_name</vt:lpstr>
      <vt:lpstr>input_wld_avilb_cluster_version</vt:lpstr>
      <vt:lpstr>input_wld_avilb_hostname</vt:lpstr>
      <vt:lpstr>input_wld_avilb_ip</vt:lpstr>
      <vt:lpstr>input_wld_avilb_mgra_hostname</vt:lpstr>
      <vt:lpstr>input_wld_avilb_mgra_ip</vt:lpstr>
      <vt:lpstr>input_wld_avilb_mgrb_hostname</vt:lpstr>
      <vt:lpstr>input_wld_avilb_mgrb_ip</vt:lpstr>
      <vt:lpstr>input_wld_avilb_mgrc_hostname</vt:lpstr>
      <vt:lpstr>input_wld_avilb_mgrc_ip</vt:lpstr>
      <vt:lpstr>input_wld_az1_child_dns_zone</vt:lpstr>
      <vt:lpstr>input_wld_az1_edge_overlay_cidr</vt:lpstr>
      <vt:lpstr>input_wld_az1_edge_overlay_gateway_ip</vt:lpstr>
      <vt:lpstr>input_wld_az1_edge_overlay_mtu</vt:lpstr>
      <vt:lpstr>input_wld_az1_edge_overlay_network_pool_name</vt:lpstr>
      <vt:lpstr>input_wld_az1_edge_overlay_pool_end_ip</vt:lpstr>
      <vt:lpstr>input_wld_az1_edge_overlay_pool_start_ip</vt:lpstr>
      <vt:lpstr>input_wld_az1_edge_overlay_vlan</vt:lpstr>
      <vt:lpstr>input_wld_az1_en1_edge_overlay_interface_ip_1_ip</vt:lpstr>
      <vt:lpstr>input_wld_az1_en1_edge_overlay_interface_ip_2_ip</vt:lpstr>
      <vt:lpstr>input_wld_az1_en1_hostname</vt:lpstr>
      <vt:lpstr>input_wld_az1_en1_mgmt_ip</vt:lpstr>
      <vt:lpstr>input_wld_az1_en1_uplink01_interface_ip</vt:lpstr>
      <vt:lpstr>input_wld_az1_en1_uplink02_interface_ip</vt:lpstr>
      <vt:lpstr>input_wld_az1_en2_edge_overlay_interface_ip_1_ip</vt:lpstr>
      <vt:lpstr>input_wld_az1_en2_edge_overlay_interface_ip_2_ip</vt:lpstr>
      <vt:lpstr>input_wld_az1_en2_hostname</vt:lpstr>
      <vt:lpstr>input_wld_az1_en2_mgmt_ip</vt:lpstr>
      <vt:lpstr>input_wld_az1_en2_uplink01_interface_ip</vt:lpstr>
      <vt:lpstr>input_wld_az1_en2_uplink02_interface_ip</vt:lpstr>
      <vt:lpstr>input_wld_az1_host_functions</vt:lpstr>
      <vt:lpstr>input_wld_az1_host_overlay_cidr</vt:lpstr>
      <vt:lpstr>input_wld_az1_host_overlay_gateway_ip</vt:lpstr>
      <vt:lpstr>input_wld_az1_host_overlay_mtu</vt:lpstr>
      <vt:lpstr>input_wld_az1_host_overlay_network_pool_name</vt:lpstr>
      <vt:lpstr>input_wld_az1_host_overlay_network_profile_name</vt:lpstr>
      <vt:lpstr>input_wld_az1_host_overlay_pool_end_ip</vt:lpstr>
      <vt:lpstr>input_wld_az1_host_overlay_pool_start_ip</vt:lpstr>
      <vt:lpstr>input_wld_az1_host_overlay_uplink_profile_name</vt:lpstr>
      <vt:lpstr>input_wld_az1_host_overlay_vlan</vt:lpstr>
      <vt:lpstr>input_wld_az1_host1_function</vt:lpstr>
      <vt:lpstr>input_wld_az1_host1_hostname</vt:lpstr>
      <vt:lpstr>input_wld_az1_host1_mgmt_ip</vt:lpstr>
      <vt:lpstr>input_wld_az1_host1_sddc_id</vt:lpstr>
      <vt:lpstr>input_wld_az1_host1_vrms_ip</vt:lpstr>
      <vt:lpstr>input_wld_az1_host10_function</vt:lpstr>
      <vt:lpstr>input_wld_az1_host10_hostname</vt:lpstr>
      <vt:lpstr>input_wld_az1_host10_mgmt_ip</vt:lpstr>
      <vt:lpstr>input_wld_az1_host10_vrms_ip</vt:lpstr>
      <vt:lpstr>input_wld_az1_host11_function</vt:lpstr>
      <vt:lpstr>input_wld_az1_host11_hostname</vt:lpstr>
      <vt:lpstr>input_wld_az1_host11_mgmt_ip</vt:lpstr>
      <vt:lpstr>input_wld_az1_host11_vrms_ip</vt:lpstr>
      <vt:lpstr>input_wld_az1_host12_function</vt:lpstr>
      <vt:lpstr>input_wld_az1_host12_hostname</vt:lpstr>
      <vt:lpstr>input_wld_az1_host12_mgmt_ip</vt:lpstr>
      <vt:lpstr>input_wld_az1_host12_vrms_ip</vt:lpstr>
      <vt:lpstr>input_wld_az1_host13_function</vt:lpstr>
      <vt:lpstr>input_wld_az1_host13_hostname</vt:lpstr>
      <vt:lpstr>input_wld_az1_host13_mgmt_ip</vt:lpstr>
      <vt:lpstr>input_wld_az1_host13_vrms_ip</vt:lpstr>
      <vt:lpstr>input_wld_az1_host14_function</vt:lpstr>
      <vt:lpstr>input_wld_az1_host14_hostname</vt:lpstr>
      <vt:lpstr>input_wld_az1_host14_mgmt_ip</vt:lpstr>
      <vt:lpstr>input_wld_az1_host14_vrms_ip</vt:lpstr>
      <vt:lpstr>input_wld_az1_host15_function</vt:lpstr>
      <vt:lpstr>input_wld_az1_host15_hostname</vt:lpstr>
      <vt:lpstr>input_wld_az1_host15_mgmt_ip</vt:lpstr>
      <vt:lpstr>input_wld_az1_host15_vrms_ip</vt:lpstr>
      <vt:lpstr>input_wld_az1_host16_function</vt:lpstr>
      <vt:lpstr>input_wld_az1_host16_hostname</vt:lpstr>
      <vt:lpstr>input_wld_az1_host16_mgmt_ip</vt:lpstr>
      <vt:lpstr>input_wld_az1_host16_vrms_ip</vt:lpstr>
      <vt:lpstr>input_wld_az1_host2_function</vt:lpstr>
      <vt:lpstr>input_wld_az1_host2_hostname</vt:lpstr>
      <vt:lpstr>input_wld_az1_host2_mgmt_ip</vt:lpstr>
      <vt:lpstr>input_wld_az1_host2_sddc_id</vt:lpstr>
      <vt:lpstr>input_wld_az1_host2_vrms_ip</vt:lpstr>
      <vt:lpstr>input_wld_az1_host3_function</vt:lpstr>
      <vt:lpstr>input_wld_az1_host3_hostname</vt:lpstr>
      <vt:lpstr>input_wld_az1_host3_mgmt_ip</vt:lpstr>
      <vt:lpstr>input_wld_az1_host3_sddc_id</vt:lpstr>
      <vt:lpstr>input_wld_az1_host3_vrms_ip</vt:lpstr>
      <vt:lpstr>input_wld_az1_host4_function</vt:lpstr>
      <vt:lpstr>input_wld_az1_host4_hostname</vt:lpstr>
      <vt:lpstr>input_wld_az1_host4_mgmt_ip</vt:lpstr>
      <vt:lpstr>input_wld_az1_host4_sddc_id</vt:lpstr>
      <vt:lpstr>input_wld_az1_host4_vrms_ip</vt:lpstr>
      <vt:lpstr>input_wld_az1_host5_function</vt:lpstr>
      <vt:lpstr>input_wld_az1_host5_hostname</vt:lpstr>
      <vt:lpstr>input_wld_az1_host5_mgmt_ip</vt:lpstr>
      <vt:lpstr>input_wld_az1_host5_vrms_ip</vt:lpstr>
      <vt:lpstr>input_wld_az1_host6_function</vt:lpstr>
      <vt:lpstr>input_wld_az1_host6_hostname</vt:lpstr>
      <vt:lpstr>input_wld_az1_host6_mgmt_ip</vt:lpstr>
      <vt:lpstr>input_wld_az1_host6_vrms_ip</vt:lpstr>
      <vt:lpstr>input_wld_az1_host7_function</vt:lpstr>
      <vt:lpstr>input_wld_az1_host7_hostname</vt:lpstr>
      <vt:lpstr>input_wld_az1_host7_mgmt_ip</vt:lpstr>
      <vt:lpstr>input_wld_az1_host7_vrms_ip</vt:lpstr>
      <vt:lpstr>input_wld_az1_host8_function</vt:lpstr>
      <vt:lpstr>input_wld_az1_host8_hostname</vt:lpstr>
      <vt:lpstr>input_wld_az1_host8_mgmt_ip</vt:lpstr>
      <vt:lpstr>input_wld_az1_host8_vrms_ip</vt:lpstr>
      <vt:lpstr>input_wld_az1_host9_function</vt:lpstr>
      <vt:lpstr>input_wld_az1_host9_hostname</vt:lpstr>
      <vt:lpstr>input_wld_az1_host9_mgmt_ip</vt:lpstr>
      <vt:lpstr>input_wld_az1_host9_vrms_ip</vt:lpstr>
      <vt:lpstr>input_wld_az1_mgmt_cidr</vt:lpstr>
      <vt:lpstr>input_wld_az1_mgmt_gateway_ip</vt:lpstr>
      <vt:lpstr>input_wld_az1_mgmt_mtu</vt:lpstr>
      <vt:lpstr>input_wld_az1_mgmt_vlan</vt:lpstr>
      <vt:lpstr>input_wld_az1_mgmt_vm_cidr</vt:lpstr>
      <vt:lpstr>input_wld_az1_mgmt_vm_gateway_ip</vt:lpstr>
      <vt:lpstr>input_wld_az1_mgmt_vm_mtu</vt:lpstr>
      <vt:lpstr>input_wld_az1_mgmt_vm_vlan</vt:lpstr>
      <vt:lpstr>input_wld_az1_pool_name</vt:lpstr>
      <vt:lpstr>input_wld_az1_principal_storage_cidr</vt:lpstr>
      <vt:lpstr>input_wld_az1_principal_storage_gateway_ip</vt:lpstr>
      <vt:lpstr>input_wld_az1_principal_storage_mtu</vt:lpstr>
      <vt:lpstr>input_wld_az1_principal_storage_pool_end_ip</vt:lpstr>
      <vt:lpstr>input_wld_az1_principal_storage_pool_start_ip</vt:lpstr>
      <vt:lpstr>input_wld_az1_principal_storage_vlan</vt:lpstr>
      <vt:lpstr>input_wld_az1_rack2_child_dns_zone</vt:lpstr>
      <vt:lpstr>input_wld_az1_rack2_edge_overlay_cidr</vt:lpstr>
      <vt:lpstr>input_wld_az1_rack2_edge_overlay_gateway_ip</vt:lpstr>
      <vt:lpstr>input_wld_az1_rack2_edge_overlay_mtu</vt:lpstr>
      <vt:lpstr>input_wld_az1_rack2_edge_overlay_network_pool_name</vt:lpstr>
      <vt:lpstr>input_wld_az1_rack2_edge_overlay_pool_end_ip</vt:lpstr>
      <vt:lpstr>input_wld_az1_rack2_edge_overlay_pool_start_ip</vt:lpstr>
      <vt:lpstr>input_wld_az1_rack2_edge_overlay_vlan</vt:lpstr>
      <vt:lpstr>input_wld_az1_rack2_en1_hostname</vt:lpstr>
      <vt:lpstr>input_wld_az1_rack2_en1_mgmt_ip</vt:lpstr>
      <vt:lpstr>input_wld_az1_rack2_en1_uplink01_interface_ip</vt:lpstr>
      <vt:lpstr>input_wld_az1_rack2_en1_uplink02_interface_ip</vt:lpstr>
      <vt:lpstr>input_wld_az1_rack2_en2_hostname</vt:lpstr>
      <vt:lpstr>input_wld_az1_rack2_en2_mgmt_ip</vt:lpstr>
      <vt:lpstr>input_wld_az1_rack2_en2_uplink01_interface_ip</vt:lpstr>
      <vt:lpstr>input_wld_az1_rack2_en2_uplink02_interface_ip</vt:lpstr>
      <vt:lpstr>input_wld_az1_rack2_host_functions</vt:lpstr>
      <vt:lpstr>input_wld_az1_rack2_host_overlay_cidr</vt:lpstr>
      <vt:lpstr>input_wld_az1_rack2_host_overlay_gateway_ip</vt:lpstr>
      <vt:lpstr>input_wld_az1_rack2_host_overlay_mtu</vt:lpstr>
      <vt:lpstr>input_wld_az1_rack2_host_overlay_network_pool_name</vt:lpstr>
      <vt:lpstr>input_wld_az1_rack2_host_overlay_network_profile_name</vt:lpstr>
      <vt:lpstr>input_wld_az1_rack2_host_overlay_pool_end_ip</vt:lpstr>
      <vt:lpstr>input_wld_az1_rack2_host_overlay_pool_start_ip</vt:lpstr>
      <vt:lpstr>input_wld_az1_rack2_host_overlay_uplink_profile_name</vt:lpstr>
      <vt:lpstr>input_wld_az1_rack2_host_overlay_vlan</vt:lpstr>
      <vt:lpstr>input_wld_az1_rack2_host1_function</vt:lpstr>
      <vt:lpstr>input_wld_az1_rack2_host1_hostname</vt:lpstr>
      <vt:lpstr>input_wld_az1_rack2_host1_mgmt_ip</vt:lpstr>
      <vt:lpstr>input_wld_az1_rack2_host1_vrms_ip</vt:lpstr>
      <vt:lpstr>input_wld_az1_rack2_host10_function</vt:lpstr>
      <vt:lpstr>input_wld_az1_rack2_host10_hostname</vt:lpstr>
      <vt:lpstr>input_wld_az1_rack2_host10_mgmt_ip</vt:lpstr>
      <vt:lpstr>input_wld_az1_rack2_host10_vrms_ip</vt:lpstr>
      <vt:lpstr>input_wld_az1_rack2_host11_function</vt:lpstr>
      <vt:lpstr>input_wld_az1_rack2_host11_hostname</vt:lpstr>
      <vt:lpstr>input_wld_az1_rack2_host11_mgmt_ip</vt:lpstr>
      <vt:lpstr>input_wld_az1_rack2_host11_vrms_ip</vt:lpstr>
      <vt:lpstr>input_wld_az1_rack2_host12_function</vt:lpstr>
      <vt:lpstr>input_wld_az1_rack2_host12_hostname</vt:lpstr>
      <vt:lpstr>input_wld_az1_rack2_host12_mgmt_ip</vt:lpstr>
      <vt:lpstr>input_wld_az1_rack2_host12_vrms_ip</vt:lpstr>
      <vt:lpstr>input_wld_az1_rack2_host13_function</vt:lpstr>
      <vt:lpstr>input_wld_az1_rack2_host13_hostname</vt:lpstr>
      <vt:lpstr>input_wld_az1_rack2_host13_mgmt_ip</vt:lpstr>
      <vt:lpstr>input_wld_az1_rack2_host13_vrms_ip</vt:lpstr>
      <vt:lpstr>input_wld_az1_rack2_host14_function</vt:lpstr>
      <vt:lpstr>input_wld_az1_rack2_host14_hostname</vt:lpstr>
      <vt:lpstr>input_wld_az1_rack2_host14_mgmt_ip</vt:lpstr>
      <vt:lpstr>input_wld_az1_rack2_host14_vrms_ip</vt:lpstr>
      <vt:lpstr>input_wld_az1_rack2_host15_function</vt:lpstr>
      <vt:lpstr>input_wld_az1_rack2_host15_hostname</vt:lpstr>
      <vt:lpstr>input_wld_az1_rack2_host15_mgmt_ip</vt:lpstr>
      <vt:lpstr>input_wld_az1_rack2_host15_vrms_ip</vt:lpstr>
      <vt:lpstr>input_wld_az1_rack2_host16_function</vt:lpstr>
      <vt:lpstr>input_wld_az1_rack2_host16_hostname</vt:lpstr>
      <vt:lpstr>input_wld_az1_rack2_host16_mgmt_ip</vt:lpstr>
      <vt:lpstr>input_wld_az1_rack2_host16_vrms_ip</vt:lpstr>
      <vt:lpstr>input_wld_az1_rack2_host2_function</vt:lpstr>
      <vt:lpstr>input_wld_az1_rack2_host2_hostname</vt:lpstr>
      <vt:lpstr>input_wld_az1_rack2_host2_mgmt_ip</vt:lpstr>
      <vt:lpstr>input_wld_az1_rack2_host2_vrms_ip</vt:lpstr>
      <vt:lpstr>input_wld_az1_rack2_host3_function</vt:lpstr>
      <vt:lpstr>input_wld_az1_rack2_host3_hostname</vt:lpstr>
      <vt:lpstr>input_wld_az1_rack2_host3_mgmt_ip</vt:lpstr>
      <vt:lpstr>input_wld_az1_rack2_host3_vrms_ip</vt:lpstr>
      <vt:lpstr>input_wld_az1_rack2_host4_function</vt:lpstr>
      <vt:lpstr>input_wld_az1_rack2_host4_hostname</vt:lpstr>
      <vt:lpstr>input_wld_az1_rack2_host4_mgmt_ip</vt:lpstr>
      <vt:lpstr>input_wld_az1_rack2_host4_vrms_ip</vt:lpstr>
      <vt:lpstr>input_wld_az1_rack2_host5_function</vt:lpstr>
      <vt:lpstr>input_wld_az1_rack2_host5_hostname</vt:lpstr>
      <vt:lpstr>input_wld_az1_rack2_host5_mgmt_ip</vt:lpstr>
      <vt:lpstr>input_wld_az1_rack2_host5_vrms_ip</vt:lpstr>
      <vt:lpstr>input_wld_az1_rack2_host6_function</vt:lpstr>
      <vt:lpstr>input_wld_az1_rack2_host6_hostname</vt:lpstr>
      <vt:lpstr>input_wld_az1_rack2_host6_mgmt_ip</vt:lpstr>
      <vt:lpstr>input_wld_az1_rack2_host6_vrms_ip</vt:lpstr>
      <vt:lpstr>input_wld_az1_rack2_host7_function</vt:lpstr>
      <vt:lpstr>input_wld_az1_rack2_host7_hostname</vt:lpstr>
      <vt:lpstr>input_wld_az1_rack2_host7_mgmt_ip</vt:lpstr>
      <vt:lpstr>input_wld_az1_rack2_host7_vrms_ip</vt:lpstr>
      <vt:lpstr>input_wld_az1_rack2_host8_function</vt:lpstr>
      <vt:lpstr>input_wld_az1_rack2_host8_hostname</vt:lpstr>
      <vt:lpstr>input_wld_az1_rack2_host8_mgmt_ip</vt:lpstr>
      <vt:lpstr>input_wld_az1_rack2_host8_vrms_ip</vt:lpstr>
      <vt:lpstr>input_wld_az1_rack2_host9_function</vt:lpstr>
      <vt:lpstr>input_wld_az1_rack2_host9_hostname</vt:lpstr>
      <vt:lpstr>input_wld_az1_rack2_host9_mgmt_ip</vt:lpstr>
      <vt:lpstr>input_wld_az1_rack2_host9_vrms_ip</vt:lpstr>
      <vt:lpstr>input_wld_az1_rack2_mgmt_cidr</vt:lpstr>
      <vt:lpstr>input_wld_az1_rack2_mgmt_gateway_ip</vt:lpstr>
      <vt:lpstr>input_wld_az1_rack2_mgmt_mtu</vt:lpstr>
      <vt:lpstr>input_wld_az1_rack2_mgmt_vlan</vt:lpstr>
      <vt:lpstr>input_wld_az1_rack2_mgmt_vm_cidr</vt:lpstr>
      <vt:lpstr>input_wld_az1_rack2_mgmt_vm_gateway_ip</vt:lpstr>
      <vt:lpstr>input_wld_az1_rack2_mgmt_vm_mtu</vt:lpstr>
      <vt:lpstr>input_wld_az1_rack2_mgmt_vm_vlan</vt:lpstr>
      <vt:lpstr>input_wld_az1_rack2_pool_name</vt:lpstr>
      <vt:lpstr>input_wld_az1_rack2_principal_storage_cidr</vt:lpstr>
      <vt:lpstr>input_wld_az1_rack2_principal_storage_gateway_ip</vt:lpstr>
      <vt:lpstr>input_wld_az1_rack2_principal_storage_mtu</vt:lpstr>
      <vt:lpstr>input_wld_az1_rack2_principal_storage_pool_end_ip</vt:lpstr>
      <vt:lpstr>input_wld_az1_rack2_principal_storage_pool_start_ip</vt:lpstr>
      <vt:lpstr>input_wld_az1_rack2_principal_storage_vlan</vt:lpstr>
      <vt:lpstr>input_wld_az1_rack2_rtep_ip_pool_name</vt:lpstr>
      <vt:lpstr>input_wld_az1_rack2_rtep_overlay_cidr</vt:lpstr>
      <vt:lpstr>input_wld_az1_rack2_rtep_overlay_gateway_ip</vt:lpstr>
      <vt:lpstr>input_wld_az1_rack2_rtep_overlay_mtu</vt:lpstr>
      <vt:lpstr>input_wld_az1_rack2_rtep_overlay_pool_end_ip</vt:lpstr>
      <vt:lpstr>input_wld_az1_rack2_rtep_overlay_pool_start_ip</vt:lpstr>
      <vt:lpstr>input_wld_az1_rack2_rtep_overlay_vlan</vt:lpstr>
      <vt:lpstr>input_wld_az1_rack2_secondary_storage_cidr</vt:lpstr>
      <vt:lpstr>input_wld_az1_rack2_secondary_storage_gateway_ip</vt:lpstr>
      <vt:lpstr>input_wld_az1_rack2_secondary_storage_mtu</vt:lpstr>
      <vt:lpstr>input_wld_az1_rack2_secondary_storage_pool_end_ip</vt:lpstr>
      <vt:lpstr>input_wld_az1_rack2_secondary_storage_pool_start_ip</vt:lpstr>
      <vt:lpstr>input_wld_az1_rack2_secondary_storage_vlan</vt:lpstr>
      <vt:lpstr>input_wld_az1_rack2_tor1_peer_asn</vt:lpstr>
      <vt:lpstr>input_wld_az1_rack2_tor1_peer_bgp_password</vt:lpstr>
      <vt:lpstr>input_wld_az1_rack2_tor1_peer_ip</vt:lpstr>
      <vt:lpstr>input_wld_az1_rack2_tor2_peer_asn</vt:lpstr>
      <vt:lpstr>input_wld_az1_rack2_tor2_peer_bgp_password</vt:lpstr>
      <vt:lpstr>input_wld_az1_rack2_tor2_peer_ip</vt:lpstr>
      <vt:lpstr>input_wld_az1_rack2_uplink01_cidr</vt:lpstr>
      <vt:lpstr>input_wld_az1_rack2_uplink01_gateway_ip</vt:lpstr>
      <vt:lpstr>input_wld_az1_rack2_uplink01_mtu</vt:lpstr>
      <vt:lpstr>input_wld_az1_rack2_uplink01_pg</vt:lpstr>
      <vt:lpstr>input_wld_az1_rack2_uplink01_vlan</vt:lpstr>
      <vt:lpstr>input_wld_az1_rack2_uplink02_cidr</vt:lpstr>
      <vt:lpstr>input_wld_az1_rack2_uplink02_gateway_ip</vt:lpstr>
      <vt:lpstr>input_wld_az1_rack2_uplink02_mtu</vt:lpstr>
      <vt:lpstr>input_wld_az1_rack2_uplink02_pg</vt:lpstr>
      <vt:lpstr>input_wld_az1_rack2_uplink02_vlan</vt:lpstr>
      <vt:lpstr>input_wld_az1_rack2_vmotion_cidr</vt:lpstr>
      <vt:lpstr>input_wld_az1_rack2_vmotion_gateway_ip</vt:lpstr>
      <vt:lpstr>input_wld_az1_rack2_vmotion_mtu</vt:lpstr>
      <vt:lpstr>input_wld_az1_rack2_vmotion_pool_end_ip</vt:lpstr>
      <vt:lpstr>input_wld_az1_rack2_vmotion_pool_start_ip</vt:lpstr>
      <vt:lpstr>input_wld_az1_rack2_vmotion_vlan</vt:lpstr>
      <vt:lpstr>input_wld_az1_rack2_vrms_cidr</vt:lpstr>
      <vt:lpstr>input_wld_az1_rack2_vrms_gateway_ip</vt:lpstr>
      <vt:lpstr>input_wld_az1_rack2_vrms_mtu</vt:lpstr>
      <vt:lpstr>input_wld_az1_rack2_vrms_vlan</vt:lpstr>
      <vt:lpstr>input_wld_az1_rack2_vsan_fault_domain</vt:lpstr>
      <vt:lpstr>input_wld_az1_rack3_child_dns_zone</vt:lpstr>
      <vt:lpstr>input_wld_az1_rack3_edge_overlay_cidr</vt:lpstr>
      <vt:lpstr>input_wld_az1_rack3_edge_overlay_gateway_ip</vt:lpstr>
      <vt:lpstr>input_wld_az1_rack3_edge_overlay_mtu</vt:lpstr>
      <vt:lpstr>input_wld_az1_rack3_edge_overlay_network_pool_name</vt:lpstr>
      <vt:lpstr>input_wld_az1_rack3_edge_overlay_pool_end_ip</vt:lpstr>
      <vt:lpstr>input_wld_az1_rack3_edge_overlay_pool_start_ip</vt:lpstr>
      <vt:lpstr>input_wld_az1_rack3_edge_overlay_vlan</vt:lpstr>
      <vt:lpstr>input_wld_az1_rack3_en1_hostname</vt:lpstr>
      <vt:lpstr>input_wld_az1_rack3_en1_mgmt_ip</vt:lpstr>
      <vt:lpstr>input_wld_az1_rack3_en1_uplink01_interface_ip</vt:lpstr>
      <vt:lpstr>input_wld_az1_rack3_en1_uplink02_interface_ip</vt:lpstr>
      <vt:lpstr>input_wld_az1_rack3_en2_hostname</vt:lpstr>
      <vt:lpstr>input_wld_az1_rack3_en2_mgmt_ip</vt:lpstr>
      <vt:lpstr>input_wld_az1_rack3_en2_uplink01_interface_ip</vt:lpstr>
      <vt:lpstr>input_wld_az1_rack3_en2_uplink02_interface_ip</vt:lpstr>
      <vt:lpstr>input_wld_az1_rack3_host_functions</vt:lpstr>
      <vt:lpstr>input_wld_az1_rack3_host_overlay_cidr</vt:lpstr>
      <vt:lpstr>input_wld_az1_rack3_host_overlay_gateway_ip</vt:lpstr>
      <vt:lpstr>input_wld_az1_rack3_host_overlay_mtu</vt:lpstr>
      <vt:lpstr>input_wld_az1_rack3_host_overlay_network_pool_name</vt:lpstr>
      <vt:lpstr>input_wld_az1_rack3_host_overlay_network_profile_name</vt:lpstr>
      <vt:lpstr>input_wld_az1_rack3_host_overlay_pool_end_ip</vt:lpstr>
      <vt:lpstr>input_wld_az1_rack3_host_overlay_pool_start_ip</vt:lpstr>
      <vt:lpstr>input_wld_az1_rack3_host_overlay_uplink_profile_name</vt:lpstr>
      <vt:lpstr>input_wld_az1_rack3_host_overlay_vlan</vt:lpstr>
      <vt:lpstr>input_wld_az1_rack3_host1_function</vt:lpstr>
      <vt:lpstr>input_wld_az1_rack3_host1_hostname</vt:lpstr>
      <vt:lpstr>input_wld_az1_rack3_host1_mgmt_ip</vt:lpstr>
      <vt:lpstr>input_wld_az1_rack3_host1_vrms_ip</vt:lpstr>
      <vt:lpstr>input_wld_az1_rack3_host10_function</vt:lpstr>
      <vt:lpstr>input_wld_az1_rack3_host10_hostname</vt:lpstr>
      <vt:lpstr>input_wld_az1_rack3_host10_mgmt_ip</vt:lpstr>
      <vt:lpstr>input_wld_az1_rack3_host10_vrms_ip</vt:lpstr>
      <vt:lpstr>input_wld_az1_rack3_host11_function</vt:lpstr>
      <vt:lpstr>input_wld_az1_rack3_host11_hostname</vt:lpstr>
      <vt:lpstr>input_wld_az1_rack3_host11_mgmt_ip</vt:lpstr>
      <vt:lpstr>input_wld_az1_rack3_host11_vrms_ip</vt:lpstr>
      <vt:lpstr>input_wld_az1_rack3_host12_function</vt:lpstr>
      <vt:lpstr>input_wld_az1_rack3_host12_hostname</vt:lpstr>
      <vt:lpstr>input_wld_az1_rack3_host12_mgmt_ip</vt:lpstr>
      <vt:lpstr>input_wld_az1_rack3_host12_vrms_ip</vt:lpstr>
      <vt:lpstr>input_wld_az1_rack3_host13_function</vt:lpstr>
      <vt:lpstr>input_wld_az1_rack3_host13_hostname</vt:lpstr>
      <vt:lpstr>input_wld_az1_rack3_host13_mgmt_ip</vt:lpstr>
      <vt:lpstr>input_wld_az1_rack3_host13_vrms_ip</vt:lpstr>
      <vt:lpstr>input_wld_az1_rack3_host14_function</vt:lpstr>
      <vt:lpstr>input_wld_az1_rack3_host14_hostname</vt:lpstr>
      <vt:lpstr>input_wld_az1_rack3_host14_mgmt_ip</vt:lpstr>
      <vt:lpstr>input_wld_az1_rack3_host14_vrms_ip</vt:lpstr>
      <vt:lpstr>input_wld_az1_rack3_host15_function</vt:lpstr>
      <vt:lpstr>input_wld_az1_rack3_host15_hostname</vt:lpstr>
      <vt:lpstr>input_wld_az1_rack3_host15_mgmt_ip</vt:lpstr>
      <vt:lpstr>input_wld_az1_rack3_host15_vrms_ip</vt:lpstr>
      <vt:lpstr>input_wld_az1_rack3_host16_function</vt:lpstr>
      <vt:lpstr>input_wld_az1_rack3_host16_hostname</vt:lpstr>
      <vt:lpstr>input_wld_az1_rack3_host16_mgmt_ip</vt:lpstr>
      <vt:lpstr>input_wld_az1_rack3_host16_vrms_ip</vt:lpstr>
      <vt:lpstr>input_wld_az1_rack3_host2_function</vt:lpstr>
      <vt:lpstr>input_wld_az1_rack3_host2_hostname</vt:lpstr>
      <vt:lpstr>input_wld_az1_rack3_host2_mgmt_ip</vt:lpstr>
      <vt:lpstr>input_wld_az1_rack3_host2_vrms_ip</vt:lpstr>
      <vt:lpstr>input_wld_az1_rack3_host3_function</vt:lpstr>
      <vt:lpstr>input_wld_az1_rack3_host3_hostname</vt:lpstr>
      <vt:lpstr>input_wld_az1_rack3_host3_mgmt_ip</vt:lpstr>
      <vt:lpstr>input_wld_az1_rack3_host3_vrms_ip</vt:lpstr>
      <vt:lpstr>input_wld_az1_rack3_host4_function</vt:lpstr>
      <vt:lpstr>input_wld_az1_rack3_host4_hostname</vt:lpstr>
      <vt:lpstr>input_wld_az1_rack3_host4_mgmt_ip</vt:lpstr>
      <vt:lpstr>input_wld_az1_rack3_host4_vrms_ip</vt:lpstr>
      <vt:lpstr>input_wld_az1_rack3_host5_function</vt:lpstr>
      <vt:lpstr>input_wld_az1_rack3_host5_hostname</vt:lpstr>
      <vt:lpstr>input_wld_az1_rack3_host5_mgmt_ip</vt:lpstr>
      <vt:lpstr>input_wld_az1_rack3_host5_vrms_ip</vt:lpstr>
      <vt:lpstr>input_wld_az1_rack3_host6_function</vt:lpstr>
      <vt:lpstr>input_wld_az1_rack3_host6_hostname</vt:lpstr>
      <vt:lpstr>input_wld_az1_rack3_host6_mgmt_ip</vt:lpstr>
      <vt:lpstr>input_wld_az1_rack3_host6_vrms_ip</vt:lpstr>
      <vt:lpstr>input_wld_az1_rack3_host7_function</vt:lpstr>
      <vt:lpstr>input_wld_az1_rack3_host7_hostname</vt:lpstr>
      <vt:lpstr>input_wld_az1_rack3_host7_mgmt_ip</vt:lpstr>
      <vt:lpstr>input_wld_az1_rack3_host7_vrms_ip</vt:lpstr>
      <vt:lpstr>input_wld_az1_rack3_host8_function</vt:lpstr>
      <vt:lpstr>input_wld_az1_rack3_host8_hostname</vt:lpstr>
      <vt:lpstr>input_wld_az1_rack3_host8_mgmt_ip</vt:lpstr>
      <vt:lpstr>input_wld_az1_rack3_host8_vrms_ip</vt:lpstr>
      <vt:lpstr>input_wld_az1_rack3_host9_function</vt:lpstr>
      <vt:lpstr>input_wld_az1_rack3_host9_hostname</vt:lpstr>
      <vt:lpstr>input_wld_az1_rack3_host9_mgmt_ip</vt:lpstr>
      <vt:lpstr>input_wld_az1_rack3_host9_vrms_ip</vt:lpstr>
      <vt:lpstr>input_wld_az1_rack3_mgmt_cidr</vt:lpstr>
      <vt:lpstr>input_wld_az1_rack3_mgmt_gateway_ip</vt:lpstr>
      <vt:lpstr>input_wld_az1_rack3_mgmt_mtu</vt:lpstr>
      <vt:lpstr>input_wld_az1_rack3_mgmt_vlan</vt:lpstr>
      <vt:lpstr>input_wld_az1_rack3_mgmt_vm_cidr</vt:lpstr>
      <vt:lpstr>input_wld_az1_rack3_mgmt_vm_gateway_ip</vt:lpstr>
      <vt:lpstr>input_wld_az1_rack3_mgmt_vm_mtu</vt:lpstr>
      <vt:lpstr>input_wld_az1_rack3_mgmt_vm_vlan</vt:lpstr>
      <vt:lpstr>input_wld_az1_rack3_pool_name</vt:lpstr>
      <vt:lpstr>input_wld_az1_rack3_principal_storage_cidr</vt:lpstr>
      <vt:lpstr>input_wld_az1_rack3_principal_storage_gateway_ip</vt:lpstr>
      <vt:lpstr>input_wld_az1_rack3_principal_storage_mtu</vt:lpstr>
      <vt:lpstr>input_wld_az1_rack3_principal_storage_pool_end_ip</vt:lpstr>
      <vt:lpstr>input_wld_az1_rack3_principal_storage_pool_start_ip</vt:lpstr>
      <vt:lpstr>input_wld_az1_rack3_principal_storage_vlan</vt:lpstr>
      <vt:lpstr>input_wld_az1_rack3_rtep_ip_pool_name</vt:lpstr>
      <vt:lpstr>input_wld_az1_rack3_rtep_overlay_cidr</vt:lpstr>
      <vt:lpstr>input_wld_az1_rack3_rtep_overlay_gateway_ip</vt:lpstr>
      <vt:lpstr>input_wld_az1_rack3_rtep_overlay_mtu</vt:lpstr>
      <vt:lpstr>input_wld_az1_rack3_rtep_overlay_pool_end_ip</vt:lpstr>
      <vt:lpstr>input_wld_az1_rack3_rtep_overlay_pool_start_ip</vt:lpstr>
      <vt:lpstr>input_wld_az1_rack3_rtep_overlay_vlan</vt:lpstr>
      <vt:lpstr>input_wld_az1_rack3_secondary_storage_cidr</vt:lpstr>
      <vt:lpstr>input_wld_az1_rack3_secondary_storage_gateway_ip</vt:lpstr>
      <vt:lpstr>input_wld_az1_rack3_secondary_storage_mtu</vt:lpstr>
      <vt:lpstr>input_wld_az1_rack3_secondary_storage_pool_end_ip</vt:lpstr>
      <vt:lpstr>input_wld_az1_rack3_secondary_storage_pool_start_ip</vt:lpstr>
      <vt:lpstr>input_wld_az1_rack3_secondary_storage_vlan</vt:lpstr>
      <vt:lpstr>input_wld_az1_rack3_tor1_peer_asn</vt:lpstr>
      <vt:lpstr>input_wld_az1_rack3_tor1_peer_bgp_password</vt:lpstr>
      <vt:lpstr>input_wld_az1_rack3_tor1_peer_ip</vt:lpstr>
      <vt:lpstr>input_wld_az1_rack3_tor2_peer_asn</vt:lpstr>
      <vt:lpstr>input_wld_az1_rack3_tor2_peer_bgp_password</vt:lpstr>
      <vt:lpstr>input_wld_az1_rack3_tor2_peer_ip</vt:lpstr>
      <vt:lpstr>input_wld_az1_rack3_uplink01_cidr</vt:lpstr>
      <vt:lpstr>input_wld_az1_rack3_uplink01_gateway_ip</vt:lpstr>
      <vt:lpstr>input_wld_az1_rack3_uplink01_mtu</vt:lpstr>
      <vt:lpstr>input_wld_az1_rack3_uplink01_pg</vt:lpstr>
      <vt:lpstr>input_wld_az1_rack3_uplink01_vlan</vt:lpstr>
      <vt:lpstr>input_wld_az1_rack3_uplink02_cidr</vt:lpstr>
      <vt:lpstr>input_wld_az1_rack3_uplink02_gateway_ip</vt:lpstr>
      <vt:lpstr>input_wld_az1_rack3_uplink02_mtu</vt:lpstr>
      <vt:lpstr>input_wld_az1_rack3_uplink02_pg</vt:lpstr>
      <vt:lpstr>input_wld_az1_rack3_uplink02_vlan</vt:lpstr>
      <vt:lpstr>input_wld_az1_rack3_vmotion_cidr</vt:lpstr>
      <vt:lpstr>input_wld_az1_rack3_vmotion_gateway_ip</vt:lpstr>
      <vt:lpstr>input_wld_az1_rack3_vmotion_mtu</vt:lpstr>
      <vt:lpstr>input_wld_az1_rack3_vmotion_pool_end_ip</vt:lpstr>
      <vt:lpstr>input_wld_az1_rack3_vmotion_pool_start_ip</vt:lpstr>
      <vt:lpstr>input_wld_az1_rack3_vmotion_vlan</vt:lpstr>
      <vt:lpstr>input_wld_az1_rack3_vrms_cidr</vt:lpstr>
      <vt:lpstr>input_wld_az1_rack3_vrms_gateway_ip</vt:lpstr>
      <vt:lpstr>input_wld_az1_rack3_vrms_mtu</vt:lpstr>
      <vt:lpstr>input_wld_az1_rack3_vrms_vlan</vt:lpstr>
      <vt:lpstr>input_wld_az1_rack3_vsan_fault_domain</vt:lpstr>
      <vt:lpstr>input_wld_az1_rack4_child_dns_zone</vt:lpstr>
      <vt:lpstr>input_wld_az1_rack4_edge_overlay_cidr</vt:lpstr>
      <vt:lpstr>input_wld_az1_rack4_edge_overlay_gateway_ip</vt:lpstr>
      <vt:lpstr>input_wld_az1_rack4_edge_overlay_mtu</vt:lpstr>
      <vt:lpstr>input_wld_az1_rack4_edge_overlay_network_pool_name</vt:lpstr>
      <vt:lpstr>input_wld_az1_rack4_edge_overlay_pool_end_ip</vt:lpstr>
      <vt:lpstr>input_wld_az1_rack4_edge_overlay_pool_start_ip</vt:lpstr>
      <vt:lpstr>input_wld_az1_rack4_edge_overlay_vlan</vt:lpstr>
      <vt:lpstr>input_wld_az1_rack4_en1_hostname</vt:lpstr>
      <vt:lpstr>input_wld_az1_rack4_en1_mgmt_ip</vt:lpstr>
      <vt:lpstr>input_wld_az1_rack4_en1_uplink01_interface_ip</vt:lpstr>
      <vt:lpstr>input_wld_az1_rack4_en1_uplink02_interface_ip</vt:lpstr>
      <vt:lpstr>input_wld_az1_rack4_en2_hostname</vt:lpstr>
      <vt:lpstr>input_wld_az1_rack4_en2_mgmt_ip</vt:lpstr>
      <vt:lpstr>input_wld_az1_rack4_en2_uplink01_interface_ip</vt:lpstr>
      <vt:lpstr>input_wld_az1_rack4_en2_uplink02_interface_ip</vt:lpstr>
      <vt:lpstr>input_wld_az1_rack4_host_functions</vt:lpstr>
      <vt:lpstr>input_wld_az1_rack4_host_overlay_cidr</vt:lpstr>
      <vt:lpstr>input_wld_az1_rack4_host_overlay_gateway_ip</vt:lpstr>
      <vt:lpstr>input_wld_az1_rack4_host_overlay_mtu</vt:lpstr>
      <vt:lpstr>input_wld_az1_rack4_host_overlay_network_pool_name</vt:lpstr>
      <vt:lpstr>input_wld_az1_rack4_host_overlay_network_profile_name</vt:lpstr>
      <vt:lpstr>input_wld_az1_rack4_host_overlay_pool_end_ip</vt:lpstr>
      <vt:lpstr>input_wld_az1_rack4_host_overlay_pool_start_ip</vt:lpstr>
      <vt:lpstr>input_wld_az1_rack4_host_overlay_uplink_profile_name</vt:lpstr>
      <vt:lpstr>input_wld_az1_rack4_host_overlay_vlan</vt:lpstr>
      <vt:lpstr>input_wld_az1_rack4_host1_function</vt:lpstr>
      <vt:lpstr>input_wld_az1_rack4_host1_hostname</vt:lpstr>
      <vt:lpstr>input_wld_az1_rack4_host1_mgmt_ip</vt:lpstr>
      <vt:lpstr>input_wld_az1_rack4_host1_vrms_ip</vt:lpstr>
      <vt:lpstr>input_wld_az1_rack4_host10_function</vt:lpstr>
      <vt:lpstr>input_wld_az1_rack4_host10_hostname</vt:lpstr>
      <vt:lpstr>input_wld_az1_rack4_host10_mgmt_ip</vt:lpstr>
      <vt:lpstr>input_wld_az1_rack4_host10_vrms_ip</vt:lpstr>
      <vt:lpstr>input_wld_az1_rack4_host11_function</vt:lpstr>
      <vt:lpstr>input_wld_az1_rack4_host11_hostname</vt:lpstr>
      <vt:lpstr>input_wld_az1_rack4_host11_mgmt_ip</vt:lpstr>
      <vt:lpstr>input_wld_az1_rack4_host11_vrms_ip</vt:lpstr>
      <vt:lpstr>input_wld_az1_rack4_host12_function</vt:lpstr>
      <vt:lpstr>input_wld_az1_rack4_host12_hostname</vt:lpstr>
      <vt:lpstr>input_wld_az1_rack4_host12_mgmt_ip</vt:lpstr>
      <vt:lpstr>input_wld_az1_rack4_host12_vrms_ip</vt:lpstr>
      <vt:lpstr>input_wld_az1_rack4_host13_function</vt:lpstr>
      <vt:lpstr>input_wld_az1_rack4_host13_hostname</vt:lpstr>
      <vt:lpstr>input_wld_az1_rack4_host13_mgmt_ip</vt:lpstr>
      <vt:lpstr>input_wld_az1_rack4_host13_vrms_ip</vt:lpstr>
      <vt:lpstr>input_wld_az1_rack4_host14_function</vt:lpstr>
      <vt:lpstr>input_wld_az1_rack4_host14_hostname</vt:lpstr>
      <vt:lpstr>input_wld_az1_rack4_host14_mgmt_ip</vt:lpstr>
      <vt:lpstr>input_wld_az1_rack4_host14_vrms_ip</vt:lpstr>
      <vt:lpstr>input_wld_az1_rack4_host15_function</vt:lpstr>
      <vt:lpstr>input_wld_az1_rack4_host15_hostname</vt:lpstr>
      <vt:lpstr>input_wld_az1_rack4_host15_mgmt_ip</vt:lpstr>
      <vt:lpstr>input_wld_az1_rack4_host15_vrms_ip</vt:lpstr>
      <vt:lpstr>input_wld_az1_rack4_host16_function</vt:lpstr>
      <vt:lpstr>input_wld_az1_rack4_host16_hostname</vt:lpstr>
      <vt:lpstr>input_wld_az1_rack4_host16_mgmt_ip</vt:lpstr>
      <vt:lpstr>input_wld_az1_rack4_host16_vrms_ip</vt:lpstr>
      <vt:lpstr>input_wld_az1_rack4_host2_function</vt:lpstr>
      <vt:lpstr>input_wld_az1_rack4_host2_hostname</vt:lpstr>
      <vt:lpstr>input_wld_az1_rack4_host2_mgmt_ip</vt:lpstr>
      <vt:lpstr>input_wld_az1_rack4_host2_vrms_ip</vt:lpstr>
      <vt:lpstr>input_wld_az1_rack4_host3_function</vt:lpstr>
      <vt:lpstr>input_wld_az1_rack4_host3_hostname</vt:lpstr>
      <vt:lpstr>input_wld_az1_rack4_host3_mgmt_ip</vt:lpstr>
      <vt:lpstr>input_wld_az1_rack4_host3_vrms_ip</vt:lpstr>
      <vt:lpstr>input_wld_az1_rack4_host4_function</vt:lpstr>
      <vt:lpstr>input_wld_az1_rack4_host4_hostname</vt:lpstr>
      <vt:lpstr>input_wld_az1_rack4_host4_mgmt_ip</vt:lpstr>
      <vt:lpstr>input_wld_az1_rack4_host4_vrms_ip</vt:lpstr>
      <vt:lpstr>input_wld_az1_rack4_host5_function</vt:lpstr>
      <vt:lpstr>input_wld_az1_rack4_host5_hostname</vt:lpstr>
      <vt:lpstr>input_wld_az1_rack4_host5_mgmt_ip</vt:lpstr>
      <vt:lpstr>input_wld_az1_rack4_host5_vrms_ip</vt:lpstr>
      <vt:lpstr>input_wld_az1_rack4_host6_function</vt:lpstr>
      <vt:lpstr>input_wld_az1_rack4_host6_hostname</vt:lpstr>
      <vt:lpstr>input_wld_az1_rack4_host6_mgmt_ip</vt:lpstr>
      <vt:lpstr>input_wld_az1_rack4_host6_vrms_ip</vt:lpstr>
      <vt:lpstr>input_wld_az1_rack4_host7_function</vt:lpstr>
      <vt:lpstr>input_wld_az1_rack4_host7_hostname</vt:lpstr>
      <vt:lpstr>input_wld_az1_rack4_host7_mgmt_ip</vt:lpstr>
      <vt:lpstr>input_wld_az1_rack4_host7_vrms_ip</vt:lpstr>
      <vt:lpstr>input_wld_az1_rack4_host8_function</vt:lpstr>
      <vt:lpstr>input_wld_az1_rack4_host8_hostname</vt:lpstr>
      <vt:lpstr>input_wld_az1_rack4_host8_mgmt_ip</vt:lpstr>
      <vt:lpstr>input_wld_az1_rack4_host8_vrms_ip</vt:lpstr>
      <vt:lpstr>input_wld_az1_rack4_host9_function</vt:lpstr>
      <vt:lpstr>input_wld_az1_rack4_host9_hostname</vt:lpstr>
      <vt:lpstr>input_wld_az1_rack4_host9_mgmt_ip</vt:lpstr>
      <vt:lpstr>input_wld_az1_rack4_host9_vrms_ip</vt:lpstr>
      <vt:lpstr>input_wld_az1_rack4_mgmt_cidr</vt:lpstr>
      <vt:lpstr>input_wld_az1_rack4_mgmt_gateway_ip</vt:lpstr>
      <vt:lpstr>input_wld_az1_rack4_mgmt_mtu</vt:lpstr>
      <vt:lpstr>input_wld_az1_rack4_mgmt_vlan</vt:lpstr>
      <vt:lpstr>input_wld_az1_rack4_mgmt_vm_cidr</vt:lpstr>
      <vt:lpstr>input_wld_az1_rack4_mgmt_vm_gateway_ip</vt:lpstr>
      <vt:lpstr>input_wld_az1_rack4_mgmt_vm_mtu</vt:lpstr>
      <vt:lpstr>input_wld_az1_rack4_mgmt_vm_vlan</vt:lpstr>
      <vt:lpstr>input_wld_az1_rack4_pool_name</vt:lpstr>
      <vt:lpstr>input_wld_az1_rack4_principal_storage_cidr</vt:lpstr>
      <vt:lpstr>input_wld_az1_rack4_principal_storage_gateway_ip</vt:lpstr>
      <vt:lpstr>input_wld_az1_rack4_principal_storage_mtu</vt:lpstr>
      <vt:lpstr>input_wld_az1_rack4_principal_storage_pool_end_ip</vt:lpstr>
      <vt:lpstr>input_wld_az1_rack4_principal_storage_pool_start_ip</vt:lpstr>
      <vt:lpstr>input_wld_az1_rack4_principal_storage_vlan</vt:lpstr>
      <vt:lpstr>input_wld_az1_rack4_rtep_ip_pool_name</vt:lpstr>
      <vt:lpstr>input_wld_az1_rack4_rtep_overlay_cidr</vt:lpstr>
      <vt:lpstr>input_wld_az1_rack4_rtep_overlay_gateway_ip</vt:lpstr>
      <vt:lpstr>input_wld_az1_rack4_rtep_overlay_mtu</vt:lpstr>
      <vt:lpstr>input_wld_az1_rack4_rtep_overlay_pool_end_ip</vt:lpstr>
      <vt:lpstr>input_wld_az1_rack4_rtep_overlay_pool_start_ip</vt:lpstr>
      <vt:lpstr>input_wld_az1_rack4_rtep_overlay_vlan</vt:lpstr>
      <vt:lpstr>input_wld_az1_rack4_secondary_storage_cidr</vt:lpstr>
      <vt:lpstr>input_wld_az1_rack4_secondary_storage_gateway_ip</vt:lpstr>
      <vt:lpstr>input_wld_az1_rack4_secondary_storage_mtu</vt:lpstr>
      <vt:lpstr>input_wld_az1_rack4_secondary_storage_pool_end_ip</vt:lpstr>
      <vt:lpstr>input_wld_az1_rack4_secondary_storage_pool_start_ip</vt:lpstr>
      <vt:lpstr>input_wld_az1_rack4_secondary_storage_vlan</vt:lpstr>
      <vt:lpstr>input_wld_az1_rack4_tor1_peer_asn</vt:lpstr>
      <vt:lpstr>input_wld_az1_rack4_tor1_peer_bgp_password</vt:lpstr>
      <vt:lpstr>input_wld_az1_rack4_tor1_peer_ip</vt:lpstr>
      <vt:lpstr>input_wld_az1_rack4_tor2_peer_asn</vt:lpstr>
      <vt:lpstr>input_wld_az1_rack4_tor2_peer_bgp_password</vt:lpstr>
      <vt:lpstr>input_wld_az1_rack4_tor2_peer_ip</vt:lpstr>
      <vt:lpstr>input_wld_az1_rack4_uplink01_cidr</vt:lpstr>
      <vt:lpstr>input_wld_az1_rack4_uplink01_gateway_ip</vt:lpstr>
      <vt:lpstr>input_wld_az1_rack4_uplink01_mtu</vt:lpstr>
      <vt:lpstr>input_wld_az1_rack4_uplink01_pg</vt:lpstr>
      <vt:lpstr>input_wld_az1_rack4_uplink01_vlan</vt:lpstr>
      <vt:lpstr>input_wld_az1_rack4_uplink02_cidr</vt:lpstr>
      <vt:lpstr>input_wld_az1_rack4_uplink02_gateway_ip</vt:lpstr>
      <vt:lpstr>input_wld_az1_rack4_uplink02_mtu</vt:lpstr>
      <vt:lpstr>input_wld_az1_rack4_uplink02_pg</vt:lpstr>
      <vt:lpstr>input_wld_az1_rack4_uplink02_vlan</vt:lpstr>
      <vt:lpstr>input_wld_az1_rack4_vmotion_cidr</vt:lpstr>
      <vt:lpstr>input_wld_az1_rack4_vmotion_gateway_ip</vt:lpstr>
      <vt:lpstr>input_wld_az1_rack4_vmotion_mtu</vt:lpstr>
      <vt:lpstr>input_wld_az1_rack4_vmotion_pool_end_ip</vt:lpstr>
      <vt:lpstr>input_wld_az1_rack4_vmotion_pool_start_ip</vt:lpstr>
      <vt:lpstr>input_wld_az1_rack4_vmotion_vlan</vt:lpstr>
      <vt:lpstr>input_wld_az1_rack4_vrms_cidr</vt:lpstr>
      <vt:lpstr>input_wld_az1_rack4_vrms_gateway_ip</vt:lpstr>
      <vt:lpstr>input_wld_az1_rack4_vrms_mtu</vt:lpstr>
      <vt:lpstr>input_wld_az1_rack4_vrms_vlan</vt:lpstr>
      <vt:lpstr>input_wld_az1_rack4_vsan_fault_domain</vt:lpstr>
      <vt:lpstr>input_wld_az1_rack5_child_dns_zone</vt:lpstr>
      <vt:lpstr>input_wld_az1_rack5_edge_overlay_cidr</vt:lpstr>
      <vt:lpstr>input_wld_az1_rack5_edge_overlay_gateway_ip</vt:lpstr>
      <vt:lpstr>input_wld_az1_rack5_edge_overlay_mtu</vt:lpstr>
      <vt:lpstr>input_wld_az1_rack5_edge_overlay_network_pool_name</vt:lpstr>
      <vt:lpstr>input_wld_az1_rack5_edge_overlay_pool_end_ip</vt:lpstr>
      <vt:lpstr>input_wld_az1_rack5_edge_overlay_pool_start_ip</vt:lpstr>
      <vt:lpstr>input_wld_az1_rack5_edge_overlay_vlan</vt:lpstr>
      <vt:lpstr>input_wld_az1_rack5_en1_hostname</vt:lpstr>
      <vt:lpstr>input_wld_az1_rack5_en1_mgmt_ip</vt:lpstr>
      <vt:lpstr>input_wld_az1_rack5_en1_uplink01_interface_ip</vt:lpstr>
      <vt:lpstr>input_wld_az1_rack5_en1_uplink02_interface_ip</vt:lpstr>
      <vt:lpstr>input_wld_az1_rack5_en2_hostname</vt:lpstr>
      <vt:lpstr>input_wld_az1_rack5_en2_mgmt_ip</vt:lpstr>
      <vt:lpstr>input_wld_az1_rack5_en2_uplink01_interface_ip</vt:lpstr>
      <vt:lpstr>input_wld_az1_rack5_en2_uplink02_interface_ip</vt:lpstr>
      <vt:lpstr>input_wld_az1_rack5_host_functions</vt:lpstr>
      <vt:lpstr>input_wld_az1_rack5_host_overlay_cidr</vt:lpstr>
      <vt:lpstr>input_wld_az1_rack5_host_overlay_gateway_ip</vt:lpstr>
      <vt:lpstr>input_wld_az1_rack5_host_overlay_mtu</vt:lpstr>
      <vt:lpstr>input_wld_az1_rack5_host_overlay_network_pool_name</vt:lpstr>
      <vt:lpstr>input_wld_az1_rack5_host_overlay_network_profile_name</vt:lpstr>
      <vt:lpstr>input_wld_az1_rack5_host_overlay_pool_end_ip</vt:lpstr>
      <vt:lpstr>input_wld_az1_rack5_host_overlay_pool_start_ip</vt:lpstr>
      <vt:lpstr>input_wld_az1_rack5_host_overlay_uplink_profile_name</vt:lpstr>
      <vt:lpstr>input_wld_az1_rack5_host_overlay_vlan</vt:lpstr>
      <vt:lpstr>input_wld_az1_rack5_host1_function</vt:lpstr>
      <vt:lpstr>input_wld_az1_rack5_host1_hostname</vt:lpstr>
      <vt:lpstr>input_wld_az1_rack5_host1_mgmt_ip</vt:lpstr>
      <vt:lpstr>input_wld_az1_rack5_host1_vrms_ip</vt:lpstr>
      <vt:lpstr>input_wld_az1_rack5_host10_function</vt:lpstr>
      <vt:lpstr>input_wld_az1_rack5_host10_hostname</vt:lpstr>
      <vt:lpstr>input_wld_az1_rack5_host10_mgmt_ip</vt:lpstr>
      <vt:lpstr>input_wld_az1_rack5_host10_vrms_ip</vt:lpstr>
      <vt:lpstr>input_wld_az1_rack5_host11_function</vt:lpstr>
      <vt:lpstr>input_wld_az1_rack5_host11_hostname</vt:lpstr>
      <vt:lpstr>input_wld_az1_rack5_host11_mgmt_ip</vt:lpstr>
      <vt:lpstr>input_wld_az1_rack5_host11_vrms_ip</vt:lpstr>
      <vt:lpstr>input_wld_az1_rack5_host12_function</vt:lpstr>
      <vt:lpstr>input_wld_az1_rack5_host12_hostname</vt:lpstr>
      <vt:lpstr>input_wld_az1_rack5_host12_mgmt_ip</vt:lpstr>
      <vt:lpstr>input_wld_az1_rack5_host12_vrms_ip</vt:lpstr>
      <vt:lpstr>input_wld_az1_rack5_host13_function</vt:lpstr>
      <vt:lpstr>input_wld_az1_rack5_host13_hostname</vt:lpstr>
      <vt:lpstr>input_wld_az1_rack5_host13_mgmt_ip</vt:lpstr>
      <vt:lpstr>input_wld_az1_rack5_host13_vrms_ip</vt:lpstr>
      <vt:lpstr>input_wld_az1_rack5_host14_function</vt:lpstr>
      <vt:lpstr>input_wld_az1_rack5_host14_hostname</vt:lpstr>
      <vt:lpstr>input_wld_az1_rack5_host14_mgmt_ip</vt:lpstr>
      <vt:lpstr>input_wld_az1_rack5_host14_vrms_ip</vt:lpstr>
      <vt:lpstr>input_wld_az1_rack5_host15_function</vt:lpstr>
      <vt:lpstr>input_wld_az1_rack5_host15_hostname</vt:lpstr>
      <vt:lpstr>input_wld_az1_rack5_host15_mgmt_ip</vt:lpstr>
      <vt:lpstr>input_wld_az1_rack5_host15_vrms_ip</vt:lpstr>
      <vt:lpstr>input_wld_az1_rack5_host16_function</vt:lpstr>
      <vt:lpstr>input_wld_az1_rack5_host16_hostname</vt:lpstr>
      <vt:lpstr>input_wld_az1_rack5_host16_mgmt_ip</vt:lpstr>
      <vt:lpstr>input_wld_az1_rack5_host16_vrms_ip</vt:lpstr>
      <vt:lpstr>input_wld_az1_rack5_host2_function</vt:lpstr>
      <vt:lpstr>input_wld_az1_rack5_host2_hostname</vt:lpstr>
      <vt:lpstr>input_wld_az1_rack5_host2_mgmt_ip</vt:lpstr>
      <vt:lpstr>input_wld_az1_rack5_host2_vrms_ip</vt:lpstr>
      <vt:lpstr>input_wld_az1_rack5_host3_function</vt:lpstr>
      <vt:lpstr>input_wld_az1_rack5_host3_hostname</vt:lpstr>
      <vt:lpstr>input_wld_az1_rack5_host3_mgmt_ip</vt:lpstr>
      <vt:lpstr>input_wld_az1_rack5_host3_vrms_ip</vt:lpstr>
      <vt:lpstr>input_wld_az1_rack5_host4_function</vt:lpstr>
      <vt:lpstr>input_wld_az1_rack5_host4_hostname</vt:lpstr>
      <vt:lpstr>input_wld_az1_rack5_host4_mgmt_ip</vt:lpstr>
      <vt:lpstr>input_wld_az1_rack5_host4_vrms_ip</vt:lpstr>
      <vt:lpstr>input_wld_az1_rack5_host5_function</vt:lpstr>
      <vt:lpstr>input_wld_az1_rack5_host5_hostname</vt:lpstr>
      <vt:lpstr>input_wld_az1_rack5_host5_mgmt_ip</vt:lpstr>
      <vt:lpstr>input_wld_az1_rack5_host5_vrms_ip</vt:lpstr>
      <vt:lpstr>input_wld_az1_rack5_host6_function</vt:lpstr>
      <vt:lpstr>input_wld_az1_rack5_host6_hostname</vt:lpstr>
      <vt:lpstr>input_wld_az1_rack5_host6_mgmt_ip</vt:lpstr>
      <vt:lpstr>input_wld_az1_rack5_host6_vrms_ip</vt:lpstr>
      <vt:lpstr>input_wld_az1_rack5_host7_function</vt:lpstr>
      <vt:lpstr>input_wld_az1_rack5_host7_hostname</vt:lpstr>
      <vt:lpstr>input_wld_az1_rack5_host7_mgmt_ip</vt:lpstr>
      <vt:lpstr>input_wld_az1_rack5_host7_vrms_ip</vt:lpstr>
      <vt:lpstr>input_wld_az1_rack5_host8_function</vt:lpstr>
      <vt:lpstr>input_wld_az1_rack5_host8_hostname</vt:lpstr>
      <vt:lpstr>input_wld_az1_rack5_host8_mgmt_ip</vt:lpstr>
      <vt:lpstr>input_wld_az1_rack5_host8_vrms_ip</vt:lpstr>
      <vt:lpstr>input_wld_az1_rack5_host9_function</vt:lpstr>
      <vt:lpstr>input_wld_az1_rack5_host9_hostname</vt:lpstr>
      <vt:lpstr>input_wld_az1_rack5_host9_mgmt_ip</vt:lpstr>
      <vt:lpstr>input_wld_az1_rack5_host9_vrms_ip</vt:lpstr>
      <vt:lpstr>input_wld_az1_rack5_mgmt_cidr</vt:lpstr>
      <vt:lpstr>input_wld_az1_rack5_mgmt_gateway_ip</vt:lpstr>
      <vt:lpstr>input_wld_az1_rack5_mgmt_mtu</vt:lpstr>
      <vt:lpstr>input_wld_az1_rack5_mgmt_vlan</vt:lpstr>
      <vt:lpstr>input_wld_az1_rack5_mgmt_vm_cidr</vt:lpstr>
      <vt:lpstr>input_wld_az1_rack5_mgmt_vm_gateway_ip</vt:lpstr>
      <vt:lpstr>input_wld_az1_rack5_mgmt_vm_mtu</vt:lpstr>
      <vt:lpstr>input_wld_az1_rack5_mgmt_vm_vlan</vt:lpstr>
      <vt:lpstr>input_wld_az1_rack5_pool_name</vt:lpstr>
      <vt:lpstr>input_wld_az1_rack5_principal_storage_cidr</vt:lpstr>
      <vt:lpstr>input_wld_az1_rack5_principal_storage_gateway_ip</vt:lpstr>
      <vt:lpstr>input_wld_az1_rack5_principal_storage_mtu</vt:lpstr>
      <vt:lpstr>input_wld_az1_rack5_principal_storage_pool_end_ip</vt:lpstr>
      <vt:lpstr>input_wld_az1_rack5_principal_storage_pool_start_ip</vt:lpstr>
      <vt:lpstr>input_wld_az1_rack5_principal_storage_vlan</vt:lpstr>
      <vt:lpstr>input_wld_az1_rack5_rtep_ip_pool_name</vt:lpstr>
      <vt:lpstr>input_wld_az1_rack5_rtep_overlay_cidr</vt:lpstr>
      <vt:lpstr>input_wld_az1_rack5_rtep_overlay_gateway_ip</vt:lpstr>
      <vt:lpstr>input_wld_az1_rack5_rtep_overlay_mtu</vt:lpstr>
      <vt:lpstr>input_wld_az1_rack5_rtep_overlay_pool_end_ip</vt:lpstr>
      <vt:lpstr>input_wld_az1_rack5_rtep_overlay_pool_start_ip</vt:lpstr>
      <vt:lpstr>input_wld_az1_rack5_rtep_overlay_vlan</vt:lpstr>
      <vt:lpstr>input_wld_az1_rack5_secondary_storage_cidr</vt:lpstr>
      <vt:lpstr>input_wld_az1_rack5_secondary_storage_gateway_ip</vt:lpstr>
      <vt:lpstr>input_wld_az1_rack5_secondary_storage_mtu</vt:lpstr>
      <vt:lpstr>input_wld_az1_rack5_secondary_storage_pool_end_ip</vt:lpstr>
      <vt:lpstr>input_wld_az1_rack5_secondary_storage_pool_start_ip</vt:lpstr>
      <vt:lpstr>input_wld_az1_rack5_secondary_storage_vlan</vt:lpstr>
      <vt:lpstr>input_wld_az1_rack5_tor1_peer_asn</vt:lpstr>
      <vt:lpstr>input_wld_az1_rack5_tor1_peer_bgp_password</vt:lpstr>
      <vt:lpstr>input_wld_az1_rack5_tor1_peer_ip</vt:lpstr>
      <vt:lpstr>input_wld_az1_rack5_tor2_peer_asn</vt:lpstr>
      <vt:lpstr>input_wld_az1_rack5_tor2_peer_bgp_password</vt:lpstr>
      <vt:lpstr>input_wld_az1_rack5_tor2_peer_ip</vt:lpstr>
      <vt:lpstr>input_wld_az1_rack5_uplink01_cidr</vt:lpstr>
      <vt:lpstr>input_wld_az1_rack5_uplink01_gateway_ip</vt:lpstr>
      <vt:lpstr>input_wld_az1_rack5_uplink01_mtu</vt:lpstr>
      <vt:lpstr>input_wld_az1_rack5_uplink01_pg</vt:lpstr>
      <vt:lpstr>input_wld_az1_rack5_uplink01_vlan</vt:lpstr>
      <vt:lpstr>input_wld_az1_rack5_uplink02_cidr</vt:lpstr>
      <vt:lpstr>input_wld_az1_rack5_uplink02_gateway_ip</vt:lpstr>
      <vt:lpstr>input_wld_az1_rack5_uplink02_mtu</vt:lpstr>
      <vt:lpstr>input_wld_az1_rack5_uplink02_pg</vt:lpstr>
      <vt:lpstr>input_wld_az1_rack5_uplink02_vlan</vt:lpstr>
      <vt:lpstr>input_wld_az1_rack5_vmotion_cidr</vt:lpstr>
      <vt:lpstr>input_wld_az1_rack5_vmotion_gateway_ip</vt:lpstr>
      <vt:lpstr>input_wld_az1_rack5_vmotion_mtu</vt:lpstr>
      <vt:lpstr>input_wld_az1_rack5_vmotion_pool_end_ip</vt:lpstr>
      <vt:lpstr>input_wld_az1_rack5_vmotion_pool_start_ip</vt:lpstr>
      <vt:lpstr>input_wld_az1_rack5_vmotion_vlan</vt:lpstr>
      <vt:lpstr>input_wld_az1_rack5_vrms_cidr</vt:lpstr>
      <vt:lpstr>input_wld_az1_rack5_vrms_gateway_ip</vt:lpstr>
      <vt:lpstr>input_wld_az1_rack5_vrms_mtu</vt:lpstr>
      <vt:lpstr>input_wld_az1_rack5_vrms_vlan</vt:lpstr>
      <vt:lpstr>input_wld_az1_rack5_vsan_fault_domain</vt:lpstr>
      <vt:lpstr>input_wld_az1_rack6_child_dns_zone</vt:lpstr>
      <vt:lpstr>input_wld_az1_rack6_edge_overlay_cidr</vt:lpstr>
      <vt:lpstr>input_wld_az1_rack6_edge_overlay_gateway_ip</vt:lpstr>
      <vt:lpstr>input_wld_az1_rack6_edge_overlay_mtu</vt:lpstr>
      <vt:lpstr>input_wld_az1_rack6_edge_overlay_network_pool_name</vt:lpstr>
      <vt:lpstr>input_wld_az1_rack6_edge_overlay_pool_end_ip</vt:lpstr>
      <vt:lpstr>input_wld_az1_rack6_edge_overlay_pool_start_ip</vt:lpstr>
      <vt:lpstr>input_wld_az1_rack6_edge_overlay_vlan</vt:lpstr>
      <vt:lpstr>input_wld_az1_rack6_en1_hostname</vt:lpstr>
      <vt:lpstr>input_wld_az1_rack6_en1_mgmt_ip</vt:lpstr>
      <vt:lpstr>input_wld_az1_rack6_en1_uplink01_interface_ip</vt:lpstr>
      <vt:lpstr>input_wld_az1_rack6_en1_uplink02_interface_ip</vt:lpstr>
      <vt:lpstr>input_wld_az1_rack6_en2_hostname</vt:lpstr>
      <vt:lpstr>input_wld_az1_rack6_en2_mgmt_ip</vt:lpstr>
      <vt:lpstr>input_wld_az1_rack6_en2_uplink01_interface_ip</vt:lpstr>
      <vt:lpstr>input_wld_az1_rack6_en2_uplink02_interface_ip</vt:lpstr>
      <vt:lpstr>input_wld_az1_rack6_host_functions</vt:lpstr>
      <vt:lpstr>input_wld_az1_rack6_host_overlay_cidr</vt:lpstr>
      <vt:lpstr>input_wld_az1_rack6_host_overlay_gateway_ip</vt:lpstr>
      <vt:lpstr>input_wld_az1_rack6_host_overlay_mtu</vt:lpstr>
      <vt:lpstr>input_wld_az1_rack6_host_overlay_network_pool_name</vt:lpstr>
      <vt:lpstr>input_wld_az1_rack6_host_overlay_network_profile_name</vt:lpstr>
      <vt:lpstr>input_wld_az1_rack6_host_overlay_pool_end_ip</vt:lpstr>
      <vt:lpstr>input_wld_az1_rack6_host_overlay_pool_start_ip</vt:lpstr>
      <vt:lpstr>input_wld_az1_rack6_host_overlay_uplink_profile_name</vt:lpstr>
      <vt:lpstr>input_wld_az1_rack6_host_overlay_vlan</vt:lpstr>
      <vt:lpstr>input_wld_az1_rack6_host1_function</vt:lpstr>
      <vt:lpstr>input_wld_az1_rack6_host1_hostname</vt:lpstr>
      <vt:lpstr>input_wld_az1_rack6_host1_mgmt_ip</vt:lpstr>
      <vt:lpstr>input_wld_az1_rack6_host1_vrms_ip</vt:lpstr>
      <vt:lpstr>input_wld_az1_rack6_host10_function</vt:lpstr>
      <vt:lpstr>input_wld_az1_rack6_host10_hostname</vt:lpstr>
      <vt:lpstr>input_wld_az1_rack6_host10_mgmt_ip</vt:lpstr>
      <vt:lpstr>input_wld_az1_rack6_host10_vrms_ip</vt:lpstr>
      <vt:lpstr>input_wld_az1_rack6_host11_function</vt:lpstr>
      <vt:lpstr>input_wld_az1_rack6_host11_hostname</vt:lpstr>
      <vt:lpstr>input_wld_az1_rack6_host11_mgmt_ip</vt:lpstr>
      <vt:lpstr>input_wld_az1_rack6_host11_vrms_ip</vt:lpstr>
      <vt:lpstr>input_wld_az1_rack6_host12_function</vt:lpstr>
      <vt:lpstr>input_wld_az1_rack6_host12_hostname</vt:lpstr>
      <vt:lpstr>input_wld_az1_rack6_host12_mgmt_ip</vt:lpstr>
      <vt:lpstr>input_wld_az1_rack6_host12_vrms_ip</vt:lpstr>
      <vt:lpstr>input_wld_az1_rack6_host13_function</vt:lpstr>
      <vt:lpstr>input_wld_az1_rack6_host13_hostname</vt:lpstr>
      <vt:lpstr>input_wld_az1_rack6_host13_mgmt_ip</vt:lpstr>
      <vt:lpstr>input_wld_az1_rack6_host13_vrms_ip</vt:lpstr>
      <vt:lpstr>input_wld_az1_rack6_host14_function</vt:lpstr>
      <vt:lpstr>input_wld_az1_rack6_host14_hostname</vt:lpstr>
      <vt:lpstr>input_wld_az1_rack6_host14_mgmt_ip</vt:lpstr>
      <vt:lpstr>input_wld_az1_rack6_host14_vrms_ip</vt:lpstr>
      <vt:lpstr>input_wld_az1_rack6_host15_function</vt:lpstr>
      <vt:lpstr>input_wld_az1_rack6_host15_hostname</vt:lpstr>
      <vt:lpstr>input_wld_az1_rack6_host15_mgmt_ip</vt:lpstr>
      <vt:lpstr>input_wld_az1_rack6_host15_vrms_ip</vt:lpstr>
      <vt:lpstr>input_wld_az1_rack6_host16_function</vt:lpstr>
      <vt:lpstr>input_wld_az1_rack6_host16_hostname</vt:lpstr>
      <vt:lpstr>input_wld_az1_rack6_host16_mgmt_ip</vt:lpstr>
      <vt:lpstr>input_wld_az1_rack6_host16_vrms_ip</vt:lpstr>
      <vt:lpstr>input_wld_az1_rack6_host2_function</vt:lpstr>
      <vt:lpstr>input_wld_az1_rack6_host2_hostname</vt:lpstr>
      <vt:lpstr>input_wld_az1_rack6_host2_mgmt_ip</vt:lpstr>
      <vt:lpstr>input_wld_az1_rack6_host2_vrms_ip</vt:lpstr>
      <vt:lpstr>input_wld_az1_rack6_host3_function</vt:lpstr>
      <vt:lpstr>input_wld_az1_rack6_host3_hostname</vt:lpstr>
      <vt:lpstr>input_wld_az1_rack6_host3_mgmt_ip</vt:lpstr>
      <vt:lpstr>input_wld_az1_rack6_host3_vrms_ip</vt:lpstr>
      <vt:lpstr>input_wld_az1_rack6_host4_function</vt:lpstr>
      <vt:lpstr>input_wld_az1_rack6_host4_hostname</vt:lpstr>
      <vt:lpstr>input_wld_az1_rack6_host4_mgmt_ip</vt:lpstr>
      <vt:lpstr>input_wld_az1_rack6_host4_vrms_ip</vt:lpstr>
      <vt:lpstr>input_wld_az1_rack6_host5_function</vt:lpstr>
      <vt:lpstr>input_wld_az1_rack6_host5_hostname</vt:lpstr>
      <vt:lpstr>input_wld_az1_rack6_host5_mgmt_ip</vt:lpstr>
      <vt:lpstr>input_wld_az1_rack6_host5_vrms_ip</vt:lpstr>
      <vt:lpstr>input_wld_az1_rack6_host6_function</vt:lpstr>
      <vt:lpstr>input_wld_az1_rack6_host6_hostname</vt:lpstr>
      <vt:lpstr>input_wld_az1_rack6_host6_mgmt_ip</vt:lpstr>
      <vt:lpstr>input_wld_az1_rack6_host6_vrms_ip</vt:lpstr>
      <vt:lpstr>input_wld_az1_rack6_host7_function</vt:lpstr>
      <vt:lpstr>input_wld_az1_rack6_host7_hostname</vt:lpstr>
      <vt:lpstr>input_wld_az1_rack6_host7_mgmt_ip</vt:lpstr>
      <vt:lpstr>input_wld_az1_rack6_host7_vrms_ip</vt:lpstr>
      <vt:lpstr>input_wld_az1_rack6_host8_function</vt:lpstr>
      <vt:lpstr>input_wld_az1_rack6_host8_hostname</vt:lpstr>
      <vt:lpstr>input_wld_az1_rack6_host8_mgmt_ip</vt:lpstr>
      <vt:lpstr>input_wld_az1_rack6_host8_vrms_ip</vt:lpstr>
      <vt:lpstr>input_wld_az1_rack6_host9_function</vt:lpstr>
      <vt:lpstr>input_wld_az1_rack6_host9_hostname</vt:lpstr>
      <vt:lpstr>input_wld_az1_rack6_host9_mgmt_ip</vt:lpstr>
      <vt:lpstr>input_wld_az1_rack6_host9_vrms_ip</vt:lpstr>
      <vt:lpstr>input_wld_az1_rack6_mgmt_cidr</vt:lpstr>
      <vt:lpstr>input_wld_az1_rack6_mgmt_gateway_ip</vt:lpstr>
      <vt:lpstr>input_wld_az1_rack6_mgmt_mtu</vt:lpstr>
      <vt:lpstr>input_wld_az1_rack6_mgmt_vlan</vt:lpstr>
      <vt:lpstr>input_wld_az1_rack6_mgmt_vm_cidr</vt:lpstr>
      <vt:lpstr>input_wld_az1_rack6_mgmt_vm_gateway_ip</vt:lpstr>
      <vt:lpstr>input_wld_az1_rack6_mgmt_vm_mtu</vt:lpstr>
      <vt:lpstr>input_wld_az1_rack6_mgmt_vm_vlan</vt:lpstr>
      <vt:lpstr>input_wld_az1_rack6_pool_name</vt:lpstr>
      <vt:lpstr>input_wld_az1_rack6_principal_storage_cidr</vt:lpstr>
      <vt:lpstr>input_wld_az1_rack6_principal_storage_gateway_ip</vt:lpstr>
      <vt:lpstr>input_wld_az1_rack6_principal_storage_mtu</vt:lpstr>
      <vt:lpstr>input_wld_az1_rack6_principal_storage_pool_end_ip</vt:lpstr>
      <vt:lpstr>input_wld_az1_rack6_principal_storage_pool_start_ip</vt:lpstr>
      <vt:lpstr>input_wld_az1_rack6_principal_storage_vlan</vt:lpstr>
      <vt:lpstr>input_wld_az1_rack6_rtep_ip_pool_name</vt:lpstr>
      <vt:lpstr>input_wld_az1_rack6_rtep_overlay_cidr</vt:lpstr>
      <vt:lpstr>input_wld_az1_rack6_rtep_overlay_gateway_ip</vt:lpstr>
      <vt:lpstr>input_wld_az1_rack6_rtep_overlay_mtu</vt:lpstr>
      <vt:lpstr>input_wld_az1_rack6_rtep_overlay_pool_end_ip</vt:lpstr>
      <vt:lpstr>input_wld_az1_rack6_rtep_overlay_pool_start_ip</vt:lpstr>
      <vt:lpstr>input_wld_az1_rack6_rtep_overlay_vlan</vt:lpstr>
      <vt:lpstr>input_wld_az1_rack6_secondary_storage_cidr</vt:lpstr>
      <vt:lpstr>input_wld_az1_rack6_secondary_storage_gateway_ip</vt:lpstr>
      <vt:lpstr>input_wld_az1_rack6_secondary_storage_mtu</vt:lpstr>
      <vt:lpstr>input_wld_az1_rack6_secondary_storage_pool_end_ip</vt:lpstr>
      <vt:lpstr>input_wld_az1_rack6_secondary_storage_pool_start_ip</vt:lpstr>
      <vt:lpstr>input_wld_az1_rack6_secondary_storage_vlan</vt:lpstr>
      <vt:lpstr>input_wld_az1_rack6_tor1_peer_asn</vt:lpstr>
      <vt:lpstr>input_wld_az1_rack6_tor1_peer_bgp_password</vt:lpstr>
      <vt:lpstr>input_wld_az1_rack6_tor1_peer_ip</vt:lpstr>
      <vt:lpstr>input_wld_az1_rack6_tor2_peer_asn</vt:lpstr>
      <vt:lpstr>input_wld_az1_rack6_tor2_peer_bgp_password</vt:lpstr>
      <vt:lpstr>input_wld_az1_rack6_tor2_peer_ip</vt:lpstr>
      <vt:lpstr>input_wld_az1_rack6_uplink01_cidr</vt:lpstr>
      <vt:lpstr>input_wld_az1_rack6_uplink01_gateway_ip</vt:lpstr>
      <vt:lpstr>input_wld_az1_rack6_uplink01_mtu</vt:lpstr>
      <vt:lpstr>input_wld_az1_rack6_uplink01_pg</vt:lpstr>
      <vt:lpstr>input_wld_az1_rack6_uplink01_vlan</vt:lpstr>
      <vt:lpstr>input_wld_az1_rack6_uplink02_cidr</vt:lpstr>
      <vt:lpstr>input_wld_az1_rack6_uplink02_gateway_ip</vt:lpstr>
      <vt:lpstr>input_wld_az1_rack6_uplink02_mtu</vt:lpstr>
      <vt:lpstr>input_wld_az1_rack6_uplink02_pg</vt:lpstr>
      <vt:lpstr>input_wld_az1_rack6_uplink02_vlan</vt:lpstr>
      <vt:lpstr>input_wld_az1_rack6_vmotion_cidr</vt:lpstr>
      <vt:lpstr>input_wld_az1_rack6_vmotion_gateway_ip</vt:lpstr>
      <vt:lpstr>input_wld_az1_rack6_vmotion_mtu</vt:lpstr>
      <vt:lpstr>input_wld_az1_rack6_vmotion_pool_end_ip</vt:lpstr>
      <vt:lpstr>input_wld_az1_rack6_vmotion_pool_start_ip</vt:lpstr>
      <vt:lpstr>input_wld_az1_rack6_vmotion_vlan</vt:lpstr>
      <vt:lpstr>input_wld_az1_rack6_vrms_cidr</vt:lpstr>
      <vt:lpstr>input_wld_az1_rack6_vrms_gateway_ip</vt:lpstr>
      <vt:lpstr>input_wld_az1_rack6_vrms_mtu</vt:lpstr>
      <vt:lpstr>input_wld_az1_rack6_vrms_vlan</vt:lpstr>
      <vt:lpstr>input_wld_az1_rack6_vsan_fault_domain</vt:lpstr>
      <vt:lpstr>input_wld_az1_rack7_child_dns_zone</vt:lpstr>
      <vt:lpstr>input_wld_az1_rack7_edge_overlay_cidr</vt:lpstr>
      <vt:lpstr>input_wld_az1_rack7_edge_overlay_gateway_ip</vt:lpstr>
      <vt:lpstr>input_wld_az1_rack7_edge_overlay_mtu</vt:lpstr>
      <vt:lpstr>input_wld_az1_rack7_edge_overlay_network_pool_name</vt:lpstr>
      <vt:lpstr>input_wld_az1_rack7_edge_overlay_pool_end_ip</vt:lpstr>
      <vt:lpstr>input_wld_az1_rack7_edge_overlay_pool_start_ip</vt:lpstr>
      <vt:lpstr>input_wld_az1_rack7_edge_overlay_vlan</vt:lpstr>
      <vt:lpstr>input_wld_az1_rack7_en1_hostname</vt:lpstr>
      <vt:lpstr>input_wld_az1_rack7_en1_mgmt_ip</vt:lpstr>
      <vt:lpstr>input_wld_az1_rack7_en1_uplink01_interface_ip</vt:lpstr>
      <vt:lpstr>input_wld_az1_rack7_en1_uplink02_interface_ip</vt:lpstr>
      <vt:lpstr>input_wld_az1_rack7_en2_hostname</vt:lpstr>
      <vt:lpstr>input_wld_az1_rack7_en2_mgmt_ip</vt:lpstr>
      <vt:lpstr>input_wld_az1_rack7_en2_uplink01_interface_ip</vt:lpstr>
      <vt:lpstr>input_wld_az1_rack7_en2_uplink02_interface_ip</vt:lpstr>
      <vt:lpstr>input_wld_az1_rack7_host_functions</vt:lpstr>
      <vt:lpstr>input_wld_az1_rack7_host_overlay_cidr</vt:lpstr>
      <vt:lpstr>input_wld_az1_rack7_host_overlay_gateway_ip</vt:lpstr>
      <vt:lpstr>input_wld_az1_rack7_host_overlay_mtu</vt:lpstr>
      <vt:lpstr>input_wld_az1_rack7_host_overlay_network_pool_name</vt:lpstr>
      <vt:lpstr>input_wld_az1_rack7_host_overlay_network_profile_name</vt:lpstr>
      <vt:lpstr>input_wld_az1_rack7_host_overlay_pool_end_ip</vt:lpstr>
      <vt:lpstr>input_wld_az1_rack7_host_overlay_pool_start_ip</vt:lpstr>
      <vt:lpstr>input_wld_az1_rack7_host_overlay_uplink_profile_name</vt:lpstr>
      <vt:lpstr>input_wld_az1_rack7_host_overlay_vlan</vt:lpstr>
      <vt:lpstr>input_wld_az1_rack7_host1_function</vt:lpstr>
      <vt:lpstr>input_wld_az1_rack7_host1_hostname</vt:lpstr>
      <vt:lpstr>input_wld_az1_rack7_host1_mgmt_ip</vt:lpstr>
      <vt:lpstr>input_wld_az1_rack7_host1_vrms_ip</vt:lpstr>
      <vt:lpstr>input_wld_az1_rack7_host10_function</vt:lpstr>
      <vt:lpstr>input_wld_az1_rack7_host10_hostname</vt:lpstr>
      <vt:lpstr>input_wld_az1_rack7_host10_mgmt_ip</vt:lpstr>
      <vt:lpstr>input_wld_az1_rack7_host10_vrms_ip</vt:lpstr>
      <vt:lpstr>input_wld_az1_rack7_host11_function</vt:lpstr>
      <vt:lpstr>input_wld_az1_rack7_host11_hostname</vt:lpstr>
      <vt:lpstr>input_wld_az1_rack7_host11_mgmt_ip</vt:lpstr>
      <vt:lpstr>input_wld_az1_rack7_host11_vrms_ip</vt:lpstr>
      <vt:lpstr>input_wld_az1_rack7_host12_function</vt:lpstr>
      <vt:lpstr>input_wld_az1_rack7_host12_hostname</vt:lpstr>
      <vt:lpstr>input_wld_az1_rack7_host12_mgmt_ip</vt:lpstr>
      <vt:lpstr>input_wld_az1_rack7_host12_vrms_ip</vt:lpstr>
      <vt:lpstr>input_wld_az1_rack7_host13_function</vt:lpstr>
      <vt:lpstr>input_wld_az1_rack7_host13_hostname</vt:lpstr>
      <vt:lpstr>input_wld_az1_rack7_host13_mgmt_ip</vt:lpstr>
      <vt:lpstr>input_wld_az1_rack7_host13_vrms_ip</vt:lpstr>
      <vt:lpstr>input_wld_az1_rack7_host14_function</vt:lpstr>
      <vt:lpstr>input_wld_az1_rack7_host14_hostname</vt:lpstr>
      <vt:lpstr>input_wld_az1_rack7_host14_mgmt_ip</vt:lpstr>
      <vt:lpstr>input_wld_az1_rack7_host14_vrms_ip</vt:lpstr>
      <vt:lpstr>input_wld_az1_rack7_host15_function</vt:lpstr>
      <vt:lpstr>input_wld_az1_rack7_host15_hostname</vt:lpstr>
      <vt:lpstr>input_wld_az1_rack7_host15_mgmt_ip</vt:lpstr>
      <vt:lpstr>input_wld_az1_rack7_host15_vrms_ip</vt:lpstr>
      <vt:lpstr>input_wld_az1_rack7_host16_function</vt:lpstr>
      <vt:lpstr>input_wld_az1_rack7_host16_hostname</vt:lpstr>
      <vt:lpstr>input_wld_az1_rack7_host16_mgmt_ip</vt:lpstr>
      <vt:lpstr>input_wld_az1_rack7_host16_vrms_ip</vt:lpstr>
      <vt:lpstr>input_wld_az1_rack7_host2_function</vt:lpstr>
      <vt:lpstr>input_wld_az1_rack7_host2_hostname</vt:lpstr>
      <vt:lpstr>input_wld_az1_rack7_host2_mgmt_ip</vt:lpstr>
      <vt:lpstr>input_wld_az1_rack7_host2_vrms_ip</vt:lpstr>
      <vt:lpstr>input_wld_az1_rack7_host3_function</vt:lpstr>
      <vt:lpstr>input_wld_az1_rack7_host3_hostname</vt:lpstr>
      <vt:lpstr>input_wld_az1_rack7_host3_mgmt_ip</vt:lpstr>
      <vt:lpstr>input_wld_az1_rack7_host3_vrms_ip</vt:lpstr>
      <vt:lpstr>input_wld_az1_rack7_host4_function</vt:lpstr>
      <vt:lpstr>input_wld_az1_rack7_host4_hostname</vt:lpstr>
      <vt:lpstr>input_wld_az1_rack7_host4_mgmt_ip</vt:lpstr>
      <vt:lpstr>input_wld_az1_rack7_host4_vrms_ip</vt:lpstr>
      <vt:lpstr>input_wld_az1_rack7_host5_function</vt:lpstr>
      <vt:lpstr>input_wld_az1_rack7_host5_hostname</vt:lpstr>
      <vt:lpstr>input_wld_az1_rack7_host5_mgmt_ip</vt:lpstr>
      <vt:lpstr>input_wld_az1_rack7_host5_vrms_ip</vt:lpstr>
      <vt:lpstr>input_wld_az1_rack7_host6_function</vt:lpstr>
      <vt:lpstr>input_wld_az1_rack7_host6_hostname</vt:lpstr>
      <vt:lpstr>input_wld_az1_rack7_host6_mgmt_ip</vt:lpstr>
      <vt:lpstr>input_wld_az1_rack7_host6_vrms_ip</vt:lpstr>
      <vt:lpstr>input_wld_az1_rack7_host7_function</vt:lpstr>
      <vt:lpstr>input_wld_az1_rack7_host7_hostname</vt:lpstr>
      <vt:lpstr>input_wld_az1_rack7_host7_mgmt_ip</vt:lpstr>
      <vt:lpstr>input_wld_az1_rack7_host7_vrms_ip</vt:lpstr>
      <vt:lpstr>input_wld_az1_rack7_host8_function</vt:lpstr>
      <vt:lpstr>input_wld_az1_rack7_host8_hostname</vt:lpstr>
      <vt:lpstr>input_wld_az1_rack7_host8_mgmt_ip</vt:lpstr>
      <vt:lpstr>input_wld_az1_rack7_host8_vrms_ip</vt:lpstr>
      <vt:lpstr>input_wld_az1_rack7_host9_function</vt:lpstr>
      <vt:lpstr>input_wld_az1_rack7_host9_hostname</vt:lpstr>
      <vt:lpstr>input_wld_az1_rack7_host9_mgmt_ip</vt:lpstr>
      <vt:lpstr>input_wld_az1_rack7_host9_vrms_ip</vt:lpstr>
      <vt:lpstr>input_wld_az1_rack7_mgmt_cidr</vt:lpstr>
      <vt:lpstr>input_wld_az1_rack7_mgmt_gateway_ip</vt:lpstr>
      <vt:lpstr>input_wld_az1_rack7_mgmt_mtu</vt:lpstr>
      <vt:lpstr>input_wld_az1_rack7_mgmt_vlan</vt:lpstr>
      <vt:lpstr>input_wld_az1_rack7_mgmt_vm_cidr</vt:lpstr>
      <vt:lpstr>input_wld_az1_rack7_mgmt_vm_gateway_ip</vt:lpstr>
      <vt:lpstr>input_wld_az1_rack7_mgmt_vm_mtu</vt:lpstr>
      <vt:lpstr>input_wld_az1_rack7_mgmt_vm_vlan</vt:lpstr>
      <vt:lpstr>input_wld_az1_rack7_pool_name</vt:lpstr>
      <vt:lpstr>input_wld_az1_rack7_principal_storage_cidr</vt:lpstr>
      <vt:lpstr>input_wld_az1_rack7_principal_storage_gateway_ip</vt:lpstr>
      <vt:lpstr>input_wld_az1_rack7_principal_storage_mtu</vt:lpstr>
      <vt:lpstr>input_wld_az1_rack7_principal_storage_pool_end_ip</vt:lpstr>
      <vt:lpstr>input_wld_az1_rack7_principal_storage_pool_start_ip</vt:lpstr>
      <vt:lpstr>input_wld_az1_rack7_principal_storage_vlan</vt:lpstr>
      <vt:lpstr>input_wld_az1_rack7_rtep_ip_pool_name</vt:lpstr>
      <vt:lpstr>input_wld_az1_rack7_rtep_overlay_cidr</vt:lpstr>
      <vt:lpstr>input_wld_az1_rack7_rtep_overlay_gateway_ip</vt:lpstr>
      <vt:lpstr>input_wld_az1_rack7_rtep_overlay_mtu</vt:lpstr>
      <vt:lpstr>input_wld_az1_rack7_rtep_overlay_pool_end_ip</vt:lpstr>
      <vt:lpstr>input_wld_az1_rack7_rtep_overlay_pool_start_ip</vt:lpstr>
      <vt:lpstr>input_wld_az1_rack7_rtep_overlay_vlan</vt:lpstr>
      <vt:lpstr>input_wld_az1_rack7_secondary_storage_cidr</vt:lpstr>
      <vt:lpstr>input_wld_az1_rack7_secondary_storage_gateway_ip</vt:lpstr>
      <vt:lpstr>input_wld_az1_rack7_secondary_storage_mtu</vt:lpstr>
      <vt:lpstr>input_wld_az1_rack7_secondary_storage_pool_end_ip</vt:lpstr>
      <vt:lpstr>input_wld_az1_rack7_secondary_storage_pool_start_ip</vt:lpstr>
      <vt:lpstr>input_wld_az1_rack7_secondary_storage_vlan</vt:lpstr>
      <vt:lpstr>input_wld_az1_rack7_tor1_peer_asn</vt:lpstr>
      <vt:lpstr>input_wld_az1_rack7_tor1_peer_bgp_password</vt:lpstr>
      <vt:lpstr>input_wld_az1_rack7_tor1_peer_ip</vt:lpstr>
      <vt:lpstr>input_wld_az1_rack7_tor2_peer_asn</vt:lpstr>
      <vt:lpstr>input_wld_az1_rack7_tor2_peer_bgp_password</vt:lpstr>
      <vt:lpstr>input_wld_az1_rack7_tor2_peer_ip</vt:lpstr>
      <vt:lpstr>input_wld_az1_rack7_uplink01_cidr</vt:lpstr>
      <vt:lpstr>input_wld_az1_rack7_uplink01_gateway_ip</vt:lpstr>
      <vt:lpstr>input_wld_az1_rack7_uplink01_mtu</vt:lpstr>
      <vt:lpstr>input_wld_az1_rack7_uplink01_pg</vt:lpstr>
      <vt:lpstr>input_wld_az1_rack7_uplink01_vlan</vt:lpstr>
      <vt:lpstr>input_wld_az1_rack7_uplink02_cidr</vt:lpstr>
      <vt:lpstr>input_wld_az1_rack7_uplink02_gateway_ip</vt:lpstr>
      <vt:lpstr>input_wld_az1_rack7_uplink02_mtu</vt:lpstr>
      <vt:lpstr>input_wld_az1_rack7_uplink02_pg</vt:lpstr>
      <vt:lpstr>input_wld_az1_rack7_uplink02_vlan</vt:lpstr>
      <vt:lpstr>input_wld_az1_rack7_vmotion_cidr</vt:lpstr>
      <vt:lpstr>input_wld_az1_rack7_vmotion_gateway_ip</vt:lpstr>
      <vt:lpstr>input_wld_az1_rack7_vmotion_mtu</vt:lpstr>
      <vt:lpstr>input_wld_az1_rack7_vmotion_pool_end_ip</vt:lpstr>
      <vt:lpstr>input_wld_az1_rack7_vmotion_pool_start_ip</vt:lpstr>
      <vt:lpstr>input_wld_az1_rack7_vmotion_vlan</vt:lpstr>
      <vt:lpstr>input_wld_az1_rack7_vrms_cidr</vt:lpstr>
      <vt:lpstr>input_wld_az1_rack7_vrms_gateway_ip</vt:lpstr>
      <vt:lpstr>input_wld_az1_rack7_vrms_mtu</vt:lpstr>
      <vt:lpstr>input_wld_az1_rack7_vrms_vlan</vt:lpstr>
      <vt:lpstr>input_wld_az1_rack7_vsan_fault_domain</vt:lpstr>
      <vt:lpstr>input_wld_az1_rack8_child_dns_zone</vt:lpstr>
      <vt:lpstr>input_wld_az1_rack8_edge_overlay_cidr</vt:lpstr>
      <vt:lpstr>input_wld_az1_rack8_edge_overlay_gateway_ip</vt:lpstr>
      <vt:lpstr>input_wld_az1_rack8_edge_overlay_mtu</vt:lpstr>
      <vt:lpstr>input_wld_az1_rack8_edge_overlay_network_pool_name</vt:lpstr>
      <vt:lpstr>input_wld_az1_rack8_edge_overlay_pool_end_ip</vt:lpstr>
      <vt:lpstr>input_wld_az1_rack8_edge_overlay_pool_start_ip</vt:lpstr>
      <vt:lpstr>input_wld_az1_rack8_edge_overlay_vlan</vt:lpstr>
      <vt:lpstr>input_wld_az1_rack8_en1_hostname</vt:lpstr>
      <vt:lpstr>input_wld_az1_rack8_en1_mgmt_ip</vt:lpstr>
      <vt:lpstr>input_wld_az1_rack8_en1_uplink01_interface_ip</vt:lpstr>
      <vt:lpstr>input_wld_az1_rack8_en1_uplink02_interface_ip</vt:lpstr>
      <vt:lpstr>input_wld_az1_rack8_en2_hostname</vt:lpstr>
      <vt:lpstr>input_wld_az1_rack8_en2_mgmt_ip</vt:lpstr>
      <vt:lpstr>input_wld_az1_rack8_en2_uplink01_interface_ip</vt:lpstr>
      <vt:lpstr>input_wld_az1_rack8_en2_uplink02_interface_ip</vt:lpstr>
      <vt:lpstr>input_wld_az1_rack8_host_functions</vt:lpstr>
      <vt:lpstr>input_wld_az1_rack8_host_overlay_cidr</vt:lpstr>
      <vt:lpstr>input_wld_az1_rack8_host_overlay_gateway_ip</vt:lpstr>
      <vt:lpstr>input_wld_az1_rack8_host_overlay_mtu</vt:lpstr>
      <vt:lpstr>input_wld_az1_rack8_host_overlay_network_pool_name</vt:lpstr>
      <vt:lpstr>input_wld_az1_rack8_host_overlay_network_profile_name</vt:lpstr>
      <vt:lpstr>input_wld_az1_rack8_host_overlay_pool_end_ip</vt:lpstr>
      <vt:lpstr>input_wld_az1_rack8_host_overlay_pool_start_ip</vt:lpstr>
      <vt:lpstr>input_wld_az1_rack8_host_overlay_uplink_profile_name</vt:lpstr>
      <vt:lpstr>input_wld_az1_rack8_host_overlay_vlan</vt:lpstr>
      <vt:lpstr>input_wld_az1_rack8_host1_function</vt:lpstr>
      <vt:lpstr>input_wld_az1_rack8_host1_hostname</vt:lpstr>
      <vt:lpstr>input_wld_az1_rack8_host1_mgmt_ip</vt:lpstr>
      <vt:lpstr>input_wld_az1_rack8_host1_vrms_ip</vt:lpstr>
      <vt:lpstr>input_wld_az1_rack8_host10_function</vt:lpstr>
      <vt:lpstr>input_wld_az1_rack8_host10_hostname</vt:lpstr>
      <vt:lpstr>input_wld_az1_rack8_host10_mgmt_ip</vt:lpstr>
      <vt:lpstr>input_wld_az1_rack8_host10_vrms_ip</vt:lpstr>
      <vt:lpstr>input_wld_az1_rack8_host11_function</vt:lpstr>
      <vt:lpstr>input_wld_az1_rack8_host11_hostname</vt:lpstr>
      <vt:lpstr>input_wld_az1_rack8_host11_mgmt_ip</vt:lpstr>
      <vt:lpstr>input_wld_az1_rack8_host11_vrms_ip</vt:lpstr>
      <vt:lpstr>input_wld_az1_rack8_host12_function</vt:lpstr>
      <vt:lpstr>input_wld_az1_rack8_host12_hostname</vt:lpstr>
      <vt:lpstr>input_wld_az1_rack8_host12_mgmt_ip</vt:lpstr>
      <vt:lpstr>input_wld_az1_rack8_host12_vrms_ip</vt:lpstr>
      <vt:lpstr>input_wld_az1_rack8_host13_function</vt:lpstr>
      <vt:lpstr>input_wld_az1_rack8_host13_hostname</vt:lpstr>
      <vt:lpstr>input_wld_az1_rack8_host13_mgmt_ip</vt:lpstr>
      <vt:lpstr>input_wld_az1_rack8_host13_vrms_ip</vt:lpstr>
      <vt:lpstr>input_wld_az1_rack8_host14_function</vt:lpstr>
      <vt:lpstr>input_wld_az1_rack8_host14_hostname</vt:lpstr>
      <vt:lpstr>input_wld_az1_rack8_host14_mgmt_ip</vt:lpstr>
      <vt:lpstr>input_wld_az1_rack8_host14_vrms_ip</vt:lpstr>
      <vt:lpstr>input_wld_az1_rack8_host15_function</vt:lpstr>
      <vt:lpstr>input_wld_az1_rack8_host15_hostname</vt:lpstr>
      <vt:lpstr>input_wld_az1_rack8_host15_mgmt_ip</vt:lpstr>
      <vt:lpstr>input_wld_az1_rack8_host15_vrms_ip</vt:lpstr>
      <vt:lpstr>input_wld_az1_rack8_host16_function</vt:lpstr>
      <vt:lpstr>input_wld_az1_rack8_host16_hostname</vt:lpstr>
      <vt:lpstr>input_wld_az1_rack8_host16_mgmt_ip</vt:lpstr>
      <vt:lpstr>input_wld_az1_rack8_host16_vrms_ip</vt:lpstr>
      <vt:lpstr>input_wld_az1_rack8_host2_function</vt:lpstr>
      <vt:lpstr>input_wld_az1_rack8_host2_hostname</vt:lpstr>
      <vt:lpstr>input_wld_az1_rack8_host2_mgmt_ip</vt:lpstr>
      <vt:lpstr>input_wld_az1_rack8_host2_vrms_ip</vt:lpstr>
      <vt:lpstr>input_wld_az1_rack8_host3_function</vt:lpstr>
      <vt:lpstr>input_wld_az1_rack8_host3_hostname</vt:lpstr>
      <vt:lpstr>input_wld_az1_rack8_host3_mgmt_ip</vt:lpstr>
      <vt:lpstr>input_wld_az1_rack8_host3_vrms_ip</vt:lpstr>
      <vt:lpstr>input_wld_az1_rack8_host4_function</vt:lpstr>
      <vt:lpstr>input_wld_az1_rack8_host4_hostname</vt:lpstr>
      <vt:lpstr>input_wld_az1_rack8_host4_mgmt_ip</vt:lpstr>
      <vt:lpstr>input_wld_az1_rack8_host4_vrms_ip</vt:lpstr>
      <vt:lpstr>input_wld_az1_rack8_host5_function</vt:lpstr>
      <vt:lpstr>input_wld_az1_rack8_host5_hostname</vt:lpstr>
      <vt:lpstr>input_wld_az1_rack8_host5_mgmt_ip</vt:lpstr>
      <vt:lpstr>input_wld_az1_rack8_host5_vrms_ip</vt:lpstr>
      <vt:lpstr>input_wld_az1_rack8_host6_function</vt:lpstr>
      <vt:lpstr>input_wld_az1_rack8_host6_hostname</vt:lpstr>
      <vt:lpstr>input_wld_az1_rack8_host6_mgmt_ip</vt:lpstr>
      <vt:lpstr>input_wld_az1_rack8_host6_vrms_ip</vt:lpstr>
      <vt:lpstr>input_wld_az1_rack8_host7_function</vt:lpstr>
      <vt:lpstr>input_wld_az1_rack8_host7_hostname</vt:lpstr>
      <vt:lpstr>input_wld_az1_rack8_host7_mgmt_ip</vt:lpstr>
      <vt:lpstr>input_wld_az1_rack8_host7_vrms_ip</vt:lpstr>
      <vt:lpstr>input_wld_az1_rack8_host8_function</vt:lpstr>
      <vt:lpstr>input_wld_az1_rack8_host8_hostname</vt:lpstr>
      <vt:lpstr>input_wld_az1_rack8_host8_mgmt_ip</vt:lpstr>
      <vt:lpstr>input_wld_az1_rack8_host8_vrms_ip</vt:lpstr>
      <vt:lpstr>input_wld_az1_rack8_host9_function</vt:lpstr>
      <vt:lpstr>input_wld_az1_rack8_host9_hostname</vt:lpstr>
      <vt:lpstr>input_wld_az1_rack8_host9_mgmt_ip</vt:lpstr>
      <vt:lpstr>input_wld_az1_rack8_host9_vrms_ip</vt:lpstr>
      <vt:lpstr>input_wld_az1_rack8_mgmt_cidr</vt:lpstr>
      <vt:lpstr>input_wld_az1_rack8_mgmt_gateway_ip</vt:lpstr>
      <vt:lpstr>input_wld_az1_rack8_mgmt_mtu</vt:lpstr>
      <vt:lpstr>input_wld_az1_rack8_mgmt_vlan</vt:lpstr>
      <vt:lpstr>input_wld_az1_rack8_mgmt_vm_cidr</vt:lpstr>
      <vt:lpstr>input_wld_az1_rack8_mgmt_vm_gateway_ip</vt:lpstr>
      <vt:lpstr>input_wld_az1_rack8_mgmt_vm_mtu</vt:lpstr>
      <vt:lpstr>input_wld_az1_rack8_mgmt_vm_vlan</vt:lpstr>
      <vt:lpstr>input_wld_az1_rack8_pool_name</vt:lpstr>
      <vt:lpstr>input_wld_az1_rack8_principal_storage_cidr</vt:lpstr>
      <vt:lpstr>input_wld_az1_rack8_principal_storage_gateway_ip</vt:lpstr>
      <vt:lpstr>input_wld_az1_rack8_principal_storage_mtu</vt:lpstr>
      <vt:lpstr>input_wld_az1_rack8_principal_storage_pool_end_ip</vt:lpstr>
      <vt:lpstr>input_wld_az1_rack8_principal_storage_pool_start_ip</vt:lpstr>
      <vt:lpstr>input_wld_az1_rack8_principal_storage_vlan</vt:lpstr>
      <vt:lpstr>input_wld_az1_rack8_rtep_ip_pool_name</vt:lpstr>
      <vt:lpstr>input_wld_az1_rack8_rtep_overlay_cidr</vt:lpstr>
      <vt:lpstr>input_wld_az1_rack8_rtep_overlay_gateway_ip</vt:lpstr>
      <vt:lpstr>input_wld_az1_rack8_rtep_overlay_mtu</vt:lpstr>
      <vt:lpstr>input_wld_az1_rack8_rtep_overlay_pool_end_ip</vt:lpstr>
      <vt:lpstr>input_wld_az1_rack8_rtep_overlay_pool_start_ip</vt:lpstr>
      <vt:lpstr>input_wld_az1_rack8_rtep_overlay_vlan</vt:lpstr>
      <vt:lpstr>input_wld_az1_rack8_secondary_storage_cidr</vt:lpstr>
      <vt:lpstr>input_wld_az1_rack8_secondary_storage_gateway_ip</vt:lpstr>
      <vt:lpstr>input_wld_az1_rack8_secondary_storage_mtu</vt:lpstr>
      <vt:lpstr>input_wld_az1_rack8_secondary_storage_pool_end_ip</vt:lpstr>
      <vt:lpstr>input_wld_az1_rack8_secondary_storage_pool_start_ip</vt:lpstr>
      <vt:lpstr>input_wld_az1_rack8_secondary_storage_vlan</vt:lpstr>
      <vt:lpstr>input_wld_az1_rack8_tor1_peer_asn</vt:lpstr>
      <vt:lpstr>input_wld_az1_rack8_tor1_peer_bgp_password</vt:lpstr>
      <vt:lpstr>input_wld_az1_rack8_tor1_peer_ip</vt:lpstr>
      <vt:lpstr>input_wld_az1_rack8_tor2_peer_asn</vt:lpstr>
      <vt:lpstr>input_wld_az1_rack8_tor2_peer_bgp_password</vt:lpstr>
      <vt:lpstr>input_wld_az1_rack8_tor2_peer_ip</vt:lpstr>
      <vt:lpstr>input_wld_az1_rack8_uplink01_cidr</vt:lpstr>
      <vt:lpstr>input_wld_az1_rack8_uplink01_gateway_ip</vt:lpstr>
      <vt:lpstr>input_wld_az1_rack8_uplink01_mtu</vt:lpstr>
      <vt:lpstr>input_wld_az1_rack8_uplink01_pg</vt:lpstr>
      <vt:lpstr>input_wld_az1_rack8_uplink01_vlan</vt:lpstr>
      <vt:lpstr>input_wld_az1_rack8_uplink02_cidr</vt:lpstr>
      <vt:lpstr>input_wld_az1_rack8_uplink02_gateway_ip</vt:lpstr>
      <vt:lpstr>input_wld_az1_rack8_uplink02_mtu</vt:lpstr>
      <vt:lpstr>input_wld_az1_rack8_uplink02_pg</vt:lpstr>
      <vt:lpstr>input_wld_az1_rack8_uplink02_vlan</vt:lpstr>
      <vt:lpstr>input_wld_az1_rack8_vmotion_cidr</vt:lpstr>
      <vt:lpstr>input_wld_az1_rack8_vmotion_gateway_ip</vt:lpstr>
      <vt:lpstr>input_wld_az1_rack8_vmotion_mtu</vt:lpstr>
      <vt:lpstr>input_wld_az1_rack8_vmotion_pool_end_ip</vt:lpstr>
      <vt:lpstr>input_wld_az1_rack8_vmotion_pool_start_ip</vt:lpstr>
      <vt:lpstr>input_wld_az1_rack8_vmotion_vlan</vt:lpstr>
      <vt:lpstr>input_wld_az1_rack8_vrms_cidr</vt:lpstr>
      <vt:lpstr>input_wld_az1_rack8_vrms_gateway_ip</vt:lpstr>
      <vt:lpstr>input_wld_az1_rack8_vrms_mtu</vt:lpstr>
      <vt:lpstr>input_wld_az1_rack8_vrms_vlan</vt:lpstr>
      <vt:lpstr>input_wld_az1_rack8_vsan_fault_domain</vt:lpstr>
      <vt:lpstr>input_wld_az1_rtep_ip_pool_name</vt:lpstr>
      <vt:lpstr>input_wld_az1_rtep_overlay_cidr</vt:lpstr>
      <vt:lpstr>input_wld_az1_rtep_overlay_gateway_ip</vt:lpstr>
      <vt:lpstr>input_wld_az1_rtep_overlay_mtu</vt:lpstr>
      <vt:lpstr>input_wld_az1_rtep_overlay_vlan</vt:lpstr>
      <vt:lpstr>input_wld_az1_secondary_storage_cidr</vt:lpstr>
      <vt:lpstr>input_wld_az1_secondary_storage_gateway_ip</vt:lpstr>
      <vt:lpstr>input_wld_az1_secondary_storage_mtu</vt:lpstr>
      <vt:lpstr>input_wld_az1_secondary_storage_pool_end_ip</vt:lpstr>
      <vt:lpstr>input_wld_az1_secondary_storage_pool_start_ip</vt:lpstr>
      <vt:lpstr>input_wld_az1_secondary_storage_vlan</vt:lpstr>
      <vt:lpstr>input_wld_az1_sso_domain_administrator_password</vt:lpstr>
      <vt:lpstr>input_wld_az1_sso_domain_name</vt:lpstr>
      <vt:lpstr>input_wld_az1_tor1_peer_asn</vt:lpstr>
      <vt:lpstr>input_wld_az1_tor1_peer_bgp_password</vt:lpstr>
      <vt:lpstr>input_wld_az1_tor1_peer_ip</vt:lpstr>
      <vt:lpstr>input_wld_az1_tor2_peer_asn</vt:lpstr>
      <vt:lpstr>input_wld_az1_tor2_peer_bgp_password</vt:lpstr>
      <vt:lpstr>input_wld_az1_tor2_peer_ip</vt:lpstr>
      <vt:lpstr>input_wld_az1_uplink01_cidr</vt:lpstr>
      <vt:lpstr>input_wld_az1_uplink01_gateway_ip</vt:lpstr>
      <vt:lpstr>input_wld_az1_uplink01_mtu</vt:lpstr>
      <vt:lpstr>input_wld_az1_uplink01_vlan</vt:lpstr>
      <vt:lpstr>input_wld_az1_uplink02_cidr</vt:lpstr>
      <vt:lpstr>input_wld_az1_uplink02_gateway_ip</vt:lpstr>
      <vt:lpstr>input_wld_az1_uplink02_mtu</vt:lpstr>
      <vt:lpstr>input_wld_az1_uplink02_vlan</vt:lpstr>
      <vt:lpstr>input_wld_az1_vmotion_cidr</vt:lpstr>
      <vt:lpstr>input_wld_az1_vmotion_gateway_ip</vt:lpstr>
      <vt:lpstr>input_wld_az1_vmotion_mtu</vt:lpstr>
      <vt:lpstr>input_wld_az1_vmotion_pool_end_ip</vt:lpstr>
      <vt:lpstr>input_wld_az1_vmotion_pool_start_ip</vt:lpstr>
      <vt:lpstr>input_wld_az1_vmotion_vlan</vt:lpstr>
      <vt:lpstr>input_wld_az1_vrms_cidr</vt:lpstr>
      <vt:lpstr>input_wld_az1_vrms_gateway_ip</vt:lpstr>
      <vt:lpstr>input_wld_az1_vrms_mtu</vt:lpstr>
      <vt:lpstr>input_wld_az1_vrms_vlan</vt:lpstr>
      <vt:lpstr>input_wld_az1_vsan_fault_domain</vt:lpstr>
      <vt:lpstr>input_wld_az2_edge_overlay_cidr</vt:lpstr>
      <vt:lpstr>input_wld_az2_edge_overlay_gateway_ip</vt:lpstr>
      <vt:lpstr>input_wld_az2_edge_overlay_mtu</vt:lpstr>
      <vt:lpstr>input_wld_az2_edge_overlay_vlan</vt:lpstr>
      <vt:lpstr>input_wld_az2_host_overlay_cidr</vt:lpstr>
      <vt:lpstr>input_wld_az2_host_overlay_gateway_ip</vt:lpstr>
      <vt:lpstr>input_wld_az2_host_overlay_mtu</vt:lpstr>
      <vt:lpstr>input_wld_az2_host_overlay_network_pool_name</vt:lpstr>
      <vt:lpstr>input_wld_az2_host_overlay_network_profile_name</vt:lpstr>
      <vt:lpstr>input_wld_az2_host_overlay_pool_end_ip</vt:lpstr>
      <vt:lpstr>input_wld_az2_host_overlay_pool_start_ip</vt:lpstr>
      <vt:lpstr>input_wld_az2_host_overlay_uplink_profile_name</vt:lpstr>
      <vt:lpstr>input_wld_az2_host_overlay_vlan</vt:lpstr>
      <vt:lpstr>input_wld_az2_host1_hostname</vt:lpstr>
      <vt:lpstr>input_wld_az2_host1_mgmt_ip</vt:lpstr>
      <vt:lpstr>input_wld_az2_host1_sddc_id</vt:lpstr>
      <vt:lpstr>input_wld_az2_host1_vrms_ip</vt:lpstr>
      <vt:lpstr>input_wld_az2_host10_hostname</vt:lpstr>
      <vt:lpstr>input_wld_az2_host10_mgmt_ip</vt:lpstr>
      <vt:lpstr>input_wld_az2_host10_vrms_ip</vt:lpstr>
      <vt:lpstr>input_wld_az2_host11_hostname</vt:lpstr>
      <vt:lpstr>input_wld_az2_host11_mgmt_ip</vt:lpstr>
      <vt:lpstr>input_wld_az2_host11_vrms_ip</vt:lpstr>
      <vt:lpstr>input_wld_az2_host12_hostname</vt:lpstr>
      <vt:lpstr>input_wld_az2_host12_mgmt_ip</vt:lpstr>
      <vt:lpstr>input_wld_az2_host12_vrms_ip</vt:lpstr>
      <vt:lpstr>input_wld_az2_host13_hostname</vt:lpstr>
      <vt:lpstr>input_wld_az2_host13_mgmt_ip</vt:lpstr>
      <vt:lpstr>input_wld_az2_host13_vrms_ip</vt:lpstr>
      <vt:lpstr>input_wld_az2_host14_hostname</vt:lpstr>
      <vt:lpstr>input_wld_az2_host14_mgmt_ip</vt:lpstr>
      <vt:lpstr>input_wld_az2_host14_vrms_ip</vt:lpstr>
      <vt:lpstr>input_wld_az2_host15_hostname</vt:lpstr>
      <vt:lpstr>input_wld_az2_host15_mgmt_ip</vt:lpstr>
      <vt:lpstr>input_wld_az2_host15_vrms_ip</vt:lpstr>
      <vt:lpstr>input_wld_az2_host16_hostname</vt:lpstr>
      <vt:lpstr>input_wld_az2_host16_mgmt_ip</vt:lpstr>
      <vt:lpstr>input_wld_az2_host16_vrms_ip</vt:lpstr>
      <vt:lpstr>input_wld_az2_host2_hostname</vt:lpstr>
      <vt:lpstr>input_wld_az2_host2_mgmt_ip</vt:lpstr>
      <vt:lpstr>input_wld_az2_host2_sddc_id</vt:lpstr>
      <vt:lpstr>input_wld_az2_host2_vrms_ip</vt:lpstr>
      <vt:lpstr>input_wld_az2_host3_hostname</vt:lpstr>
      <vt:lpstr>input_wld_az2_host3_mgmt_ip</vt:lpstr>
      <vt:lpstr>input_wld_az2_host3_sddc_id</vt:lpstr>
      <vt:lpstr>input_wld_az2_host3_vrms_ip</vt:lpstr>
      <vt:lpstr>input_wld_az2_host4_hostname</vt:lpstr>
      <vt:lpstr>input_wld_az2_host4_mgmt_ip</vt:lpstr>
      <vt:lpstr>input_wld_az2_host4_sddc_id</vt:lpstr>
      <vt:lpstr>input_wld_az2_host4_vrms_ip</vt:lpstr>
      <vt:lpstr>input_wld_az2_host5_hostname</vt:lpstr>
      <vt:lpstr>input_wld_az2_host5_mgmt_ip</vt:lpstr>
      <vt:lpstr>input_wld_az2_host5_vrms_ip</vt:lpstr>
      <vt:lpstr>input_wld_az2_host6_hostname</vt:lpstr>
      <vt:lpstr>input_wld_az2_host6_mgmt_ip</vt:lpstr>
      <vt:lpstr>input_wld_az2_host6_vrms_ip</vt:lpstr>
      <vt:lpstr>input_wld_az2_host7_hostname</vt:lpstr>
      <vt:lpstr>input_wld_az2_host7_mgmt_ip</vt:lpstr>
      <vt:lpstr>input_wld_az2_host7_vrms_ip</vt:lpstr>
      <vt:lpstr>input_wld_az2_host8_hostname</vt:lpstr>
      <vt:lpstr>input_wld_az2_host8_mgmt_ip</vt:lpstr>
      <vt:lpstr>input_wld_az2_host8_vrms_ip</vt:lpstr>
      <vt:lpstr>input_wld_az2_host9_hostname</vt:lpstr>
      <vt:lpstr>input_wld_az2_host9_mgmt_ip</vt:lpstr>
      <vt:lpstr>input_wld_az2_host9_vrms_ip</vt:lpstr>
      <vt:lpstr>input_wld_az2_mgmt_cidr</vt:lpstr>
      <vt:lpstr>input_wld_az2_mgmt_gateway_ip</vt:lpstr>
      <vt:lpstr>input_wld_az2_mgmt_mtu</vt:lpstr>
      <vt:lpstr>input_wld_az2_mgmt_vlan</vt:lpstr>
      <vt:lpstr>input_wld_az2_pool_name</vt:lpstr>
      <vt:lpstr>input_wld_az2_principal_storage_cidr</vt:lpstr>
      <vt:lpstr>input_wld_az2_principal_storage_gateway_ip</vt:lpstr>
      <vt:lpstr>input_wld_az2_principal_storage_mtu</vt:lpstr>
      <vt:lpstr>input_wld_az2_principal_storage_pool_end_ip</vt:lpstr>
      <vt:lpstr>input_wld_az2_principal_storage_pool_start_ip</vt:lpstr>
      <vt:lpstr>input_wld_az2_principal_storage_vlan</vt:lpstr>
      <vt:lpstr>input_wld_az2_rtep_overlay_cidr</vt:lpstr>
      <vt:lpstr>input_wld_az2_rtep_overlay_gateway_ip</vt:lpstr>
      <vt:lpstr>input_wld_az2_rtep_overlay_mtu</vt:lpstr>
      <vt:lpstr>input_wld_az2_rtep_overlay_vlan</vt:lpstr>
      <vt:lpstr>input_wld_az2_secondary_storage_cidr</vt:lpstr>
      <vt:lpstr>input_wld_az2_secondary_storage_gateway_ip</vt:lpstr>
      <vt:lpstr>input_wld_az2_secondary_storage_mtu</vt:lpstr>
      <vt:lpstr>input_wld_az2_secondary_storage_pool_end_ip</vt:lpstr>
      <vt:lpstr>input_wld_az2_secondary_storage_pool_start_ip</vt:lpstr>
      <vt:lpstr>input_wld_az2_secondary_storage_vlan</vt:lpstr>
      <vt:lpstr>input_wld_az2_tor1_peer_asn</vt:lpstr>
      <vt:lpstr>input_wld_az2_tor1_peer_bgp_password</vt:lpstr>
      <vt:lpstr>input_wld_az2_tor1_peer_ip</vt:lpstr>
      <vt:lpstr>input_wld_az2_tor2_peer_asn</vt:lpstr>
      <vt:lpstr>input_wld_az2_tor2_peer_bgp_password</vt:lpstr>
      <vt:lpstr>input_wld_az2_tor2_peer_ip</vt:lpstr>
      <vt:lpstr>input_wld_az2_uplink01_cidr</vt:lpstr>
      <vt:lpstr>input_wld_az2_uplink01_gateway_ip</vt:lpstr>
      <vt:lpstr>input_wld_az2_uplink01_mtu</vt:lpstr>
      <vt:lpstr>input_wld_az2_uplink01_vlan</vt:lpstr>
      <vt:lpstr>input_wld_az2_uplink02_cidr</vt:lpstr>
      <vt:lpstr>input_wld_az2_uplink02_gateway_ip</vt:lpstr>
      <vt:lpstr>input_wld_az2_uplink02_mtu</vt:lpstr>
      <vt:lpstr>input_wld_az2_uplink02_vlan</vt:lpstr>
      <vt:lpstr>input_wld_az2_vmotion_cidr</vt:lpstr>
      <vt:lpstr>input_wld_az2_vmotion_gateway_ip</vt:lpstr>
      <vt:lpstr>input_wld_az2_vmotion_mtu</vt:lpstr>
      <vt:lpstr>input_wld_az2_vmotion_pool_end_ip</vt:lpstr>
      <vt:lpstr>input_wld_az2_vmotion_pool_start_ip</vt:lpstr>
      <vt:lpstr>input_wld_az2_vmotion_vlan</vt:lpstr>
      <vt:lpstr>input_wld_az2_vrms_cidr</vt:lpstr>
      <vt:lpstr>input_wld_az2_vrms_gateway_ip</vt:lpstr>
      <vt:lpstr>input_wld_az2_vrms_mtu</vt:lpstr>
      <vt:lpstr>input_wld_az2_vrms_vlan</vt:lpstr>
      <vt:lpstr>input_wld_cl01_az1_mgmt_pg</vt:lpstr>
      <vt:lpstr>input_wld_cl01_az1_mgmt_vm_pg</vt:lpstr>
      <vt:lpstr>input_wld_cl01_az1_principal_storage_pg</vt:lpstr>
      <vt:lpstr>input_wld_cl01_az1_uplink01_pg</vt:lpstr>
      <vt:lpstr>input_wld_cl01_az1_uplink02_pg</vt:lpstr>
      <vt:lpstr>input_wld_cl01_az1_vmotion_pg</vt:lpstr>
      <vt:lpstr>input_wld_cl01_cluster</vt:lpstr>
      <vt:lpstr>input_wld_cl01_cluster_sddc_id</vt:lpstr>
      <vt:lpstr>input_wld_cl01_evc_mode</vt:lpstr>
      <vt:lpstr>input_wld_cl01_nfs_datastore_name</vt:lpstr>
      <vt:lpstr>input_wld_cl01_nfs_server_address</vt:lpstr>
      <vt:lpstr>input_wld_cl01_nfs_share_path</vt:lpstr>
      <vt:lpstr>input_wld_cl01_vds_profile</vt:lpstr>
      <vt:lpstr>input_wld_cl01_vds01_mtu</vt:lpstr>
      <vt:lpstr>input_wld_cl01_vds01_name</vt:lpstr>
      <vt:lpstr>input_wld_cl01_vds01_pnics</vt:lpstr>
      <vt:lpstr>input_wld_cl01_vds02_mtu</vt:lpstr>
      <vt:lpstr>input_wld_cl01_vds02_name</vt:lpstr>
      <vt:lpstr>input_wld_cl01_vds02_pnics</vt:lpstr>
      <vt:lpstr>input_wld_cl01_vds03_mtu</vt:lpstr>
      <vt:lpstr>input_wld_cl01_vds03_name</vt:lpstr>
      <vt:lpstr>input_wld_cl01_vds03_pnics</vt:lpstr>
      <vt:lpstr>input_wld_cl01_vmfs_datastore_name</vt:lpstr>
      <vt:lpstr>input_wld_cl01_vsan_datastore</vt:lpstr>
      <vt:lpstr>input_wld_cl01_vsan_dedupe_compression</vt:lpstr>
      <vt:lpstr>input_wld_cl01_vsan_ftt</vt:lpstr>
      <vt:lpstr>input_wld_cl01_vvols_datastore_name</vt:lpstr>
      <vt:lpstr>input_wld_cl02_az1_mgmt_pg</vt:lpstr>
      <vt:lpstr>input_wld_cl02_az1_mgmt_vm_pg</vt:lpstr>
      <vt:lpstr>input_wld_cl02_az1_principal_storage_pg</vt:lpstr>
      <vt:lpstr>input_wld_cl02_az1_uplink01_pg</vt:lpstr>
      <vt:lpstr>input_wld_cl02_az1_uplink02_pg</vt:lpstr>
      <vt:lpstr>input_wld_cl02_az1_vmotion_pg</vt:lpstr>
      <vt:lpstr>input_wld_cl02_cluster</vt:lpstr>
      <vt:lpstr>input_wld_cl02_evc_mode</vt:lpstr>
      <vt:lpstr>input_wld_cl02_nfs_datastore_name</vt:lpstr>
      <vt:lpstr>input_wld_cl02_nfs_server_address</vt:lpstr>
      <vt:lpstr>input_wld_cl02_nfs_share_path</vt:lpstr>
      <vt:lpstr>input_wld_cl02_vds_profile</vt:lpstr>
      <vt:lpstr>input_wld_cl02_vds01_mtu</vt:lpstr>
      <vt:lpstr>input_wld_cl02_vds01_name</vt:lpstr>
      <vt:lpstr>input_wld_cl02_vds01_pnics</vt:lpstr>
      <vt:lpstr>input_wld_cl02_vds02_mtu</vt:lpstr>
      <vt:lpstr>input_wld_cl02_vds02_name</vt:lpstr>
      <vt:lpstr>input_wld_cl02_vds02_pnics</vt:lpstr>
      <vt:lpstr>input_wld_cl02_vds03_mtu</vt:lpstr>
      <vt:lpstr>input_wld_cl02_vds03_name</vt:lpstr>
      <vt:lpstr>input_wld_cl02_vds03_pnics</vt:lpstr>
      <vt:lpstr>input_wld_cl02_vsan_datastore</vt:lpstr>
      <vt:lpstr>input_wld_cl02_vsan_dedupe_compression</vt:lpstr>
      <vt:lpstr>input_wld_cl02_vsan_ftt</vt:lpstr>
      <vt:lpstr>input_wld_cl03_az1_mgmt_pg</vt:lpstr>
      <vt:lpstr>input_wld_cl03_az1_mgmt_vm_pg</vt:lpstr>
      <vt:lpstr>input_wld_cl03_az1_principal_storage_pg</vt:lpstr>
      <vt:lpstr>input_wld_cl03_az1_uplink01_pg</vt:lpstr>
      <vt:lpstr>input_wld_cl03_az1_uplink02_pg</vt:lpstr>
      <vt:lpstr>input_wld_cl03_az1_vmotion_pg</vt:lpstr>
      <vt:lpstr>input_wld_cl03_cluster</vt:lpstr>
      <vt:lpstr>input_wld_cl03_evc_mode</vt:lpstr>
      <vt:lpstr>input_wld_cl03_nfs_datastore_name</vt:lpstr>
      <vt:lpstr>input_wld_cl03_nfs_server_address</vt:lpstr>
      <vt:lpstr>input_wld_cl03_nfs_share_path</vt:lpstr>
      <vt:lpstr>input_wld_cl03_vds_profile</vt:lpstr>
      <vt:lpstr>input_wld_cl03_vds01_mtu</vt:lpstr>
      <vt:lpstr>input_wld_cl03_vds01_name</vt:lpstr>
      <vt:lpstr>input_wld_cl03_vds01_pnics</vt:lpstr>
      <vt:lpstr>input_wld_cl03_vds02_mtu</vt:lpstr>
      <vt:lpstr>input_wld_cl03_vds02_name</vt:lpstr>
      <vt:lpstr>input_wld_cl03_vds02_pnics</vt:lpstr>
      <vt:lpstr>input_wld_cl03_vds03_mtu</vt:lpstr>
      <vt:lpstr>input_wld_cl03_vds03_name</vt:lpstr>
      <vt:lpstr>input_wld_cl03_vds03_pnics</vt:lpstr>
      <vt:lpstr>input_wld_cl03_vsan_datastore</vt:lpstr>
      <vt:lpstr>input_wld_cl03_vsan_dedupe_compression</vt:lpstr>
      <vt:lpstr>input_wld_cl03_vsan_ftt</vt:lpstr>
      <vt:lpstr>input_wld_cloud_account_name</vt:lpstr>
      <vt:lpstr>input_wld_datacenter</vt:lpstr>
      <vt:lpstr>input_wld_datacenter_moref</vt:lpstr>
      <vt:lpstr>input_wld_ec_formfactor</vt:lpstr>
      <vt:lpstr>input_wld_ec_name</vt:lpstr>
      <vt:lpstr>input_wld_ec_profile_name</vt:lpstr>
      <vt:lpstr>input_wld_ec_profile_type</vt:lpstr>
      <vt:lpstr>input_wld_en_asn</vt:lpstr>
      <vt:lpstr>input_wld_existing_active_nsx_gm</vt:lpstr>
      <vt:lpstr>input_wld_existing_cross_instance_t0_name</vt:lpstr>
      <vt:lpstr>input_wld_nsxt_federation_global_manager_name</vt:lpstr>
      <vt:lpstr>input_wld_nsxt_federation_location_name</vt:lpstr>
      <vt:lpstr>input_wld_nsxt_global_mgr_anti_affinity_rule_name</vt:lpstr>
      <vt:lpstr>input_wld_nsxt_global_mgr_certificate_id</vt:lpstr>
      <vt:lpstr>input_wld_nsxt_global_mgr_cluster_id</vt:lpstr>
      <vt:lpstr>input_wld_nsxt_global_mgr_vmca_signed_thumbprint</vt:lpstr>
      <vt:lpstr>input_wld_nsxt_global_mgra_hostname</vt:lpstr>
      <vt:lpstr>input_wld_nsxt_global_mgra_ip</vt:lpstr>
      <vt:lpstr>input_wld_nsxt_global_mgrb_hostname</vt:lpstr>
      <vt:lpstr>input_wld_nsxt_global_mgrb_ip</vt:lpstr>
      <vt:lpstr>input_wld_nsxt_global_mgrc_hostname</vt:lpstr>
      <vt:lpstr>input_wld_nsxt_global_mgrc_ip</vt:lpstr>
      <vt:lpstr>input_wld_nsxt_gm_fingerprint</vt:lpstr>
      <vt:lpstr>input_wld_nsxt_gm_hostname</vt:lpstr>
      <vt:lpstr>input_wld_nsxt_gm_ip</vt:lpstr>
      <vt:lpstr>input_wld_nsxt_hostname</vt:lpstr>
      <vt:lpstr>input_wld_nsxt_ip</vt:lpstr>
      <vt:lpstr>input_wld_nsxt_lm_fingerprint</vt:lpstr>
      <vt:lpstr>input_wld_nsxt_mgra_hostname</vt:lpstr>
      <vt:lpstr>input_wld_nsxt_mgra_ip</vt:lpstr>
      <vt:lpstr>input_wld_nsxt_mgrb_hostname</vt:lpstr>
      <vt:lpstr>input_wld_nsxt_mgrb_ip</vt:lpstr>
      <vt:lpstr>input_wld_nsxt_mgrc_hostname</vt:lpstr>
      <vt:lpstr>input_wld_nsxt_mgrc_ip</vt:lpstr>
      <vt:lpstr>input_wld_nsxt_xreg_t1_name</vt:lpstr>
      <vt:lpstr>input_wld_rack2_en_asn</vt:lpstr>
      <vt:lpstr>input_wld_rack3_en_asn</vt:lpstr>
      <vt:lpstr>input_wld_rack4_en_asn</vt:lpstr>
      <vt:lpstr>input_wld_rack5_en_asn</vt:lpstr>
      <vt:lpstr>input_wld_rack6_en_asn</vt:lpstr>
      <vt:lpstr>input_wld_rack7_en_asn</vt:lpstr>
      <vt:lpstr>input_wld_rack8_en_asn</vt:lpstr>
      <vt:lpstr>input_wld_rtep_ip_pool_name</vt:lpstr>
      <vt:lpstr>input_wld_rtep_overlay_pool_end_ip</vt:lpstr>
      <vt:lpstr>input_wld_rtep_overlay_pool_start_ip</vt:lpstr>
      <vt:lpstr>input_wld_sddc_domain</vt:lpstr>
      <vt:lpstr>input_wld_sddc_org</vt:lpstr>
      <vt:lpstr>input_wld_srm_admin_email</vt:lpstr>
      <vt:lpstr>input_wld_srm_admin_password</vt:lpstr>
      <vt:lpstr>input_wld_srm_database_password</vt:lpstr>
      <vt:lpstr>input_wld_srm_hostname</vt:lpstr>
      <vt:lpstr>input_wld_srm_ip</vt:lpstr>
      <vt:lpstr>input_wld_srm_p12_password</vt:lpstr>
      <vt:lpstr>input_wld_srm_recovery_vcenter_fqdn</vt:lpstr>
      <vt:lpstr>input_wld_srm_recovery_vcenter_password</vt:lpstr>
      <vt:lpstr>input_wld_srm_recovery_vcenter_username</vt:lpstr>
      <vt:lpstr>input_wld_srm_root_password</vt:lpstr>
      <vt:lpstr>input_wld_srm_site_name</vt:lpstr>
      <vt:lpstr>input_wld_srm_sso_domain_membership</vt:lpstr>
      <vt:lpstr>input_wld_srm_vm_folder</vt:lpstr>
      <vt:lpstr>input_wld_srm_vm_size</vt:lpstr>
      <vt:lpstr>input_wld_tier0_name</vt:lpstr>
      <vt:lpstr>input_wld_tier1_name</vt:lpstr>
      <vt:lpstr>input_wld_user_vm_rp</vt:lpstr>
      <vt:lpstr>input_wld_vc_hostname</vt:lpstr>
      <vt:lpstr>input_wld_vc_ip</vt:lpstr>
      <vt:lpstr>input_wld_vra_storage_folder</vt:lpstr>
      <vt:lpstr>input_wld_vra_storage_readonly_folder</vt:lpstr>
      <vt:lpstr>input_wld_vra_vm_folder</vt:lpstr>
      <vt:lpstr>input_wld_vra_vm_rp</vt:lpstr>
      <vt:lpstr>input_wld_vrms_admin_email</vt:lpstr>
      <vt:lpstr>input_wld_vrms_admin_password</vt:lpstr>
      <vt:lpstr>input_wld_vrms_hostname</vt:lpstr>
      <vt:lpstr>input_wld_vrms_mgmt_ip</vt:lpstr>
      <vt:lpstr>input_wld_vrms_p12_password</vt:lpstr>
      <vt:lpstr>input_wld_vrms_pg</vt:lpstr>
      <vt:lpstr>input_wld_vrms_recovery_replication_cidr</vt:lpstr>
      <vt:lpstr>input_wld_vrms_root_password</vt:lpstr>
      <vt:lpstr>input_wld_vrms_site_name</vt:lpstr>
      <vt:lpstr>input_wld_vrms_vm_folder</vt:lpstr>
      <vt:lpstr>input_wld_vrms_vrms_ip</vt:lpstr>
      <vt:lpstr>input_wld_vvols_vasa_provider_container_name</vt:lpstr>
      <vt:lpstr>input_wld_vvols_vasa_provider_name</vt:lpstr>
      <vt:lpstr>input_wld_vvols_vasa_provider_password</vt:lpstr>
      <vt:lpstr>input_wld_vvols_vasa_provider_url</vt:lpstr>
      <vt:lpstr>input_wld_vvols_vasa_provider_username</vt:lpstr>
      <vt:lpstr>input_wld_witness_cluster</vt:lpstr>
      <vt:lpstr>input_wld_witness_hostname</vt:lpstr>
      <vt:lpstr>input_wld_witness_ip</vt:lpstr>
      <vt:lpstr>input_wld_witness_mgmt_pg</vt:lpstr>
      <vt:lpstr>input_wld_witness_root_password</vt:lpstr>
      <vt:lpstr>input_wld_witness_sddc_domain</vt:lpstr>
      <vt:lpstr>input_wld_witness_vm_folder</vt:lpstr>
      <vt:lpstr>input_wld_witness_vsan_datastore</vt:lpstr>
      <vt:lpstr>input_wld_witness_zone_vc_hostname</vt:lpstr>
      <vt:lpstr>input_wld_witness_zone_vc_ip</vt:lpstr>
      <vt:lpstr>input_wld_witnessaz_mgmt_cidr</vt:lpstr>
      <vt:lpstr>input_wld_witnessaz_mgmt_gateway_ip</vt:lpstr>
      <vt:lpstr>input_wld_witnessaz_mgmt_mtu</vt:lpstr>
      <vt:lpstr>input_wld_witnessaz_mgmt_vlan</vt:lpstr>
      <vt:lpstr>input_xreg_configadmin_email</vt:lpstr>
      <vt:lpstr>input_xreg_customer_connect_email</vt:lpstr>
      <vt:lpstr>input_xreg_customer_connect_password</vt:lpstr>
      <vt:lpstr>input_xreg_existing_vrslcm_fqdn</vt:lpstr>
      <vt:lpstr>input_xreg_seg01_cidr</vt:lpstr>
      <vt:lpstr>input_xreg_seg01_gateway_ip</vt:lpstr>
      <vt:lpstr>input_xreg_seg01_mtu</vt:lpstr>
      <vt:lpstr>input_xreg_seg01_name</vt:lpstr>
      <vt:lpstr>input_xreg_seg01_vlan</vt:lpstr>
      <vt:lpstr>input_xreg_vra_anti_affinity_rule</vt:lpstr>
      <vt:lpstr>input_xreg_vra_appliance_size</vt:lpstr>
      <vt:lpstr>input_xreg_vra_cloud_account_cloud_capability_tag</vt:lpstr>
      <vt:lpstr>input_xreg_vra_cloud_account_region_capability_tag</vt:lpstr>
      <vt:lpstr>input_xreg_vra_k8s_cluster_cidr</vt:lpstr>
      <vt:lpstr>input_xreg_vra_k8s_service_cidr</vt:lpstr>
      <vt:lpstr>input_xreg_vra_nodea_hostname</vt:lpstr>
      <vt:lpstr>input_xreg_vra_nodea_ip</vt:lpstr>
      <vt:lpstr>input_xreg_vra_nodeb_hostname</vt:lpstr>
      <vt:lpstr>input_xreg_vra_nodeb_ip</vt:lpstr>
      <vt:lpstr>input_xreg_vra_nodec_hostname</vt:lpstr>
      <vt:lpstr>input_xreg_vra_nodec_ip</vt:lpstr>
      <vt:lpstr>input_xreg_vra_org_name</vt:lpstr>
      <vt:lpstr>input_xreg_vra_root_password</vt:lpstr>
      <vt:lpstr>input_xreg_vra_root_password_alias</vt:lpstr>
      <vt:lpstr>input_xreg_vra_smtp_sender_email_address</vt:lpstr>
      <vt:lpstr>input_xreg_vra_smtp_sender_name</vt:lpstr>
      <vt:lpstr>input_xreg_vra_virtual_hostname</vt:lpstr>
      <vt:lpstr>input_xreg_vra_virtual_ip</vt:lpstr>
      <vt:lpstr>input_xreg_vra_vm_folder</vt:lpstr>
      <vt:lpstr>input_xreg_vra_vm_vm_rule</vt:lpstr>
      <vt:lpstr>input_xreg_vrni_consoleuser_password</vt:lpstr>
      <vt:lpstr>input_xreg_vrni_consoleuser_password_alias</vt:lpstr>
      <vt:lpstr>input_xreg_vrni_deployment_type</vt:lpstr>
      <vt:lpstr>input_xreg_vrni_nodea_hostname</vt:lpstr>
      <vt:lpstr>input_xreg_vrni_nodea_ip</vt:lpstr>
      <vt:lpstr>input_xreg_vrni_platform_node_size</vt:lpstr>
      <vt:lpstr>input_xreg_vrni_root_password</vt:lpstr>
      <vt:lpstr>input_xreg_vrni_root_password_alias</vt:lpstr>
      <vt:lpstr>input_xreg_vrni_support_password</vt:lpstr>
      <vt:lpstr>input_xreg_vrni_support_password_alias</vt:lpstr>
      <vt:lpstr>input_xreg_vrops_appliance_size</vt:lpstr>
      <vt:lpstr>input_xreg_vrops_currency</vt:lpstr>
      <vt:lpstr>input_xreg_vrops_existing_nodea_fqdn</vt:lpstr>
      <vt:lpstr>input_xreg_vrops_existing_nodea_hostname</vt:lpstr>
      <vt:lpstr>input_xreg_vrops_existing_nodeb_fqdn</vt:lpstr>
      <vt:lpstr>input_xreg_vrops_existing_nodeb_hostname</vt:lpstr>
      <vt:lpstr>input_xreg_vrops_existing_nodec_fqdn</vt:lpstr>
      <vt:lpstr>input_xreg_vrops_existing_nodec_hostname</vt:lpstr>
      <vt:lpstr>input_xreg_vrops_existing_virtual_server_fqdn</vt:lpstr>
      <vt:lpstr>input_xreg_vrops_nodea_hostname</vt:lpstr>
      <vt:lpstr>input_xreg_vrops_nodea_ip</vt:lpstr>
      <vt:lpstr>input_xreg_vrops_nodeb_hostname</vt:lpstr>
      <vt:lpstr>input_xreg_vrops_nodeb_ip</vt:lpstr>
      <vt:lpstr>input_xreg_vrops_nodec_hostname</vt:lpstr>
      <vt:lpstr>input_xreg_vrops_nodec_ip</vt:lpstr>
      <vt:lpstr>input_xreg_vrops_notification_delay</vt:lpstr>
      <vt:lpstr>input_xreg_vrops_notification_interval</vt:lpstr>
      <vt:lpstr>input_xreg_vrops_notification_max</vt:lpstr>
      <vt:lpstr>input_xreg_vrops_rc_size</vt:lpstr>
      <vt:lpstr>input_xreg_vrops_root_password</vt:lpstr>
      <vt:lpstr>input_xreg_vrops_root_password_alias</vt:lpstr>
      <vt:lpstr>input_xreg_vrops_smtp_receiver_email_address</vt:lpstr>
      <vt:lpstr>input_xreg_vrops_smtp_sender_email_address</vt:lpstr>
      <vt:lpstr>input_xreg_vrops_smtp_sender_name</vt:lpstr>
      <vt:lpstr>input_xreg_vrops_srm_sso_password</vt:lpstr>
      <vt:lpstr>input_xreg_vrops_srm_sso_username</vt:lpstr>
      <vt:lpstr>input_xreg_vrops_virtual_hostname</vt:lpstr>
      <vt:lpstr>input_xreg_vrops_virtual_ip</vt:lpstr>
      <vt:lpstr>input_xreg_vrops_vm_folder</vt:lpstr>
      <vt:lpstr>input_xreg_vrops_vrms_sso_password</vt:lpstr>
      <vt:lpstr>input_xreg_vrops_vrms_sso_username</vt:lpstr>
      <vt:lpstr>input_xreg_vrslcm_hostname</vt:lpstr>
      <vt:lpstr>input_xreg_vrslcm_ip</vt:lpstr>
      <vt:lpstr>input_xreg_wsa_cert_name</vt:lpstr>
      <vt:lpstr>input_xreg_wsa_delegate_ip</vt:lpstr>
      <vt:lpstr>input_xreg_wsa_node_size</vt:lpstr>
      <vt:lpstr>input_xreg_wsa_nodea_hostname</vt:lpstr>
      <vt:lpstr>input_xreg_wsa_nodea_ip</vt:lpstr>
      <vt:lpstr>input_xreg_wsa_nodeb_hostname</vt:lpstr>
      <vt:lpstr>input_xreg_wsa_nodeb_ip</vt:lpstr>
      <vt:lpstr>input_xreg_wsa_nodec_hostname</vt:lpstr>
      <vt:lpstr>input_xreg_wsa_nodec_ip</vt:lpstr>
      <vt:lpstr>input_xreg_wsa_virtual_hostname</vt:lpstr>
      <vt:lpstr>input_xreg_wsa_virtual_ip</vt:lpstr>
      <vt:lpstr>input_xreg_wsa_vm_folder</vt:lpstr>
      <vt:lpstr>input_xregion_dns1_ip</vt:lpstr>
      <vt:lpstr>input_xregion_dns2_ip</vt:lpstr>
      <vt:lpstr>input_xregion_ntp1_server</vt:lpstr>
      <vt:lpstr>input_xregion_ntp2_server</vt:lpstr>
      <vt:lpstr>intelligent_logging_chosen</vt:lpstr>
      <vt:lpstr>intelligent_logging_result</vt:lpstr>
      <vt:lpstr>intelligent_operations_chosen</vt:lpstr>
      <vt:lpstr>intelligent_operations_result</vt:lpstr>
      <vt:lpstr>inv_ad_base_dn</vt:lpstr>
      <vt:lpstr>inv_cdp_hostname</vt:lpstr>
      <vt:lpstr>inv_cdp_ip</vt:lpstr>
      <vt:lpstr>inv_chosen</vt:lpstr>
      <vt:lpstr>inv_dc_folder</vt:lpstr>
      <vt:lpstr>inv_ldap_url</vt:lpstr>
      <vt:lpstr>inv_mgmt_nsxt_piuser</vt:lpstr>
      <vt:lpstr>inv_result</vt:lpstr>
      <vt:lpstr>inv_vm_folder</vt:lpstr>
      <vt:lpstr>inv_vrops_password</vt:lpstr>
      <vt:lpstr>inv_vsphere_role</vt:lpstr>
      <vt:lpstr>inv_vsphere_svc_password</vt:lpstr>
      <vt:lpstr>inv_vsphere_svc_user</vt:lpstr>
      <vt:lpstr>inv_wld_nsxt_piuser</vt:lpstr>
      <vt:lpstr>iom_ci_result</vt:lpstr>
      <vt:lpstr>iom_id_result</vt:lpstr>
      <vt:lpstr>iom_mgmt_nsxt_piuser</vt:lpstr>
      <vt:lpstr>iom_vaops_vcf_vc_adapter_name</vt:lpstr>
      <vt:lpstr>iom_vaops_vcf_vc_credential_name</vt:lpstr>
      <vt:lpstr>iom_vaops_vcf_vsan_adapter_name</vt:lpstr>
      <vt:lpstr>iom_vaops_vcf_vsan_credential_name</vt:lpstr>
      <vt:lpstr>iom_vcf_svc_password</vt:lpstr>
      <vt:lpstr>iom_vcf_svc_user</vt:lpstr>
      <vt:lpstr>iom_vsphere_role</vt:lpstr>
      <vt:lpstr>iom_vsphere_svc_password</vt:lpstr>
      <vt:lpstr>iom_vsphere_svc_user</vt:lpstr>
      <vt:lpstr>iom_wld_nsxt_piuser</vt:lpstr>
      <vt:lpstr>k8s_api_endpoint_fqdn</vt:lpstr>
      <vt:lpstr>k8s_cluster_endpoint_fqdn</vt:lpstr>
      <vt:lpstr>k8s_cluster_name</vt:lpstr>
      <vt:lpstr>k8s_egress_pool_cidr</vt:lpstr>
      <vt:lpstr>k8s_harbor_fqdn</vt:lpstr>
      <vt:lpstr>k8s_harbor_hostname</vt:lpstr>
      <vt:lpstr>k8s_harbor_ip</vt:lpstr>
      <vt:lpstr>k8s_ingress_pool_cidr</vt:lpstr>
      <vt:lpstr>k8s_ip_prefixlist</vt:lpstr>
      <vt:lpstr>k8s_ip_routemap</vt:lpstr>
      <vt:lpstr>k8s_kubectl_path</vt:lpstr>
      <vt:lpstr>k8s_mgmt_pool_start_ip</vt:lpstr>
      <vt:lpstr>k8s_mgmt_seg</vt:lpstr>
      <vt:lpstr>k8s_namepsace</vt:lpstr>
      <vt:lpstr>k8s_segment_cidr</vt:lpstr>
      <vt:lpstr>k8s_segment_gateway_ip</vt:lpstr>
      <vt:lpstr>k8s_segment_gateway_ip_cidr</vt:lpstr>
      <vt:lpstr>k8s_segment_ip</vt:lpstr>
      <vt:lpstr>k8s_segment_mask</vt:lpstr>
      <vt:lpstr>k8s_segment_pg</vt:lpstr>
      <vt:lpstr>k8s_supervisor_cluster_pod_pool_cidr</vt:lpstr>
      <vt:lpstr>k8s_supervisor_cluster_service_pool_cidr</vt:lpstr>
      <vt:lpstr>k8s_tanzu_k8s_cluster_pod_pool_cidr</vt:lpstr>
      <vt:lpstr>k8s_tanzu_k8s_cluster_service_pool_cidr</vt:lpstr>
      <vt:lpstr>k8s_vcenter_category</vt:lpstr>
      <vt:lpstr>k8s_vcenter_content_library</vt:lpstr>
      <vt:lpstr>k8s_vcenter_storage_policy</vt:lpstr>
      <vt:lpstr>k8s_vcenter_tag</vt:lpstr>
      <vt:lpstr>k8s_vm_class</vt:lpstr>
      <vt:lpstr>label_cloudbuilder_admin_password</vt:lpstr>
      <vt:lpstr>label_cloudbuilder_root_password</vt:lpstr>
      <vt:lpstr>label_cloudbuilder_target_datastore</vt:lpstr>
      <vt:lpstr>label_cloudbuilder_target_fqdn</vt:lpstr>
      <vt:lpstr>label_cloudbuilder_target_network</vt:lpstr>
      <vt:lpstr>label_esxi_root_password</vt:lpstr>
      <vt:lpstr>local_admin_password</vt:lpstr>
      <vt:lpstr>local_admin_password_alias</vt:lpstr>
      <vt:lpstr>local_admin_username</vt:lpstr>
      <vt:lpstr>local_configadmin_password</vt:lpstr>
      <vt:lpstr>local_configadmin_password_alias</vt:lpstr>
      <vt:lpstr>local_configadmin_username</vt:lpstr>
      <vt:lpstr>local_vcf_aware_wsa_root_password</vt:lpstr>
      <vt:lpstr>local_vcf_aware_wsa_root_password_alias</vt:lpstr>
      <vt:lpstr>local_vcf_aware_wsa_root_password_username</vt:lpstr>
      <vt:lpstr>mgmt_avi_loadbalancer_chosen</vt:lpstr>
      <vt:lpstr>mgmt_avi_loadbalancer_result</vt:lpstr>
      <vt:lpstr>mgmt_avilb_cluster_name</vt:lpstr>
      <vt:lpstr>mgmt_avilb_cluster_version</vt:lpstr>
      <vt:lpstr>mgmt_avilb_fqdn</vt:lpstr>
      <vt:lpstr>mgmt_avilb_hostname</vt:lpstr>
      <vt:lpstr>mgmt_avilb_ip</vt:lpstr>
      <vt:lpstr>mgmt_avilb_mgra_fqdn</vt:lpstr>
      <vt:lpstr>mgmt_avilb_mgra_hostname</vt:lpstr>
      <vt:lpstr>mgmt_avilb_mgra_ip</vt:lpstr>
      <vt:lpstr>mgmt_avilb_mgrb_fqdn</vt:lpstr>
      <vt:lpstr>mgmt_avilb_mgrb_hostname</vt:lpstr>
      <vt:lpstr>mgmt_avilb_mgrb_ip</vt:lpstr>
      <vt:lpstr>mgmt_avilb_mgrc_fqdn</vt:lpstr>
      <vt:lpstr>mgmt_avilb_mgrc_hostname</vt:lpstr>
      <vt:lpstr>mgmt_avilb_mgrc_ip</vt:lpstr>
      <vt:lpstr>mgmt_az1_edge_overlay_cidr</vt:lpstr>
      <vt:lpstr>mgmt_az1_edge_overlay_gateway_ip</vt:lpstr>
      <vt:lpstr>mgmt_az1_edge_overlay_mtu</vt:lpstr>
      <vt:lpstr>mgmt_az1_edge_overlay_network_pool_name</vt:lpstr>
      <vt:lpstr>mgmt_az1_edge_overlay_pool_end_ip</vt:lpstr>
      <vt:lpstr>mgmt_az1_edge_overlay_pool_start_ip</vt:lpstr>
      <vt:lpstr>mgmt_az1_edge_overlay_vlan</vt:lpstr>
      <vt:lpstr>mgmt_az1_en1_edge_overlay_interface_ip_1_ip</vt:lpstr>
      <vt:lpstr>mgmt_az1_en1_edge_overlay_interface_ip_2_ip</vt:lpstr>
      <vt:lpstr>mgmt_az1_en1_fqdn</vt:lpstr>
      <vt:lpstr>mgmt_az1_en1_hostname</vt:lpstr>
      <vt:lpstr>mgmt_az1_en1_mgmt_ip</vt:lpstr>
      <vt:lpstr>mgmt_az1_en1_uplink01_interface_ip</vt:lpstr>
      <vt:lpstr>mgmt_az1_en1_uplink02_interface_ip</vt:lpstr>
      <vt:lpstr>mgmt_az1_en2_edge_overlay_interface_ip_1_ip</vt:lpstr>
      <vt:lpstr>mgmt_az1_en2_edge_overlay_interface_ip_2_ip</vt:lpstr>
      <vt:lpstr>mgmt_az1_en2_fqdn</vt:lpstr>
      <vt:lpstr>mgmt_az1_en2_hostname</vt:lpstr>
      <vt:lpstr>mgmt_az1_en2_mgmt_ip</vt:lpstr>
      <vt:lpstr>mgmt_az1_en2_uplink01_interface_ip</vt:lpstr>
      <vt:lpstr>mgmt_az1_en2_uplink02_interface_ip</vt:lpstr>
      <vt:lpstr>mgmt_az1_host_fqdns</vt:lpstr>
      <vt:lpstr>mgmt_az1_host_hostnames</vt:lpstr>
      <vt:lpstr>mgmt_az1_host_mgmt_ips</vt:lpstr>
      <vt:lpstr>mgmt_az1_host_overlay_cidr</vt:lpstr>
      <vt:lpstr>mgmt_az1_host_overlay_gateway_ip</vt:lpstr>
      <vt:lpstr>mgmt_az1_host_overlay_mtu</vt:lpstr>
      <vt:lpstr>mgmt_az1_host_overlay_network_pool_description</vt:lpstr>
      <vt:lpstr>mgmt_az1_host_overlay_network_pool_name</vt:lpstr>
      <vt:lpstr>mgmt_az1_host_overlay_network_profile_name</vt:lpstr>
      <vt:lpstr>mgmt_az1_host_overlay_pool_end_ip</vt:lpstr>
      <vt:lpstr>mgmt_az1_host_overlay_pool_start_ip</vt:lpstr>
      <vt:lpstr>mgmt_az1_host_overlay_uplink_profile_name</vt:lpstr>
      <vt:lpstr>mgmt_az1_host_overlay_vlan</vt:lpstr>
      <vt:lpstr>mgmt_az1_host_vrms_ips</vt:lpstr>
      <vt:lpstr>mgmt_az1_host1_fqdn</vt:lpstr>
      <vt:lpstr>mgmt_az1_host1_hostname</vt:lpstr>
      <vt:lpstr>mgmt_az1_host1_mgmt_ip</vt:lpstr>
      <vt:lpstr>mgmt_az1_host1_vrms_ip</vt:lpstr>
      <vt:lpstr>mgmt_az1_host10_fqdn</vt:lpstr>
      <vt:lpstr>mgmt_az1_host10_hostname</vt:lpstr>
      <vt:lpstr>mgmt_az1_host10_mgmt_ip</vt:lpstr>
      <vt:lpstr>mgmt_az1_host10_vrms_ip</vt:lpstr>
      <vt:lpstr>mgmt_az1_host11_fqdn</vt:lpstr>
      <vt:lpstr>mgmt_az1_host11_hostname</vt:lpstr>
      <vt:lpstr>mgmt_az1_host11_mgmt_ip</vt:lpstr>
      <vt:lpstr>mgmt_az1_host11_vrms_ip</vt:lpstr>
      <vt:lpstr>mgmt_az1_host12_fqdn</vt:lpstr>
      <vt:lpstr>mgmt_az1_host12_hostname</vt:lpstr>
      <vt:lpstr>mgmt_az1_host12_mgmt_ip</vt:lpstr>
      <vt:lpstr>mgmt_az1_host12_vrms_ip</vt:lpstr>
      <vt:lpstr>mgmt_az1_host13_fqdn</vt:lpstr>
      <vt:lpstr>mgmt_az1_host13_hostname</vt:lpstr>
      <vt:lpstr>mgmt_az1_host13_mgmt_ip</vt:lpstr>
      <vt:lpstr>mgmt_az1_host13_vrms_ip</vt:lpstr>
      <vt:lpstr>mgmt_az1_host14_fqdn</vt:lpstr>
      <vt:lpstr>mgmt_az1_host14_hostname</vt:lpstr>
      <vt:lpstr>mgmt_az1_host14_mgmt_ip</vt:lpstr>
      <vt:lpstr>mgmt_az1_host14_vrms_ip</vt:lpstr>
      <vt:lpstr>mgmt_az1_host15_fqdn</vt:lpstr>
      <vt:lpstr>mgmt_az1_host15_hostname</vt:lpstr>
      <vt:lpstr>mgmt_az1_host15_mgmt_ip</vt:lpstr>
      <vt:lpstr>mgmt_az1_host15_vrms_ip</vt:lpstr>
      <vt:lpstr>mgmt_az1_host16_fqdn</vt:lpstr>
      <vt:lpstr>mgmt_az1_host16_hostname</vt:lpstr>
      <vt:lpstr>mgmt_az1_host16_mgmt_ip</vt:lpstr>
      <vt:lpstr>mgmt_az1_host16_vrms_ip</vt:lpstr>
      <vt:lpstr>mgmt_az1_host2_fqdn</vt:lpstr>
      <vt:lpstr>mgmt_az1_host2_hostname</vt:lpstr>
      <vt:lpstr>mgmt_az1_host2_mgmt_ip</vt:lpstr>
      <vt:lpstr>mgmt_az1_host2_vrms_ip</vt:lpstr>
      <vt:lpstr>mgmt_az1_host3_fqdn</vt:lpstr>
      <vt:lpstr>mgmt_az1_host3_hostname</vt:lpstr>
      <vt:lpstr>mgmt_az1_host3_mgmt_ip</vt:lpstr>
      <vt:lpstr>mgmt_az1_host3_vrms_ip</vt:lpstr>
      <vt:lpstr>mgmt_az1_host4_fqdn</vt:lpstr>
      <vt:lpstr>mgmt_az1_host4_hostname</vt:lpstr>
      <vt:lpstr>mgmt_az1_host4_mgmt_ip</vt:lpstr>
      <vt:lpstr>mgmt_az1_host4_vrms_ip</vt:lpstr>
      <vt:lpstr>mgmt_az1_host5_fqdn</vt:lpstr>
      <vt:lpstr>mgmt_az1_host5_hostname</vt:lpstr>
      <vt:lpstr>mgmt_az1_host5_mgmt_ip</vt:lpstr>
      <vt:lpstr>mgmt_az1_host5_vrms_ip</vt:lpstr>
      <vt:lpstr>mgmt_az1_host6_fqdn</vt:lpstr>
      <vt:lpstr>mgmt_az1_host6_hostname</vt:lpstr>
      <vt:lpstr>mgmt_az1_host6_mgmt_ip</vt:lpstr>
      <vt:lpstr>mgmt_az1_host6_vrms_ip</vt:lpstr>
      <vt:lpstr>mgmt_az1_host7_fqdn</vt:lpstr>
      <vt:lpstr>mgmt_az1_host7_hostname</vt:lpstr>
      <vt:lpstr>mgmt_az1_host7_mgmt_ip</vt:lpstr>
      <vt:lpstr>mgmt_az1_host7_vrms_ip</vt:lpstr>
      <vt:lpstr>mgmt_az1_host8_fqdn</vt:lpstr>
      <vt:lpstr>mgmt_az1_host8_hostname</vt:lpstr>
      <vt:lpstr>mgmt_az1_host8_mgmt_ip</vt:lpstr>
      <vt:lpstr>mgmt_az1_host8_vrms_ip</vt:lpstr>
      <vt:lpstr>mgmt_az1_host9_fqdn</vt:lpstr>
      <vt:lpstr>mgmt_az1_host9_hostname</vt:lpstr>
      <vt:lpstr>mgmt_az1_host9_mgmt_ip</vt:lpstr>
      <vt:lpstr>mgmt_az1_host9_vrms_ip</vt:lpstr>
      <vt:lpstr>mgmt_az1_mgmt_cidr</vt:lpstr>
      <vt:lpstr>mgmt_az1_mgmt_gateway_ip</vt:lpstr>
      <vt:lpstr>mgmt_az1_mgmt_mask</vt:lpstr>
      <vt:lpstr>mgmt_az1_mgmt_mtu</vt:lpstr>
      <vt:lpstr>mgmt_az1_mgmt_vlan</vt:lpstr>
      <vt:lpstr>mgmt_az1_mgmt_vm_cidr</vt:lpstr>
      <vt:lpstr>mgmt_az1_mgmt_vm_gateway_ip</vt:lpstr>
      <vt:lpstr>mgmt_az1_mgmt_vm_mask</vt:lpstr>
      <vt:lpstr>mgmt_az1_mgmt_vm_mtu</vt:lpstr>
      <vt:lpstr>mgmt_az1_mgmt_vm_vlan</vt:lpstr>
      <vt:lpstr>mgmt_az1_pool_name</vt:lpstr>
      <vt:lpstr>mgmt_az1_rtep_ip_pool_name</vt:lpstr>
      <vt:lpstr>mgmt_az1_rtep_overlay_cidr</vt:lpstr>
      <vt:lpstr>mgmt_az1_rtep_overlay_gateway_ip</vt:lpstr>
      <vt:lpstr>mgmt_az1_rtep_overlay_mtu</vt:lpstr>
      <vt:lpstr>mgmt_az1_rtep_overlay_vlan</vt:lpstr>
      <vt:lpstr>mgmt_az1_tor1_peer_asn</vt:lpstr>
      <vt:lpstr>mgmt_az1_tor1_peer_bgp_password</vt:lpstr>
      <vt:lpstr>mgmt_az1_tor1_peer_ip</vt:lpstr>
      <vt:lpstr>mgmt_az1_tor2_peer_asn</vt:lpstr>
      <vt:lpstr>mgmt_az1_tor2_peer_bgp_password</vt:lpstr>
      <vt:lpstr>mgmt_az1_tor2_peer_ip</vt:lpstr>
      <vt:lpstr>mgmt_az1_uplink01_cidr</vt:lpstr>
      <vt:lpstr>mgmt_az1_uplink01_gateway_ip</vt:lpstr>
      <vt:lpstr>mgmt_az1_uplink01_mask</vt:lpstr>
      <vt:lpstr>mgmt_az1_uplink01_mtu</vt:lpstr>
      <vt:lpstr>mgmt_az1_uplink01_vlan</vt:lpstr>
      <vt:lpstr>mgmt_az1_uplink02_cidr</vt:lpstr>
      <vt:lpstr>mgmt_az1_uplink02_gateway_ip</vt:lpstr>
      <vt:lpstr>mgmt_az1_uplink02_mask</vt:lpstr>
      <vt:lpstr>mgmt_az1_uplink02_mtu</vt:lpstr>
      <vt:lpstr>mgmt_az1_uplink02_vlan</vt:lpstr>
      <vt:lpstr>mgmt_az1_vm_cidr</vt:lpstr>
      <vt:lpstr>mgmt_az1_vm_gateway_ip</vt:lpstr>
      <vt:lpstr>mgmt_az1_vm_group_name</vt:lpstr>
      <vt:lpstr>mgmt_az1_vm_mtu</vt:lpstr>
      <vt:lpstr>mgmt_az1_vm_vlan</vt:lpstr>
      <vt:lpstr>mgmt_az1_vmotion_cidr</vt:lpstr>
      <vt:lpstr>mgmt_az1_vmotion_gateway_ip</vt:lpstr>
      <vt:lpstr>mgmt_az1_vmotion_mask</vt:lpstr>
      <vt:lpstr>mgmt_az1_vmotion_mtu</vt:lpstr>
      <vt:lpstr>mgmt_az1_vmotion_pool_end_ip</vt:lpstr>
      <vt:lpstr>mgmt_az1_vmotion_pool_start_ip</vt:lpstr>
      <vt:lpstr>mgmt_az1_vmotion_vlan</vt:lpstr>
      <vt:lpstr>mgmt_az1_vrms_cidr</vt:lpstr>
      <vt:lpstr>mgmt_az1_vrms_gateway_ip</vt:lpstr>
      <vt:lpstr>mgmt_az1_vrms_mtu</vt:lpstr>
      <vt:lpstr>mgmt_az1_vrms_vlan</vt:lpstr>
      <vt:lpstr>mgmt_az1_vsan_cidr</vt:lpstr>
      <vt:lpstr>mgmt_az1_vsan_gateway_ip</vt:lpstr>
      <vt:lpstr>mgmt_az1_vsan_mask</vt:lpstr>
      <vt:lpstr>mgmt_az1_vsan_mtu</vt:lpstr>
      <vt:lpstr>mgmt_az1_vsan_pool_end_ip</vt:lpstr>
      <vt:lpstr>mgmt_az1_vsan_pool_start_ip</vt:lpstr>
      <vt:lpstr>mgmt_az1_vsan_vlan</vt:lpstr>
      <vt:lpstr>mgmt_az2_edge_overlay_cidr</vt:lpstr>
      <vt:lpstr>mgmt_az2_edge_overlay_gateway_ip</vt:lpstr>
      <vt:lpstr>mgmt_az2_edge_overlay_mtu</vt:lpstr>
      <vt:lpstr>mgmt_az2_edge_overlay_vlan</vt:lpstr>
      <vt:lpstr>mgmt_az2_host_fqdns</vt:lpstr>
      <vt:lpstr>mgmt_az2_host_hostnames</vt:lpstr>
      <vt:lpstr>mgmt_az2_host_mgmt_ips</vt:lpstr>
      <vt:lpstr>mgmt_az2_host_overlay_cidr</vt:lpstr>
      <vt:lpstr>mgmt_az2_host_overlay_gateway_ip</vt:lpstr>
      <vt:lpstr>mgmt_az2_host_overlay_mtu</vt:lpstr>
      <vt:lpstr>mgmt_az2_host_overlay_network_pool_name</vt:lpstr>
      <vt:lpstr>mgmt_az2_host_overlay_network_profile_name</vt:lpstr>
      <vt:lpstr>mgmt_az2_host_overlay_pool_end_ip</vt:lpstr>
      <vt:lpstr>mgmt_az2_host_overlay_pool_name</vt:lpstr>
      <vt:lpstr>mgmt_az2_host_overlay_pool_start_ip</vt:lpstr>
      <vt:lpstr>mgmt_az2_host_overlay_uplink_profile_name</vt:lpstr>
      <vt:lpstr>mgmt_az2_host_overlay_vlan</vt:lpstr>
      <vt:lpstr>mgmt_az2_host_vrms_ips</vt:lpstr>
      <vt:lpstr>mgmt_az2_host1_fqdn</vt:lpstr>
      <vt:lpstr>mgmt_az2_host1_hostname</vt:lpstr>
      <vt:lpstr>mgmt_az2_host1_mgmt_ip</vt:lpstr>
      <vt:lpstr>mgmt_az2_host1_sddc_id</vt:lpstr>
      <vt:lpstr>mgmt_az2_host1_vrms_ip</vt:lpstr>
      <vt:lpstr>mgmt_az2_host10_fqdn</vt:lpstr>
      <vt:lpstr>mgmt_az2_host10_hostname</vt:lpstr>
      <vt:lpstr>mgmt_az2_host10_mgmt_ip</vt:lpstr>
      <vt:lpstr>mgmt_az2_host10_vrms_ip</vt:lpstr>
      <vt:lpstr>mgmt_az2_host11_fqdn</vt:lpstr>
      <vt:lpstr>mgmt_az2_host11_hostname</vt:lpstr>
      <vt:lpstr>mgmt_az2_host11_mgmt_ip</vt:lpstr>
      <vt:lpstr>mgmt_az2_host11_vrms_ip</vt:lpstr>
      <vt:lpstr>mgmt_az2_host12_fqdn</vt:lpstr>
      <vt:lpstr>mgmt_az2_host12_hostname</vt:lpstr>
      <vt:lpstr>mgmt_az2_host12_mgmt_ip</vt:lpstr>
      <vt:lpstr>mgmt_az2_host12_vrms_ip</vt:lpstr>
      <vt:lpstr>mgmt_az2_host13_fqdn</vt:lpstr>
      <vt:lpstr>mgmt_az2_host13_hostname</vt:lpstr>
      <vt:lpstr>mgmt_az2_host13_mgmt_ip</vt:lpstr>
      <vt:lpstr>mgmt_az2_host13_vrms_ip</vt:lpstr>
      <vt:lpstr>mgmt_az2_host14_fqdn</vt:lpstr>
      <vt:lpstr>mgmt_az2_host14_hostname</vt:lpstr>
      <vt:lpstr>mgmt_az2_host14_mgmt_ip</vt:lpstr>
      <vt:lpstr>mgmt_az2_host14_vrms_ip</vt:lpstr>
      <vt:lpstr>mgmt_az2_host15_fqdn</vt:lpstr>
      <vt:lpstr>mgmt_az2_host15_hostname</vt:lpstr>
      <vt:lpstr>mgmt_az2_host15_mgmt_ip</vt:lpstr>
      <vt:lpstr>mgmt_az2_host15_vrms_ip</vt:lpstr>
      <vt:lpstr>mgmt_az2_host16_fqdn</vt:lpstr>
      <vt:lpstr>mgmt_az2_host16_hostname</vt:lpstr>
      <vt:lpstr>mgmt_az2_host16_mgmt_ip</vt:lpstr>
      <vt:lpstr>mgmt_az2_host16_vrms_ip</vt:lpstr>
      <vt:lpstr>mgmt_az2_host2_fqdn</vt:lpstr>
      <vt:lpstr>mgmt_az2_host2_hostname</vt:lpstr>
      <vt:lpstr>mgmt_az2_host2_mgmt_ip</vt:lpstr>
      <vt:lpstr>mgmt_az2_host2_sddc_id</vt:lpstr>
      <vt:lpstr>mgmt_az2_host2_vrms_ip</vt:lpstr>
      <vt:lpstr>mgmt_az2_host3_fqdn</vt:lpstr>
      <vt:lpstr>mgmt_az2_host3_hostname</vt:lpstr>
      <vt:lpstr>mgmt_az2_host3_mgmt_ip</vt:lpstr>
      <vt:lpstr>mgmt_az2_host3_sddc_id</vt:lpstr>
      <vt:lpstr>mgmt_az2_host3_vrms_ip</vt:lpstr>
      <vt:lpstr>mgmt_az2_host4_fqdn</vt:lpstr>
      <vt:lpstr>mgmt_az2_host4_hostname</vt:lpstr>
      <vt:lpstr>mgmt_az2_host4_mgmt_ip</vt:lpstr>
      <vt:lpstr>mgmt_az2_host4_sddc_id</vt:lpstr>
      <vt:lpstr>mgmt_az2_host4_vrms_ip</vt:lpstr>
      <vt:lpstr>mgmt_az2_host5_fqdn</vt:lpstr>
      <vt:lpstr>mgmt_az2_host5_hostname</vt:lpstr>
      <vt:lpstr>mgmt_az2_host5_mgmt_ip</vt:lpstr>
      <vt:lpstr>mgmt_az2_host5_vrms_ip</vt:lpstr>
      <vt:lpstr>mgmt_az2_host6_fqdn</vt:lpstr>
      <vt:lpstr>mgmt_az2_host6_hostname</vt:lpstr>
      <vt:lpstr>mgmt_az2_host6_mgmt_ip</vt:lpstr>
      <vt:lpstr>mgmt_az2_host6_vrms_ip</vt:lpstr>
      <vt:lpstr>mgmt_az2_host7_fqdn</vt:lpstr>
      <vt:lpstr>mgmt_az2_host7_hostname</vt:lpstr>
      <vt:lpstr>mgmt_az2_host7_mgmt_ip</vt:lpstr>
      <vt:lpstr>mgmt_az2_host7_vrms_ip</vt:lpstr>
      <vt:lpstr>mgmt_az2_host8_fqdn</vt:lpstr>
      <vt:lpstr>mgmt_az2_host8_hostname</vt:lpstr>
      <vt:lpstr>mgmt_az2_host8_mgmt_ip</vt:lpstr>
      <vt:lpstr>mgmt_az2_host8_vrms_ip</vt:lpstr>
      <vt:lpstr>mgmt_az2_host9_fqdn</vt:lpstr>
      <vt:lpstr>mgmt_az2_host9_hostname</vt:lpstr>
      <vt:lpstr>mgmt_az2_host9_mgmt_ip</vt:lpstr>
      <vt:lpstr>mgmt_az2_host9_vrms_ip</vt:lpstr>
      <vt:lpstr>mgmt_az2_mgmt_cidr</vt:lpstr>
      <vt:lpstr>mgmt_az2_mgmt_gateway_ip</vt:lpstr>
      <vt:lpstr>mgmt_az2_mgmt_mtu</vt:lpstr>
      <vt:lpstr>mgmt_az2_mgmt_vlan</vt:lpstr>
      <vt:lpstr>mgmt_az2_mgmt_vm_cidr</vt:lpstr>
      <vt:lpstr>mgmt_az2_mgmt_vm_gateway_ip</vt:lpstr>
      <vt:lpstr>mgmt_az2_mgmt_vm_mtu</vt:lpstr>
      <vt:lpstr>mgmt_az2_mgmt_vm_vlan</vt:lpstr>
      <vt:lpstr>mgmt_az2_pool_name</vt:lpstr>
      <vt:lpstr>mgmt_az2_rtep_overlay_cidr</vt:lpstr>
      <vt:lpstr>mgmt_az2_rtep_overlay_gateway_ip</vt:lpstr>
      <vt:lpstr>mgmt_az2_rtep_overlay_mtu</vt:lpstr>
      <vt:lpstr>mgmt_az2_rtep_overlay_vlan</vt:lpstr>
      <vt:lpstr>mgmt_az2_tor1_peer_asn</vt:lpstr>
      <vt:lpstr>mgmt_az2_tor1_peer_bgp_password</vt:lpstr>
      <vt:lpstr>mgmt_az2_tor1_peer_ip</vt:lpstr>
      <vt:lpstr>mgmt_az2_tor2_peer_asn</vt:lpstr>
      <vt:lpstr>mgmt_az2_tor2_peer_bgp_password</vt:lpstr>
      <vt:lpstr>mgmt_az2_tor2_peer_ip</vt:lpstr>
      <vt:lpstr>mgmt_az2_uplink01_cidr</vt:lpstr>
      <vt:lpstr>mgmt_az2_uplink01_gateway_ip</vt:lpstr>
      <vt:lpstr>mgmt_az2_uplink01_mtu</vt:lpstr>
      <vt:lpstr>mgmt_az2_uplink01_vlan</vt:lpstr>
      <vt:lpstr>mgmt_az2_uplink02_cidr</vt:lpstr>
      <vt:lpstr>mgmt_az2_uplink02_gateway_ip</vt:lpstr>
      <vt:lpstr>mgmt_az2_uplink02_mtu</vt:lpstr>
      <vt:lpstr>mgmt_az2_uplink02_vlan</vt:lpstr>
      <vt:lpstr>mgmt_az2_vm_cidr</vt:lpstr>
      <vt:lpstr>mgmt_az2_vm_gateway_ip</vt:lpstr>
      <vt:lpstr>mgmt_az2_vm_mtu</vt:lpstr>
      <vt:lpstr>mgmt_az2_vm_vlan</vt:lpstr>
      <vt:lpstr>mgmt_az2_vmotion_cidr</vt:lpstr>
      <vt:lpstr>mgmt_az2_vmotion_gateway_ip</vt:lpstr>
      <vt:lpstr>mgmt_az2_vmotion_mtu</vt:lpstr>
      <vt:lpstr>mgmt_az2_vmotion_pool_end_ip</vt:lpstr>
      <vt:lpstr>mgmt_az2_vmotion_pool_start_ip</vt:lpstr>
      <vt:lpstr>mgmt_az2_vmotion_vlan</vt:lpstr>
      <vt:lpstr>mgmt_az2_vrms_cidr</vt:lpstr>
      <vt:lpstr>mgmt_az2_vrms_gateway_ip</vt:lpstr>
      <vt:lpstr>mgmt_az2_vrms_mtu</vt:lpstr>
      <vt:lpstr>mgmt_az2_vrms_vlan</vt:lpstr>
      <vt:lpstr>mgmt_az2_vsan_cidr</vt:lpstr>
      <vt:lpstr>mgmt_az2_vsan_gateway_ip</vt:lpstr>
      <vt:lpstr>mgmt_az2_vsan_mtu</vt:lpstr>
      <vt:lpstr>mgmt_az2_vsan_pool_end_ip</vt:lpstr>
      <vt:lpstr>mgmt_az2_vsan_pool_start_ip</vt:lpstr>
      <vt:lpstr>mgmt_az2_vsan_vlan</vt:lpstr>
      <vt:lpstr>mgmt_ceip_status</vt:lpstr>
      <vt:lpstr>mgmt_cl01_az1_mgmt_pg</vt:lpstr>
      <vt:lpstr>mgmt_cl01_az1_mgmt_vm_pg</vt:lpstr>
      <vt:lpstr>mgmt_cl01_az1_uplink01_pg</vt:lpstr>
      <vt:lpstr>mgmt_cl01_az1_uplink02_pg</vt:lpstr>
      <vt:lpstr>mgmt_cl01_az1_vmotion_pg</vt:lpstr>
      <vt:lpstr>mgmt_cl01_az1_vsan_pg</vt:lpstr>
      <vt:lpstr>mgmt_cl01_az2_mgmt_pg</vt:lpstr>
      <vt:lpstr>mgmt_cl01_az2_mgmt_vm_pg</vt:lpstr>
      <vt:lpstr>mgmt_cl01_az2_vmotion_pg</vt:lpstr>
      <vt:lpstr>mgmt_cl01_az2_vsan_pg</vt:lpstr>
      <vt:lpstr>mgmt_cl01_cluster</vt:lpstr>
      <vt:lpstr>mgmt_cl01_cluster_sddc_id</vt:lpstr>
      <vt:lpstr>mgmt_cl01_evc_mode</vt:lpstr>
      <vt:lpstr>mgmt_cl01_vds_profile</vt:lpstr>
      <vt:lpstr>mgmt_cl01_vds01_mtu</vt:lpstr>
      <vt:lpstr>mgmt_cl01_vds01_name</vt:lpstr>
      <vt:lpstr>mgmt_cl01_vds01_pnics</vt:lpstr>
      <vt:lpstr>mgmt_cl01_vds02_mtu</vt:lpstr>
      <vt:lpstr>mgmt_cl01_vds02_name</vt:lpstr>
      <vt:lpstr>mgmt_cl01_vds02_pnics</vt:lpstr>
      <vt:lpstr>mgmt_cl01_vsan_datastore</vt:lpstr>
      <vt:lpstr>mgmt_cl01_vsan_dedupe_compression</vt:lpstr>
      <vt:lpstr>mgmt_cl01_vsan_ftt</vt:lpstr>
      <vt:lpstr>mgmt_cl01_vss_switch</vt:lpstr>
      <vt:lpstr>mgmt_consolidated_chosen</vt:lpstr>
      <vt:lpstr>mgmt_consolidated_result</vt:lpstr>
      <vt:lpstr>mgmt_datacenter</vt:lpstr>
      <vt:lpstr>mgmt_domain_chosen</vt:lpstr>
      <vt:lpstr>mgmt_domain_result</vt:lpstr>
      <vt:lpstr>mgmt_dpg_separation_chosen</vt:lpstr>
      <vt:lpstr>mgmt_dpg_separation_result</vt:lpstr>
      <vt:lpstr>mgmt_ec_formfactor</vt:lpstr>
      <vt:lpstr>mgmt_ec_name</vt:lpstr>
      <vt:lpstr>mgmt_ec_profile_type</vt:lpstr>
      <vt:lpstr>mgmt_edge_vm_folder</vt:lpstr>
      <vt:lpstr>mgmt_en_asn</vt:lpstr>
      <vt:lpstr>mgmt_esxi_external_certs_chosen</vt:lpstr>
      <vt:lpstr>mgmt_esxi_external_certs_result</vt:lpstr>
      <vt:lpstr>mgmt_existing_active_nsx_gm</vt:lpstr>
      <vt:lpstr>mgmt_existing_cross_instance_t0_name</vt:lpstr>
      <vt:lpstr>mgmt_existing_vc_fqdn</vt:lpstr>
      <vt:lpstr>mgmt_fips_status</vt:lpstr>
      <vt:lpstr>mgmt_host_overlay_addressing_chosen</vt:lpstr>
      <vt:lpstr>mgmt_host_overlay_addressing_result</vt:lpstr>
      <vt:lpstr>mgmt_host1_sshfingerprint</vt:lpstr>
      <vt:lpstr>mgmt_host1_thumbprint</vt:lpstr>
      <vt:lpstr>mgmt_host2_sshfingerprint</vt:lpstr>
      <vt:lpstr>mgmt_host2_thumbprint</vt:lpstr>
      <vt:lpstr>mgmt_host3_sshfingerprint</vt:lpstr>
      <vt:lpstr>mgmt_host3_thumbprint</vt:lpstr>
      <vt:lpstr>mgmt_host4_sshfingerprint</vt:lpstr>
      <vt:lpstr>mgmt_host4_thumbprint</vt:lpstr>
      <vt:lpstr>mgmt_internet_proxy_address</vt:lpstr>
      <vt:lpstr>mgmt_internet_proxy_auth</vt:lpstr>
      <vt:lpstr>mgmt_internet_proxy_chosen</vt:lpstr>
      <vt:lpstr>mgmt_internet_proxy_password</vt:lpstr>
      <vt:lpstr>mgmt_internet_proxy_port</vt:lpstr>
      <vt:lpstr>mgmt_internet_proxy_result</vt:lpstr>
      <vt:lpstr>mgmt_internet_proxy_type</vt:lpstr>
      <vt:lpstr>mgmt_internet_proxy_user</vt:lpstr>
      <vt:lpstr>mgmt_mgmt_rp</vt:lpstr>
      <vt:lpstr>mgmt_mgmt_vm_folder</vt:lpstr>
      <vt:lpstr>mgmt_nsx_rp</vt:lpstr>
      <vt:lpstr>mgmt_nsx_vm_folder</vt:lpstr>
      <vt:lpstr>mgmt_nsxt_federation_chosen</vt:lpstr>
      <vt:lpstr>mgmt_nsxt_federation_global_manager_name</vt:lpstr>
      <vt:lpstr>mgmt_nsxt_federation_location_name</vt:lpstr>
      <vt:lpstr>mgmt_nsxt_federation_result</vt:lpstr>
      <vt:lpstr>mgmt_nsxt_global_mgr_anti_affinity_rule_name</vt:lpstr>
      <vt:lpstr>mgmt_nsxt_global_mgr_certificate_id</vt:lpstr>
      <vt:lpstr>mgmt_nsxt_global_mgr_cluster_id</vt:lpstr>
      <vt:lpstr>mgmt_nsxt_global_mgr_vmca_signed_thumbprint</vt:lpstr>
      <vt:lpstr>mgmt_nsxt_global_mgra_fqdn</vt:lpstr>
      <vt:lpstr>mgmt_nsxt_global_mgra_hostname</vt:lpstr>
      <vt:lpstr>mgmt_nsxt_global_mgra_ip</vt:lpstr>
      <vt:lpstr>mgmt_nsxt_global_mgrb_fqdn</vt:lpstr>
      <vt:lpstr>mgmt_nsxt_global_mgrb_hostname</vt:lpstr>
      <vt:lpstr>mgmt_nsxt_global_mgrb_ip</vt:lpstr>
      <vt:lpstr>mgmt_nsxt_global_mgrc_fqdn</vt:lpstr>
      <vt:lpstr>mgmt_nsxt_global_mgrc_hostname</vt:lpstr>
      <vt:lpstr>mgmt_nsxt_global_mgrc_ip</vt:lpstr>
      <vt:lpstr>mgmt_nsxt_gm_fingerprint</vt:lpstr>
      <vt:lpstr>mgmt_nsxt_gm_hostname</vt:lpstr>
      <vt:lpstr>mgmt_nsxt_gm_ip</vt:lpstr>
      <vt:lpstr>mgmt_nsxt_gm_vip_fqdn</vt:lpstr>
      <vt:lpstr>mgmt_nsxt_hostname</vt:lpstr>
      <vt:lpstr>mgmt_nsxt_ip</vt:lpstr>
      <vt:lpstr>mgmt_nsxt_lm_fingerprint</vt:lpstr>
      <vt:lpstr>mgmt_nsxt_mgr_formfactor</vt:lpstr>
      <vt:lpstr>mgmt_nsxt_mgra_fqdn</vt:lpstr>
      <vt:lpstr>mgmt_nsxt_mgra_hostname</vt:lpstr>
      <vt:lpstr>mgmt_nsxt_mgra_ip</vt:lpstr>
      <vt:lpstr>mgmt_nsxt_mgrb_fqdn</vt:lpstr>
      <vt:lpstr>mgmt_nsxt_mgrb_hostname</vt:lpstr>
      <vt:lpstr>mgmt_nsxt_mgrb_ip</vt:lpstr>
      <vt:lpstr>mgmt_nsxt_mgrc_fqdn</vt:lpstr>
      <vt:lpstr>mgmt_nsxt_mgrc_hostname</vt:lpstr>
      <vt:lpstr>mgmt_nsxt_mgrc_ip</vt:lpstr>
      <vt:lpstr>mgmt_nsxt_vip_fqdn</vt:lpstr>
      <vt:lpstr>mgmt_nsxt_xreg_t1_name</vt:lpstr>
      <vt:lpstr>mgmt_offline_depot_chosen</vt:lpstr>
      <vt:lpstr>mgmt_offline_depot_hostname</vt:lpstr>
      <vt:lpstr>mgmt_offline_depot_password</vt:lpstr>
      <vt:lpstr>mgmt_offline_depot_port</vt:lpstr>
      <vt:lpstr>mgmt_offline_depot_result</vt:lpstr>
      <vt:lpstr>mgmt_offline_depot_user</vt:lpstr>
      <vt:lpstr>mgmt_principal_storage_chosen</vt:lpstr>
      <vt:lpstr>mgmt_principal_storage_result</vt:lpstr>
      <vt:lpstr>mgmt_recovery_lb_creation_method</vt:lpstr>
      <vt:lpstr>mgmt_rtep_overlay_pool_end_ip</vt:lpstr>
      <vt:lpstr>mgmt_rtep_overlay_pool_start_ip</vt:lpstr>
      <vt:lpstr>mgmt_rtep_overlay_vlan</vt:lpstr>
      <vt:lpstr>mgmt_sddc_domain</vt:lpstr>
      <vt:lpstr>mgmt_signed_certs_chosen</vt:lpstr>
      <vt:lpstr>mgmt_signed_certs_result</vt:lpstr>
      <vt:lpstr>mgmt_srm_admin_email</vt:lpstr>
      <vt:lpstr>mgmt_srm_admin_password</vt:lpstr>
      <vt:lpstr>mgmt_srm_database_password</vt:lpstr>
      <vt:lpstr>mgmt_srm_days</vt:lpstr>
      <vt:lpstr>mgmt_srm_fqdn</vt:lpstr>
      <vt:lpstr>mgmt_srm_hostname</vt:lpstr>
      <vt:lpstr>mgmt_srm_instances_per_day</vt:lpstr>
      <vt:lpstr>mgmt_srm_ip</vt:lpstr>
      <vt:lpstr>mgmt_srm_p12_password</vt:lpstr>
      <vt:lpstr>mgmt_srm_recovery_cluster</vt:lpstr>
      <vt:lpstr>mgmt_srm_recovery_datastore</vt:lpstr>
      <vt:lpstr>mgmt_srm_recovery_nsx_ec_name</vt:lpstr>
      <vt:lpstr>mgmt_srm_recovery_nsx_location</vt:lpstr>
      <vt:lpstr>mgmt_srm_recovery_sddc_manager_domain</vt:lpstr>
      <vt:lpstr>mgmt_srm_recovery_sddc_manager_fqdn</vt:lpstr>
      <vt:lpstr>mgmt_srm_recovery_sddc_manager_password</vt:lpstr>
      <vt:lpstr>mgmt_srm_recovery_sddc_manager_username</vt:lpstr>
      <vt:lpstr>mgmt_srm_recovery_t1_si_ip</vt:lpstr>
      <vt:lpstr>mgmt_srm_recovery_vcenter_fqdn</vt:lpstr>
      <vt:lpstr>mgmt_srm_recovery_vcenter_password</vt:lpstr>
      <vt:lpstr>mgmt_srm_recovery_vcenter_username</vt:lpstr>
      <vt:lpstr>mgmt_srm_root_password</vt:lpstr>
      <vt:lpstr>mgmt_srm_rpo</vt:lpstr>
      <vt:lpstr>mgmt_srm_site_name</vt:lpstr>
      <vt:lpstr>mgmt_srm_sso_domain_membership</vt:lpstr>
      <vt:lpstr>mgmt_srm_vm_folder</vt:lpstr>
      <vt:lpstr>mgmt_srm_vra_pg</vt:lpstr>
      <vt:lpstr>mgmt_srm_vra_rp</vt:lpstr>
      <vt:lpstr>mgmt_srm_vrops_pg</vt:lpstr>
      <vt:lpstr>mgmt_srm_vrops_rp</vt:lpstr>
      <vt:lpstr>mgmt_srm_vrslcm_wsa_pg</vt:lpstr>
      <vt:lpstr>mgmt_srm_vrslcm_wsa_rp</vt:lpstr>
      <vt:lpstr>mgmt_stretched_cluster_chosen</vt:lpstr>
      <vt:lpstr>mgmt_stretched_cluster_result</vt:lpstr>
      <vt:lpstr>mgmt_tier0_name</vt:lpstr>
      <vt:lpstr>mgmt_tier1_name</vt:lpstr>
      <vt:lpstr>mgmt_user_edge_rp</vt:lpstr>
      <vt:lpstr>mgmt_user_vm_rp</vt:lpstr>
      <vt:lpstr>mgmt_vc_fqdn</vt:lpstr>
      <vt:lpstr>mgmt_vc_hostname</vt:lpstr>
      <vt:lpstr>mgmt_vc_ip</vt:lpstr>
      <vt:lpstr>mgmt_vc_size</vt:lpstr>
      <vt:lpstr>mgmt_vc_storage_size</vt:lpstr>
      <vt:lpstr>mgmt_vlcm_model_chosen</vt:lpstr>
      <vt:lpstr>mgmt_vlcm_model_result</vt:lpstr>
      <vt:lpstr>mgmt_vns_chosen</vt:lpstr>
      <vt:lpstr>mgmt_vns_result</vt:lpstr>
      <vt:lpstr>mgmt_vrms_admin_email</vt:lpstr>
      <vt:lpstr>mgmt_vrms_admin_password</vt:lpstr>
      <vt:lpstr>mgmt_vrms_fqdn</vt:lpstr>
      <vt:lpstr>mgmt_vrms_hostname</vt:lpstr>
      <vt:lpstr>mgmt_vrms_mask</vt:lpstr>
      <vt:lpstr>mgmt_vrms_mgmt_ip</vt:lpstr>
      <vt:lpstr>mgmt_vrms_p12_password</vt:lpstr>
      <vt:lpstr>mgmt_vrms_pg</vt:lpstr>
      <vt:lpstr>mgmt_vrms_recovery_replication_cidr</vt:lpstr>
      <vt:lpstr>mgmt_vrms_root_password</vt:lpstr>
      <vt:lpstr>mgmt_vrms_site_name</vt:lpstr>
      <vt:lpstr>mgmt_vrms_vlan</vt:lpstr>
      <vt:lpstr>mgmt_vrms_vm_folder</vt:lpstr>
      <vt:lpstr>mgmt_vrms_vrms_ip</vt:lpstr>
      <vt:lpstr>mgmt_witness_az_mgmt_mask</vt:lpstr>
      <vt:lpstr>mgmt_witness_cluster</vt:lpstr>
      <vt:lpstr>mgmt_witness_fqdn</vt:lpstr>
      <vt:lpstr>mgmt_witness_hostname</vt:lpstr>
      <vt:lpstr>mgmt_witness_mgmt_ip</vt:lpstr>
      <vt:lpstr>mgmt_witness_mgmt_pg</vt:lpstr>
      <vt:lpstr>mgmt_witness_root_password</vt:lpstr>
      <vt:lpstr>mgmt_witness_sddc_domain</vt:lpstr>
      <vt:lpstr>mgmt_witness_vc_fqdn</vt:lpstr>
      <vt:lpstr>mgmt_witness_vcenter_hostname</vt:lpstr>
      <vt:lpstr>mgmt_witness_vm_folder</vt:lpstr>
      <vt:lpstr>mgmt_witness_vsan_datastore</vt:lpstr>
      <vt:lpstr>mgmt_witness_zone_vc_ip</vt:lpstr>
      <vt:lpstr>mgmt_witnessaz_cidr</vt:lpstr>
      <vt:lpstr>mgmt_witnessaz_gateway_ip</vt:lpstr>
      <vt:lpstr>mgmt_witnessaz_mgmt_mtu</vt:lpstr>
      <vt:lpstr>mgmt_witnessaz_mgmt_vlan</vt:lpstr>
      <vt:lpstr>multirack_host_count</vt:lpstr>
      <vt:lpstr>navigation_dri_implementation</vt:lpstr>
      <vt:lpstr>navigation_iam_implementation</vt:lpstr>
      <vt:lpstr>navigation_ila_implementation</vt:lpstr>
      <vt:lpstr>navigation_ila_solution_interop</vt:lpstr>
      <vt:lpstr>navigation_iom_connect_instance</vt:lpstr>
      <vt:lpstr>navigation_iom_initial_deployment</vt:lpstr>
      <vt:lpstr>navigation_iom_solution_interop</vt:lpstr>
      <vt:lpstr>navigation_pca_connect_instance</vt:lpstr>
      <vt:lpstr>navigation_pca_initial_deployment</vt:lpstr>
      <vt:lpstr>navigation_pca_solution_interop</vt:lpstr>
      <vt:lpstr>navigation_site_protection_mgmt</vt:lpstr>
      <vt:lpstr>navigation_site_protection_solution_interop</vt:lpstr>
      <vt:lpstr>navigation_site_protection_wld</vt:lpstr>
      <vt:lpstr>non_first_domain_mgmt_only_viable</vt:lpstr>
      <vt:lpstr>non_first_domain_mgmt_vi_viable</vt:lpstr>
      <vt:lpstr>nsxt_en_admin_password</vt:lpstr>
      <vt:lpstr>nsxt_en_audit_password</vt:lpstr>
      <vt:lpstr>nsxt_en_root_password</vt:lpstr>
      <vt:lpstr>nsxt_gm_admin_password</vt:lpstr>
      <vt:lpstr>nsxt_gm_audit_password</vt:lpstr>
      <vt:lpstr>nsxt_gm_root_password</vt:lpstr>
      <vt:lpstr>nsxt_license</vt:lpstr>
      <vt:lpstr>nsxt_lm_admin_password</vt:lpstr>
      <vt:lpstr>nsxt_lm_audit_password</vt:lpstr>
      <vt:lpstr>nsxt_lm_root_password</vt:lpstr>
      <vt:lpstr>nsxt_vsphere_role_name</vt:lpstr>
      <vt:lpstr>orchestrator_product_name</vt:lpstr>
      <vt:lpstr>other_instance</vt:lpstr>
      <vt:lpstr>other_prefix_mgmt_stretched_cidr</vt:lpstr>
      <vt:lpstr>other_prefix_wld_stretched_cidr</vt:lpstr>
      <vt:lpstr>parent_ad_bind_dn</vt:lpstr>
      <vt:lpstr>parent_ad_groups_ou</vt:lpstr>
      <vt:lpstr>parent_ad_users_ou</vt:lpstr>
      <vt:lpstr>parent_dns_zone</vt:lpstr>
      <vt:lpstr>pca_ci_result</vt:lpstr>
      <vt:lpstr>pca_id_result</vt:lpstr>
      <vt:lpstr>pnp_version_history</vt:lpstr>
      <vt:lpstr>prefix_mgmt_az1_cidr</vt:lpstr>
      <vt:lpstr>prefix_mgmt_az1_vlan</vt:lpstr>
      <vt:lpstr>prefix_mgmt_az2_cidr</vt:lpstr>
      <vt:lpstr>prefix_mgmt_az2_vlan</vt:lpstr>
      <vt:lpstr>prefix_mgmt_stretched_cidr</vt:lpstr>
      <vt:lpstr>prefix_mgmt_stretched_vlan</vt:lpstr>
      <vt:lpstr>prefix_mgmt_tor_asn</vt:lpstr>
      <vt:lpstr>prefix_mgmt_witness_cidr</vt:lpstr>
      <vt:lpstr>prefix_mgmt_witness_vlan</vt:lpstr>
      <vt:lpstr>prefix_other_region_az1_cidr</vt:lpstr>
      <vt:lpstr>prefix_portable_component</vt:lpstr>
      <vt:lpstr>prefix_reg_cidr</vt:lpstr>
      <vt:lpstr>prefix_wld_az1_cidr</vt:lpstr>
      <vt:lpstr>prefix_wld_az1_rack_cidr</vt:lpstr>
      <vt:lpstr>prefix_wld_az1_rack_vlan</vt:lpstr>
      <vt:lpstr>prefix_wld_az1_vlan</vt:lpstr>
      <vt:lpstr>prefix_wld_az2_cidr</vt:lpstr>
      <vt:lpstr>prefix_wld_az2_rack_cidr</vt:lpstr>
      <vt:lpstr>prefix_wld_az2_rack_vlan</vt:lpstr>
      <vt:lpstr>prefix_wld_az2_vlan</vt:lpstr>
      <vt:lpstr>prefix_wld_k8s_cidr</vt:lpstr>
      <vt:lpstr>prefix_wld_stretched_cidr</vt:lpstr>
      <vt:lpstr>prefix_wld_stretched_vlan</vt:lpstr>
      <vt:lpstr>prefix_wld_tor_asn</vt:lpstr>
      <vt:lpstr>prefix_wld_witness_cidr</vt:lpstr>
      <vt:lpstr>prefix_wld_witness_vlan</vt:lpstr>
      <vt:lpstr>prefix_xreg_cidr</vt:lpstr>
      <vt:lpstr>private_cloud_chosen</vt:lpstr>
      <vt:lpstr>private_cloud_result</vt:lpstr>
      <vt:lpstr>protected_mgmt_result</vt:lpstr>
      <vt:lpstr>protected_wld_result</vt:lpstr>
      <vt:lpstr>quickstart_admin_local_password</vt:lpstr>
      <vt:lpstr>quickstart_backup_password</vt:lpstr>
      <vt:lpstr>quickstart_basic_auth_password</vt:lpstr>
      <vt:lpstr>quickstart_fqdn</vt:lpstr>
      <vt:lpstr>quickstart_hostname</vt:lpstr>
      <vt:lpstr>quickstart_ip</vt:lpstr>
      <vt:lpstr>quickstart_mode</vt:lpstr>
      <vt:lpstr>quickstart_root_password</vt:lpstr>
      <vt:lpstr>quickstart_vcf_password</vt:lpstr>
      <vt:lpstr>recovery_mgmt_result</vt:lpstr>
      <vt:lpstr>reg_seg01_cidr</vt:lpstr>
      <vt:lpstr>reg_seg01_gateway_ip</vt:lpstr>
      <vt:lpstr>reg_seg01_mask_overlay_backed</vt:lpstr>
      <vt:lpstr>reg_seg01_mtu</vt:lpstr>
      <vt:lpstr>reg_seg01_name</vt:lpstr>
      <vt:lpstr>reg_seg01_vlan</vt:lpstr>
      <vt:lpstr>region_ad_child_fqdn</vt:lpstr>
      <vt:lpstr>region_ad_child_netbios</vt:lpstr>
      <vt:lpstr>region_ad_parent_fqdn</vt:lpstr>
      <vt:lpstr>region_ad_parent_netbios</vt:lpstr>
      <vt:lpstr>region_dns1_ip</vt:lpstr>
      <vt:lpstr>region_dns2_ip</vt:lpstr>
      <vt:lpstr>region_existing_remote_vrli_host</vt:lpstr>
      <vt:lpstr>region_existing_remote_vrli_tag</vt:lpstr>
      <vt:lpstr>region_ntp_servers_array</vt:lpstr>
      <vt:lpstr>region_ntp1_server</vt:lpstr>
      <vt:lpstr>region_ntp2_server</vt:lpstr>
      <vt:lpstr>region_vrli_admin_email</vt:lpstr>
      <vt:lpstr>region_vrli_admin_password</vt:lpstr>
      <vt:lpstr>region_vrli_admin_password_alias</vt:lpstr>
      <vt:lpstr>region_vrli_admin_user</vt:lpstr>
      <vt:lpstr>region_vrli_agent_group_photon</vt:lpstr>
      <vt:lpstr>region_vrli_agent_group_wsa</vt:lpstr>
      <vt:lpstr>region_vrli_appliance_size</vt:lpstr>
      <vt:lpstr>region_vrli_archive_location</vt:lpstr>
      <vt:lpstr>region_vrli_datastore_size</vt:lpstr>
      <vt:lpstr>region_vrli_email_notification_target</vt:lpstr>
      <vt:lpstr>region_vrli_log_retention_notification</vt:lpstr>
      <vt:lpstr>region_vrli_log_retention_period</vt:lpstr>
      <vt:lpstr>region_vrli_nfs_server</vt:lpstr>
      <vt:lpstr>region_vrli_nfs_share</vt:lpstr>
      <vt:lpstr>region_vrli_nodea_fqdn</vt:lpstr>
      <vt:lpstr>region_vrli_nodea_hostname</vt:lpstr>
      <vt:lpstr>region_vrli_nodea_ip</vt:lpstr>
      <vt:lpstr>region_vrli_nodeb_fqdn</vt:lpstr>
      <vt:lpstr>region_vrli_nodeb_hostname</vt:lpstr>
      <vt:lpstr>region_vrli_nodeb_ip</vt:lpstr>
      <vt:lpstr>region_vrli_nodec_fqdn</vt:lpstr>
      <vt:lpstr>region_vrli_nodec_hostname</vt:lpstr>
      <vt:lpstr>region_vrli_nodec_ip</vt:lpstr>
      <vt:lpstr>region_vrli_tag</vt:lpstr>
      <vt:lpstr>region_vrli_virtual_fqdn</vt:lpstr>
      <vt:lpstr>region_vrli_virtual_hostname</vt:lpstr>
      <vt:lpstr>region_vrli_virtual_ip</vt:lpstr>
      <vt:lpstr>region_vrli_vm_folder</vt:lpstr>
      <vt:lpstr>region_vrli_vsphere_role_name</vt:lpstr>
      <vt:lpstr>region_vrni_collector_node_size</vt:lpstr>
      <vt:lpstr>region_vrni_controller_anti_affinity</vt:lpstr>
      <vt:lpstr>region_vrni_nodea_fqdn</vt:lpstr>
      <vt:lpstr>region_vrni_nodea_hostname</vt:lpstr>
      <vt:lpstr>region_vrni_nodea_ip</vt:lpstr>
      <vt:lpstr>region_vrops_collector_group_name</vt:lpstr>
      <vt:lpstr>region_vrops_collector_vm_folder</vt:lpstr>
      <vt:lpstr>region_vrops_existing_rca_fqdn</vt:lpstr>
      <vt:lpstr>region_vrops_existing_rca_hostname</vt:lpstr>
      <vt:lpstr>region_vrops_existing_rcb_fqdn</vt:lpstr>
      <vt:lpstr>region_vrops_existing_rcb_hostname</vt:lpstr>
      <vt:lpstr>region_vropsca_fqdn</vt:lpstr>
      <vt:lpstr>region_vropsca_hostname</vt:lpstr>
      <vt:lpstr>region_vropsca_ip</vt:lpstr>
      <vt:lpstr>region_vropscb_fqdn</vt:lpstr>
      <vt:lpstr>region_vropscb_hostname</vt:lpstr>
      <vt:lpstr>region_vropscb_ip</vt:lpstr>
      <vt:lpstr>region_vropsrc_vm_group_name</vt:lpstr>
      <vt:lpstr>sample_administrator_vsphere_local_password</vt:lpstr>
      <vt:lpstr>sample_air_GPU_network_operator_namespace</vt:lpstr>
      <vt:lpstr>sample_air_GPU_operator_namespace</vt:lpstr>
      <vt:lpstr>sample_air_GPU_VM_class</vt:lpstr>
      <vt:lpstr>sample_air_license</vt:lpstr>
      <vt:lpstr>sample_avilb_root_password</vt:lpstr>
      <vt:lpstr>sample_ca_administrator_password</vt:lpstr>
      <vt:lpstr>sample_ca_administrator_username</vt:lpstr>
      <vt:lpstr>sample_ca_algorithm</vt:lpstr>
      <vt:lpstr>sample_ca_country</vt:lpstr>
      <vt:lpstr>sample_ca_email_address</vt:lpstr>
      <vt:lpstr>sample_ca_key_size</vt:lpstr>
      <vt:lpstr>sample_ca_locality</vt:lpstr>
      <vt:lpstr>sample_ca_organization</vt:lpstr>
      <vt:lpstr>sample_ca_organization_unit</vt:lpstr>
      <vt:lpstr>sample_ca_state</vt:lpstr>
      <vt:lpstr>sample_ca_template_name</vt:lpstr>
      <vt:lpstr>sample_cbr_aria_logs_key</vt:lpstr>
      <vt:lpstr>sample_cbr_aria_logs_url</vt:lpstr>
      <vt:lpstr>sample_cbr_firewall_group</vt:lpstr>
      <vt:lpstr>sample_cbr_firewall_ip_addresses</vt:lpstr>
      <vt:lpstr>sample_cbr_firewall_rule_vcenter</vt:lpstr>
      <vt:lpstr>sample_cbr_recovery_host_count</vt:lpstr>
      <vt:lpstr>sample_cbr_recovery_host_type</vt:lpstr>
      <vt:lpstr>sample_cbr_recovery_management_subnet</vt:lpstr>
      <vt:lpstr>sample_cbr_recovery_region</vt:lpstr>
      <vt:lpstr>sample_cbr_recovery_sddc_name</vt:lpstr>
      <vt:lpstr>sample_cbr_recovery_subnet</vt:lpstr>
      <vt:lpstr>sample_cbr_recovery_vpc</vt:lpstr>
      <vt:lpstr>sample_cbr_vcdr_anti_affinity</vt:lpstr>
      <vt:lpstr>sample_cbr_vcdr_cdp1_hostname</vt:lpstr>
      <vt:lpstr>sample_cbr_vcdr_cdp1_ip</vt:lpstr>
      <vt:lpstr>sample_cbr_vcdr_cdp2_hostname</vt:lpstr>
      <vt:lpstr>sample_cbr_vcdr_cdp2_ip</vt:lpstr>
      <vt:lpstr>sample_cbr_vcdr_cloud_file_system</vt:lpstr>
      <vt:lpstr>sample_cbr_vcdr_email_recipient</vt:lpstr>
      <vt:lpstr>sample_cbr_vcdr_email_sender</vt:lpstr>
      <vt:lpstr>sample_cbr_vcdr_label</vt:lpstr>
      <vt:lpstr>sample_cbr_vcdr_orchestrator_fqdn</vt:lpstr>
      <vt:lpstr>sample_cbr_vcdr_ova</vt:lpstr>
      <vt:lpstr>sample_cbr_vcdr_passcode</vt:lpstr>
      <vt:lpstr>sample_cbr_vcdr_site_name</vt:lpstr>
      <vt:lpstr>sample_cbr_vcdr_timezone</vt:lpstr>
      <vt:lpstr>sample_cbr_vcdr_vsphere_role</vt:lpstr>
      <vt:lpstr>sample_cbr_vm_folder</vt:lpstr>
      <vt:lpstr>sample_ccm_aws_admin_password</vt:lpstr>
      <vt:lpstr>sample_ccm_aws_admin_ssouser</vt:lpstr>
      <vt:lpstr>sample_ccm_aws_host_count</vt:lpstr>
      <vt:lpstr>sample_ccm_aws_host_type</vt:lpstr>
      <vt:lpstr>sample_ccm_aws_management_subnet</vt:lpstr>
      <vt:lpstr>sample_ccm_aws_region</vt:lpstr>
      <vt:lpstr>sample_ccm_aws_sddc_name</vt:lpstr>
      <vt:lpstr>sample_ccm_aws_subnet</vt:lpstr>
      <vt:lpstr>sample_ccm_aws_vpc</vt:lpstr>
      <vt:lpstr>sample_ccm_firewall_group</vt:lpstr>
      <vt:lpstr>sample_ccm_firewall_ip_addresses</vt:lpstr>
      <vt:lpstr>sample_ccm_firewall_rule_hcx</vt:lpstr>
      <vt:lpstr>sample_ccm_firewall_rule_vcenter</vt:lpstr>
      <vt:lpstr>sample_ccm_hcx_admin_password</vt:lpstr>
      <vt:lpstr>sample_ccm_hcx_cdp_hostname</vt:lpstr>
      <vt:lpstr>sample_ccm_hcx_cdp_ip</vt:lpstr>
      <vt:lpstr>sample_ccm_hcx_compute_profile</vt:lpstr>
      <vt:lpstr>sample_ccm_hcx_dc_location</vt:lpstr>
      <vt:lpstr>sample_ccm_hcx_license</vt:lpstr>
      <vt:lpstr>sample_ccm_hcx_mgmt_network_ip_range</vt:lpstr>
      <vt:lpstr>sample_ccm_hcx_remote_url</vt:lpstr>
      <vt:lpstr>sample_ccm_hcx_resource_pool</vt:lpstr>
      <vt:lpstr>sample_ccm_hcx_root_password</vt:lpstr>
      <vt:lpstr>sample_ccm_hcx_service_mesh</vt:lpstr>
      <vt:lpstr>sample_ccm_hcx_vm_folder</vt:lpstr>
      <vt:lpstr>sample_ccm_hcx_vmotion_network_ip_range</vt:lpstr>
      <vt:lpstr>sample_ccm_hcx_vsphere_role</vt:lpstr>
      <vt:lpstr>sample_ccm_vm_folder</vt:lpstr>
      <vt:lpstr>sample_certificate_authority_fqdn</vt:lpstr>
      <vt:lpstr>sample_certificate_authority_name</vt:lpstr>
      <vt:lpstr>sample_child_ad_groups_ou</vt:lpstr>
      <vt:lpstr>sample_child_ad_users_ou</vt:lpstr>
      <vt:lpstr>sample_child_dns_zone</vt:lpstr>
      <vt:lpstr>sample_child_svc_nsx_ad_password</vt:lpstr>
      <vt:lpstr>sample_child_svc_nsx_ad_user</vt:lpstr>
      <vt:lpstr>sample_child_svc_vsphere_ad_password</vt:lpstr>
      <vt:lpstr>sample_child_svc_vsphere_ad_user</vt:lpstr>
      <vt:lpstr>sample_child_svc_wsa_ad_password</vt:lpstr>
      <vt:lpstr>sample_child_svc_wsa_ad_user</vt:lpstr>
      <vt:lpstr>sample_cloudbuilder_admin_password</vt:lpstr>
      <vt:lpstr>sample_cloudbuilder_admin_username</vt:lpstr>
      <vt:lpstr>sample_cloudbuilder_hostname</vt:lpstr>
      <vt:lpstr>sample_cloudbuilder_ip</vt:lpstr>
      <vt:lpstr>sample_cloudbuilder_root_password</vt:lpstr>
      <vt:lpstr>sample_cloudbuilder_target_datastore</vt:lpstr>
      <vt:lpstr>sample_cloudbuilder_target_fqdn</vt:lpstr>
      <vt:lpstr>sample_cloudbuilder_target_network</vt:lpstr>
      <vt:lpstr>sample_domain_controller_hostname</vt:lpstr>
      <vt:lpstr>sample_esx_k8s_license</vt:lpstr>
      <vt:lpstr>sample_esx_std_license</vt:lpstr>
      <vt:lpstr>sample_esxi_root_password</vt:lpstr>
      <vt:lpstr>sample_esxi_thumbprint_validation</vt:lpstr>
      <vt:lpstr>sample_gg_kub_admins_group</vt:lpstr>
      <vt:lpstr>sample_gg_kub_readonly_group</vt:lpstr>
      <vt:lpstr>sample_gg_nsx_auditors_group</vt:lpstr>
      <vt:lpstr>sample_gg_nsx_enterprise_admins_group</vt:lpstr>
      <vt:lpstr>sample_gg_nsx_network_admins_group</vt:lpstr>
      <vt:lpstr>sample_gg_sso_admins_group</vt:lpstr>
      <vt:lpstr>sample_gg_vc_admins_group</vt:lpstr>
      <vt:lpstr>sample_gg_vc_read_only_group</vt:lpstr>
      <vt:lpstr>sample_gg_vcf_admins_group</vt:lpstr>
      <vt:lpstr>sample_gg_vcf_operators_group</vt:lpstr>
      <vt:lpstr>sample_gg_vcf_viewers_group</vt:lpstr>
      <vt:lpstr>sample_gg_vra_cloud_assembly_admins_group</vt:lpstr>
      <vt:lpstr>sample_gg_vra_cloud_assembly_users_group</vt:lpstr>
      <vt:lpstr>sample_gg_vra_cloud_assembly_viewers_group</vt:lpstr>
      <vt:lpstr>sample_gg_vra_orchestrator_admins_group</vt:lpstr>
      <vt:lpstr>sample_gg_vra_orchestrator_designers_group</vt:lpstr>
      <vt:lpstr>sample_gg_vra_orchestrator_viewers_group</vt:lpstr>
      <vt:lpstr>sample_gg_vra_org_owners_group</vt:lpstr>
      <vt:lpstr>sample_gg_vra_project_admins_sample_group</vt:lpstr>
      <vt:lpstr>sample_gg_vra_project_users_sample_group</vt:lpstr>
      <vt:lpstr>sample_gg_vra_service_broker_admins_group</vt:lpstr>
      <vt:lpstr>sample_gg_vra_service_broker_users_group</vt:lpstr>
      <vt:lpstr>sample_gg_vra_service_broker_viewers_group</vt:lpstr>
      <vt:lpstr>sample_gg_vrli_admins_group</vt:lpstr>
      <vt:lpstr>sample_gg_vrli_users_group</vt:lpstr>
      <vt:lpstr>sample_gg_vrli_viewers_group</vt:lpstr>
      <vt:lpstr>sample_gg_vrni_admin_group</vt:lpstr>
      <vt:lpstr>sample_gg_vrni_auditor_group</vt:lpstr>
      <vt:lpstr>sample_gg_vrni_member_group</vt:lpstr>
      <vt:lpstr>sample_gg_vrops_admins_group</vt:lpstr>
      <vt:lpstr>sample_gg_vrops_content_admins_group</vt:lpstr>
      <vt:lpstr>sample_gg_vrops_read_only_group</vt:lpstr>
      <vt:lpstr>sample_gg_vrslcm_admins_group</vt:lpstr>
      <vt:lpstr>sample_gg_vrslcm_content_developers_group</vt:lpstr>
      <vt:lpstr>sample_gg_vrslcm_release_managers_group</vt:lpstr>
      <vt:lpstr>sample_global_env_admin_password</vt:lpstr>
      <vt:lpstr>sample_global_env_admin_password_alias</vt:lpstr>
      <vt:lpstr>sample_global_env_admin_username</vt:lpstr>
      <vt:lpstr>sample_hrm_notification_email</vt:lpstr>
      <vt:lpstr>sample_hrm_vm_administrator_password</vt:lpstr>
      <vt:lpstr>sample_hrm_vm_folder</vt:lpstr>
      <vt:lpstr>sample_hrm_vm_hostname</vt:lpstr>
      <vt:lpstr>sample_hrm_vm_ip</vt:lpstr>
      <vt:lpstr>sample_hrm_vm_root_password</vt:lpstr>
      <vt:lpstr>sample_hrm_vrops_role_description</vt:lpstr>
      <vt:lpstr>sample_hrm_vrops_role_name</vt:lpstr>
      <vt:lpstr>sample_hrm_vrops_scope_description</vt:lpstr>
      <vt:lpstr>sample_hrm_vrops_scope_name</vt:lpstr>
      <vt:lpstr>sample_iam_ad_connection_type</vt:lpstr>
      <vt:lpstr>sample_ila_github_token</vt:lpstr>
      <vt:lpstr>sample_inv_mgmt_nsxt_piuser</vt:lpstr>
      <vt:lpstr>sample_inv_vm_folder</vt:lpstr>
      <vt:lpstr>sample_inv_vsphere_role</vt:lpstr>
      <vt:lpstr>sample_inv_wld_nsxt_piuser</vt:lpstr>
      <vt:lpstr>sample_iom_mgmt_nsxt_piuser</vt:lpstr>
      <vt:lpstr>sample_iom_vsphere_role</vt:lpstr>
      <vt:lpstr>sample_iom_wld_nsxt_piuser</vt:lpstr>
      <vt:lpstr>sample_k8s_api_endpoint_hostname</vt:lpstr>
      <vt:lpstr>sample_k8s_api_endpoint_ip</vt:lpstr>
      <vt:lpstr>sample_k8s_cluster_name</vt:lpstr>
      <vt:lpstr>sample_k8s_egress_pool_cidr</vt:lpstr>
      <vt:lpstr>sample_k8s_harbor_hostname</vt:lpstr>
      <vt:lpstr>sample_k8s_harbor_ip</vt:lpstr>
      <vt:lpstr>sample_k8s_ingress_pool_cidr</vt:lpstr>
      <vt:lpstr>sample_k8s_ip_prefixlist</vt:lpstr>
      <vt:lpstr>sample_k8s_ip_routemap</vt:lpstr>
      <vt:lpstr>sample_k8s_kubectl_path</vt:lpstr>
      <vt:lpstr>sample_k8s_mgmt_pool_start_ip</vt:lpstr>
      <vt:lpstr>sample_k8s_mgmt_seg</vt:lpstr>
      <vt:lpstr>sample_k8s_namepsace</vt:lpstr>
      <vt:lpstr>sample_k8s_segment_cidr</vt:lpstr>
      <vt:lpstr>sample_k8s_segment_gateway_ip</vt:lpstr>
      <vt:lpstr>sample_k8s_supervisor_cluster_pod_pool_cidr</vt:lpstr>
      <vt:lpstr>sample_k8s_supervisor_cluster_service_pool_cidr</vt:lpstr>
      <vt:lpstr>sample_k8s_tanzu_k8s_cluster_pod_pool_cidr</vt:lpstr>
      <vt:lpstr>sample_k8s_tanzu_k8s_cluster_service_pool_cidr</vt:lpstr>
      <vt:lpstr>sample_k8s_vcenter_category</vt:lpstr>
      <vt:lpstr>sample_k8s_vcenter_content_library</vt:lpstr>
      <vt:lpstr>sample_k8s_vcenter_storage_policy</vt:lpstr>
      <vt:lpstr>sample_k8s_vcenter_tag</vt:lpstr>
      <vt:lpstr>sample_k8s_vm_class</vt:lpstr>
      <vt:lpstr>sample_local_admin_password</vt:lpstr>
      <vt:lpstr>sample_local_admin_password_alias</vt:lpstr>
      <vt:lpstr>sample_local_admin_username</vt:lpstr>
      <vt:lpstr>sample_local_configadmin_password</vt:lpstr>
      <vt:lpstr>sample_local_configadmin_password_alias</vt:lpstr>
      <vt:lpstr>sample_local_configadmin_username</vt:lpstr>
      <vt:lpstr>sample_local_vcf_aware_wsa_root_password</vt:lpstr>
      <vt:lpstr>sample_local_vcf_aware_wsa_root_password_alias</vt:lpstr>
      <vt:lpstr>sample_mgmt_avilb_cluster_name</vt:lpstr>
      <vt:lpstr>sample_mgmt_avilb_cluster_version</vt:lpstr>
      <vt:lpstr>sample_mgmt_avilb_hostname</vt:lpstr>
      <vt:lpstr>sample_mgmt_avilb_ip</vt:lpstr>
      <vt:lpstr>sample_mgmt_avilb_mgra_hostname</vt:lpstr>
      <vt:lpstr>sample_mgmt_avilb_mgra_ip</vt:lpstr>
      <vt:lpstr>sample_mgmt_avilb_mgrb_hostname</vt:lpstr>
      <vt:lpstr>sample_mgmt_avilb_mgrb_ip</vt:lpstr>
      <vt:lpstr>sample_mgmt_avilb_mgrc_hostname</vt:lpstr>
      <vt:lpstr>sample_mgmt_avilb_mgrc_ip</vt:lpstr>
      <vt:lpstr>sample_mgmt_az1_edge_overlay_cidr</vt:lpstr>
      <vt:lpstr>sample_mgmt_az1_edge_overlay_gateway_ip</vt:lpstr>
      <vt:lpstr>sample_mgmt_az1_edge_overlay_mtu</vt:lpstr>
      <vt:lpstr>sample_mgmt_az1_edge_overlay_network_pool_name</vt:lpstr>
      <vt:lpstr>sample_mgmt_az1_edge_overlay_vlan</vt:lpstr>
      <vt:lpstr>sample_mgmt_az1_en1_edge_overlay_interface_ip_1_ip</vt:lpstr>
      <vt:lpstr>sample_mgmt_az1_en1_edge_overlay_interface_ip_2_ip</vt:lpstr>
      <vt:lpstr>sample_mgmt_az1_en1_hostname</vt:lpstr>
      <vt:lpstr>sample_mgmt_az1_en1_mgmt_ip</vt:lpstr>
      <vt:lpstr>sample_mgmt_az1_en1_uplink01_interface_ip</vt:lpstr>
      <vt:lpstr>sample_mgmt_az1_en1_uplink02_interface_ip</vt:lpstr>
      <vt:lpstr>sample_mgmt_az1_en2_edge_overlay_interface_ip_1_ip</vt:lpstr>
      <vt:lpstr>sample_mgmt_az1_en2_edge_overlay_interface_ip_2_ip</vt:lpstr>
      <vt:lpstr>sample_mgmt_az1_en2_hostname</vt:lpstr>
      <vt:lpstr>sample_mgmt_az1_en2_mgmt_ip</vt:lpstr>
      <vt:lpstr>sample_mgmt_az1_en2_uplink01_interface_ip</vt:lpstr>
      <vt:lpstr>sample_mgmt_az1_en2_uplink02_interface_ip</vt:lpstr>
      <vt:lpstr>sample_mgmt_az1_host_hostnames</vt:lpstr>
      <vt:lpstr>sample_mgmt_az1_host_overlay_cidr</vt:lpstr>
      <vt:lpstr>sample_mgmt_az1_host_overlay_gateway_ip</vt:lpstr>
      <vt:lpstr>sample_mgmt_az1_host_overlay_mtu</vt:lpstr>
      <vt:lpstr>sample_mgmt_az1_host_overlay_network_pool_description</vt:lpstr>
      <vt:lpstr>sample_mgmt_az1_host_overlay_network_pool_name</vt:lpstr>
      <vt:lpstr>sample_mgmt_az1_host_overlay_network_profile_name</vt:lpstr>
      <vt:lpstr>sample_mgmt_az1_host_overlay_pool_end_ip</vt:lpstr>
      <vt:lpstr>sample_mgmt_az1_host_overlay_pool_start_ip</vt:lpstr>
      <vt:lpstr>sample_mgmt_az1_host_overlay_uplink_profile_name</vt:lpstr>
      <vt:lpstr>sample_mgmt_az1_host_overlay_vlan</vt:lpstr>
      <vt:lpstr>sample_mgmt_az1_host1_hostname</vt:lpstr>
      <vt:lpstr>sample_mgmt_az1_host1_mgmt_ip</vt:lpstr>
      <vt:lpstr>sample_mgmt_az1_host1_vrms_ip</vt:lpstr>
      <vt:lpstr>sample_mgmt_az1_host10_hostname</vt:lpstr>
      <vt:lpstr>sample_mgmt_az1_host10_mgmt_ip</vt:lpstr>
      <vt:lpstr>sample_mgmt_az1_host10_vrms_ip</vt:lpstr>
      <vt:lpstr>sample_mgmt_az1_host11_hostname</vt:lpstr>
      <vt:lpstr>sample_mgmt_az1_host11_mgmt_ip</vt:lpstr>
      <vt:lpstr>sample_mgmt_az1_host11_vrms_ip</vt:lpstr>
      <vt:lpstr>sample_mgmt_az1_host12_hostname</vt:lpstr>
      <vt:lpstr>sample_mgmt_az1_host12_mgmt_ip</vt:lpstr>
      <vt:lpstr>sample_mgmt_az1_host12_vrms_ip</vt:lpstr>
      <vt:lpstr>sample_mgmt_az1_host13_hostname</vt:lpstr>
      <vt:lpstr>sample_mgmt_az1_host13_mgmt_ip</vt:lpstr>
      <vt:lpstr>sample_mgmt_az1_host13_vrms_ip</vt:lpstr>
      <vt:lpstr>sample_mgmt_az1_host14_hostname</vt:lpstr>
      <vt:lpstr>sample_mgmt_az1_host14_mgmt_ip</vt:lpstr>
      <vt:lpstr>sample_mgmt_az1_host14_vrms_ip</vt:lpstr>
      <vt:lpstr>sample_mgmt_az1_host15_hostname</vt:lpstr>
      <vt:lpstr>sample_mgmt_az1_host15_mgmt_ip</vt:lpstr>
      <vt:lpstr>sample_mgmt_az1_host15_vrms_ip</vt:lpstr>
      <vt:lpstr>sample_mgmt_az1_host16_hostname</vt:lpstr>
      <vt:lpstr>sample_mgmt_az1_host16_mgmt_ip</vt:lpstr>
      <vt:lpstr>sample_mgmt_az1_host16_vrms_ip</vt:lpstr>
      <vt:lpstr>sample_mgmt_az1_host2_hostname</vt:lpstr>
      <vt:lpstr>sample_mgmt_az1_host2_mgmt_ip</vt:lpstr>
      <vt:lpstr>sample_mgmt_az1_host2_vrms_ip</vt:lpstr>
      <vt:lpstr>sample_mgmt_az1_host3_hostname</vt:lpstr>
      <vt:lpstr>sample_mgmt_az1_host3_mgmt_ip</vt:lpstr>
      <vt:lpstr>sample_mgmt_az1_host3_vrms_ip</vt:lpstr>
      <vt:lpstr>sample_mgmt_az1_host4_hostname</vt:lpstr>
      <vt:lpstr>sample_mgmt_az1_host4_mgmt_ip</vt:lpstr>
      <vt:lpstr>sample_mgmt_az1_host4_vrms_ip</vt:lpstr>
      <vt:lpstr>sample_mgmt_az1_host5_hostname</vt:lpstr>
      <vt:lpstr>sample_mgmt_az1_host5_mgmt_ip</vt:lpstr>
      <vt:lpstr>sample_mgmt_az1_host5_vrms_ip</vt:lpstr>
      <vt:lpstr>sample_mgmt_az1_host6_hostname</vt:lpstr>
      <vt:lpstr>sample_mgmt_az1_host6_mgmt_ip</vt:lpstr>
      <vt:lpstr>sample_mgmt_az1_host6_vrms_ip</vt:lpstr>
      <vt:lpstr>sample_mgmt_az1_host7_hostname</vt:lpstr>
      <vt:lpstr>sample_mgmt_az1_host7_mgmt_ip</vt:lpstr>
      <vt:lpstr>sample_mgmt_az1_host7_vrms_ip</vt:lpstr>
      <vt:lpstr>sample_mgmt_az1_host8_hostname</vt:lpstr>
      <vt:lpstr>sample_mgmt_az1_host8_mgmt_ip</vt:lpstr>
      <vt:lpstr>sample_mgmt_az1_host8_vrms_ip</vt:lpstr>
      <vt:lpstr>sample_mgmt_az1_host9_hostname</vt:lpstr>
      <vt:lpstr>sample_mgmt_az1_host9_mgmt_ip</vt:lpstr>
      <vt:lpstr>sample_mgmt_az1_host9_vrms_ip</vt:lpstr>
      <vt:lpstr>sample_mgmt_az1_mgmt_cidr</vt:lpstr>
      <vt:lpstr>sample_mgmt_az1_mgmt_gateway_ip</vt:lpstr>
      <vt:lpstr>sample_mgmt_az1_mgmt_mtu</vt:lpstr>
      <vt:lpstr>sample_mgmt_az1_mgmt_vlan</vt:lpstr>
      <vt:lpstr>sample_mgmt_az1_mgmt_vm_cidr</vt:lpstr>
      <vt:lpstr>sample_mgmt_az1_mgmt_vm_gateway_ip</vt:lpstr>
      <vt:lpstr>sample_mgmt_az1_mgmt_vm_mtu</vt:lpstr>
      <vt:lpstr>sample_mgmt_az1_mgmt_vm_vlan</vt:lpstr>
      <vt:lpstr>sample_mgmt_az1_pool_name</vt:lpstr>
      <vt:lpstr>sample_mgmt_az1_rtep_ip_pool_name</vt:lpstr>
      <vt:lpstr>sample_mgmt_az1_rtep_overlay_cidr</vt:lpstr>
      <vt:lpstr>sample_mgmt_az1_rtep_overlay_gateway_ip</vt:lpstr>
      <vt:lpstr>sample_mgmt_az1_rtep_overlay_mtu</vt:lpstr>
      <vt:lpstr>sample_mgmt_az1_rtep_overlay_vlan</vt:lpstr>
      <vt:lpstr>sample_mgmt_az1_tor1_peer_asn</vt:lpstr>
      <vt:lpstr>sample_mgmt_az1_tor1_peer_bgp_password</vt:lpstr>
      <vt:lpstr>sample_mgmt_az1_tor1_peer_ip</vt:lpstr>
      <vt:lpstr>sample_mgmt_az1_tor2_peer_asn</vt:lpstr>
      <vt:lpstr>sample_mgmt_az1_tor2_peer_bgp_password</vt:lpstr>
      <vt:lpstr>sample_mgmt_az1_tor2_peer_ip</vt:lpstr>
      <vt:lpstr>sample_mgmt_az1_uplink01_cidr</vt:lpstr>
      <vt:lpstr>sample_mgmt_az1_uplink01_gateway_ip</vt:lpstr>
      <vt:lpstr>sample_mgmt_az1_uplink01_mtu</vt:lpstr>
      <vt:lpstr>sample_mgmt_az1_uplink01_vlan</vt:lpstr>
      <vt:lpstr>sample_mgmt_az1_uplink02_cidr</vt:lpstr>
      <vt:lpstr>sample_mgmt_az1_uplink02_gateway_ip</vt:lpstr>
      <vt:lpstr>sample_mgmt_az1_uplink02_mtu</vt:lpstr>
      <vt:lpstr>sample_mgmt_az1_uplink02_vlan</vt:lpstr>
      <vt:lpstr>sample_mgmt_az1_vm_group_name</vt:lpstr>
      <vt:lpstr>sample_mgmt_az1_vmotion_cidr</vt:lpstr>
      <vt:lpstr>sample_mgmt_az1_vmotion_gateway_ip</vt:lpstr>
      <vt:lpstr>sample_mgmt_az1_vmotion_mtu</vt:lpstr>
      <vt:lpstr>sample_mgmt_az1_vmotion_pool_end_ip</vt:lpstr>
      <vt:lpstr>sample_mgmt_az1_vmotion_pool_start_ip</vt:lpstr>
      <vt:lpstr>sample_mgmt_az1_vmotion_vlan</vt:lpstr>
      <vt:lpstr>sample_mgmt_az1_vrms_cidr</vt:lpstr>
      <vt:lpstr>sample_mgmt_az1_vrms_gateway_ip</vt:lpstr>
      <vt:lpstr>sample_mgmt_az1_vrms_mtu</vt:lpstr>
      <vt:lpstr>sample_mgmt_az1_vrms_vlan</vt:lpstr>
      <vt:lpstr>sample_mgmt_az1_vsan_cidr</vt:lpstr>
      <vt:lpstr>sample_mgmt_az1_vsan_gateway_ip</vt:lpstr>
      <vt:lpstr>sample_mgmt_az1_vsan_mtu</vt:lpstr>
      <vt:lpstr>sample_mgmt_az1_vsan_pool_end_ip</vt:lpstr>
      <vt:lpstr>sample_mgmt_az1_vsan_pool_start_ip</vt:lpstr>
      <vt:lpstr>sample_mgmt_az1_vsan_vlan</vt:lpstr>
      <vt:lpstr>sample_mgmt_az2_edge_overlay_cidr</vt:lpstr>
      <vt:lpstr>sample_mgmt_az2_edge_overlay_gateway_ip</vt:lpstr>
      <vt:lpstr>sample_mgmt_az2_edge_overlay_mtu</vt:lpstr>
      <vt:lpstr>sample_mgmt_az2_edge_overlay_vlan</vt:lpstr>
      <vt:lpstr>sample_mgmt_az2_host_hostnames</vt:lpstr>
      <vt:lpstr>sample_mgmt_az2_host_overlay_cidr</vt:lpstr>
      <vt:lpstr>sample_mgmt_az2_host_overlay_gateway_ip</vt:lpstr>
      <vt:lpstr>sample_mgmt_az2_host_overlay_mtu</vt:lpstr>
      <vt:lpstr>sample_mgmt_az2_host_overlay_network_pool_name</vt:lpstr>
      <vt:lpstr>sample_mgmt_az2_host_overlay_network_profile_name</vt:lpstr>
      <vt:lpstr>sample_mgmt_az2_host_overlay_pool_end_ip</vt:lpstr>
      <vt:lpstr>sample_mgmt_az2_host_overlay_pool_start_ip</vt:lpstr>
      <vt:lpstr>sample_mgmt_az2_host_overlay_uplink_profile_name</vt:lpstr>
      <vt:lpstr>sample_mgmt_az2_host_overlay_vlan</vt:lpstr>
      <vt:lpstr>sample_mgmt_az2_host1_hostname</vt:lpstr>
      <vt:lpstr>sample_mgmt_az2_host1_mgmt_ip</vt:lpstr>
      <vt:lpstr>sample_mgmt_az2_host1_sddc_id</vt:lpstr>
      <vt:lpstr>sample_mgmt_az2_host1_vrms_ip</vt:lpstr>
      <vt:lpstr>sample_mgmt_az2_host10_hostname</vt:lpstr>
      <vt:lpstr>sample_mgmt_az2_host10_mgmt_ip</vt:lpstr>
      <vt:lpstr>sample_mgmt_az2_host10_vrms_ip</vt:lpstr>
      <vt:lpstr>sample_mgmt_az2_host11_hostname</vt:lpstr>
      <vt:lpstr>sample_mgmt_az2_host11_mgmt_ip</vt:lpstr>
      <vt:lpstr>sample_mgmt_az2_host11_vrms_ip</vt:lpstr>
      <vt:lpstr>sample_mgmt_az2_host12_hostname</vt:lpstr>
      <vt:lpstr>sample_mgmt_az2_host12_mgmt_ip</vt:lpstr>
      <vt:lpstr>sample_mgmt_az2_host12_vrms_ip</vt:lpstr>
      <vt:lpstr>sample_mgmt_az2_host13_hostname</vt:lpstr>
      <vt:lpstr>sample_mgmt_az2_host13_mgmt_ip</vt:lpstr>
      <vt:lpstr>sample_mgmt_az2_host13_vrms_ip</vt:lpstr>
      <vt:lpstr>sample_mgmt_az2_host14_hostname</vt:lpstr>
      <vt:lpstr>sample_mgmt_az2_host14_mgmt_ip</vt:lpstr>
      <vt:lpstr>sample_mgmt_az2_host14_vrms_ip</vt:lpstr>
      <vt:lpstr>sample_mgmt_az2_host15_hostname</vt:lpstr>
      <vt:lpstr>sample_mgmt_az2_host15_mgmt_ip</vt:lpstr>
      <vt:lpstr>sample_mgmt_az2_host15_vrms_ip</vt:lpstr>
      <vt:lpstr>sample_mgmt_az2_host16_hostname</vt:lpstr>
      <vt:lpstr>sample_mgmt_az2_host16_mgmt_ip</vt:lpstr>
      <vt:lpstr>sample_mgmt_az2_host16_vrms_ip</vt:lpstr>
      <vt:lpstr>sample_mgmt_az2_host2_hostname</vt:lpstr>
      <vt:lpstr>sample_mgmt_az2_host2_mgmt_ip</vt:lpstr>
      <vt:lpstr>sample_mgmt_az2_host2_sddc_id</vt:lpstr>
      <vt:lpstr>sample_mgmt_az2_host2_vrms_ip</vt:lpstr>
      <vt:lpstr>sample_mgmt_az2_host3_hostname</vt:lpstr>
      <vt:lpstr>sample_mgmt_az2_host3_mgmt_ip</vt:lpstr>
      <vt:lpstr>sample_mgmt_az2_host3_sddc_id</vt:lpstr>
      <vt:lpstr>sample_mgmt_az2_host3_vrms_ip</vt:lpstr>
      <vt:lpstr>sample_mgmt_az2_host4_hostname</vt:lpstr>
      <vt:lpstr>sample_mgmt_az2_host4_mgmt_ip</vt:lpstr>
      <vt:lpstr>sample_mgmt_az2_host4_sddc_id</vt:lpstr>
      <vt:lpstr>sample_mgmt_az2_host4_vrms_ip</vt:lpstr>
      <vt:lpstr>sample_mgmt_az2_host5_hostname</vt:lpstr>
      <vt:lpstr>sample_mgmt_az2_host5_mgmt_ip</vt:lpstr>
      <vt:lpstr>sample_mgmt_az2_host5_vrms_ip</vt:lpstr>
      <vt:lpstr>sample_mgmt_az2_host6_hostname</vt:lpstr>
      <vt:lpstr>sample_mgmt_az2_host6_mgmt_ip</vt:lpstr>
      <vt:lpstr>sample_mgmt_az2_host6_vrms_ip</vt:lpstr>
      <vt:lpstr>sample_mgmt_az2_host7_hostname</vt:lpstr>
      <vt:lpstr>sample_mgmt_az2_host7_mgmt_ip</vt:lpstr>
      <vt:lpstr>sample_mgmt_az2_host7_vrms_ip</vt:lpstr>
      <vt:lpstr>sample_mgmt_az2_host8_hostname</vt:lpstr>
      <vt:lpstr>sample_mgmt_az2_host8_mgmt_ip</vt:lpstr>
      <vt:lpstr>sample_mgmt_az2_host8_vrms_ip</vt:lpstr>
      <vt:lpstr>sample_mgmt_az2_host9_hostname</vt:lpstr>
      <vt:lpstr>sample_mgmt_az2_host9_mgmt_ip</vt:lpstr>
      <vt:lpstr>sample_mgmt_az2_host9_vrms_ip</vt:lpstr>
      <vt:lpstr>sample_mgmt_az2_mgmt_cidr</vt:lpstr>
      <vt:lpstr>sample_mgmt_az2_mgmt_gateway_ip</vt:lpstr>
      <vt:lpstr>sample_mgmt_az2_mgmt_mtu</vt:lpstr>
      <vt:lpstr>sample_mgmt_az2_mgmt_vlan</vt:lpstr>
      <vt:lpstr>sample_mgmt_az2_pool_name</vt:lpstr>
      <vt:lpstr>sample_mgmt_az2_rtep_overlay_cidr</vt:lpstr>
      <vt:lpstr>sample_mgmt_az2_rtep_overlay_gateway_ip</vt:lpstr>
      <vt:lpstr>sample_mgmt_az2_rtep_overlay_mtu</vt:lpstr>
      <vt:lpstr>sample_mgmt_az2_rtep_overlay_vlan</vt:lpstr>
      <vt:lpstr>sample_mgmt_az2_tor1_peer_asn</vt:lpstr>
      <vt:lpstr>sample_mgmt_az2_tor1_peer_bgp_password</vt:lpstr>
      <vt:lpstr>sample_mgmt_az2_tor1_peer_ip</vt:lpstr>
      <vt:lpstr>sample_mgmt_az2_tor2_peer_asn</vt:lpstr>
      <vt:lpstr>sample_mgmt_az2_tor2_peer_bgp_password</vt:lpstr>
      <vt:lpstr>sample_mgmt_az2_tor2_peer_ip</vt:lpstr>
      <vt:lpstr>sample_mgmt_az2_uplink01_cidr</vt:lpstr>
      <vt:lpstr>sample_mgmt_az2_uplink01_gateway_ip</vt:lpstr>
      <vt:lpstr>sample_mgmt_az2_uplink01_mtu</vt:lpstr>
      <vt:lpstr>sample_mgmt_az2_uplink01_vlan</vt:lpstr>
      <vt:lpstr>sample_mgmt_az2_uplink02_cidr</vt:lpstr>
      <vt:lpstr>sample_mgmt_az2_uplink02_gateway_ip</vt:lpstr>
      <vt:lpstr>sample_mgmt_az2_uplink02_mtu</vt:lpstr>
      <vt:lpstr>sample_mgmt_az2_uplink02_vlan</vt:lpstr>
      <vt:lpstr>sample_mgmt_az2_vmotion_cidr</vt:lpstr>
      <vt:lpstr>sample_mgmt_az2_vmotion_gateway_ip</vt:lpstr>
      <vt:lpstr>sample_mgmt_az2_vmotion_mtu</vt:lpstr>
      <vt:lpstr>sample_mgmt_az2_vmotion_pool_end_ip</vt:lpstr>
      <vt:lpstr>sample_mgmt_az2_vmotion_pool_start_ip</vt:lpstr>
      <vt:lpstr>sample_mgmt_az2_vmotion_vlan</vt:lpstr>
      <vt:lpstr>sample_mgmt_az2_vrms_cidr</vt:lpstr>
      <vt:lpstr>sample_mgmt_az2_vrms_gateway_ip</vt:lpstr>
      <vt:lpstr>sample_mgmt_az2_vrms_mtu</vt:lpstr>
      <vt:lpstr>sample_mgmt_az2_vrms_vlan</vt:lpstr>
      <vt:lpstr>sample_mgmt_az2_vsan_cidr</vt:lpstr>
      <vt:lpstr>sample_mgmt_az2_vsan_gateway_ip</vt:lpstr>
      <vt:lpstr>sample_mgmt_az2_vsan_mtu</vt:lpstr>
      <vt:lpstr>sample_mgmt_az2_vsan_pool_end_ip</vt:lpstr>
      <vt:lpstr>sample_mgmt_az2_vsan_pool_start_ip</vt:lpstr>
      <vt:lpstr>sample_mgmt_az2_vsan_vlan</vt:lpstr>
      <vt:lpstr>sample_mgmt_ceip_status</vt:lpstr>
      <vt:lpstr>sample_mgmt_cl01_az1_mgmt_pg</vt:lpstr>
      <vt:lpstr>sample_mgmt_cl01_az1_mgmt_vm_pg</vt:lpstr>
      <vt:lpstr>sample_mgmt_cl01_az1_uplink01_pg</vt:lpstr>
      <vt:lpstr>sample_mgmt_cl01_az1_uplink02_pg</vt:lpstr>
      <vt:lpstr>sample_mgmt_cl01_az1_vmotion_pg</vt:lpstr>
      <vt:lpstr>sample_mgmt_cl01_az1_vsan_pg</vt:lpstr>
      <vt:lpstr>sample_mgmt_cl01_cluster</vt:lpstr>
      <vt:lpstr>sample_mgmt_cl01_cluster_sddc_id</vt:lpstr>
      <vt:lpstr>sample_mgmt_cl01_evc_mode</vt:lpstr>
      <vt:lpstr>sample_mgmt_cl01_vds_profile</vt:lpstr>
      <vt:lpstr>sample_mgmt_cl01_vds01_mtu</vt:lpstr>
      <vt:lpstr>sample_mgmt_cl01_vds01_name</vt:lpstr>
      <vt:lpstr>sample_mgmt_cl01_vds01_pnics</vt:lpstr>
      <vt:lpstr>sample_mgmt_cl01_vds02_mtu</vt:lpstr>
      <vt:lpstr>sample_mgmt_cl01_vds02_name</vt:lpstr>
      <vt:lpstr>sample_mgmt_cl01_vds02_pnics</vt:lpstr>
      <vt:lpstr>sample_mgmt_cl01_vsan_datastore</vt:lpstr>
      <vt:lpstr>sample_mgmt_cl01_vsan_dedupe_compression</vt:lpstr>
      <vt:lpstr>sample_mgmt_cl01_vsan_ftt</vt:lpstr>
      <vt:lpstr>sample_mgmt_cl01_vss_switch</vt:lpstr>
      <vt:lpstr>sample_mgmt_cluster</vt:lpstr>
      <vt:lpstr>sample_mgmt_datacenter</vt:lpstr>
      <vt:lpstr>sample_mgmt_ec_name</vt:lpstr>
      <vt:lpstr>sample_mgmt_ec_profile_type</vt:lpstr>
      <vt:lpstr>sample_mgmt_en_asn</vt:lpstr>
      <vt:lpstr>sample_mgmt_existing_active_nsx_gm</vt:lpstr>
      <vt:lpstr>sample_mgmt_existing_cross_instance_t0_name</vt:lpstr>
      <vt:lpstr>sample_mgmt_existing_vc_fqdn</vt:lpstr>
      <vt:lpstr>sample_mgmt_fips_status</vt:lpstr>
      <vt:lpstr>sample_mgmt_host1_sshfingerprint</vt:lpstr>
      <vt:lpstr>sample_mgmt_host1_thumbprint</vt:lpstr>
      <vt:lpstr>sample_mgmt_host2_sshfingerprint</vt:lpstr>
      <vt:lpstr>sample_mgmt_host2_thumbprint</vt:lpstr>
      <vt:lpstr>sample_mgmt_host3_sshfingerprint</vt:lpstr>
      <vt:lpstr>sample_mgmt_host3_thumbprint</vt:lpstr>
      <vt:lpstr>sample_mgmt_host4_sshfingerprint</vt:lpstr>
      <vt:lpstr>sample_mgmt_host4_thumbprint</vt:lpstr>
      <vt:lpstr>sample_mgmt_internet_proxy_address</vt:lpstr>
      <vt:lpstr>sample_mgmt_internet_proxy_auth</vt:lpstr>
      <vt:lpstr>sample_mgmt_internet_proxy_password</vt:lpstr>
      <vt:lpstr>sample_mgmt_internet_proxy_port</vt:lpstr>
      <vt:lpstr>sample_mgmt_internet_proxy_type</vt:lpstr>
      <vt:lpstr>sample_mgmt_internet_proxy_user</vt:lpstr>
      <vt:lpstr>sample_mgmt_mgmt_rp</vt:lpstr>
      <vt:lpstr>sample_mgmt_nsx_rp</vt:lpstr>
      <vt:lpstr>sample_mgmt_nsxt_federation_global_manager_name</vt:lpstr>
      <vt:lpstr>sample_mgmt_nsxt_federation_location_name</vt:lpstr>
      <vt:lpstr>sample_mgmt_nsxt_global_mgr_anti_affinity_rule_name</vt:lpstr>
      <vt:lpstr>sample_mgmt_nsxt_global_mgr_certificate_id</vt:lpstr>
      <vt:lpstr>sample_mgmt_nsxt_global_mgr_cluster_id</vt:lpstr>
      <vt:lpstr>sample_mgmt_nsxt_global_mgr_vmca_signed_thumbprint</vt:lpstr>
      <vt:lpstr>sample_mgmt_nsxt_global_mgra_hostname</vt:lpstr>
      <vt:lpstr>sample_mgmt_nsxt_global_mgra_ip</vt:lpstr>
      <vt:lpstr>sample_mgmt_nsxt_global_mgrb_hostname</vt:lpstr>
      <vt:lpstr>sample_mgmt_nsxt_global_mgrb_ip</vt:lpstr>
      <vt:lpstr>sample_mgmt_nsxt_global_mgrc_hostname</vt:lpstr>
      <vt:lpstr>sample_mgmt_nsxt_global_mgrc_ip</vt:lpstr>
      <vt:lpstr>sample_mgmt_nsxt_gm_fingerprint</vt:lpstr>
      <vt:lpstr>sample_mgmt_nsxt_gm_hostname</vt:lpstr>
      <vt:lpstr>sample_mgmt_nsxt_gm_ip</vt:lpstr>
      <vt:lpstr>sample_mgmt_nsxt_hostname</vt:lpstr>
      <vt:lpstr>sample_mgmt_nsxt_ip</vt:lpstr>
      <vt:lpstr>sample_mgmt_nsxt_lm_fingerprint</vt:lpstr>
      <vt:lpstr>sample_mgmt_nsxt_mgra_hostname</vt:lpstr>
      <vt:lpstr>sample_mgmt_nsxt_mgra_ip</vt:lpstr>
      <vt:lpstr>sample_mgmt_nsxt_mgrb_hostname</vt:lpstr>
      <vt:lpstr>sample_mgmt_nsxt_mgrb_ip</vt:lpstr>
      <vt:lpstr>sample_mgmt_nsxt_mgrc_hostname</vt:lpstr>
      <vt:lpstr>sample_mgmt_nsxt_mgrc_ip</vt:lpstr>
      <vt:lpstr>sample_mgmt_nsxt_xreg_t1_name</vt:lpstr>
      <vt:lpstr>sample_mgmt_offline_depot_hostname</vt:lpstr>
      <vt:lpstr>sample_mgmt_offline_depot_password</vt:lpstr>
      <vt:lpstr>sample_mgmt_offline_depot_port</vt:lpstr>
      <vt:lpstr>sample_mgmt_offline_depot_user</vt:lpstr>
      <vt:lpstr>sample_mgmt_recovery_lb_creation_method</vt:lpstr>
      <vt:lpstr>sample_mgmt_rtep_overlay_pool_end_ip</vt:lpstr>
      <vt:lpstr>sample_mgmt_rtep_overlay_pool_start_ip</vt:lpstr>
      <vt:lpstr>sample_mgmt_sddc_domain</vt:lpstr>
      <vt:lpstr>sample_mgmt_srm_admin_email</vt:lpstr>
      <vt:lpstr>sample_mgmt_srm_admin_password</vt:lpstr>
      <vt:lpstr>sample_mgmt_srm_database_password</vt:lpstr>
      <vt:lpstr>sample_mgmt_srm_days</vt:lpstr>
      <vt:lpstr>sample_mgmt_srm_hostname</vt:lpstr>
      <vt:lpstr>sample_mgmt_srm_instances_per_day</vt:lpstr>
      <vt:lpstr>sample_mgmt_srm_ip</vt:lpstr>
      <vt:lpstr>sample_mgmt_srm_p12_password</vt:lpstr>
      <vt:lpstr>sample_mgmt_srm_recovery_cluster</vt:lpstr>
      <vt:lpstr>sample_mgmt_srm_recovery_datastore</vt:lpstr>
      <vt:lpstr>sample_mgmt_srm_recovery_nsx_ec_name</vt:lpstr>
      <vt:lpstr>sample_mgmt_srm_recovery_nsx_location</vt:lpstr>
      <vt:lpstr>sample_mgmt_srm_recovery_sddc_manager_domain</vt:lpstr>
      <vt:lpstr>sample_mgmt_srm_recovery_sddc_manager_fqdn</vt:lpstr>
      <vt:lpstr>sample_mgmt_srm_recovery_sddc_manager_password</vt:lpstr>
      <vt:lpstr>sample_mgmt_srm_recovery_sddc_manager_username</vt:lpstr>
      <vt:lpstr>sample_mgmt_srm_recovery_t1_si_ip</vt:lpstr>
      <vt:lpstr>sample_mgmt_srm_recovery_vcenter_fqdn</vt:lpstr>
      <vt:lpstr>sample_mgmt_srm_recovery_vcenter_password</vt:lpstr>
      <vt:lpstr>sample_mgmt_srm_recovery_vcenter_username</vt:lpstr>
      <vt:lpstr>sample_mgmt_srm_root_password</vt:lpstr>
      <vt:lpstr>sample_mgmt_srm_rpo</vt:lpstr>
      <vt:lpstr>sample_mgmt_srm_site_name</vt:lpstr>
      <vt:lpstr>sample_mgmt_srm_sso_domain_membership</vt:lpstr>
      <vt:lpstr>sample_mgmt_srm_vm_folder</vt:lpstr>
      <vt:lpstr>sample_mgmt_srm_vm_size</vt:lpstr>
      <vt:lpstr>sample_mgmt_srm_vra_pg</vt:lpstr>
      <vt:lpstr>sample_mgmt_srm_vra_rp</vt:lpstr>
      <vt:lpstr>sample_mgmt_srm_vrops_pg</vt:lpstr>
      <vt:lpstr>sample_mgmt_srm_vrops_rp</vt:lpstr>
      <vt:lpstr>sample_mgmt_srm_vrslcm_wsa_pg</vt:lpstr>
      <vt:lpstr>sample_mgmt_srm_vrslcm_wsa_rp</vt:lpstr>
      <vt:lpstr>sample_mgmt_tier0_name</vt:lpstr>
      <vt:lpstr>sample_mgmt_tier1_name</vt:lpstr>
      <vt:lpstr>sample_mgmt_user_edge_rp</vt:lpstr>
      <vt:lpstr>sample_mgmt_user_vm_rp</vt:lpstr>
      <vt:lpstr>sample_mgmt_vc_hostname</vt:lpstr>
      <vt:lpstr>sample_mgmt_vc_ip</vt:lpstr>
      <vt:lpstr>sample_mgmt_vrms_admin_email</vt:lpstr>
      <vt:lpstr>sample_mgmt_vrms_admin_password</vt:lpstr>
      <vt:lpstr>sample_mgmt_vrms_hostname</vt:lpstr>
      <vt:lpstr>sample_mgmt_vrms_mgmt_ip</vt:lpstr>
      <vt:lpstr>sample_mgmt_vrms_p12_password</vt:lpstr>
      <vt:lpstr>sample_mgmt_vrms_pg</vt:lpstr>
      <vt:lpstr>sample_mgmt_vrms_recovery_replication_cidr</vt:lpstr>
      <vt:lpstr>sample_mgmt_vrms_root_password</vt:lpstr>
      <vt:lpstr>sample_mgmt_vrms_site_name</vt:lpstr>
      <vt:lpstr>sample_mgmt_vrms_vm_folder</vt:lpstr>
      <vt:lpstr>sample_mgmt_vrms_vm_size</vt:lpstr>
      <vt:lpstr>sample_mgmt_vrms_vrms_ip</vt:lpstr>
      <vt:lpstr>sample_mgmt_vsan_datastore</vt:lpstr>
      <vt:lpstr>sample_mgmt_witness_cluster</vt:lpstr>
      <vt:lpstr>sample_mgmt_witness_hostname</vt:lpstr>
      <vt:lpstr>sample_mgmt_witness_ip</vt:lpstr>
      <vt:lpstr>sample_mgmt_witness_mgmt_pg</vt:lpstr>
      <vt:lpstr>sample_mgmt_witness_root_password</vt:lpstr>
      <vt:lpstr>sample_mgmt_witness_sddc_domain</vt:lpstr>
      <vt:lpstr>sample_mgmt_witness_vm_folder</vt:lpstr>
      <vt:lpstr>sample_mgmt_witness_vsan_datastore</vt:lpstr>
      <vt:lpstr>sample_mgmt_witness_zone_vc_hostname</vt:lpstr>
      <vt:lpstr>sample_mgmt_witness_zone_vc_ip</vt:lpstr>
      <vt:lpstr>sample_mgmt_witnessaz_cidr</vt:lpstr>
      <vt:lpstr>sample_mgmt_witnessaz_gateway_ip</vt:lpstr>
      <vt:lpstr>sample_mgmt_witnessaz_mgmt_cidr</vt:lpstr>
      <vt:lpstr>sample_mgmt_witnessaz_mgmt_gateway_ip</vt:lpstr>
      <vt:lpstr>sample_mgmt_witnessaz_mgmt_mtu</vt:lpstr>
      <vt:lpstr>sample_mgmt_witnessaz_mgmt_vlan</vt:lpstr>
      <vt:lpstr>sample_mgmt_witnessaz_mtu</vt:lpstr>
      <vt:lpstr>sample_mgmt_witnessaz_vlan</vt:lpstr>
      <vt:lpstr>sample_nsxt_en_admin_password</vt:lpstr>
      <vt:lpstr>sample_nsxt_en_audit_password</vt:lpstr>
      <vt:lpstr>sample_nsxt_en_root_password</vt:lpstr>
      <vt:lpstr>sample_nsxt_gm_admin_password</vt:lpstr>
      <vt:lpstr>sample_nsxt_gm_audit_password</vt:lpstr>
      <vt:lpstr>sample_nsxt_gm_root_password</vt:lpstr>
      <vt:lpstr>sample_nsxt_license</vt:lpstr>
      <vt:lpstr>sample_nsxt_lm_admin_password</vt:lpstr>
      <vt:lpstr>sample_nsxt_lm_audit_password</vt:lpstr>
      <vt:lpstr>sample_nsxt_lm_root_password</vt:lpstr>
      <vt:lpstr>sample_nsxt_vsphere_role_name</vt:lpstr>
      <vt:lpstr>sample_parent_ad_groups_ou</vt:lpstr>
      <vt:lpstr>sample_parent_ad_users_ou</vt:lpstr>
      <vt:lpstr>sample_parent_dns_zone</vt:lpstr>
      <vt:lpstr>sample_parent_gg_wsa_admins_group</vt:lpstr>
      <vt:lpstr>sample_parent_gg_wsa_directory_admins_group</vt:lpstr>
      <vt:lpstr>sample_parent_gg_wsa_read_only_group</vt:lpstr>
      <vt:lpstr>sample_primary_vds_name</vt:lpstr>
      <vt:lpstr>sample_reg_seg01_cidr</vt:lpstr>
      <vt:lpstr>sample_reg_seg01_gateway_ip</vt:lpstr>
      <vt:lpstr>sample_reg_seg01_mtu</vt:lpstr>
      <vt:lpstr>sample_reg_seg01_name</vt:lpstr>
      <vt:lpstr>sample_reg_seg01_vlan</vt:lpstr>
      <vt:lpstr>sample_region_ad_child_fqdn</vt:lpstr>
      <vt:lpstr>sample_region_ad_child_netbios</vt:lpstr>
      <vt:lpstr>sample_region_ad_parent_fqdn</vt:lpstr>
      <vt:lpstr>sample_region_ad_parent_netbios</vt:lpstr>
      <vt:lpstr>sample_region_dns1_ip</vt:lpstr>
      <vt:lpstr>sample_region_dns2_ip</vt:lpstr>
      <vt:lpstr>sample_region_existing_remote_vrli_host</vt:lpstr>
      <vt:lpstr>sample_region_existing_remote_vrli_tag</vt:lpstr>
      <vt:lpstr>sample_region_ntp1_server</vt:lpstr>
      <vt:lpstr>sample_region_ntp2_server</vt:lpstr>
      <vt:lpstr>sample_region_vrli_admin_email</vt:lpstr>
      <vt:lpstr>sample_region_vrli_admin_password</vt:lpstr>
      <vt:lpstr>sample_region_vrli_admin_password_alias</vt:lpstr>
      <vt:lpstr>sample_region_vrli_appliance_size</vt:lpstr>
      <vt:lpstr>sample_region_vrli_datastore_size</vt:lpstr>
      <vt:lpstr>sample_region_vrli_email_notification_target</vt:lpstr>
      <vt:lpstr>sample_region_vrli_log_retention_notification</vt:lpstr>
      <vt:lpstr>sample_region_vrli_log_retention_period</vt:lpstr>
      <vt:lpstr>sample_region_vrli_nfs_server</vt:lpstr>
      <vt:lpstr>sample_region_vrli_nfs_share</vt:lpstr>
      <vt:lpstr>sample_region_vrli_nodea_hostname</vt:lpstr>
      <vt:lpstr>sample_region_vrli_nodea_ip</vt:lpstr>
      <vt:lpstr>sample_region_vrli_nodeb_hostname</vt:lpstr>
      <vt:lpstr>sample_region_vrli_nodeb_ip</vt:lpstr>
      <vt:lpstr>sample_region_vrli_nodec_hostname</vt:lpstr>
      <vt:lpstr>sample_region_vrli_nodec_ip</vt:lpstr>
      <vt:lpstr>sample_region_vrli_tag</vt:lpstr>
      <vt:lpstr>sample_region_vrli_virtual_hostname</vt:lpstr>
      <vt:lpstr>sample_region_vrli_virtual_ip</vt:lpstr>
      <vt:lpstr>sample_region_vrni_collector_node_size</vt:lpstr>
      <vt:lpstr>sample_region_vrni_nodea_hostname</vt:lpstr>
      <vt:lpstr>sample_region_vrni_nodea_ip</vt:lpstr>
      <vt:lpstr>sample_region_vrops_existing_rca_hostname</vt:lpstr>
      <vt:lpstr>sample_region_vrops_existing_rcb_hostname</vt:lpstr>
      <vt:lpstr>sample_region_vropsca_hostname</vt:lpstr>
      <vt:lpstr>sample_region_vropsca_ip</vt:lpstr>
      <vt:lpstr>sample_region_vropscb_hostname</vt:lpstr>
      <vt:lpstr>sample_region_vropscb_ip</vt:lpstr>
      <vt:lpstr>sample_sddc_mgr_admin_local_password</vt:lpstr>
      <vt:lpstr>sample_sddc_mgr_hostname</vt:lpstr>
      <vt:lpstr>sample_sddc_mgr_ip</vt:lpstr>
      <vt:lpstr>sample_sddc_mgr_root_password</vt:lpstr>
      <vt:lpstr>sample_sddc_mgr_vcf_password</vt:lpstr>
      <vt:lpstr>sample_sddc_mgr_vcf_username</vt:lpstr>
      <vt:lpstr>sample_sftp_server</vt:lpstr>
      <vt:lpstr>sample_sftp_server_backup_dir</vt:lpstr>
      <vt:lpstr>sample_sftp_server_passphrase</vt:lpstr>
      <vt:lpstr>sample_sftp_server_port</vt:lpstr>
      <vt:lpstr>sample_sftp_server_protocol</vt:lpstr>
      <vt:lpstr>sample_sftp_server_sshfingerprint</vt:lpstr>
      <vt:lpstr>sample_smtp_sender_password</vt:lpstr>
      <vt:lpstr>sample_smtp_sender_username</vt:lpstr>
      <vt:lpstr>sample_smtp_server</vt:lpstr>
      <vt:lpstr>sample_smtp_server_port</vt:lpstr>
      <vt:lpstr>sample_srm_license</vt:lpstr>
      <vt:lpstr>sample_svc_cbr_vcdr_vsphere_password</vt:lpstr>
      <vt:lpstr>sample_svc_cbr_vcdr_vsphere_user</vt:lpstr>
      <vt:lpstr>sample_svc_ccm_hcx_nsx_password</vt:lpstr>
      <vt:lpstr>sample_svc_ccm_hcx_nsx_user</vt:lpstr>
      <vt:lpstr>sample_svc_ccm_hcx_vsphere_password</vt:lpstr>
      <vt:lpstr>sample_svc_ccm_hcx_vsphere_user</vt:lpstr>
      <vt:lpstr>sample_svc_hrm_vcf_password</vt:lpstr>
      <vt:lpstr>sample_svc_hrm_vcf_user</vt:lpstr>
      <vt:lpstr>sample_svc_hrm_vrops_password</vt:lpstr>
      <vt:lpstr>sample_svc_hrm_vrops_user</vt:lpstr>
      <vt:lpstr>sample_svc_ila_ad_password</vt:lpstr>
      <vt:lpstr>sample_svc_ila_ad_user</vt:lpstr>
      <vt:lpstr>sample_svc_inv_ad_password</vt:lpstr>
      <vt:lpstr>sample_svc_inv_ad_user</vt:lpstr>
      <vt:lpstr>sample_svc_inv_vrops_password</vt:lpstr>
      <vt:lpstr>sample_svc_inv_vrops_user</vt:lpstr>
      <vt:lpstr>sample_svc_inv_vsphere_password</vt:lpstr>
      <vt:lpstr>sample_svc_inv_vsphere_user</vt:lpstr>
      <vt:lpstr>sample_svc_iom_vcf_password</vt:lpstr>
      <vt:lpstr>sample_svc_iom_vcf_user</vt:lpstr>
      <vt:lpstr>sample_svc_iom_vsphere_password</vt:lpstr>
      <vt:lpstr>sample_svc_iom_vsphere_user</vt:lpstr>
      <vt:lpstr>sample_svc_my_vmware_logon</vt:lpstr>
      <vt:lpstr>sample_svc_my_vmware_password</vt:lpstr>
      <vt:lpstr>sample_svc_vcf_bck_password</vt:lpstr>
      <vt:lpstr>sample_svc_vcf_bck_user</vt:lpstr>
      <vt:lpstr>sample_svc_vcf_ca_vcf_user</vt:lpstr>
      <vt:lpstr>sample_svc_vcf_ca_vvd_password</vt:lpstr>
      <vt:lpstr>sample_svc_vcf_ca_vvd_user</vt:lpstr>
      <vt:lpstr>sample_svc_vra_nsx_password</vt:lpstr>
      <vt:lpstr>sample_svc_vra_nsx_user</vt:lpstr>
      <vt:lpstr>sample_svc_vra_vcf_password</vt:lpstr>
      <vt:lpstr>sample_svc_vra_vcf_user</vt:lpstr>
      <vt:lpstr>sample_svc_vra_vrops_password</vt:lpstr>
      <vt:lpstr>sample_svc_vra_vrops_user</vt:lpstr>
      <vt:lpstr>sample_svc_vra_vsphere_password</vt:lpstr>
      <vt:lpstr>sample_svc_vra_vsphere_user</vt:lpstr>
      <vt:lpstr>sample_svc_vro_vsphere_password</vt:lpstr>
      <vt:lpstr>sample_svc_vro_vsphere_user</vt:lpstr>
      <vt:lpstr>sample_svc_vrops_vra_password</vt:lpstr>
      <vt:lpstr>sample_svc_vrops_vra_user</vt:lpstr>
      <vt:lpstr>sample_vc_license</vt:lpstr>
      <vt:lpstr>sample_vcenter_root_password</vt:lpstr>
      <vt:lpstr>sample_vcfadmin_local_password</vt:lpstr>
      <vt:lpstr>sample_vlcm_image_cluster_moref</vt:lpstr>
      <vt:lpstr>sample_vlcm_image_cluster_name</vt:lpstr>
      <vt:lpstr>sample_vlcm_image_name</vt:lpstr>
      <vt:lpstr>sample_vlcm_image_vc_hostname</vt:lpstr>
      <vt:lpstr>sample_vra_license</vt:lpstr>
      <vt:lpstr>sample_vra_license_alias</vt:lpstr>
      <vt:lpstr>sample_vra_sddc_mgr_integration_name</vt:lpstr>
      <vt:lpstr>sample_vrli_license</vt:lpstr>
      <vt:lpstr>sample_vrli_license_alias</vt:lpstr>
      <vt:lpstr>sample_vrni_license</vt:lpstr>
      <vt:lpstr>sample_vrni_license_alias</vt:lpstr>
      <vt:lpstr>sample_vrops_license</vt:lpstr>
      <vt:lpstr>sample_vrops_license_alias</vt:lpstr>
      <vt:lpstr>sample_vrs_license</vt:lpstr>
      <vt:lpstr>sample_vrs_t1_lb_si_ip</vt:lpstr>
      <vt:lpstr>sample_vrs_t1_lb_si_name</vt:lpstr>
      <vt:lpstr>sample_vrslcm_bespoke_svc_vrslcm_vsphere_password</vt:lpstr>
      <vt:lpstr>sample_vrslcm_reg_dc</vt:lpstr>
      <vt:lpstr>sample_vrslcm_reg_env</vt:lpstr>
      <vt:lpstr>sample_vrslcm_root_password</vt:lpstr>
      <vt:lpstr>sample_vrslcm_xreg_admin_username</vt:lpstr>
      <vt:lpstr>sample_vrslcm_xreg_dc</vt:lpstr>
      <vt:lpstr>sample_vrslcm_xreg_env</vt:lpstr>
      <vt:lpstr>sample_vrslcm_xreg_env_password</vt:lpstr>
      <vt:lpstr>sample_vrslcm_xreg_env_password_alias</vt:lpstr>
      <vt:lpstr>sample_vrslcm_xreg_location</vt:lpstr>
      <vt:lpstr>sample_vrslcm_xreg_vm_folder</vt:lpstr>
      <vt:lpstr>sample_vsan_license</vt:lpstr>
      <vt:lpstr>sample_witness_dns_zone</vt:lpstr>
      <vt:lpstr>sample_witness_dns1_ip</vt:lpstr>
      <vt:lpstr>sample_witness_dns2_ip</vt:lpstr>
      <vt:lpstr>sample_witness_ntp1_server</vt:lpstr>
      <vt:lpstr>sample_witness_ntp2_server</vt:lpstr>
      <vt:lpstr>sample_wld_avilb_cluster_name</vt:lpstr>
      <vt:lpstr>sample_wld_avilb_cluster_version</vt:lpstr>
      <vt:lpstr>sample_wld_avilb_hostname</vt:lpstr>
      <vt:lpstr>sample_wld_avilb_ip</vt:lpstr>
      <vt:lpstr>sample_wld_avilb_mgra_hostname</vt:lpstr>
      <vt:lpstr>sample_wld_avilb_mgra_ip</vt:lpstr>
      <vt:lpstr>sample_wld_avilb_mgrb_hostname</vt:lpstr>
      <vt:lpstr>sample_wld_avilb_mgrb_ip</vt:lpstr>
      <vt:lpstr>sample_wld_avilb_mgrc_hostname</vt:lpstr>
      <vt:lpstr>sample_wld_avilb_mgrc_ip</vt:lpstr>
      <vt:lpstr>sample_wld_az1_child_dns_zone</vt:lpstr>
      <vt:lpstr>sample_wld_az1_edge_overlay_cidr</vt:lpstr>
      <vt:lpstr>sample_wld_az1_edge_overlay_gateway_ip</vt:lpstr>
      <vt:lpstr>sample_wld_az1_edge_overlay_mtu</vt:lpstr>
      <vt:lpstr>sample_wld_az1_edge_overlay_network_pool_name</vt:lpstr>
      <vt:lpstr>sample_wld_az1_edge_overlay_pool_end_ip</vt:lpstr>
      <vt:lpstr>sample_wld_az1_edge_overlay_pool_start_ip</vt:lpstr>
      <vt:lpstr>sample_wld_az1_edge_overlay_vlan</vt:lpstr>
      <vt:lpstr>sample_wld_az1_en1_edge_overlay_interface_ip_1_ip</vt:lpstr>
      <vt:lpstr>sample_wld_az1_en1_edge_overlay_interface_ip_2_ip</vt:lpstr>
      <vt:lpstr>sample_wld_az1_en1_hostname</vt:lpstr>
      <vt:lpstr>sample_wld_az1_en1_mgmt_ip</vt:lpstr>
      <vt:lpstr>sample_wld_az1_en1_uplink01_interface_ip</vt:lpstr>
      <vt:lpstr>sample_wld_az1_en1_uplink02_interface_ip</vt:lpstr>
      <vt:lpstr>sample_wld_az1_en2_edge_overlay_interface_ip_1_ip</vt:lpstr>
      <vt:lpstr>sample_wld_az1_en2_edge_overlay_interface_ip_2_ip</vt:lpstr>
      <vt:lpstr>sample_wld_az1_en2_hostname</vt:lpstr>
      <vt:lpstr>sample_wld_az1_en2_mgmt_ip</vt:lpstr>
      <vt:lpstr>sample_wld_az1_en2_uplink01_interface_ip</vt:lpstr>
      <vt:lpstr>sample_wld_az1_en2_uplink02_interface_ip</vt:lpstr>
      <vt:lpstr>sample_wld_az1_host_hostnames</vt:lpstr>
      <vt:lpstr>sample_wld_az1_host_mgmt_ips</vt:lpstr>
      <vt:lpstr>sample_wld_az1_host_overlay_cidr</vt:lpstr>
      <vt:lpstr>sample_wld_az1_host_overlay_gateway_ip</vt:lpstr>
      <vt:lpstr>sample_wld_az1_host_overlay_mtu</vt:lpstr>
      <vt:lpstr>sample_wld_az1_host_overlay_network_pool_name</vt:lpstr>
      <vt:lpstr>sample_wld_az1_host_overlay_network_profile_name</vt:lpstr>
      <vt:lpstr>sample_wld_az1_host_overlay_pool_end_ip</vt:lpstr>
      <vt:lpstr>sample_wld_az1_host_overlay_pool_start_ip</vt:lpstr>
      <vt:lpstr>sample_wld_az1_host_overlay_uplink_profile_name</vt:lpstr>
      <vt:lpstr>sample_wld_az1_host_overlay_vlan</vt:lpstr>
      <vt:lpstr>sample_wld_az1_host1_function</vt:lpstr>
      <vt:lpstr>sample_wld_az1_host1_hostname</vt:lpstr>
      <vt:lpstr>sample_wld_az1_host1_mgmt_ip</vt:lpstr>
      <vt:lpstr>sample_wld_az1_host1_sddc_id</vt:lpstr>
      <vt:lpstr>sample_wld_az1_host1_vrms_ip</vt:lpstr>
      <vt:lpstr>sample_wld_az1_host10_function</vt:lpstr>
      <vt:lpstr>sample_wld_az1_host10_hostname</vt:lpstr>
      <vt:lpstr>sample_wld_az1_host10_mgmt_ip</vt:lpstr>
      <vt:lpstr>sample_wld_az1_host10_vrms_ip</vt:lpstr>
      <vt:lpstr>sample_wld_az1_host11_function</vt:lpstr>
      <vt:lpstr>sample_wld_az1_host11_hostname</vt:lpstr>
      <vt:lpstr>sample_wld_az1_host11_mgmt_ip</vt:lpstr>
      <vt:lpstr>sample_wld_az1_host11_vrms_ip</vt:lpstr>
      <vt:lpstr>sample_wld_az1_host12_function</vt:lpstr>
      <vt:lpstr>sample_wld_az1_host12_hostname</vt:lpstr>
      <vt:lpstr>sample_wld_az1_host12_mgmt_ip</vt:lpstr>
      <vt:lpstr>sample_wld_az1_host12_vrms_ip</vt:lpstr>
      <vt:lpstr>sample_wld_az1_host13_function</vt:lpstr>
      <vt:lpstr>sample_wld_az1_host13_hostname</vt:lpstr>
      <vt:lpstr>sample_wld_az1_host13_mgmt_ip</vt:lpstr>
      <vt:lpstr>sample_wld_az1_host13_vrms_ip</vt:lpstr>
      <vt:lpstr>sample_wld_az1_host14_function</vt:lpstr>
      <vt:lpstr>sample_wld_az1_host14_hostname</vt:lpstr>
      <vt:lpstr>sample_wld_az1_host14_mgmt_ip</vt:lpstr>
      <vt:lpstr>sample_wld_az1_host14_vrms_ip</vt:lpstr>
      <vt:lpstr>sample_wld_az1_host15_function</vt:lpstr>
      <vt:lpstr>sample_wld_az1_host15_hostname</vt:lpstr>
      <vt:lpstr>sample_wld_az1_host15_mgmt_ip</vt:lpstr>
      <vt:lpstr>sample_wld_az1_host15_vrms_ip</vt:lpstr>
      <vt:lpstr>sample_wld_az1_host16_function</vt:lpstr>
      <vt:lpstr>sample_wld_az1_host16_hostname</vt:lpstr>
      <vt:lpstr>sample_wld_az1_host16_mgmt_ip</vt:lpstr>
      <vt:lpstr>sample_wld_az1_host16_vrms_ip</vt:lpstr>
      <vt:lpstr>sample_wld_az1_host2_function</vt:lpstr>
      <vt:lpstr>sample_wld_az1_host2_hostname</vt:lpstr>
      <vt:lpstr>sample_wld_az1_host2_mgmt_ip</vt:lpstr>
      <vt:lpstr>sample_wld_az1_host2_sddc_id</vt:lpstr>
      <vt:lpstr>sample_wld_az1_host2_vrms_ip</vt:lpstr>
      <vt:lpstr>sample_wld_az1_host3_function</vt:lpstr>
      <vt:lpstr>sample_wld_az1_host3_hostname</vt:lpstr>
      <vt:lpstr>sample_wld_az1_host3_mgmt_ip</vt:lpstr>
      <vt:lpstr>sample_wld_az1_host3_sddc_id</vt:lpstr>
      <vt:lpstr>sample_wld_az1_host3_vrms_ip</vt:lpstr>
      <vt:lpstr>sample_wld_az1_host4_function</vt:lpstr>
      <vt:lpstr>sample_wld_az1_host4_hostname</vt:lpstr>
      <vt:lpstr>sample_wld_az1_host4_mgmt_ip</vt:lpstr>
      <vt:lpstr>sample_wld_az1_host4_sddc_id</vt:lpstr>
      <vt:lpstr>sample_wld_az1_host4_vrms_ip</vt:lpstr>
      <vt:lpstr>sample_wld_az1_host5_function</vt:lpstr>
      <vt:lpstr>sample_wld_az1_host5_hostname</vt:lpstr>
      <vt:lpstr>sample_wld_az1_host5_mgmt_ip</vt:lpstr>
      <vt:lpstr>sample_wld_az1_host5_vrms_ip</vt:lpstr>
      <vt:lpstr>sample_wld_az1_host6_function</vt:lpstr>
      <vt:lpstr>sample_wld_az1_host6_hostname</vt:lpstr>
      <vt:lpstr>sample_wld_az1_host6_mgmt_ip</vt:lpstr>
      <vt:lpstr>sample_wld_az1_host6_vrms_ip</vt:lpstr>
      <vt:lpstr>sample_wld_az1_host7_function</vt:lpstr>
      <vt:lpstr>sample_wld_az1_host7_hostname</vt:lpstr>
      <vt:lpstr>sample_wld_az1_host7_mgmt_ip</vt:lpstr>
      <vt:lpstr>sample_wld_az1_host7_vrms_ip</vt:lpstr>
      <vt:lpstr>sample_wld_az1_host8_function</vt:lpstr>
      <vt:lpstr>sample_wld_az1_host8_hostname</vt:lpstr>
      <vt:lpstr>sample_wld_az1_host8_mgmt_ip</vt:lpstr>
      <vt:lpstr>sample_wld_az1_host8_vrms_ip</vt:lpstr>
      <vt:lpstr>sample_wld_az1_host9_function</vt:lpstr>
      <vt:lpstr>sample_wld_az1_host9_hostname</vt:lpstr>
      <vt:lpstr>sample_wld_az1_host9_mgmt_ip</vt:lpstr>
      <vt:lpstr>sample_wld_az1_host9_vrms_ip</vt:lpstr>
      <vt:lpstr>sample_wld_az1_mgmt_cidr</vt:lpstr>
      <vt:lpstr>sample_wld_az1_mgmt_gateway_ip</vt:lpstr>
      <vt:lpstr>sample_wld_az1_mgmt_mtu</vt:lpstr>
      <vt:lpstr>sample_wld_az1_mgmt_vlan</vt:lpstr>
      <vt:lpstr>sample_wld_az1_mgmt_vm_cidr</vt:lpstr>
      <vt:lpstr>sample_wld_az1_mgmt_vm_gateway_ip</vt:lpstr>
      <vt:lpstr>sample_wld_az1_mgmt_vm_mtu</vt:lpstr>
      <vt:lpstr>sample_wld_az1_mgmt_vm_vlan</vt:lpstr>
      <vt:lpstr>sample_wld_az1_pool_name</vt:lpstr>
      <vt:lpstr>sample_wld_az1_principal_storage_cidr</vt:lpstr>
      <vt:lpstr>sample_wld_az1_principal_storage_gateway_ip</vt:lpstr>
      <vt:lpstr>sample_wld_az1_principal_storage_mtu</vt:lpstr>
      <vt:lpstr>sample_wld_az1_principal_storage_pool_end_ip</vt:lpstr>
      <vt:lpstr>sample_wld_az1_principal_storage_pool_start_ip</vt:lpstr>
      <vt:lpstr>sample_wld_az1_principal_storage_vlan</vt:lpstr>
      <vt:lpstr>sample_wld_az1_rack1_vsan_fault_domain</vt:lpstr>
      <vt:lpstr>sample_wld_az1_rack2_child_dns_zone</vt:lpstr>
      <vt:lpstr>sample_wld_az1_rack2_edge_overlay_cidr</vt:lpstr>
      <vt:lpstr>sample_wld_az1_rack2_edge_overlay_gateway_ip</vt:lpstr>
      <vt:lpstr>sample_wld_az1_rack2_edge_overlay_mtu</vt:lpstr>
      <vt:lpstr>sample_wld_az1_rack2_edge_overlay_network_pool_name</vt:lpstr>
      <vt:lpstr>sample_wld_az1_rack2_edge_overlay_pool_end_ip</vt:lpstr>
      <vt:lpstr>sample_wld_az1_rack2_edge_overlay_pool_start_ip</vt:lpstr>
      <vt:lpstr>sample_wld_az1_rack2_edge_overlay_vlan</vt:lpstr>
      <vt:lpstr>sample_wld_az1_rack2_en1_hostname</vt:lpstr>
      <vt:lpstr>sample_wld_az1_rack2_en1_mgmt_ip</vt:lpstr>
      <vt:lpstr>sample_wld_az1_rack2_en1_uplink01_interface_ip</vt:lpstr>
      <vt:lpstr>sample_wld_az1_rack2_en1_uplink02_interface_ip</vt:lpstr>
      <vt:lpstr>sample_wld_az1_rack2_en2_hostname</vt:lpstr>
      <vt:lpstr>sample_wld_az1_rack2_en2_mgmt_ip</vt:lpstr>
      <vt:lpstr>sample_wld_az1_rack2_en2_uplink01_interface_ip</vt:lpstr>
      <vt:lpstr>sample_wld_az1_rack2_en2_uplink02_interface_ip</vt:lpstr>
      <vt:lpstr>sample_wld_az1_rack2_host_hostnames</vt:lpstr>
      <vt:lpstr>sample_wld_az1_rack2_host_mgmt_ips</vt:lpstr>
      <vt:lpstr>sample_wld_az1_rack2_host_overlay_cidr</vt:lpstr>
      <vt:lpstr>sample_wld_az1_rack2_host_overlay_gateway_ip</vt:lpstr>
      <vt:lpstr>sample_wld_az1_rack2_host_overlay_mtu</vt:lpstr>
      <vt:lpstr>sample_wld_az1_rack2_host_overlay_network_pool_name</vt:lpstr>
      <vt:lpstr>sample_wld_az1_rack2_host_overlay_network_profile_name</vt:lpstr>
      <vt:lpstr>sample_wld_az1_rack2_host_overlay_pool_end_ip</vt:lpstr>
      <vt:lpstr>sample_wld_az1_rack2_host_overlay_pool_start_ip</vt:lpstr>
      <vt:lpstr>sample_wld_az1_rack2_host_overlay_uplink_profile_name</vt:lpstr>
      <vt:lpstr>sample_wld_az1_rack2_host_overlay_vlan</vt:lpstr>
      <vt:lpstr>sample_wld_az1_rack2_host1_function</vt:lpstr>
      <vt:lpstr>sample_wld_az1_rack2_host1_hostname</vt:lpstr>
      <vt:lpstr>sample_wld_az1_rack2_host1_mgmt_ip</vt:lpstr>
      <vt:lpstr>sample_wld_az1_rack2_host1_vrms_ip</vt:lpstr>
      <vt:lpstr>sample_wld_az1_rack2_host10_function</vt:lpstr>
      <vt:lpstr>sample_wld_az1_rack2_host10_hostname</vt:lpstr>
      <vt:lpstr>sample_wld_az1_rack2_host10_mgmt_ip</vt:lpstr>
      <vt:lpstr>sample_wld_az1_rack2_host10_vrms_ip</vt:lpstr>
      <vt:lpstr>sample_wld_az1_rack2_host11_function</vt:lpstr>
      <vt:lpstr>sample_wld_az1_rack2_host11_hostname</vt:lpstr>
      <vt:lpstr>sample_wld_az1_rack2_host11_mgmt_ip</vt:lpstr>
      <vt:lpstr>sample_wld_az1_rack2_host11_vrms_ip</vt:lpstr>
      <vt:lpstr>sample_wld_az1_rack2_host12_function</vt:lpstr>
      <vt:lpstr>sample_wld_az1_rack2_host12_hostname</vt:lpstr>
      <vt:lpstr>sample_wld_az1_rack2_host12_mgmt_ip</vt:lpstr>
      <vt:lpstr>sample_wld_az1_rack2_host12_vrms_ip</vt:lpstr>
      <vt:lpstr>sample_wld_az1_rack2_host13_function</vt:lpstr>
      <vt:lpstr>sample_wld_az1_rack2_host13_hostname</vt:lpstr>
      <vt:lpstr>sample_wld_az1_rack2_host13_mgmt_ip</vt:lpstr>
      <vt:lpstr>sample_wld_az1_rack2_host13_vrms_ip</vt:lpstr>
      <vt:lpstr>sample_wld_az1_rack2_host14_function</vt:lpstr>
      <vt:lpstr>sample_wld_az1_rack2_host14_hostname</vt:lpstr>
      <vt:lpstr>sample_wld_az1_rack2_host14_mgmt_ip</vt:lpstr>
      <vt:lpstr>sample_wld_az1_rack2_host14_vrms_ip</vt:lpstr>
      <vt:lpstr>sample_wld_az1_rack2_host15_function</vt:lpstr>
      <vt:lpstr>sample_wld_az1_rack2_host15_hostname</vt:lpstr>
      <vt:lpstr>sample_wld_az1_rack2_host15_mgmt_ip</vt:lpstr>
      <vt:lpstr>sample_wld_az1_rack2_host15_vrms_ip</vt:lpstr>
      <vt:lpstr>sample_wld_az1_rack2_host16_function</vt:lpstr>
      <vt:lpstr>sample_wld_az1_rack2_host16_hostname</vt:lpstr>
      <vt:lpstr>sample_wld_az1_rack2_host16_mgmt_ip</vt:lpstr>
      <vt:lpstr>sample_wld_az1_rack2_host16_vrms_ip</vt:lpstr>
      <vt:lpstr>sample_wld_az1_rack2_host2_function</vt:lpstr>
      <vt:lpstr>sample_wld_az1_rack2_host2_hostname</vt:lpstr>
      <vt:lpstr>sample_wld_az1_rack2_host2_mgmt_ip</vt:lpstr>
      <vt:lpstr>sample_wld_az1_rack2_host2_vrms_ip</vt:lpstr>
      <vt:lpstr>sample_wld_az1_rack2_host3_function</vt:lpstr>
      <vt:lpstr>sample_wld_az1_rack2_host3_hostname</vt:lpstr>
      <vt:lpstr>sample_wld_az1_rack2_host3_mgmt_ip</vt:lpstr>
      <vt:lpstr>sample_wld_az1_rack2_host3_vrms_ip</vt:lpstr>
      <vt:lpstr>sample_wld_az1_rack2_host4_function</vt:lpstr>
      <vt:lpstr>sample_wld_az1_rack2_host4_hostname</vt:lpstr>
      <vt:lpstr>sample_wld_az1_rack2_host4_mgmt_ip</vt:lpstr>
      <vt:lpstr>sample_wld_az1_rack2_host4_vrms_ip</vt:lpstr>
      <vt:lpstr>sample_wld_az1_rack2_host5_function</vt:lpstr>
      <vt:lpstr>sample_wld_az1_rack2_host5_hostname</vt:lpstr>
      <vt:lpstr>sample_wld_az1_rack2_host5_mgmt_ip</vt:lpstr>
      <vt:lpstr>sample_wld_az1_rack2_host5_vrms_ip</vt:lpstr>
      <vt:lpstr>sample_wld_az1_rack2_host6_function</vt:lpstr>
      <vt:lpstr>sample_wld_az1_rack2_host6_hostname</vt:lpstr>
      <vt:lpstr>sample_wld_az1_rack2_host6_mgmt_ip</vt:lpstr>
      <vt:lpstr>sample_wld_az1_rack2_host6_vrms_ip</vt:lpstr>
      <vt:lpstr>sample_wld_az1_rack2_host7_function</vt:lpstr>
      <vt:lpstr>sample_wld_az1_rack2_host7_hostname</vt:lpstr>
      <vt:lpstr>sample_wld_az1_rack2_host7_mgmt_ip</vt:lpstr>
      <vt:lpstr>sample_wld_az1_rack2_host7_vrms_ip</vt:lpstr>
      <vt:lpstr>sample_wld_az1_rack2_host8_function</vt:lpstr>
      <vt:lpstr>sample_wld_az1_rack2_host8_hostname</vt:lpstr>
      <vt:lpstr>sample_wld_az1_rack2_host8_mgmt_ip</vt:lpstr>
      <vt:lpstr>sample_wld_az1_rack2_host8_vrms_ip</vt:lpstr>
      <vt:lpstr>sample_wld_az1_rack2_host9_function</vt:lpstr>
      <vt:lpstr>sample_wld_az1_rack2_host9_hostname</vt:lpstr>
      <vt:lpstr>sample_wld_az1_rack2_host9_mgmt_ip</vt:lpstr>
      <vt:lpstr>sample_wld_az1_rack2_host9_vrms_ip</vt:lpstr>
      <vt:lpstr>sample_wld_az1_rack2_mgmt_cidr</vt:lpstr>
      <vt:lpstr>sample_wld_az1_rack2_mgmt_gateway_ip</vt:lpstr>
      <vt:lpstr>sample_wld_az1_rack2_mgmt_mtu</vt:lpstr>
      <vt:lpstr>sample_wld_az1_rack2_mgmt_vlan</vt:lpstr>
      <vt:lpstr>sample_wld_az1_rack2_mgmt_vm_cidr</vt:lpstr>
      <vt:lpstr>sample_wld_az1_rack2_mgmt_vm_gateway_ip</vt:lpstr>
      <vt:lpstr>sample_wld_az1_rack2_mgmt_vm_mtu</vt:lpstr>
      <vt:lpstr>sample_wld_az1_rack2_mgmt_vm_vlan</vt:lpstr>
      <vt:lpstr>sample_wld_az1_rack2_pool_name</vt:lpstr>
      <vt:lpstr>sample_wld_az1_rack2_principal_storage_cidr</vt:lpstr>
      <vt:lpstr>sample_wld_az1_rack2_principal_storage_gateway_ip</vt:lpstr>
      <vt:lpstr>sample_wld_az1_rack2_principal_storage_mtu</vt:lpstr>
      <vt:lpstr>sample_wld_az1_rack2_principal_storage_pool_end_ip</vt:lpstr>
      <vt:lpstr>sample_wld_az1_rack2_principal_storage_pool_start_ip</vt:lpstr>
      <vt:lpstr>sample_wld_az1_rack2_principal_storage_vlan</vt:lpstr>
      <vt:lpstr>sample_wld_az1_rack2_rtep_ip_pool_name</vt:lpstr>
      <vt:lpstr>sample_wld_az1_rack2_rtep_overlay_cidr</vt:lpstr>
      <vt:lpstr>sample_wld_az1_rack2_rtep_overlay_gateway_ip</vt:lpstr>
      <vt:lpstr>sample_wld_az1_rack2_rtep_overlay_mtu</vt:lpstr>
      <vt:lpstr>sample_wld_az1_rack2_rtep_overlay_pool_end_ip</vt:lpstr>
      <vt:lpstr>sample_wld_az1_rack2_rtep_overlay_pool_start_ip</vt:lpstr>
      <vt:lpstr>sample_wld_az1_rack2_rtep_overlay_vlan</vt:lpstr>
      <vt:lpstr>sample_wld_az1_rack2_secondary_storage_cidr</vt:lpstr>
      <vt:lpstr>sample_wld_az1_rack2_secondary_storage_gateway_ip</vt:lpstr>
      <vt:lpstr>sample_wld_az1_rack2_secondary_storage_mtu</vt:lpstr>
      <vt:lpstr>sample_wld_az1_rack2_secondary_storage_pool_end_ip</vt:lpstr>
      <vt:lpstr>sample_wld_az1_rack2_secondary_storage_pool_start_ip</vt:lpstr>
      <vt:lpstr>sample_wld_az1_rack2_secondary_storage_vlan</vt:lpstr>
      <vt:lpstr>sample_wld_az1_rack2_tor1_peer_asn</vt:lpstr>
      <vt:lpstr>sample_wld_az1_rack2_tor1_peer_bgp_password</vt:lpstr>
      <vt:lpstr>sample_wld_az1_rack2_tor1_peer_ip</vt:lpstr>
      <vt:lpstr>sample_wld_az1_rack2_tor2_peer_asn</vt:lpstr>
      <vt:lpstr>sample_wld_az1_rack2_tor2_peer_bgp_password</vt:lpstr>
      <vt:lpstr>sample_wld_az1_rack2_tor2_peer_ip</vt:lpstr>
      <vt:lpstr>sample_wld_az1_rack2_uplink01_cidr</vt:lpstr>
      <vt:lpstr>sample_wld_az1_rack2_uplink01_gateway_ip</vt:lpstr>
      <vt:lpstr>sample_wld_az1_rack2_uplink01_mtu</vt:lpstr>
      <vt:lpstr>sample_wld_az1_rack2_uplink01_pg</vt:lpstr>
      <vt:lpstr>sample_wld_az1_rack2_uplink01_vlan</vt:lpstr>
      <vt:lpstr>sample_wld_az1_rack2_uplink02_cidr</vt:lpstr>
      <vt:lpstr>sample_wld_az1_rack2_uplink02_gateway_ip</vt:lpstr>
      <vt:lpstr>sample_wld_az1_rack2_uplink02_mtu</vt:lpstr>
      <vt:lpstr>sample_wld_az1_rack2_uplink02_pg</vt:lpstr>
      <vt:lpstr>sample_wld_az1_rack2_uplink02_vlan</vt:lpstr>
      <vt:lpstr>sample_wld_az1_rack2_vmotion_cidr</vt:lpstr>
      <vt:lpstr>sample_wld_az1_rack2_vmotion_gateway_ip</vt:lpstr>
      <vt:lpstr>sample_wld_az1_rack2_vmotion_mtu</vt:lpstr>
      <vt:lpstr>sample_wld_az1_rack2_vmotion_pool_end_ip</vt:lpstr>
      <vt:lpstr>sample_wld_az1_rack2_vmotion_pool_start_ip</vt:lpstr>
      <vt:lpstr>sample_wld_az1_rack2_vmotion_vlan</vt:lpstr>
      <vt:lpstr>sample_wld_az1_rack2_vrms_cidr</vt:lpstr>
      <vt:lpstr>sample_wld_az1_rack2_vrms_gateway_ip</vt:lpstr>
      <vt:lpstr>sample_wld_az1_rack2_vrms_mtu</vt:lpstr>
      <vt:lpstr>sample_wld_az1_rack2_vrms_vlan</vt:lpstr>
      <vt:lpstr>sample_wld_az1_rack2_vsan_fault_domain</vt:lpstr>
      <vt:lpstr>sample_wld_az1_rack3_child_dns_zone</vt:lpstr>
      <vt:lpstr>sample_wld_az1_rack3_edge_overlay_cidr</vt:lpstr>
      <vt:lpstr>sample_wld_az1_rack3_edge_overlay_gateway_ip</vt:lpstr>
      <vt:lpstr>sample_wld_az1_rack3_edge_overlay_mtu</vt:lpstr>
      <vt:lpstr>sample_wld_az1_rack3_edge_overlay_network_pool_name</vt:lpstr>
      <vt:lpstr>sample_wld_az1_rack3_edge_overlay_pool_end_ip</vt:lpstr>
      <vt:lpstr>sample_wld_az1_rack3_edge_overlay_pool_start_ip</vt:lpstr>
      <vt:lpstr>sample_wld_az1_rack3_edge_overlay_vlan</vt:lpstr>
      <vt:lpstr>sample_wld_az1_rack3_en1_hostname</vt:lpstr>
      <vt:lpstr>sample_wld_az1_rack3_en1_mgmt_ip</vt:lpstr>
      <vt:lpstr>sample_wld_az1_rack3_en1_uplink01_interface_ip</vt:lpstr>
      <vt:lpstr>sample_wld_az1_rack3_en1_uplink02_interface_ip</vt:lpstr>
      <vt:lpstr>sample_wld_az1_rack3_en2_hostname</vt:lpstr>
      <vt:lpstr>sample_wld_az1_rack3_en2_mgmt_ip</vt:lpstr>
      <vt:lpstr>sample_wld_az1_rack3_en2_uplink01_interface_ip</vt:lpstr>
      <vt:lpstr>sample_wld_az1_rack3_en2_uplink02_interface_ip</vt:lpstr>
      <vt:lpstr>sample_wld_az1_rack3_host_hostnames</vt:lpstr>
      <vt:lpstr>sample_wld_az1_rack3_host_mgmt_ips</vt:lpstr>
      <vt:lpstr>sample_wld_az1_rack3_host_overlay_cidr</vt:lpstr>
      <vt:lpstr>sample_wld_az1_rack3_host_overlay_gateway_ip</vt:lpstr>
      <vt:lpstr>sample_wld_az1_rack3_host_overlay_mtu</vt:lpstr>
      <vt:lpstr>sample_wld_az1_rack3_host_overlay_network_pool_name</vt:lpstr>
      <vt:lpstr>sample_wld_az1_rack3_host_overlay_network_profile_name</vt:lpstr>
      <vt:lpstr>sample_wld_az1_rack3_host_overlay_pool_end_ip</vt:lpstr>
      <vt:lpstr>sample_wld_az1_rack3_host_overlay_pool_start_ip</vt:lpstr>
      <vt:lpstr>sample_wld_az1_rack3_host_overlay_uplink_profile_name</vt:lpstr>
      <vt:lpstr>sample_wld_az1_rack3_host_overlay_vlan</vt:lpstr>
      <vt:lpstr>sample_wld_az1_rack3_host1_function</vt:lpstr>
      <vt:lpstr>sample_wld_az1_rack3_host1_hostname</vt:lpstr>
      <vt:lpstr>sample_wld_az1_rack3_host1_mgmt_ip</vt:lpstr>
      <vt:lpstr>sample_wld_az1_rack3_host1_vrms_ip</vt:lpstr>
      <vt:lpstr>sample_wld_az1_rack3_host10_function</vt:lpstr>
      <vt:lpstr>sample_wld_az1_rack3_host10_hostname</vt:lpstr>
      <vt:lpstr>sample_wld_az1_rack3_host10_mgmt_ip</vt:lpstr>
      <vt:lpstr>sample_wld_az1_rack3_host10_vrms_ip</vt:lpstr>
      <vt:lpstr>sample_wld_az1_rack3_host11_function</vt:lpstr>
      <vt:lpstr>sample_wld_az1_rack3_host11_hostname</vt:lpstr>
      <vt:lpstr>sample_wld_az1_rack3_host11_mgmt_ip</vt:lpstr>
      <vt:lpstr>sample_wld_az1_rack3_host11_vrms_ip</vt:lpstr>
      <vt:lpstr>sample_wld_az1_rack3_host12_function</vt:lpstr>
      <vt:lpstr>sample_wld_az1_rack3_host12_hostname</vt:lpstr>
      <vt:lpstr>sample_wld_az1_rack3_host12_mgmt_ip</vt:lpstr>
      <vt:lpstr>sample_wld_az1_rack3_host12_vrms_ip</vt:lpstr>
      <vt:lpstr>sample_wld_az1_rack3_host13_function</vt:lpstr>
      <vt:lpstr>sample_wld_az1_rack3_host13_hostname</vt:lpstr>
      <vt:lpstr>sample_wld_az1_rack3_host13_mgmt_ip</vt:lpstr>
      <vt:lpstr>sample_wld_az1_rack3_host13_vrms_ip</vt:lpstr>
      <vt:lpstr>sample_wld_az1_rack3_host14_function</vt:lpstr>
      <vt:lpstr>sample_wld_az1_rack3_host14_hostname</vt:lpstr>
      <vt:lpstr>sample_wld_az1_rack3_host14_mgmt_ip</vt:lpstr>
      <vt:lpstr>sample_wld_az1_rack3_host14_vrms_ip</vt:lpstr>
      <vt:lpstr>sample_wld_az1_rack3_host15_function</vt:lpstr>
      <vt:lpstr>sample_wld_az1_rack3_host15_hostname</vt:lpstr>
      <vt:lpstr>sample_wld_az1_rack3_host15_mgmt_ip</vt:lpstr>
      <vt:lpstr>sample_wld_az1_rack3_host15_vrms_ip</vt:lpstr>
      <vt:lpstr>sample_wld_az1_rack3_host16_function</vt:lpstr>
      <vt:lpstr>sample_wld_az1_rack3_host16_hostname</vt:lpstr>
      <vt:lpstr>sample_wld_az1_rack3_host16_mgmt_ip</vt:lpstr>
      <vt:lpstr>sample_wld_az1_rack3_host16_vrms_ip</vt:lpstr>
      <vt:lpstr>sample_wld_az1_rack3_host2_function</vt:lpstr>
      <vt:lpstr>sample_wld_az1_rack3_host2_hostname</vt:lpstr>
      <vt:lpstr>sample_wld_az1_rack3_host2_mgmt_ip</vt:lpstr>
      <vt:lpstr>sample_wld_az1_rack3_host2_vrms_ip</vt:lpstr>
      <vt:lpstr>sample_wld_az1_rack3_host3_function</vt:lpstr>
      <vt:lpstr>sample_wld_az1_rack3_host3_hostname</vt:lpstr>
      <vt:lpstr>sample_wld_az1_rack3_host3_mgmt_ip</vt:lpstr>
      <vt:lpstr>sample_wld_az1_rack3_host3_vrms_ip</vt:lpstr>
      <vt:lpstr>sample_wld_az1_rack3_host4_function</vt:lpstr>
      <vt:lpstr>sample_wld_az1_rack3_host4_hostname</vt:lpstr>
      <vt:lpstr>sample_wld_az1_rack3_host4_mgmt_ip</vt:lpstr>
      <vt:lpstr>sample_wld_az1_rack3_host4_vrms_ip</vt:lpstr>
      <vt:lpstr>sample_wld_az1_rack3_host5_function</vt:lpstr>
      <vt:lpstr>sample_wld_az1_rack3_host5_hostname</vt:lpstr>
      <vt:lpstr>sample_wld_az1_rack3_host5_mgmt_ip</vt:lpstr>
      <vt:lpstr>sample_wld_az1_rack3_host5_vrms_ip</vt:lpstr>
      <vt:lpstr>sample_wld_az1_rack3_host6_function</vt:lpstr>
      <vt:lpstr>sample_wld_az1_rack3_host6_hostname</vt:lpstr>
      <vt:lpstr>sample_wld_az1_rack3_host6_mgmt_ip</vt:lpstr>
      <vt:lpstr>sample_wld_az1_rack3_host6_vrms_ip</vt:lpstr>
      <vt:lpstr>sample_wld_az1_rack3_host7_function</vt:lpstr>
      <vt:lpstr>sample_wld_az1_rack3_host7_hostname</vt:lpstr>
      <vt:lpstr>sample_wld_az1_rack3_host7_mgmt_ip</vt:lpstr>
      <vt:lpstr>sample_wld_az1_rack3_host7_vrms_ip</vt:lpstr>
      <vt:lpstr>sample_wld_az1_rack3_host8_function</vt:lpstr>
      <vt:lpstr>sample_wld_az1_rack3_host8_hostname</vt:lpstr>
      <vt:lpstr>sample_wld_az1_rack3_host8_mgmt_ip</vt:lpstr>
      <vt:lpstr>sample_wld_az1_rack3_host8_vrms_ip</vt:lpstr>
      <vt:lpstr>sample_wld_az1_rack3_host9_function</vt:lpstr>
      <vt:lpstr>sample_wld_az1_rack3_host9_hostname</vt:lpstr>
      <vt:lpstr>sample_wld_az1_rack3_host9_mgmt_ip</vt:lpstr>
      <vt:lpstr>sample_wld_az1_rack3_host9_vrms_ip</vt:lpstr>
      <vt:lpstr>sample_wld_az1_rack3_mgmt_cidr</vt:lpstr>
      <vt:lpstr>sample_wld_az1_rack3_mgmt_gateway_ip</vt:lpstr>
      <vt:lpstr>sample_wld_az1_rack3_mgmt_mtu</vt:lpstr>
      <vt:lpstr>sample_wld_az1_rack3_mgmt_vlan</vt:lpstr>
      <vt:lpstr>sample_wld_az1_rack3_mgmt_vm_cidr</vt:lpstr>
      <vt:lpstr>sample_wld_az1_rack3_mgmt_vm_gateway_ip</vt:lpstr>
      <vt:lpstr>sample_wld_az1_rack3_mgmt_vm_mtu</vt:lpstr>
      <vt:lpstr>sample_wld_az1_rack3_mgmt_vm_vlan</vt:lpstr>
      <vt:lpstr>sample_wld_az1_rack3_pool_name</vt:lpstr>
      <vt:lpstr>sample_wld_az1_rack3_principal_storage_cidr</vt:lpstr>
      <vt:lpstr>sample_wld_az1_rack3_principal_storage_gateway_ip</vt:lpstr>
      <vt:lpstr>sample_wld_az1_rack3_principal_storage_mtu</vt:lpstr>
      <vt:lpstr>sample_wld_az1_rack3_principal_storage_pool_end_ip</vt:lpstr>
      <vt:lpstr>sample_wld_az1_rack3_principal_storage_pool_start_ip</vt:lpstr>
      <vt:lpstr>sample_wld_az1_rack3_principal_storage_vlan</vt:lpstr>
      <vt:lpstr>sample_wld_az1_rack3_rtep_ip_pool_name</vt:lpstr>
      <vt:lpstr>sample_wld_az1_rack3_rtep_overlay_cidr</vt:lpstr>
      <vt:lpstr>sample_wld_az1_rack3_rtep_overlay_gateway_ip</vt:lpstr>
      <vt:lpstr>sample_wld_az1_rack3_rtep_overlay_mtu</vt:lpstr>
      <vt:lpstr>sample_wld_az1_rack3_rtep_overlay_pool_end_ip</vt:lpstr>
      <vt:lpstr>sample_wld_az1_rack3_rtep_overlay_pool_start_ip</vt:lpstr>
      <vt:lpstr>sample_wld_az1_rack3_rtep_overlay_vlan</vt:lpstr>
      <vt:lpstr>sample_wld_az1_rack3_secondary_storage_cidr</vt:lpstr>
      <vt:lpstr>sample_wld_az1_rack3_secondary_storage_gateway_ip</vt:lpstr>
      <vt:lpstr>sample_wld_az1_rack3_secondary_storage_mtu</vt:lpstr>
      <vt:lpstr>sample_wld_az1_rack3_secondary_storage_pool_end_ip</vt:lpstr>
      <vt:lpstr>sample_wld_az1_rack3_secondary_storage_pool_start_ip</vt:lpstr>
      <vt:lpstr>sample_wld_az1_rack3_secondary_storage_vlan</vt:lpstr>
      <vt:lpstr>sample_wld_az1_rack3_tor1_peer_asn</vt:lpstr>
      <vt:lpstr>sample_wld_az1_rack3_tor1_peer_bgp_password</vt:lpstr>
      <vt:lpstr>sample_wld_az1_rack3_tor1_peer_ip</vt:lpstr>
      <vt:lpstr>sample_wld_az1_rack3_tor2_peer_asn</vt:lpstr>
      <vt:lpstr>sample_wld_az1_rack3_tor2_peer_bgp_password</vt:lpstr>
      <vt:lpstr>sample_wld_az1_rack3_tor2_peer_ip</vt:lpstr>
      <vt:lpstr>sample_wld_az1_rack3_uplink01_cidr</vt:lpstr>
      <vt:lpstr>sample_wld_az1_rack3_uplink01_gateway_ip</vt:lpstr>
      <vt:lpstr>sample_wld_az1_rack3_uplink01_mtu</vt:lpstr>
      <vt:lpstr>sample_wld_az1_rack3_uplink01_pg</vt:lpstr>
      <vt:lpstr>sample_wld_az1_rack3_uplink01_vlan</vt:lpstr>
      <vt:lpstr>sample_wld_az1_rack3_uplink02_cidr</vt:lpstr>
      <vt:lpstr>sample_wld_az1_rack3_uplink02_gateway_ip</vt:lpstr>
      <vt:lpstr>sample_wld_az1_rack3_uplink02_mtu</vt:lpstr>
      <vt:lpstr>sample_wld_az1_rack3_uplink02_pg</vt:lpstr>
      <vt:lpstr>sample_wld_az1_rack3_uplink02_vlan</vt:lpstr>
      <vt:lpstr>sample_wld_az1_rack3_vmotion_cidr</vt:lpstr>
      <vt:lpstr>sample_wld_az1_rack3_vmotion_gateway_ip</vt:lpstr>
      <vt:lpstr>sample_wld_az1_rack3_vmotion_mtu</vt:lpstr>
      <vt:lpstr>sample_wld_az1_rack3_vmotion_pool_end_ip</vt:lpstr>
      <vt:lpstr>sample_wld_az1_rack3_vmotion_pool_start_ip</vt:lpstr>
      <vt:lpstr>sample_wld_az1_rack3_vmotion_vlan</vt:lpstr>
      <vt:lpstr>sample_wld_az1_rack3_vrms_cidr</vt:lpstr>
      <vt:lpstr>sample_wld_az1_rack3_vrms_gateway_ip</vt:lpstr>
      <vt:lpstr>sample_wld_az1_rack3_vrms_mtu</vt:lpstr>
      <vt:lpstr>sample_wld_az1_rack3_vrms_vlan</vt:lpstr>
      <vt:lpstr>sample_wld_az1_rack3_vsan_fault_domain</vt:lpstr>
      <vt:lpstr>sample_wld_az1_rack4_child_dns_zone</vt:lpstr>
      <vt:lpstr>sample_wld_az1_rack4_edge_overlay_cidr</vt:lpstr>
      <vt:lpstr>sample_wld_az1_rack4_edge_overlay_gateway_ip</vt:lpstr>
      <vt:lpstr>sample_wld_az1_rack4_edge_overlay_mtu</vt:lpstr>
      <vt:lpstr>sample_wld_az1_rack4_edge_overlay_network_pool_name</vt:lpstr>
      <vt:lpstr>sample_wld_az1_rack4_edge_overlay_pool_end_ip</vt:lpstr>
      <vt:lpstr>sample_wld_az1_rack4_edge_overlay_pool_start_ip</vt:lpstr>
      <vt:lpstr>sample_wld_az1_rack4_edge_overlay_vlan</vt:lpstr>
      <vt:lpstr>sample_wld_az1_rack4_en1_hostname</vt:lpstr>
      <vt:lpstr>sample_wld_az1_rack4_en1_mgmt_ip</vt:lpstr>
      <vt:lpstr>sample_wld_az1_rack4_en1_uplink01_interface_ip</vt:lpstr>
      <vt:lpstr>sample_wld_az1_rack4_en1_uplink02_interface_ip</vt:lpstr>
      <vt:lpstr>sample_wld_az1_rack4_en2_hostname</vt:lpstr>
      <vt:lpstr>sample_wld_az1_rack4_en2_mgmt_ip</vt:lpstr>
      <vt:lpstr>sample_wld_az1_rack4_en2_uplink01_interface_ip</vt:lpstr>
      <vt:lpstr>sample_wld_az1_rack4_en2_uplink02_interface_ip</vt:lpstr>
      <vt:lpstr>sample_wld_az1_rack4_host_hostnames</vt:lpstr>
      <vt:lpstr>sample_wld_az1_rack4_host_mgmt_ips</vt:lpstr>
      <vt:lpstr>sample_wld_az1_rack4_host_overlay_cidr</vt:lpstr>
      <vt:lpstr>sample_wld_az1_rack4_host_overlay_gateway_ip</vt:lpstr>
      <vt:lpstr>sample_wld_az1_rack4_host_overlay_mtu</vt:lpstr>
      <vt:lpstr>sample_wld_az1_rack4_host_overlay_network_pool_name</vt:lpstr>
      <vt:lpstr>sample_wld_az1_rack4_host_overlay_network_profile_name</vt:lpstr>
      <vt:lpstr>sample_wld_az1_rack4_host_overlay_pool_end_ip</vt:lpstr>
      <vt:lpstr>sample_wld_az1_rack4_host_overlay_pool_start_ip</vt:lpstr>
      <vt:lpstr>sample_wld_az1_rack4_host_overlay_uplink_profile_name</vt:lpstr>
      <vt:lpstr>sample_wld_az1_rack4_host_overlay_vlan</vt:lpstr>
      <vt:lpstr>sample_wld_az1_rack4_host1_function</vt:lpstr>
      <vt:lpstr>sample_wld_az1_rack4_host1_hostname</vt:lpstr>
      <vt:lpstr>sample_wld_az1_rack4_host1_mgmt_ip</vt:lpstr>
      <vt:lpstr>sample_wld_az1_rack4_host1_vrms_ip</vt:lpstr>
      <vt:lpstr>sample_wld_az1_rack4_host10_function</vt:lpstr>
      <vt:lpstr>sample_wld_az1_rack4_host10_hostname</vt:lpstr>
      <vt:lpstr>sample_wld_az1_rack4_host10_mgmt_ip</vt:lpstr>
      <vt:lpstr>sample_wld_az1_rack4_host10_vrms_ip</vt:lpstr>
      <vt:lpstr>sample_wld_az1_rack4_host11_function</vt:lpstr>
      <vt:lpstr>sample_wld_az1_rack4_host11_hostname</vt:lpstr>
      <vt:lpstr>sample_wld_az1_rack4_host11_mgmt_ip</vt:lpstr>
      <vt:lpstr>sample_wld_az1_rack4_host11_vrms_ip</vt:lpstr>
      <vt:lpstr>sample_wld_az1_rack4_host12_function</vt:lpstr>
      <vt:lpstr>sample_wld_az1_rack4_host12_hostname</vt:lpstr>
      <vt:lpstr>sample_wld_az1_rack4_host12_mgmt_ip</vt:lpstr>
      <vt:lpstr>sample_wld_az1_rack4_host12_vrms_ip</vt:lpstr>
      <vt:lpstr>sample_wld_az1_rack4_host13_function</vt:lpstr>
      <vt:lpstr>sample_wld_az1_rack4_host13_hostname</vt:lpstr>
      <vt:lpstr>sample_wld_az1_rack4_host13_mgmt_ip</vt:lpstr>
      <vt:lpstr>sample_wld_az1_rack4_host13_vrms_ip</vt:lpstr>
      <vt:lpstr>sample_wld_az1_rack4_host14_function</vt:lpstr>
      <vt:lpstr>sample_wld_az1_rack4_host14_hostname</vt:lpstr>
      <vt:lpstr>sample_wld_az1_rack4_host14_mgmt_ip</vt:lpstr>
      <vt:lpstr>sample_wld_az1_rack4_host14_vrms_ip</vt:lpstr>
      <vt:lpstr>sample_wld_az1_rack4_host15_function</vt:lpstr>
      <vt:lpstr>sample_wld_az1_rack4_host15_hostname</vt:lpstr>
      <vt:lpstr>sample_wld_az1_rack4_host15_mgmt_ip</vt:lpstr>
      <vt:lpstr>sample_wld_az1_rack4_host15_vrms_ip</vt:lpstr>
      <vt:lpstr>sample_wld_az1_rack4_host16_function</vt:lpstr>
      <vt:lpstr>sample_wld_az1_rack4_host16_hostname</vt:lpstr>
      <vt:lpstr>sample_wld_az1_rack4_host16_mgmt_ip</vt:lpstr>
      <vt:lpstr>sample_wld_az1_rack4_host16_vrms_ip</vt:lpstr>
      <vt:lpstr>sample_wld_az1_rack4_host2_function</vt:lpstr>
      <vt:lpstr>sample_wld_az1_rack4_host2_hostname</vt:lpstr>
      <vt:lpstr>sample_wld_az1_rack4_host2_mgmt_ip</vt:lpstr>
      <vt:lpstr>sample_wld_az1_rack4_host2_vrms_ip</vt:lpstr>
      <vt:lpstr>sample_wld_az1_rack4_host3_function</vt:lpstr>
      <vt:lpstr>sample_wld_az1_rack4_host3_hostname</vt:lpstr>
      <vt:lpstr>sample_wld_az1_rack4_host3_mgmt_ip</vt:lpstr>
      <vt:lpstr>sample_wld_az1_rack4_host3_vrms_ip</vt:lpstr>
      <vt:lpstr>sample_wld_az1_rack4_host4_function</vt:lpstr>
      <vt:lpstr>sample_wld_az1_rack4_host4_hostname</vt:lpstr>
      <vt:lpstr>sample_wld_az1_rack4_host4_mgmt_ip</vt:lpstr>
      <vt:lpstr>sample_wld_az1_rack4_host4_vrms_ip</vt:lpstr>
      <vt:lpstr>sample_wld_az1_rack4_host5_function</vt:lpstr>
      <vt:lpstr>sample_wld_az1_rack4_host5_hostname</vt:lpstr>
      <vt:lpstr>sample_wld_az1_rack4_host5_mgmt_ip</vt:lpstr>
      <vt:lpstr>sample_wld_az1_rack4_host5_vrms_ip</vt:lpstr>
      <vt:lpstr>sample_wld_az1_rack4_host6_function</vt:lpstr>
      <vt:lpstr>sample_wld_az1_rack4_host6_hostname</vt:lpstr>
      <vt:lpstr>sample_wld_az1_rack4_host6_mgmt_ip</vt:lpstr>
      <vt:lpstr>sample_wld_az1_rack4_host6_vrms_ip</vt:lpstr>
      <vt:lpstr>sample_wld_az1_rack4_host7_function</vt:lpstr>
      <vt:lpstr>sample_wld_az1_rack4_host7_hostname</vt:lpstr>
      <vt:lpstr>sample_wld_az1_rack4_host7_mgmt_ip</vt:lpstr>
      <vt:lpstr>sample_wld_az1_rack4_host7_vrms_ip</vt:lpstr>
      <vt:lpstr>sample_wld_az1_rack4_host8_function</vt:lpstr>
      <vt:lpstr>sample_wld_az1_rack4_host8_hostname</vt:lpstr>
      <vt:lpstr>sample_wld_az1_rack4_host8_mgmt_ip</vt:lpstr>
      <vt:lpstr>sample_wld_az1_rack4_host8_vrms_ip</vt:lpstr>
      <vt:lpstr>sample_wld_az1_rack4_host9_function</vt:lpstr>
      <vt:lpstr>sample_wld_az1_rack4_host9_hostname</vt:lpstr>
      <vt:lpstr>sample_wld_az1_rack4_host9_mgmt_ip</vt:lpstr>
      <vt:lpstr>sample_wld_az1_rack4_host9_vrms_ip</vt:lpstr>
      <vt:lpstr>sample_wld_az1_rack4_mgmt_cidr</vt:lpstr>
      <vt:lpstr>sample_wld_az1_rack4_mgmt_gateway_ip</vt:lpstr>
      <vt:lpstr>sample_wld_az1_rack4_mgmt_mtu</vt:lpstr>
      <vt:lpstr>sample_wld_az1_rack4_mgmt_vlan</vt:lpstr>
      <vt:lpstr>sample_wld_az1_rack4_mgmt_vm_cidr</vt:lpstr>
      <vt:lpstr>sample_wld_az1_rack4_mgmt_vm_gateway_ip</vt:lpstr>
      <vt:lpstr>sample_wld_az1_rack4_mgmt_vm_mtu</vt:lpstr>
      <vt:lpstr>sample_wld_az1_rack4_mgmt_vm_vlan</vt:lpstr>
      <vt:lpstr>sample_wld_az1_rack4_pool_name</vt:lpstr>
      <vt:lpstr>sample_wld_az1_rack4_principal_storage_cidr</vt:lpstr>
      <vt:lpstr>sample_wld_az1_rack4_principal_storage_gateway_ip</vt:lpstr>
      <vt:lpstr>sample_wld_az1_rack4_principal_storage_mtu</vt:lpstr>
      <vt:lpstr>sample_wld_az1_rack4_principal_storage_pool_end_ip</vt:lpstr>
      <vt:lpstr>sample_wld_az1_rack4_principal_storage_pool_start_ip</vt:lpstr>
      <vt:lpstr>sample_wld_az1_rack4_principal_storage_vlan</vt:lpstr>
      <vt:lpstr>sample_wld_az1_rack4_rtep_ip_pool_name</vt:lpstr>
      <vt:lpstr>sample_wld_az1_rack4_rtep_overlay_cidr</vt:lpstr>
      <vt:lpstr>sample_wld_az1_rack4_rtep_overlay_gateway_ip</vt:lpstr>
      <vt:lpstr>sample_wld_az1_rack4_rtep_overlay_mtu</vt:lpstr>
      <vt:lpstr>sample_wld_az1_rack4_rtep_overlay_pool_end_ip</vt:lpstr>
      <vt:lpstr>sample_wld_az1_rack4_rtep_overlay_pool_start_ip</vt:lpstr>
      <vt:lpstr>sample_wld_az1_rack4_rtep_overlay_vlan</vt:lpstr>
      <vt:lpstr>sample_wld_az1_rack4_secondary_storage_cidr</vt:lpstr>
      <vt:lpstr>sample_wld_az1_rack4_secondary_storage_gateway_ip</vt:lpstr>
      <vt:lpstr>sample_wld_az1_rack4_secondary_storage_mtu</vt:lpstr>
      <vt:lpstr>sample_wld_az1_rack4_secondary_storage_pool_end_ip</vt:lpstr>
      <vt:lpstr>sample_wld_az1_rack4_secondary_storage_pool_start_ip</vt:lpstr>
      <vt:lpstr>sample_wld_az1_rack4_secondary_storage_vlan</vt:lpstr>
      <vt:lpstr>sample_wld_az1_rack4_tor1_peer_asn</vt:lpstr>
      <vt:lpstr>sample_wld_az1_rack4_tor1_peer_bgp_password</vt:lpstr>
      <vt:lpstr>sample_wld_az1_rack4_tor1_peer_ip</vt:lpstr>
      <vt:lpstr>sample_wld_az1_rack4_tor2_peer_asn</vt:lpstr>
      <vt:lpstr>sample_wld_az1_rack4_tor2_peer_bgp_password</vt:lpstr>
      <vt:lpstr>sample_wld_az1_rack4_tor2_peer_ip</vt:lpstr>
      <vt:lpstr>sample_wld_az1_rack4_uplink01_cidr</vt:lpstr>
      <vt:lpstr>sample_wld_az1_rack4_uplink01_gateway_ip</vt:lpstr>
      <vt:lpstr>sample_wld_az1_rack4_uplink01_mtu</vt:lpstr>
      <vt:lpstr>sample_wld_az1_rack4_uplink01_pg</vt:lpstr>
      <vt:lpstr>sample_wld_az1_rack4_uplink01_vlan</vt:lpstr>
      <vt:lpstr>sample_wld_az1_rack4_uplink02_cidr</vt:lpstr>
      <vt:lpstr>sample_wld_az1_rack4_uplink02_gateway_ip</vt:lpstr>
      <vt:lpstr>sample_wld_az1_rack4_uplink02_mtu</vt:lpstr>
      <vt:lpstr>sample_wld_az1_rack4_uplink02_pg</vt:lpstr>
      <vt:lpstr>sample_wld_az1_rack4_uplink02_vlan</vt:lpstr>
      <vt:lpstr>sample_wld_az1_rack4_vmotion_cidr</vt:lpstr>
      <vt:lpstr>sample_wld_az1_rack4_vmotion_gateway_ip</vt:lpstr>
      <vt:lpstr>sample_wld_az1_rack4_vmotion_mtu</vt:lpstr>
      <vt:lpstr>sample_wld_az1_rack4_vmotion_pool_end_ip</vt:lpstr>
      <vt:lpstr>sample_wld_az1_rack4_vmotion_pool_start_ip</vt:lpstr>
      <vt:lpstr>sample_wld_az1_rack4_vmotion_vlan</vt:lpstr>
      <vt:lpstr>sample_wld_az1_rack4_vrms_cidr</vt:lpstr>
      <vt:lpstr>sample_wld_az1_rack4_vrms_gateway_ip</vt:lpstr>
      <vt:lpstr>sample_wld_az1_rack4_vrms_mtu</vt:lpstr>
      <vt:lpstr>sample_wld_az1_rack4_vrms_vlan</vt:lpstr>
      <vt:lpstr>sample_wld_az1_rack4_vsan_fault_domain</vt:lpstr>
      <vt:lpstr>sample_wld_az1_rack5_child_dns_zone</vt:lpstr>
      <vt:lpstr>sample_wld_az1_rack5_edge_overlay_cidr</vt:lpstr>
      <vt:lpstr>sample_wld_az1_rack5_edge_overlay_gateway_ip</vt:lpstr>
      <vt:lpstr>sample_wld_az1_rack5_edge_overlay_mtu</vt:lpstr>
      <vt:lpstr>sample_wld_az1_rack5_edge_overlay_network_pool_name</vt:lpstr>
      <vt:lpstr>sample_wld_az1_rack5_edge_overlay_pool_end_ip</vt:lpstr>
      <vt:lpstr>sample_wld_az1_rack5_edge_overlay_pool_start_ip</vt:lpstr>
      <vt:lpstr>sample_wld_az1_rack5_edge_overlay_vlan</vt:lpstr>
      <vt:lpstr>sample_wld_az1_rack5_en1_hostname</vt:lpstr>
      <vt:lpstr>sample_wld_az1_rack5_en1_mgmt_ip</vt:lpstr>
      <vt:lpstr>sample_wld_az1_rack5_en1_uplink01_interface_ip</vt:lpstr>
      <vt:lpstr>sample_wld_az1_rack5_en1_uplink02_interface_ip</vt:lpstr>
      <vt:lpstr>sample_wld_az1_rack5_en2_hostname</vt:lpstr>
      <vt:lpstr>sample_wld_az1_rack5_en2_mgmt_ip</vt:lpstr>
      <vt:lpstr>sample_wld_az1_rack5_en2_uplink01_interface_ip</vt:lpstr>
      <vt:lpstr>sample_wld_az1_rack5_en2_uplink02_interface_ip</vt:lpstr>
      <vt:lpstr>sample_wld_az1_rack5_host_hostnames</vt:lpstr>
      <vt:lpstr>sample_wld_az1_rack5_host_mgmt_ips</vt:lpstr>
      <vt:lpstr>sample_wld_az1_rack5_host_overlay_cidr</vt:lpstr>
      <vt:lpstr>sample_wld_az1_rack5_host_overlay_gateway_ip</vt:lpstr>
      <vt:lpstr>sample_wld_az1_rack5_host_overlay_mtu</vt:lpstr>
      <vt:lpstr>sample_wld_az1_rack5_host_overlay_network_pool_name</vt:lpstr>
      <vt:lpstr>sample_wld_az1_rack5_host_overlay_network_profile_name</vt:lpstr>
      <vt:lpstr>sample_wld_az1_rack5_host_overlay_pool_end_ip</vt:lpstr>
      <vt:lpstr>sample_wld_az1_rack5_host_overlay_pool_start_ip</vt:lpstr>
      <vt:lpstr>sample_wld_az1_rack5_host_overlay_uplink_profile_name</vt:lpstr>
      <vt:lpstr>sample_wld_az1_rack5_host_overlay_vlan</vt:lpstr>
      <vt:lpstr>sample_wld_az1_rack5_host1_function</vt:lpstr>
      <vt:lpstr>sample_wld_az1_rack5_host1_hostname</vt:lpstr>
      <vt:lpstr>sample_wld_az1_rack5_host1_mgmt_ip</vt:lpstr>
      <vt:lpstr>sample_wld_az1_rack5_host1_vrms_ip</vt:lpstr>
      <vt:lpstr>sample_wld_az1_rack5_host10_function</vt:lpstr>
      <vt:lpstr>sample_wld_az1_rack5_host10_hostname</vt:lpstr>
      <vt:lpstr>sample_wld_az1_rack5_host10_mgmt_ip</vt:lpstr>
      <vt:lpstr>sample_wld_az1_rack5_host10_vrms_ip</vt:lpstr>
      <vt:lpstr>sample_wld_az1_rack5_host11_function</vt:lpstr>
      <vt:lpstr>sample_wld_az1_rack5_host11_hostname</vt:lpstr>
      <vt:lpstr>sample_wld_az1_rack5_host11_mgmt_ip</vt:lpstr>
      <vt:lpstr>sample_wld_az1_rack5_host11_vrms_ip</vt:lpstr>
      <vt:lpstr>sample_wld_az1_rack5_host12_function</vt:lpstr>
      <vt:lpstr>sample_wld_az1_rack5_host12_hostname</vt:lpstr>
      <vt:lpstr>sample_wld_az1_rack5_host12_mgmt_ip</vt:lpstr>
      <vt:lpstr>sample_wld_az1_rack5_host12_vrms_ip</vt:lpstr>
      <vt:lpstr>sample_wld_az1_rack5_host13_function</vt:lpstr>
      <vt:lpstr>sample_wld_az1_rack5_host13_hostname</vt:lpstr>
      <vt:lpstr>sample_wld_az1_rack5_host13_mgmt_ip</vt:lpstr>
      <vt:lpstr>sample_wld_az1_rack5_host13_vrms_ip</vt:lpstr>
      <vt:lpstr>sample_wld_az1_rack5_host14_function</vt:lpstr>
      <vt:lpstr>sample_wld_az1_rack5_host14_hostname</vt:lpstr>
      <vt:lpstr>sample_wld_az1_rack5_host14_mgmt_ip</vt:lpstr>
      <vt:lpstr>sample_wld_az1_rack5_host14_vrms_ip</vt:lpstr>
      <vt:lpstr>sample_wld_az1_rack5_host15_function</vt:lpstr>
      <vt:lpstr>sample_wld_az1_rack5_host15_hostname</vt:lpstr>
      <vt:lpstr>sample_wld_az1_rack5_host15_mgmt_ip</vt:lpstr>
      <vt:lpstr>sample_wld_az1_rack5_host15_vrms_ip</vt:lpstr>
      <vt:lpstr>sample_wld_az1_rack5_host16_function</vt:lpstr>
      <vt:lpstr>sample_wld_az1_rack5_host16_hostname</vt:lpstr>
      <vt:lpstr>sample_wld_az1_rack5_host16_mgmt_ip</vt:lpstr>
      <vt:lpstr>sample_wld_az1_rack5_host16_vrms_ip</vt:lpstr>
      <vt:lpstr>sample_wld_az1_rack5_host2_function</vt:lpstr>
      <vt:lpstr>sample_wld_az1_rack5_host2_hostname</vt:lpstr>
      <vt:lpstr>sample_wld_az1_rack5_host2_mgmt_ip</vt:lpstr>
      <vt:lpstr>sample_wld_az1_rack5_host2_vrms_ip</vt:lpstr>
      <vt:lpstr>sample_wld_az1_rack5_host3_function</vt:lpstr>
      <vt:lpstr>sample_wld_az1_rack5_host3_hostname</vt:lpstr>
      <vt:lpstr>sample_wld_az1_rack5_host3_mgmt_ip</vt:lpstr>
      <vt:lpstr>sample_wld_az1_rack5_host3_vrms_ip</vt:lpstr>
      <vt:lpstr>sample_wld_az1_rack5_host4_function</vt:lpstr>
      <vt:lpstr>sample_wld_az1_rack5_host4_hostname</vt:lpstr>
      <vt:lpstr>sample_wld_az1_rack5_host4_mgmt_ip</vt:lpstr>
      <vt:lpstr>sample_wld_az1_rack5_host4_vrms_ip</vt:lpstr>
      <vt:lpstr>sample_wld_az1_rack5_host5_function</vt:lpstr>
      <vt:lpstr>sample_wld_az1_rack5_host5_hostname</vt:lpstr>
      <vt:lpstr>sample_wld_az1_rack5_host5_mgmt_ip</vt:lpstr>
      <vt:lpstr>sample_wld_az1_rack5_host5_vrms_ip</vt:lpstr>
      <vt:lpstr>sample_wld_az1_rack5_host6_function</vt:lpstr>
      <vt:lpstr>sample_wld_az1_rack5_host6_hostname</vt:lpstr>
      <vt:lpstr>sample_wld_az1_rack5_host6_mgmt_ip</vt:lpstr>
      <vt:lpstr>sample_wld_az1_rack5_host6_vrms_ip</vt:lpstr>
      <vt:lpstr>sample_wld_az1_rack5_host7_function</vt:lpstr>
      <vt:lpstr>sample_wld_az1_rack5_host7_hostname</vt:lpstr>
      <vt:lpstr>sample_wld_az1_rack5_host7_mgmt_ip</vt:lpstr>
      <vt:lpstr>sample_wld_az1_rack5_host7_vrms_ip</vt:lpstr>
      <vt:lpstr>sample_wld_az1_rack5_host8_function</vt:lpstr>
      <vt:lpstr>sample_wld_az1_rack5_host8_hostname</vt:lpstr>
      <vt:lpstr>sample_wld_az1_rack5_host8_mgmt_ip</vt:lpstr>
      <vt:lpstr>sample_wld_az1_rack5_host8_vrms_ip</vt:lpstr>
      <vt:lpstr>sample_wld_az1_rack5_host9_function</vt:lpstr>
      <vt:lpstr>sample_wld_az1_rack5_host9_hostname</vt:lpstr>
      <vt:lpstr>sample_wld_az1_rack5_host9_mgmt_ip</vt:lpstr>
      <vt:lpstr>sample_wld_az1_rack5_host9_vrms_ip</vt:lpstr>
      <vt:lpstr>sample_wld_az1_rack5_mgmt_cidr</vt:lpstr>
      <vt:lpstr>sample_wld_az1_rack5_mgmt_gateway_ip</vt:lpstr>
      <vt:lpstr>sample_wld_az1_rack5_mgmt_mtu</vt:lpstr>
      <vt:lpstr>sample_wld_az1_rack5_mgmt_vlan</vt:lpstr>
      <vt:lpstr>sample_wld_az1_rack5_mgmt_vm_cidr</vt:lpstr>
      <vt:lpstr>sample_wld_az1_rack5_mgmt_vm_gateway_ip</vt:lpstr>
      <vt:lpstr>sample_wld_az1_rack5_mgmt_vm_mtu</vt:lpstr>
      <vt:lpstr>sample_wld_az1_rack5_mgmt_vm_vlan</vt:lpstr>
      <vt:lpstr>sample_wld_az1_rack5_pool_name</vt:lpstr>
      <vt:lpstr>sample_wld_az1_rack5_principal_storage_cidr</vt:lpstr>
      <vt:lpstr>sample_wld_az1_rack5_principal_storage_gateway_ip</vt:lpstr>
      <vt:lpstr>sample_wld_az1_rack5_principal_storage_mtu</vt:lpstr>
      <vt:lpstr>sample_wld_az1_rack5_principal_storage_pool_end_ip</vt:lpstr>
      <vt:lpstr>sample_wld_az1_rack5_principal_storage_pool_start_ip</vt:lpstr>
      <vt:lpstr>sample_wld_az1_rack5_principal_storage_vlan</vt:lpstr>
      <vt:lpstr>sample_wld_az1_rack5_rtep_ip_pool_name</vt:lpstr>
      <vt:lpstr>sample_wld_az1_rack5_rtep_overlay_cidr</vt:lpstr>
      <vt:lpstr>sample_wld_az1_rack5_rtep_overlay_gateway_ip</vt:lpstr>
      <vt:lpstr>sample_wld_az1_rack5_rtep_overlay_mtu</vt:lpstr>
      <vt:lpstr>sample_wld_az1_rack5_rtep_overlay_pool_end_ip</vt:lpstr>
      <vt:lpstr>sample_wld_az1_rack5_rtep_overlay_pool_start_ip</vt:lpstr>
      <vt:lpstr>sample_wld_az1_rack5_rtep_overlay_vlan</vt:lpstr>
      <vt:lpstr>sample_wld_az1_rack5_secondary_storage_cidr</vt:lpstr>
      <vt:lpstr>sample_wld_az1_rack5_secondary_storage_gateway_ip</vt:lpstr>
      <vt:lpstr>sample_wld_az1_rack5_secondary_storage_mtu</vt:lpstr>
      <vt:lpstr>sample_wld_az1_rack5_secondary_storage_pool_end_ip</vt:lpstr>
      <vt:lpstr>sample_wld_az1_rack5_secondary_storage_pool_start_ip</vt:lpstr>
      <vt:lpstr>sample_wld_az1_rack5_secondary_storage_vlan</vt:lpstr>
      <vt:lpstr>sample_wld_az1_rack5_tor1_peer_asn</vt:lpstr>
      <vt:lpstr>sample_wld_az1_rack5_tor1_peer_bgp_password</vt:lpstr>
      <vt:lpstr>sample_wld_az1_rack5_tor1_peer_ip</vt:lpstr>
      <vt:lpstr>sample_wld_az1_rack5_tor2_peer_asn</vt:lpstr>
      <vt:lpstr>sample_wld_az1_rack5_tor2_peer_bgp_password</vt:lpstr>
      <vt:lpstr>sample_wld_az1_rack5_tor2_peer_ip</vt:lpstr>
      <vt:lpstr>sample_wld_az1_rack5_uplink01_cidr</vt:lpstr>
      <vt:lpstr>sample_wld_az1_rack5_uplink01_gateway_ip</vt:lpstr>
      <vt:lpstr>sample_wld_az1_rack5_uplink01_mtu</vt:lpstr>
      <vt:lpstr>sample_wld_az1_rack5_uplink01_pg</vt:lpstr>
      <vt:lpstr>sample_wld_az1_rack5_uplink01_vlan</vt:lpstr>
      <vt:lpstr>sample_wld_az1_rack5_uplink02_cidr</vt:lpstr>
      <vt:lpstr>sample_wld_az1_rack5_uplink02_gateway_ip</vt:lpstr>
      <vt:lpstr>sample_wld_az1_rack5_uplink02_mtu</vt:lpstr>
      <vt:lpstr>sample_wld_az1_rack5_uplink02_pg</vt:lpstr>
      <vt:lpstr>sample_wld_az1_rack5_uplink02_vlan</vt:lpstr>
      <vt:lpstr>sample_wld_az1_rack5_vmotion_cidr</vt:lpstr>
      <vt:lpstr>sample_wld_az1_rack5_vmotion_gateway_ip</vt:lpstr>
      <vt:lpstr>sample_wld_az1_rack5_vmotion_mtu</vt:lpstr>
      <vt:lpstr>sample_wld_az1_rack5_vmotion_pool_end_ip</vt:lpstr>
      <vt:lpstr>sample_wld_az1_rack5_vmotion_pool_start_ip</vt:lpstr>
      <vt:lpstr>sample_wld_az1_rack5_vmotion_vlan</vt:lpstr>
      <vt:lpstr>sample_wld_az1_rack5_vrms_cidr</vt:lpstr>
      <vt:lpstr>sample_wld_az1_rack5_vrms_gateway_ip</vt:lpstr>
      <vt:lpstr>sample_wld_az1_rack5_vrms_mtu</vt:lpstr>
      <vt:lpstr>sample_wld_az1_rack5_vrms_vlan</vt:lpstr>
      <vt:lpstr>sample_wld_az1_rack5_vsan_fault_domain</vt:lpstr>
      <vt:lpstr>sample_wld_az1_rack6_child_dns_zone</vt:lpstr>
      <vt:lpstr>sample_wld_az1_rack6_edge_overlay_cidr</vt:lpstr>
      <vt:lpstr>sample_wld_az1_rack6_edge_overlay_gateway_ip</vt:lpstr>
      <vt:lpstr>sample_wld_az1_rack6_edge_overlay_mtu</vt:lpstr>
      <vt:lpstr>sample_wld_az1_rack6_edge_overlay_network_pool_name</vt:lpstr>
      <vt:lpstr>sample_wld_az1_rack6_edge_overlay_pool_end_ip</vt:lpstr>
      <vt:lpstr>sample_wld_az1_rack6_edge_overlay_pool_start_ip</vt:lpstr>
      <vt:lpstr>sample_wld_az1_rack6_edge_overlay_vlan</vt:lpstr>
      <vt:lpstr>sample_wld_az1_rack6_en1_hostname</vt:lpstr>
      <vt:lpstr>sample_wld_az1_rack6_en1_mgmt_ip</vt:lpstr>
      <vt:lpstr>sample_wld_az1_rack6_en1_uplink01_interface_ip</vt:lpstr>
      <vt:lpstr>sample_wld_az1_rack6_en1_uplink02_interface_ip</vt:lpstr>
      <vt:lpstr>sample_wld_az1_rack6_en2_hostname</vt:lpstr>
      <vt:lpstr>sample_wld_az1_rack6_en2_mgmt_ip</vt:lpstr>
      <vt:lpstr>sample_wld_az1_rack6_en2_uplink01_interface_ip</vt:lpstr>
      <vt:lpstr>sample_wld_az1_rack6_en2_uplink02_interface_ip</vt:lpstr>
      <vt:lpstr>sample_wld_az1_rack6_host_hostnames</vt:lpstr>
      <vt:lpstr>sample_wld_az1_rack6_host_mgmt_ips</vt:lpstr>
      <vt:lpstr>sample_wld_az1_rack6_host_overlay_cidr</vt:lpstr>
      <vt:lpstr>sample_wld_az1_rack6_host_overlay_gateway_ip</vt:lpstr>
      <vt:lpstr>sample_wld_az1_rack6_host_overlay_mtu</vt:lpstr>
      <vt:lpstr>sample_wld_az1_rack6_host_overlay_network_pool_name</vt:lpstr>
      <vt:lpstr>sample_wld_az1_rack6_host_overlay_network_profile_name</vt:lpstr>
      <vt:lpstr>sample_wld_az1_rack6_host_overlay_pool_end_ip</vt:lpstr>
      <vt:lpstr>sample_wld_az1_rack6_host_overlay_pool_start_ip</vt:lpstr>
      <vt:lpstr>sample_wld_az1_rack6_host_overlay_uplink_profile_name</vt:lpstr>
      <vt:lpstr>sample_wld_az1_rack6_host_overlay_vlan</vt:lpstr>
      <vt:lpstr>sample_wld_az1_rack6_host1_function</vt:lpstr>
      <vt:lpstr>sample_wld_az1_rack6_host1_hostname</vt:lpstr>
      <vt:lpstr>sample_wld_az1_rack6_host1_mgmt_ip</vt:lpstr>
      <vt:lpstr>sample_wld_az1_rack6_host1_vrms_ip</vt:lpstr>
      <vt:lpstr>sample_wld_az1_rack6_host10_function</vt:lpstr>
      <vt:lpstr>sample_wld_az1_rack6_host10_hostname</vt:lpstr>
      <vt:lpstr>sample_wld_az1_rack6_host10_mgmt_ip</vt:lpstr>
      <vt:lpstr>sample_wld_az1_rack6_host10_vrms_ip</vt:lpstr>
      <vt:lpstr>sample_wld_az1_rack6_host11_function</vt:lpstr>
      <vt:lpstr>sample_wld_az1_rack6_host11_hostname</vt:lpstr>
      <vt:lpstr>sample_wld_az1_rack6_host11_mgmt_ip</vt:lpstr>
      <vt:lpstr>sample_wld_az1_rack6_host11_vrms_ip</vt:lpstr>
      <vt:lpstr>sample_wld_az1_rack6_host12_function</vt:lpstr>
      <vt:lpstr>sample_wld_az1_rack6_host12_hostname</vt:lpstr>
      <vt:lpstr>sample_wld_az1_rack6_host12_mgmt_ip</vt:lpstr>
      <vt:lpstr>sample_wld_az1_rack6_host12_vrms_ip</vt:lpstr>
      <vt:lpstr>sample_wld_az1_rack6_host13_function</vt:lpstr>
      <vt:lpstr>sample_wld_az1_rack6_host13_hostname</vt:lpstr>
      <vt:lpstr>sample_wld_az1_rack6_host13_mgmt_ip</vt:lpstr>
      <vt:lpstr>sample_wld_az1_rack6_host13_vrms_ip</vt:lpstr>
      <vt:lpstr>sample_wld_az1_rack6_host14_function</vt:lpstr>
      <vt:lpstr>sample_wld_az1_rack6_host14_hostname</vt:lpstr>
      <vt:lpstr>sample_wld_az1_rack6_host14_mgmt_ip</vt:lpstr>
      <vt:lpstr>sample_wld_az1_rack6_host14_vrms_ip</vt:lpstr>
      <vt:lpstr>sample_wld_az1_rack6_host15_function</vt:lpstr>
      <vt:lpstr>sample_wld_az1_rack6_host15_hostname</vt:lpstr>
      <vt:lpstr>sample_wld_az1_rack6_host15_mgmt_ip</vt:lpstr>
      <vt:lpstr>sample_wld_az1_rack6_host15_vrms_ip</vt:lpstr>
      <vt:lpstr>sample_wld_az1_rack6_host16_function</vt:lpstr>
      <vt:lpstr>sample_wld_az1_rack6_host16_hostname</vt:lpstr>
      <vt:lpstr>sample_wld_az1_rack6_host16_mgmt_ip</vt:lpstr>
      <vt:lpstr>sample_wld_az1_rack6_host16_vrms_ip</vt:lpstr>
      <vt:lpstr>sample_wld_az1_rack6_host2_function</vt:lpstr>
      <vt:lpstr>sample_wld_az1_rack6_host2_hostname</vt:lpstr>
      <vt:lpstr>sample_wld_az1_rack6_host2_mgmt_ip</vt:lpstr>
      <vt:lpstr>sample_wld_az1_rack6_host2_vrms_ip</vt:lpstr>
      <vt:lpstr>sample_wld_az1_rack6_host3_function</vt:lpstr>
      <vt:lpstr>sample_wld_az1_rack6_host3_hostname</vt:lpstr>
      <vt:lpstr>sample_wld_az1_rack6_host3_mgmt_ip</vt:lpstr>
      <vt:lpstr>sample_wld_az1_rack6_host3_vrms_ip</vt:lpstr>
      <vt:lpstr>sample_wld_az1_rack6_host4_function</vt:lpstr>
      <vt:lpstr>sample_wld_az1_rack6_host4_hostname</vt:lpstr>
      <vt:lpstr>sample_wld_az1_rack6_host4_mgmt_ip</vt:lpstr>
      <vt:lpstr>sample_wld_az1_rack6_host4_vrms_ip</vt:lpstr>
      <vt:lpstr>sample_wld_az1_rack6_host5_function</vt:lpstr>
      <vt:lpstr>sample_wld_az1_rack6_host5_hostname</vt:lpstr>
      <vt:lpstr>sample_wld_az1_rack6_host5_mgmt_ip</vt:lpstr>
      <vt:lpstr>sample_wld_az1_rack6_host5_vrms_ip</vt:lpstr>
      <vt:lpstr>sample_wld_az1_rack6_host6_function</vt:lpstr>
      <vt:lpstr>sample_wld_az1_rack6_host6_hostname</vt:lpstr>
      <vt:lpstr>sample_wld_az1_rack6_host6_mgmt_ip</vt:lpstr>
      <vt:lpstr>sample_wld_az1_rack6_host6_vrms_ip</vt:lpstr>
      <vt:lpstr>sample_wld_az1_rack6_host7_function</vt:lpstr>
      <vt:lpstr>sample_wld_az1_rack6_host7_hostname</vt:lpstr>
      <vt:lpstr>sample_wld_az1_rack6_host7_mgmt_ip</vt:lpstr>
      <vt:lpstr>sample_wld_az1_rack6_host7_vrms_ip</vt:lpstr>
      <vt:lpstr>sample_wld_az1_rack6_host8_function</vt:lpstr>
      <vt:lpstr>sample_wld_az1_rack6_host8_hostname</vt:lpstr>
      <vt:lpstr>sample_wld_az1_rack6_host8_mgmt_ip</vt:lpstr>
      <vt:lpstr>sample_wld_az1_rack6_host8_vrms_ip</vt:lpstr>
      <vt:lpstr>sample_wld_az1_rack6_host9_function</vt:lpstr>
      <vt:lpstr>sample_wld_az1_rack6_host9_hostname</vt:lpstr>
      <vt:lpstr>sample_wld_az1_rack6_host9_mgmt_ip</vt:lpstr>
      <vt:lpstr>sample_wld_az1_rack6_host9_vrms_ip</vt:lpstr>
      <vt:lpstr>sample_wld_az1_rack6_mgmt_cidr</vt:lpstr>
      <vt:lpstr>sample_wld_az1_rack6_mgmt_gateway_ip</vt:lpstr>
      <vt:lpstr>sample_wld_az1_rack6_mgmt_mtu</vt:lpstr>
      <vt:lpstr>sample_wld_az1_rack6_mgmt_vlan</vt:lpstr>
      <vt:lpstr>sample_wld_az1_rack6_mgmt_vm_cidr</vt:lpstr>
      <vt:lpstr>sample_wld_az1_rack6_mgmt_vm_gateway_ip</vt:lpstr>
      <vt:lpstr>sample_wld_az1_rack6_mgmt_vm_mtu</vt:lpstr>
      <vt:lpstr>sample_wld_az1_rack6_mgmt_vm_vlan</vt:lpstr>
      <vt:lpstr>sample_wld_az1_rack6_pool_name</vt:lpstr>
      <vt:lpstr>sample_wld_az1_rack6_principal_storage_cidr</vt:lpstr>
      <vt:lpstr>sample_wld_az1_rack6_principal_storage_gateway_ip</vt:lpstr>
      <vt:lpstr>sample_wld_az1_rack6_principal_storage_mtu</vt:lpstr>
      <vt:lpstr>sample_wld_az1_rack6_principal_storage_pool_end_ip</vt:lpstr>
      <vt:lpstr>sample_wld_az1_rack6_principal_storage_pool_start_ip</vt:lpstr>
      <vt:lpstr>sample_wld_az1_rack6_principal_storage_vlan</vt:lpstr>
      <vt:lpstr>sample_wld_az1_rack6_rtep_ip_pool_name</vt:lpstr>
      <vt:lpstr>sample_wld_az1_rack6_rtep_overlay_cidr</vt:lpstr>
      <vt:lpstr>sample_wld_az1_rack6_rtep_overlay_gateway_ip</vt:lpstr>
      <vt:lpstr>sample_wld_az1_rack6_rtep_overlay_mtu</vt:lpstr>
      <vt:lpstr>sample_wld_az1_rack6_rtep_overlay_pool_end_ip</vt:lpstr>
      <vt:lpstr>sample_wld_az1_rack6_rtep_overlay_pool_start_ip</vt:lpstr>
      <vt:lpstr>sample_wld_az1_rack6_rtep_overlay_vlan</vt:lpstr>
      <vt:lpstr>sample_wld_az1_rack6_secondary_storage_cidr</vt:lpstr>
      <vt:lpstr>sample_wld_az1_rack6_secondary_storage_gateway_ip</vt:lpstr>
      <vt:lpstr>sample_wld_az1_rack6_secondary_storage_mtu</vt:lpstr>
      <vt:lpstr>sample_wld_az1_rack6_secondary_storage_pool_end_ip</vt:lpstr>
      <vt:lpstr>sample_wld_az1_rack6_secondary_storage_pool_start_ip</vt:lpstr>
      <vt:lpstr>sample_wld_az1_rack6_secondary_storage_vlan</vt:lpstr>
      <vt:lpstr>sample_wld_az1_rack6_tor1_peer_asn</vt:lpstr>
      <vt:lpstr>sample_wld_az1_rack6_tor1_peer_bgp_password</vt:lpstr>
      <vt:lpstr>sample_wld_az1_rack6_tor1_peer_ip</vt:lpstr>
      <vt:lpstr>sample_wld_az1_rack6_tor2_peer_asn</vt:lpstr>
      <vt:lpstr>sample_wld_az1_rack6_tor2_peer_bgp_password</vt:lpstr>
      <vt:lpstr>sample_wld_az1_rack6_tor2_peer_ip</vt:lpstr>
      <vt:lpstr>sample_wld_az1_rack6_uplink01_cidr</vt:lpstr>
      <vt:lpstr>sample_wld_az1_rack6_uplink01_gateway_ip</vt:lpstr>
      <vt:lpstr>sample_wld_az1_rack6_uplink01_mtu</vt:lpstr>
      <vt:lpstr>sample_wld_az1_rack6_uplink01_pg</vt:lpstr>
      <vt:lpstr>sample_wld_az1_rack6_uplink01_vlan</vt:lpstr>
      <vt:lpstr>sample_wld_az1_rack6_uplink02_cidr</vt:lpstr>
      <vt:lpstr>sample_wld_az1_rack6_uplink02_gateway_ip</vt:lpstr>
      <vt:lpstr>sample_wld_az1_rack6_uplink02_mtu</vt:lpstr>
      <vt:lpstr>sample_wld_az1_rack6_uplink02_pg</vt:lpstr>
      <vt:lpstr>sample_wld_az1_rack6_uplink02_vlan</vt:lpstr>
      <vt:lpstr>sample_wld_az1_rack6_vmotion_cidr</vt:lpstr>
      <vt:lpstr>sample_wld_az1_rack6_vmotion_gateway_ip</vt:lpstr>
      <vt:lpstr>sample_wld_az1_rack6_vmotion_mtu</vt:lpstr>
      <vt:lpstr>sample_wld_az1_rack6_vmotion_pool_end_ip</vt:lpstr>
      <vt:lpstr>sample_wld_az1_rack6_vmotion_pool_start_ip</vt:lpstr>
      <vt:lpstr>sample_wld_az1_rack6_vmotion_vlan</vt:lpstr>
      <vt:lpstr>sample_wld_az1_rack6_vrms_cidr</vt:lpstr>
      <vt:lpstr>sample_wld_az1_rack6_vrms_gateway_ip</vt:lpstr>
      <vt:lpstr>sample_wld_az1_rack6_vrms_mtu</vt:lpstr>
      <vt:lpstr>sample_wld_az1_rack6_vrms_vlan</vt:lpstr>
      <vt:lpstr>sample_wld_az1_rack6_vsan_fault_domain</vt:lpstr>
      <vt:lpstr>sample_wld_az1_rack7_child_dns_zone</vt:lpstr>
      <vt:lpstr>sample_wld_az1_rack7_edge_overlay_cidr</vt:lpstr>
      <vt:lpstr>sample_wld_az1_rack7_edge_overlay_gateway_ip</vt:lpstr>
      <vt:lpstr>sample_wld_az1_rack7_edge_overlay_mtu</vt:lpstr>
      <vt:lpstr>sample_wld_az1_rack7_edge_overlay_network_pool_name</vt:lpstr>
      <vt:lpstr>sample_wld_az1_rack7_edge_overlay_pool_end_ip</vt:lpstr>
      <vt:lpstr>sample_wld_az1_rack7_edge_overlay_pool_start_ip</vt:lpstr>
      <vt:lpstr>sample_wld_az1_rack7_edge_overlay_vlan</vt:lpstr>
      <vt:lpstr>sample_wld_az1_rack7_en1_hostname</vt:lpstr>
      <vt:lpstr>sample_wld_az1_rack7_en1_mgmt_ip</vt:lpstr>
      <vt:lpstr>sample_wld_az1_rack7_en1_uplink01_interface_ip</vt:lpstr>
      <vt:lpstr>sample_wld_az1_rack7_en1_uplink02_interface_ip</vt:lpstr>
      <vt:lpstr>sample_wld_az1_rack7_en2_hostname</vt:lpstr>
      <vt:lpstr>sample_wld_az1_rack7_en2_mgmt_ip</vt:lpstr>
      <vt:lpstr>sample_wld_az1_rack7_en2_uplink01_interface_ip</vt:lpstr>
      <vt:lpstr>sample_wld_az1_rack7_en2_uplink02_interface_ip</vt:lpstr>
      <vt:lpstr>sample_wld_az1_rack7_host_hostnames</vt:lpstr>
      <vt:lpstr>sample_wld_az1_rack7_host_mgmt_ips</vt:lpstr>
      <vt:lpstr>sample_wld_az1_rack7_host_overlay_cidr</vt:lpstr>
      <vt:lpstr>sample_wld_az1_rack7_host_overlay_gateway_ip</vt:lpstr>
      <vt:lpstr>sample_wld_az1_rack7_host_overlay_mtu</vt:lpstr>
      <vt:lpstr>sample_wld_az1_rack7_host_overlay_network_pool_name</vt:lpstr>
      <vt:lpstr>sample_wld_az1_rack7_host_overlay_network_profile_name</vt:lpstr>
      <vt:lpstr>sample_wld_az1_rack7_host_overlay_pool_end_ip</vt:lpstr>
      <vt:lpstr>sample_wld_az1_rack7_host_overlay_pool_start_ip</vt:lpstr>
      <vt:lpstr>sample_wld_az1_rack7_host_overlay_uplink_profile_name</vt:lpstr>
      <vt:lpstr>sample_wld_az1_rack7_host_overlay_vlan</vt:lpstr>
      <vt:lpstr>sample_wld_az1_rack7_host1_function</vt:lpstr>
      <vt:lpstr>sample_wld_az1_rack7_host1_hostname</vt:lpstr>
      <vt:lpstr>sample_wld_az1_rack7_host1_mgmt_ip</vt:lpstr>
      <vt:lpstr>sample_wld_az1_rack7_host1_vrms_ip</vt:lpstr>
      <vt:lpstr>sample_wld_az1_rack7_host10_function</vt:lpstr>
      <vt:lpstr>sample_wld_az1_rack7_host10_hostname</vt:lpstr>
      <vt:lpstr>sample_wld_az1_rack7_host10_mgmt_ip</vt:lpstr>
      <vt:lpstr>sample_wld_az1_rack7_host10_vrms_ip</vt:lpstr>
      <vt:lpstr>sample_wld_az1_rack7_host11_function</vt:lpstr>
      <vt:lpstr>sample_wld_az1_rack7_host11_hostname</vt:lpstr>
      <vt:lpstr>sample_wld_az1_rack7_host11_mgmt_ip</vt:lpstr>
      <vt:lpstr>sample_wld_az1_rack7_host11_vrms_ip</vt:lpstr>
      <vt:lpstr>sample_wld_az1_rack7_host12_function</vt:lpstr>
      <vt:lpstr>sample_wld_az1_rack7_host12_hostname</vt:lpstr>
      <vt:lpstr>sample_wld_az1_rack7_host12_mgmt_ip</vt:lpstr>
      <vt:lpstr>sample_wld_az1_rack7_host12_vrms_ip</vt:lpstr>
      <vt:lpstr>sample_wld_az1_rack7_host13_function</vt:lpstr>
      <vt:lpstr>sample_wld_az1_rack7_host13_hostname</vt:lpstr>
      <vt:lpstr>sample_wld_az1_rack7_host13_mgmt_ip</vt:lpstr>
      <vt:lpstr>sample_wld_az1_rack7_host13_vrms_ip</vt:lpstr>
      <vt:lpstr>sample_wld_az1_rack7_host14_function</vt:lpstr>
      <vt:lpstr>sample_wld_az1_rack7_host14_hostname</vt:lpstr>
      <vt:lpstr>sample_wld_az1_rack7_host14_mgmt_ip</vt:lpstr>
      <vt:lpstr>sample_wld_az1_rack7_host14_vrms_ip</vt:lpstr>
      <vt:lpstr>sample_wld_az1_rack7_host15_function</vt:lpstr>
      <vt:lpstr>sample_wld_az1_rack7_host15_hostname</vt:lpstr>
      <vt:lpstr>sample_wld_az1_rack7_host15_mgmt_ip</vt:lpstr>
      <vt:lpstr>sample_wld_az1_rack7_host15_vrms_ip</vt:lpstr>
      <vt:lpstr>sample_wld_az1_rack7_host16_function</vt:lpstr>
      <vt:lpstr>sample_wld_az1_rack7_host16_hostname</vt:lpstr>
      <vt:lpstr>sample_wld_az1_rack7_host16_mgmt_ip</vt:lpstr>
      <vt:lpstr>sample_wld_az1_rack7_host16_vrms_ip</vt:lpstr>
      <vt:lpstr>sample_wld_az1_rack7_host2_function</vt:lpstr>
      <vt:lpstr>sample_wld_az1_rack7_host2_hostname</vt:lpstr>
      <vt:lpstr>sample_wld_az1_rack7_host2_mgmt_ip</vt:lpstr>
      <vt:lpstr>sample_wld_az1_rack7_host2_vrms_ip</vt:lpstr>
      <vt:lpstr>sample_wld_az1_rack7_host3_function</vt:lpstr>
      <vt:lpstr>sample_wld_az1_rack7_host3_hostname</vt:lpstr>
      <vt:lpstr>sample_wld_az1_rack7_host3_mgmt_ip</vt:lpstr>
      <vt:lpstr>sample_wld_az1_rack7_host3_vrms_ip</vt:lpstr>
      <vt:lpstr>sample_wld_az1_rack7_host4_function</vt:lpstr>
      <vt:lpstr>sample_wld_az1_rack7_host4_hostname</vt:lpstr>
      <vt:lpstr>sample_wld_az1_rack7_host4_mgmt_ip</vt:lpstr>
      <vt:lpstr>sample_wld_az1_rack7_host4_vrms_ip</vt:lpstr>
      <vt:lpstr>sample_wld_az1_rack7_host5_function</vt:lpstr>
      <vt:lpstr>sample_wld_az1_rack7_host5_hostname</vt:lpstr>
      <vt:lpstr>sample_wld_az1_rack7_host5_mgmt_ip</vt:lpstr>
      <vt:lpstr>sample_wld_az1_rack7_host5_vrms_ip</vt:lpstr>
      <vt:lpstr>sample_wld_az1_rack7_host6_function</vt:lpstr>
      <vt:lpstr>sample_wld_az1_rack7_host6_hostname</vt:lpstr>
      <vt:lpstr>sample_wld_az1_rack7_host6_mgmt_ip</vt:lpstr>
      <vt:lpstr>sample_wld_az1_rack7_host6_vrms_ip</vt:lpstr>
      <vt:lpstr>sample_wld_az1_rack7_host7_function</vt:lpstr>
      <vt:lpstr>sample_wld_az1_rack7_host7_hostname</vt:lpstr>
      <vt:lpstr>sample_wld_az1_rack7_host7_mgmt_ip</vt:lpstr>
      <vt:lpstr>sample_wld_az1_rack7_host7_vrms_ip</vt:lpstr>
      <vt:lpstr>sample_wld_az1_rack7_host8_function</vt:lpstr>
      <vt:lpstr>sample_wld_az1_rack7_host8_hostname</vt:lpstr>
      <vt:lpstr>sample_wld_az1_rack7_host8_mgmt_ip</vt:lpstr>
      <vt:lpstr>sample_wld_az1_rack7_host8_vrms_ip</vt:lpstr>
      <vt:lpstr>sample_wld_az1_rack7_host9_function</vt:lpstr>
      <vt:lpstr>sample_wld_az1_rack7_host9_hostname</vt:lpstr>
      <vt:lpstr>sample_wld_az1_rack7_host9_mgmt_ip</vt:lpstr>
      <vt:lpstr>sample_wld_az1_rack7_host9_vrms_ip</vt:lpstr>
      <vt:lpstr>sample_wld_az1_rack7_mgmt_cidr</vt:lpstr>
      <vt:lpstr>sample_wld_az1_rack7_mgmt_gateway_ip</vt:lpstr>
      <vt:lpstr>sample_wld_az1_rack7_mgmt_mtu</vt:lpstr>
      <vt:lpstr>sample_wld_az1_rack7_mgmt_vlan</vt:lpstr>
      <vt:lpstr>sample_wld_az1_rack7_mgmt_vm_cidr</vt:lpstr>
      <vt:lpstr>sample_wld_az1_rack7_mgmt_vm_gateway_ip</vt:lpstr>
      <vt:lpstr>sample_wld_az1_rack7_mgmt_vm_mtu</vt:lpstr>
      <vt:lpstr>sample_wld_az1_rack7_mgmt_vm_vlan</vt:lpstr>
      <vt:lpstr>sample_wld_az1_rack7_pool_name</vt:lpstr>
      <vt:lpstr>sample_wld_az1_rack7_principal_storage_cidr</vt:lpstr>
      <vt:lpstr>sample_wld_az1_rack7_principal_storage_gateway_ip</vt:lpstr>
      <vt:lpstr>sample_wld_az1_rack7_principal_storage_mtu</vt:lpstr>
      <vt:lpstr>sample_wld_az1_rack7_principal_storage_pool_end_ip</vt:lpstr>
      <vt:lpstr>sample_wld_az1_rack7_principal_storage_pool_start_ip</vt:lpstr>
      <vt:lpstr>sample_wld_az1_rack7_principal_storage_vlan</vt:lpstr>
      <vt:lpstr>sample_wld_az1_rack7_rtep_ip_pool_name</vt:lpstr>
      <vt:lpstr>sample_wld_az1_rack7_rtep_overlay_cidr</vt:lpstr>
      <vt:lpstr>sample_wld_az1_rack7_rtep_overlay_gateway_ip</vt:lpstr>
      <vt:lpstr>sample_wld_az1_rack7_rtep_overlay_mtu</vt:lpstr>
      <vt:lpstr>sample_wld_az1_rack7_rtep_overlay_pool_end_ip</vt:lpstr>
      <vt:lpstr>sample_wld_az1_rack7_rtep_overlay_pool_start_ip</vt:lpstr>
      <vt:lpstr>sample_wld_az1_rack7_rtep_overlay_vlan</vt:lpstr>
      <vt:lpstr>sample_wld_az1_rack7_secondary_storage_cidr</vt:lpstr>
      <vt:lpstr>sample_wld_az1_rack7_secondary_storage_gateway_ip</vt:lpstr>
      <vt:lpstr>sample_wld_az1_rack7_secondary_storage_mtu</vt:lpstr>
      <vt:lpstr>sample_wld_az1_rack7_secondary_storage_pool_end_ip</vt:lpstr>
      <vt:lpstr>sample_wld_az1_rack7_secondary_storage_pool_start_ip</vt:lpstr>
      <vt:lpstr>sample_wld_az1_rack7_secondary_storage_vlan</vt:lpstr>
      <vt:lpstr>sample_wld_az1_rack7_tor1_peer_asn</vt:lpstr>
      <vt:lpstr>sample_wld_az1_rack7_tor1_peer_bgp_password</vt:lpstr>
      <vt:lpstr>sample_wld_az1_rack7_tor1_peer_ip</vt:lpstr>
      <vt:lpstr>sample_wld_az1_rack7_tor2_peer_asn</vt:lpstr>
      <vt:lpstr>sample_wld_az1_rack7_tor2_peer_bgp_password</vt:lpstr>
      <vt:lpstr>sample_wld_az1_rack7_tor2_peer_ip</vt:lpstr>
      <vt:lpstr>sample_wld_az1_rack7_uplink01_cidr</vt:lpstr>
      <vt:lpstr>sample_wld_az1_rack7_uplink01_gateway_ip</vt:lpstr>
      <vt:lpstr>sample_wld_az1_rack7_uplink01_mtu</vt:lpstr>
      <vt:lpstr>sample_wld_az1_rack7_uplink01_pg</vt:lpstr>
      <vt:lpstr>sample_wld_az1_rack7_uplink01_vlan</vt:lpstr>
      <vt:lpstr>sample_wld_az1_rack7_uplink02_cidr</vt:lpstr>
      <vt:lpstr>sample_wld_az1_rack7_uplink02_gateway_ip</vt:lpstr>
      <vt:lpstr>sample_wld_az1_rack7_uplink02_mtu</vt:lpstr>
      <vt:lpstr>sample_wld_az1_rack7_uplink02_pg</vt:lpstr>
      <vt:lpstr>sample_wld_az1_rack7_uplink02_vlan</vt:lpstr>
      <vt:lpstr>sample_wld_az1_rack7_vmotion_cidr</vt:lpstr>
      <vt:lpstr>sample_wld_az1_rack7_vmotion_gateway_ip</vt:lpstr>
      <vt:lpstr>sample_wld_az1_rack7_vmotion_mtu</vt:lpstr>
      <vt:lpstr>sample_wld_az1_rack7_vmotion_pool_end_ip</vt:lpstr>
      <vt:lpstr>sample_wld_az1_rack7_vmotion_pool_start_ip</vt:lpstr>
      <vt:lpstr>sample_wld_az1_rack7_vmotion_vlan</vt:lpstr>
      <vt:lpstr>sample_wld_az1_rack7_vrms_cidr</vt:lpstr>
      <vt:lpstr>sample_wld_az1_rack7_vrms_gateway_ip</vt:lpstr>
      <vt:lpstr>sample_wld_az1_rack7_vrms_mtu</vt:lpstr>
      <vt:lpstr>sample_wld_az1_rack7_vrms_vlan</vt:lpstr>
      <vt:lpstr>sample_wld_az1_rack7_vsan_fault_domain</vt:lpstr>
      <vt:lpstr>sample_wld_az1_rack8_child_dns_zone</vt:lpstr>
      <vt:lpstr>sample_wld_az1_rack8_edge_overlay_cidr</vt:lpstr>
      <vt:lpstr>sample_wld_az1_rack8_edge_overlay_gateway_ip</vt:lpstr>
      <vt:lpstr>sample_wld_az1_rack8_edge_overlay_mtu</vt:lpstr>
      <vt:lpstr>sample_wld_az1_rack8_edge_overlay_network_pool_name</vt:lpstr>
      <vt:lpstr>sample_wld_az1_rack8_edge_overlay_pool_end_ip</vt:lpstr>
      <vt:lpstr>sample_wld_az1_rack8_edge_overlay_pool_start_ip</vt:lpstr>
      <vt:lpstr>sample_wld_az1_rack8_edge_overlay_vlan</vt:lpstr>
      <vt:lpstr>sample_wld_az1_rack8_en1_hostname</vt:lpstr>
      <vt:lpstr>sample_wld_az1_rack8_en1_mgmt_ip</vt:lpstr>
      <vt:lpstr>sample_wld_az1_rack8_en1_uplink01_interface_ip</vt:lpstr>
      <vt:lpstr>sample_wld_az1_rack8_en1_uplink02_interface_ip</vt:lpstr>
      <vt:lpstr>sample_wld_az1_rack8_en2_hostname</vt:lpstr>
      <vt:lpstr>sample_wld_az1_rack8_en2_mgmt_ip</vt:lpstr>
      <vt:lpstr>sample_wld_az1_rack8_en2_uplink01_interface_ip</vt:lpstr>
      <vt:lpstr>sample_wld_az1_rack8_en2_uplink02_interface_ip</vt:lpstr>
      <vt:lpstr>sample_wld_az1_rack8_host_hostnames</vt:lpstr>
      <vt:lpstr>sample_wld_az1_rack8_host_mgmt_ips</vt:lpstr>
      <vt:lpstr>sample_wld_az1_rack8_host_overlay_cidr</vt:lpstr>
      <vt:lpstr>sample_wld_az1_rack8_host_overlay_gateway_ip</vt:lpstr>
      <vt:lpstr>sample_wld_az1_rack8_host_overlay_mtu</vt:lpstr>
      <vt:lpstr>sample_wld_az1_rack8_host_overlay_network_pool_name</vt:lpstr>
      <vt:lpstr>sample_wld_az1_rack8_host_overlay_network_profile_name</vt:lpstr>
      <vt:lpstr>sample_wld_az1_rack8_host_overlay_pool_end_ip</vt:lpstr>
      <vt:lpstr>sample_wld_az1_rack8_host_overlay_pool_start_ip</vt:lpstr>
      <vt:lpstr>sample_wld_az1_rack8_host_overlay_uplink_profile_name</vt:lpstr>
      <vt:lpstr>sample_wld_az1_rack8_host_overlay_vlan</vt:lpstr>
      <vt:lpstr>sample_wld_az1_rack8_host1_function</vt:lpstr>
      <vt:lpstr>sample_wld_az1_rack8_host1_hostname</vt:lpstr>
      <vt:lpstr>sample_wld_az1_rack8_host1_mgmt_ip</vt:lpstr>
      <vt:lpstr>sample_wld_az1_rack8_host1_vrms_ip</vt:lpstr>
      <vt:lpstr>sample_wld_az1_rack8_host10_function</vt:lpstr>
      <vt:lpstr>sample_wld_az1_rack8_host10_hostname</vt:lpstr>
      <vt:lpstr>sample_wld_az1_rack8_host10_mgmt_ip</vt:lpstr>
      <vt:lpstr>sample_wld_az1_rack8_host10_vrms_ip</vt:lpstr>
      <vt:lpstr>sample_wld_az1_rack8_host11_function</vt:lpstr>
      <vt:lpstr>sample_wld_az1_rack8_host11_hostname</vt:lpstr>
      <vt:lpstr>sample_wld_az1_rack8_host11_mgmt_ip</vt:lpstr>
      <vt:lpstr>sample_wld_az1_rack8_host11_vrms_ip</vt:lpstr>
      <vt:lpstr>sample_wld_az1_rack8_host12_function</vt:lpstr>
      <vt:lpstr>sample_wld_az1_rack8_host12_hostname</vt:lpstr>
      <vt:lpstr>sample_wld_az1_rack8_host12_mgmt_ip</vt:lpstr>
      <vt:lpstr>sample_wld_az1_rack8_host12_vrms_ip</vt:lpstr>
      <vt:lpstr>sample_wld_az1_rack8_host13_function</vt:lpstr>
      <vt:lpstr>sample_wld_az1_rack8_host13_hostname</vt:lpstr>
      <vt:lpstr>sample_wld_az1_rack8_host13_mgmt_ip</vt:lpstr>
      <vt:lpstr>sample_wld_az1_rack8_host13_vrms_ip</vt:lpstr>
      <vt:lpstr>sample_wld_az1_rack8_host14_function</vt:lpstr>
      <vt:lpstr>sample_wld_az1_rack8_host14_hostname</vt:lpstr>
      <vt:lpstr>sample_wld_az1_rack8_host14_mgmt_ip</vt:lpstr>
      <vt:lpstr>sample_wld_az1_rack8_host14_vrms_ip</vt:lpstr>
      <vt:lpstr>sample_wld_az1_rack8_host15_function</vt:lpstr>
      <vt:lpstr>sample_wld_az1_rack8_host15_hostname</vt:lpstr>
      <vt:lpstr>sample_wld_az1_rack8_host15_mgmt_ip</vt:lpstr>
      <vt:lpstr>sample_wld_az1_rack8_host15_vrms_ip</vt:lpstr>
      <vt:lpstr>sample_wld_az1_rack8_host16_function</vt:lpstr>
      <vt:lpstr>sample_wld_az1_rack8_host16_hostname</vt:lpstr>
      <vt:lpstr>sample_wld_az1_rack8_host16_mgmt_ip</vt:lpstr>
      <vt:lpstr>sample_wld_az1_rack8_host16_vrms_ip</vt:lpstr>
      <vt:lpstr>sample_wld_az1_rack8_host2_function</vt:lpstr>
      <vt:lpstr>sample_wld_az1_rack8_host2_hostname</vt:lpstr>
      <vt:lpstr>sample_wld_az1_rack8_host2_mgmt_ip</vt:lpstr>
      <vt:lpstr>sample_wld_az1_rack8_host2_vrms_ip</vt:lpstr>
      <vt:lpstr>sample_wld_az1_rack8_host3_function</vt:lpstr>
      <vt:lpstr>sample_wld_az1_rack8_host3_hostname</vt:lpstr>
      <vt:lpstr>sample_wld_az1_rack8_host3_mgmt_ip</vt:lpstr>
      <vt:lpstr>sample_wld_az1_rack8_host3_vrms_ip</vt:lpstr>
      <vt:lpstr>sample_wld_az1_rack8_host4_function</vt:lpstr>
      <vt:lpstr>sample_wld_az1_rack8_host4_hostname</vt:lpstr>
      <vt:lpstr>sample_wld_az1_rack8_host4_mgmt_ip</vt:lpstr>
      <vt:lpstr>sample_wld_az1_rack8_host4_vrms_ip</vt:lpstr>
      <vt:lpstr>sample_wld_az1_rack8_host5_function</vt:lpstr>
      <vt:lpstr>sample_wld_az1_rack8_host5_hostname</vt:lpstr>
      <vt:lpstr>sample_wld_az1_rack8_host5_mgmt_ip</vt:lpstr>
      <vt:lpstr>sample_wld_az1_rack8_host5_vrms_ip</vt:lpstr>
      <vt:lpstr>sample_wld_az1_rack8_host6_function</vt:lpstr>
      <vt:lpstr>sample_wld_az1_rack8_host6_hostname</vt:lpstr>
      <vt:lpstr>sample_wld_az1_rack8_host6_mgmt_ip</vt:lpstr>
      <vt:lpstr>sample_wld_az1_rack8_host6_vrms_ip</vt:lpstr>
      <vt:lpstr>sample_wld_az1_rack8_host7_function</vt:lpstr>
      <vt:lpstr>sample_wld_az1_rack8_host7_hostname</vt:lpstr>
      <vt:lpstr>sample_wld_az1_rack8_host7_mgmt_ip</vt:lpstr>
      <vt:lpstr>sample_wld_az1_rack8_host7_vrms_ip</vt:lpstr>
      <vt:lpstr>sample_wld_az1_rack8_host8_function</vt:lpstr>
      <vt:lpstr>sample_wld_az1_rack8_host8_hostname</vt:lpstr>
      <vt:lpstr>sample_wld_az1_rack8_host8_mgmt_ip</vt:lpstr>
      <vt:lpstr>sample_wld_az1_rack8_host8_vrms_ip</vt:lpstr>
      <vt:lpstr>sample_wld_az1_rack8_host9_function</vt:lpstr>
      <vt:lpstr>sample_wld_az1_rack8_host9_hostname</vt:lpstr>
      <vt:lpstr>sample_wld_az1_rack8_host9_mgmt_ip</vt:lpstr>
      <vt:lpstr>sample_wld_az1_rack8_host9_vrms_ip</vt:lpstr>
      <vt:lpstr>sample_wld_az1_rack8_mgmt_cidr</vt:lpstr>
      <vt:lpstr>sample_wld_az1_rack8_mgmt_gateway_ip</vt:lpstr>
      <vt:lpstr>sample_wld_az1_rack8_mgmt_mtu</vt:lpstr>
      <vt:lpstr>sample_wld_az1_rack8_mgmt_vlan</vt:lpstr>
      <vt:lpstr>sample_wld_az1_rack8_mgmt_vm_cidr</vt:lpstr>
      <vt:lpstr>sample_wld_az1_rack8_mgmt_vm_gateway_ip</vt:lpstr>
      <vt:lpstr>sample_wld_az1_rack8_mgmt_vm_mtu</vt:lpstr>
      <vt:lpstr>sample_wld_az1_rack8_mgmt_vm_vlan</vt:lpstr>
      <vt:lpstr>sample_wld_az1_rack8_pool_name</vt:lpstr>
      <vt:lpstr>sample_wld_az1_rack8_principal_storage_cidr</vt:lpstr>
      <vt:lpstr>sample_wld_az1_rack8_principal_storage_gateway_ip</vt:lpstr>
      <vt:lpstr>sample_wld_az1_rack8_principal_storage_mtu</vt:lpstr>
      <vt:lpstr>sample_wld_az1_rack8_principal_storage_pool_end_ip</vt:lpstr>
      <vt:lpstr>sample_wld_az1_rack8_principal_storage_pool_start_ip</vt:lpstr>
      <vt:lpstr>sample_wld_az1_rack8_principal_storage_vlan</vt:lpstr>
      <vt:lpstr>sample_wld_az1_rack8_rtep_ip_pool_name</vt:lpstr>
      <vt:lpstr>sample_wld_az1_rack8_rtep_overlay_cidr</vt:lpstr>
      <vt:lpstr>sample_wld_az1_rack8_rtep_overlay_gateway_ip</vt:lpstr>
      <vt:lpstr>sample_wld_az1_rack8_rtep_overlay_mtu</vt:lpstr>
      <vt:lpstr>sample_wld_az1_rack8_rtep_overlay_pool_end_ip</vt:lpstr>
      <vt:lpstr>sample_wld_az1_rack8_rtep_overlay_pool_start_ip</vt:lpstr>
      <vt:lpstr>sample_wld_az1_rack8_rtep_overlay_vlan</vt:lpstr>
      <vt:lpstr>sample_wld_az1_rack8_secondary_storage_cidr</vt:lpstr>
      <vt:lpstr>sample_wld_az1_rack8_secondary_storage_gateway_ip</vt:lpstr>
      <vt:lpstr>sample_wld_az1_rack8_secondary_storage_mtu</vt:lpstr>
      <vt:lpstr>sample_wld_az1_rack8_secondary_storage_pool_end_ip</vt:lpstr>
      <vt:lpstr>sample_wld_az1_rack8_secondary_storage_pool_start_ip</vt:lpstr>
      <vt:lpstr>sample_wld_az1_rack8_secondary_storage_vlan</vt:lpstr>
      <vt:lpstr>sample_wld_az1_rack8_tor1_peer_asn</vt:lpstr>
      <vt:lpstr>sample_wld_az1_rack8_tor1_peer_bgp_password</vt:lpstr>
      <vt:lpstr>sample_wld_az1_rack8_tor1_peer_ip</vt:lpstr>
      <vt:lpstr>sample_wld_az1_rack8_tor2_peer_asn</vt:lpstr>
      <vt:lpstr>sample_wld_az1_rack8_tor2_peer_bgp_password</vt:lpstr>
      <vt:lpstr>sample_wld_az1_rack8_tor2_peer_ip</vt:lpstr>
      <vt:lpstr>sample_wld_az1_rack8_uplink01_cidr</vt:lpstr>
      <vt:lpstr>sample_wld_az1_rack8_uplink01_gateway_ip</vt:lpstr>
      <vt:lpstr>sample_wld_az1_rack8_uplink01_mtu</vt:lpstr>
      <vt:lpstr>sample_wld_az1_rack8_uplink01_pg</vt:lpstr>
      <vt:lpstr>sample_wld_az1_rack8_uplink01_vlan</vt:lpstr>
      <vt:lpstr>sample_wld_az1_rack8_uplink02_cidr</vt:lpstr>
      <vt:lpstr>sample_wld_az1_rack8_uplink02_gateway_ip</vt:lpstr>
      <vt:lpstr>sample_wld_az1_rack8_uplink02_mtu</vt:lpstr>
      <vt:lpstr>sample_wld_az1_rack8_uplink02_pg</vt:lpstr>
      <vt:lpstr>sample_wld_az1_rack8_uplink02_vlan</vt:lpstr>
      <vt:lpstr>sample_wld_az1_rack8_vmotion_cidr</vt:lpstr>
      <vt:lpstr>sample_wld_az1_rack8_vmotion_gateway_ip</vt:lpstr>
      <vt:lpstr>sample_wld_az1_rack8_vmotion_mtu</vt:lpstr>
      <vt:lpstr>sample_wld_az1_rack8_vmotion_pool_end_ip</vt:lpstr>
      <vt:lpstr>sample_wld_az1_rack8_vmotion_pool_start_ip</vt:lpstr>
      <vt:lpstr>sample_wld_az1_rack8_vmotion_vlan</vt:lpstr>
      <vt:lpstr>sample_wld_az1_rack8_vrms_cidr</vt:lpstr>
      <vt:lpstr>sample_wld_az1_rack8_vrms_gateway_ip</vt:lpstr>
      <vt:lpstr>sample_wld_az1_rack8_vrms_mtu</vt:lpstr>
      <vt:lpstr>sample_wld_az1_rack8_vrms_vlan</vt:lpstr>
      <vt:lpstr>sample_wld_az1_rack8_vsan_fault_domain</vt:lpstr>
      <vt:lpstr>sample_wld_az1_rtep_ip_pool_name</vt:lpstr>
      <vt:lpstr>sample_wld_az1_rtep_overlay_cidr</vt:lpstr>
      <vt:lpstr>sample_wld_az1_rtep_overlay_gateway_ip</vt:lpstr>
      <vt:lpstr>sample_wld_az1_rtep_overlay_mtu</vt:lpstr>
      <vt:lpstr>sample_wld_az1_rtep_overlay_vlan</vt:lpstr>
      <vt:lpstr>sample_wld_az1_secondary_storage_cidr</vt:lpstr>
      <vt:lpstr>sample_wld_az1_secondary_storage_gateway_ip</vt:lpstr>
      <vt:lpstr>sample_wld_az1_secondary_storage_mtu</vt:lpstr>
      <vt:lpstr>sample_wld_az1_secondary_storage_pool_end_ip</vt:lpstr>
      <vt:lpstr>sample_wld_az1_secondary_storage_pool_start_ip</vt:lpstr>
      <vt:lpstr>sample_wld_az1_secondary_storage_vlan</vt:lpstr>
      <vt:lpstr>sample_wld_az1_sso_domain_administrator</vt:lpstr>
      <vt:lpstr>sample_wld_az1_sso_domain_name</vt:lpstr>
      <vt:lpstr>sample_wld_az1_tor1_peer_asn</vt:lpstr>
      <vt:lpstr>sample_wld_az1_tor1_peer_bgp_password</vt:lpstr>
      <vt:lpstr>sample_wld_az1_tor1_peer_ip</vt:lpstr>
      <vt:lpstr>sample_wld_az1_tor2_peer_asn</vt:lpstr>
      <vt:lpstr>sample_wld_az1_tor2_peer_bgp_password</vt:lpstr>
      <vt:lpstr>sample_wld_az1_tor2_peer_ip</vt:lpstr>
      <vt:lpstr>sample_wld_az1_uplink01_cidr</vt:lpstr>
      <vt:lpstr>sample_wld_az1_uplink01_gateway_ip</vt:lpstr>
      <vt:lpstr>sample_wld_az1_uplink01_mtu</vt:lpstr>
      <vt:lpstr>sample_wld_az1_uplink01_vlan</vt:lpstr>
      <vt:lpstr>sample_wld_az1_uplink02_cidr</vt:lpstr>
      <vt:lpstr>sample_wld_az1_uplink02_gateway_ip</vt:lpstr>
      <vt:lpstr>sample_wld_az1_uplink02_mtu</vt:lpstr>
      <vt:lpstr>sample_wld_az1_uplink02_vlan</vt:lpstr>
      <vt:lpstr>sample_wld_az1_vmotion_cidr</vt:lpstr>
      <vt:lpstr>sample_wld_az1_vmotion_gateway_ip</vt:lpstr>
      <vt:lpstr>sample_wld_az1_vmotion_mtu</vt:lpstr>
      <vt:lpstr>sample_wld_az1_vmotion_pool_end_ip</vt:lpstr>
      <vt:lpstr>sample_wld_az1_vmotion_pool_start_ip</vt:lpstr>
      <vt:lpstr>sample_wld_az1_vmotion_vlan</vt:lpstr>
      <vt:lpstr>sample_wld_az1_vrms_cidr</vt:lpstr>
      <vt:lpstr>sample_wld_az1_vrms_gateway_ip</vt:lpstr>
      <vt:lpstr>sample_wld_az1_vrms_mtu</vt:lpstr>
      <vt:lpstr>sample_wld_az1_vrms_vlan</vt:lpstr>
      <vt:lpstr>sample_wld_az2_edge_overlay_cidr</vt:lpstr>
      <vt:lpstr>sample_wld_az2_edge_overlay_gateway_ip</vt:lpstr>
      <vt:lpstr>sample_wld_az2_edge_overlay_mtu</vt:lpstr>
      <vt:lpstr>sample_wld_az2_edge_overlay_vlan</vt:lpstr>
      <vt:lpstr>sample_wld_az2_host_overlay_cidr</vt:lpstr>
      <vt:lpstr>sample_wld_az2_host_overlay_gateway_ip</vt:lpstr>
      <vt:lpstr>sample_wld_az2_host_overlay_mtu</vt:lpstr>
      <vt:lpstr>sample_wld_az2_host_overlay_network_pool_name</vt:lpstr>
      <vt:lpstr>sample_wld_az2_host_overlay_network_profile_name</vt:lpstr>
      <vt:lpstr>sample_wld_az2_host_overlay_pool_end_ip</vt:lpstr>
      <vt:lpstr>sample_wld_az2_host_overlay_pool_start_ip</vt:lpstr>
      <vt:lpstr>sample_wld_az2_host_overlay_uplink_profile_name</vt:lpstr>
      <vt:lpstr>sample_wld_az2_host_overlay_vlan</vt:lpstr>
      <vt:lpstr>sample_wld_az2_host1_hostname</vt:lpstr>
      <vt:lpstr>sample_wld_az2_host1_mgmt_ip</vt:lpstr>
      <vt:lpstr>sample_wld_az2_host1_sddc_id</vt:lpstr>
      <vt:lpstr>sample_wld_az2_host1_vrms_ip</vt:lpstr>
      <vt:lpstr>sample_wld_az2_host10_hostname</vt:lpstr>
      <vt:lpstr>sample_wld_az2_host10_mgmt_ip</vt:lpstr>
      <vt:lpstr>sample_wld_az2_host10_vrms_ip</vt:lpstr>
      <vt:lpstr>sample_wld_az2_host11_hostname</vt:lpstr>
      <vt:lpstr>sample_wld_az2_host11_mgmt_ip</vt:lpstr>
      <vt:lpstr>sample_wld_az2_host11_vrms_ip</vt:lpstr>
      <vt:lpstr>sample_wld_az2_host12_hostname</vt:lpstr>
      <vt:lpstr>sample_wld_az2_host12_mgmt_ip</vt:lpstr>
      <vt:lpstr>sample_wld_az2_host12_vrms_ip</vt:lpstr>
      <vt:lpstr>sample_wld_az2_host13_hostname</vt:lpstr>
      <vt:lpstr>sample_wld_az2_host13_mgmt_ip</vt:lpstr>
      <vt:lpstr>sample_wld_az2_host13_vrms_ip</vt:lpstr>
      <vt:lpstr>sample_wld_az2_host14_hostname</vt:lpstr>
      <vt:lpstr>sample_wld_az2_host14_mgmt_ip</vt:lpstr>
      <vt:lpstr>sample_wld_az2_host14_vrms_ip</vt:lpstr>
      <vt:lpstr>sample_wld_az2_host15_hostname</vt:lpstr>
      <vt:lpstr>sample_wld_az2_host15_mgmt_ip</vt:lpstr>
      <vt:lpstr>sample_wld_az2_host15_vrms_ip</vt:lpstr>
      <vt:lpstr>sample_wld_az2_host16_hostname</vt:lpstr>
      <vt:lpstr>sample_wld_az2_host16_mgmt_ip</vt:lpstr>
      <vt:lpstr>sample_wld_az2_host16_vrms_ip</vt:lpstr>
      <vt:lpstr>sample_wld_az2_host2_hostname</vt:lpstr>
      <vt:lpstr>sample_wld_az2_host2_mgmt_ip</vt:lpstr>
      <vt:lpstr>sample_wld_az2_host2_sddc_id</vt:lpstr>
      <vt:lpstr>sample_wld_az2_host2_vrms_ip</vt:lpstr>
      <vt:lpstr>sample_wld_az2_host3_hostname</vt:lpstr>
      <vt:lpstr>sample_wld_az2_host3_mgmt_ip</vt:lpstr>
      <vt:lpstr>sample_wld_az2_host3_sddc_id</vt:lpstr>
      <vt:lpstr>sample_wld_az2_host3_vrms_ip</vt:lpstr>
      <vt:lpstr>sample_wld_az2_host4_hostname</vt:lpstr>
      <vt:lpstr>sample_wld_az2_host4_mgmt_ip</vt:lpstr>
      <vt:lpstr>sample_wld_az2_host4_sddc_id</vt:lpstr>
      <vt:lpstr>sample_wld_az2_host4_vrms_ip</vt:lpstr>
      <vt:lpstr>sample_wld_az2_host5_hostname</vt:lpstr>
      <vt:lpstr>sample_wld_az2_host5_mgmt_ip</vt:lpstr>
      <vt:lpstr>sample_wld_az2_host5_vrms_ip</vt:lpstr>
      <vt:lpstr>sample_wld_az2_host6_hostname</vt:lpstr>
      <vt:lpstr>sample_wld_az2_host6_mgmt_ip</vt:lpstr>
      <vt:lpstr>sample_wld_az2_host6_vrms_ip</vt:lpstr>
      <vt:lpstr>sample_wld_az2_host7_hostname</vt:lpstr>
      <vt:lpstr>sample_wld_az2_host7_mgmt_ip</vt:lpstr>
      <vt:lpstr>sample_wld_az2_host7_vrms_ip</vt:lpstr>
      <vt:lpstr>sample_wld_az2_host8_hostname</vt:lpstr>
      <vt:lpstr>sample_wld_az2_host8_mgmt_ip</vt:lpstr>
      <vt:lpstr>sample_wld_az2_host8_vrms_ip</vt:lpstr>
      <vt:lpstr>sample_wld_az2_host9_hostname</vt:lpstr>
      <vt:lpstr>sample_wld_az2_host9_mgmt_ip</vt:lpstr>
      <vt:lpstr>sample_wld_az2_host9_vrms_ip</vt:lpstr>
      <vt:lpstr>sample_wld_az2_mgmt_cidr</vt:lpstr>
      <vt:lpstr>sample_wld_az2_mgmt_gateway_ip</vt:lpstr>
      <vt:lpstr>sample_wld_az2_mgmt_mtu</vt:lpstr>
      <vt:lpstr>sample_wld_az2_mgmt_vlan</vt:lpstr>
      <vt:lpstr>sample_wld_az2_pool_name</vt:lpstr>
      <vt:lpstr>sample_wld_az2_principal_storage_cidr</vt:lpstr>
      <vt:lpstr>sample_wld_az2_principal_storage_gateway_ip</vt:lpstr>
      <vt:lpstr>sample_wld_az2_principal_storage_mtu</vt:lpstr>
      <vt:lpstr>sample_wld_az2_principal_storage_pool_end_ip</vt:lpstr>
      <vt:lpstr>sample_wld_az2_principal_storage_pool_start_ip</vt:lpstr>
      <vt:lpstr>sample_wld_az2_principal_storage_vlan</vt:lpstr>
      <vt:lpstr>sample_wld_az2_rtep_overlay_cidr</vt:lpstr>
      <vt:lpstr>sample_wld_az2_rtep_overlay_gateway_ip</vt:lpstr>
      <vt:lpstr>sample_wld_az2_rtep_overlay_mtu</vt:lpstr>
      <vt:lpstr>sample_wld_az2_rtep_overlay_vlan</vt:lpstr>
      <vt:lpstr>sample_wld_az2_secondary_storage_cidr</vt:lpstr>
      <vt:lpstr>sample_wld_az2_secondary_storage_gateway_ip</vt:lpstr>
      <vt:lpstr>sample_wld_az2_secondary_storage_mtu</vt:lpstr>
      <vt:lpstr>sample_wld_az2_secondary_storage_pool_end_ip</vt:lpstr>
      <vt:lpstr>sample_wld_az2_secondary_storage_pool_start_ip</vt:lpstr>
      <vt:lpstr>sample_wld_az2_secondary_storage_vlan</vt:lpstr>
      <vt:lpstr>sample_wld_az2_tor1_peer_asn</vt:lpstr>
      <vt:lpstr>sample_wld_az2_tor1_peer_bgp_password</vt:lpstr>
      <vt:lpstr>sample_wld_az2_tor1_peer_ip</vt:lpstr>
      <vt:lpstr>sample_wld_az2_tor2_peer_asn</vt:lpstr>
      <vt:lpstr>sample_wld_az2_tor2_peer_bgp_password</vt:lpstr>
      <vt:lpstr>sample_wld_az2_tor2_peer_ip</vt:lpstr>
      <vt:lpstr>sample_wld_az2_uplink01_cidr</vt:lpstr>
      <vt:lpstr>sample_wld_az2_uplink01_gateway_ip</vt:lpstr>
      <vt:lpstr>sample_wld_az2_uplink01_mtu</vt:lpstr>
      <vt:lpstr>sample_wld_az2_uplink01_vlan</vt:lpstr>
      <vt:lpstr>sample_wld_az2_uplink02_cidr</vt:lpstr>
      <vt:lpstr>sample_wld_az2_uplink02_gateway_ip</vt:lpstr>
      <vt:lpstr>sample_wld_az2_uplink02_mtu</vt:lpstr>
      <vt:lpstr>sample_wld_az2_uplink02_vlan</vt:lpstr>
      <vt:lpstr>sample_wld_az2_vmotion_cidr</vt:lpstr>
      <vt:lpstr>sample_wld_az2_vmotion_gateway_ip</vt:lpstr>
      <vt:lpstr>sample_wld_az2_vmotion_mtu</vt:lpstr>
      <vt:lpstr>sample_wld_az2_vmotion_pool_end_ip</vt:lpstr>
      <vt:lpstr>sample_wld_az2_vmotion_pool_start_ip</vt:lpstr>
      <vt:lpstr>sample_wld_az2_vmotion_vlan</vt:lpstr>
      <vt:lpstr>sample_wld_az2_vrms_cidr</vt:lpstr>
      <vt:lpstr>sample_wld_az2_vrms_gateway_ip</vt:lpstr>
      <vt:lpstr>sample_wld_az2_vrms_mtu</vt:lpstr>
      <vt:lpstr>sample_wld_az2_vrms_vlan</vt:lpstr>
      <vt:lpstr>sample_wld_cl01_az1_mgmt_pg</vt:lpstr>
      <vt:lpstr>sample_wld_cl01_az1_mgmt_vm_pg</vt:lpstr>
      <vt:lpstr>sample_wld_cl01_az1_principal_storage_pg</vt:lpstr>
      <vt:lpstr>sample_wld_cl01_az1_uplink01_pg</vt:lpstr>
      <vt:lpstr>sample_wld_cl01_az1_uplink02_pg</vt:lpstr>
      <vt:lpstr>sample_wld_cl01_az1_vmotion_pg</vt:lpstr>
      <vt:lpstr>sample_wld_cl01_cluster</vt:lpstr>
      <vt:lpstr>sample_wld_cl01_cluster_sddc_id</vt:lpstr>
      <vt:lpstr>sample_wld_cl01_evc_mode</vt:lpstr>
      <vt:lpstr>sample_wld_cl01_nfs_datastore_name</vt:lpstr>
      <vt:lpstr>sample_wld_cl01_nfs_server_address</vt:lpstr>
      <vt:lpstr>sample_wld_cl01_nfs_share_path</vt:lpstr>
      <vt:lpstr>sample_wld_cl01_vds_profile</vt:lpstr>
      <vt:lpstr>sample_wld_cl01_vds01_mtu</vt:lpstr>
      <vt:lpstr>sample_wld_cl01_vds01_name</vt:lpstr>
      <vt:lpstr>sample_wld_cl01_vds01_pnics</vt:lpstr>
      <vt:lpstr>sample_wld_cl01_vds02_mtu</vt:lpstr>
      <vt:lpstr>sample_wld_cl01_vds02_name</vt:lpstr>
      <vt:lpstr>sample_wld_cl01_vds02_pnics</vt:lpstr>
      <vt:lpstr>sample_wld_cl01_vds03_mtu</vt:lpstr>
      <vt:lpstr>sample_wld_cl01_vds03_name</vt:lpstr>
      <vt:lpstr>sample_wld_cl01_vds03_pnics</vt:lpstr>
      <vt:lpstr>sample_wld_cl01_vmfs_datastore_name</vt:lpstr>
      <vt:lpstr>sample_wld_cl01_vsan_datastore</vt:lpstr>
      <vt:lpstr>sample_wld_cl01_vsan_dedupe_compression</vt:lpstr>
      <vt:lpstr>sample_wld_cl01_vsan_ftt</vt:lpstr>
      <vt:lpstr>sample_wld_cl01_vvols_datastore_name</vt:lpstr>
      <vt:lpstr>sample_wld_cl02_az1_mgmt_pg</vt:lpstr>
      <vt:lpstr>sample_wld_cl02_az1_mgmt_vm_pg</vt:lpstr>
      <vt:lpstr>sample_wld_cl02_az1_principal_storage_pg</vt:lpstr>
      <vt:lpstr>sample_wld_cl02_az1_uplink01_pg</vt:lpstr>
      <vt:lpstr>sample_wld_cl02_az1_uplink02_pg</vt:lpstr>
      <vt:lpstr>sample_wld_cl02_az1_vmotion_pg</vt:lpstr>
      <vt:lpstr>sample_wld_cl02_cluster</vt:lpstr>
      <vt:lpstr>sample_wld_cl02_evc_mode</vt:lpstr>
      <vt:lpstr>sample_wld_cl02_nfs_datastore_name</vt:lpstr>
      <vt:lpstr>sample_wld_cl02_nfs_server_address</vt:lpstr>
      <vt:lpstr>sample_wld_cl02_nfs_share_path</vt:lpstr>
      <vt:lpstr>sample_wld_cl02_vds_profile</vt:lpstr>
      <vt:lpstr>sample_wld_cl02_vds01_mtu</vt:lpstr>
      <vt:lpstr>sample_wld_cl02_vds01_name</vt:lpstr>
      <vt:lpstr>sample_wld_cl02_vds01_pnics</vt:lpstr>
      <vt:lpstr>sample_wld_cl02_vds02_mtu</vt:lpstr>
      <vt:lpstr>sample_wld_cl02_vds02_name</vt:lpstr>
      <vt:lpstr>sample_wld_cl02_vds02_pnics</vt:lpstr>
      <vt:lpstr>sample_wld_cl02_vds03_mtu</vt:lpstr>
      <vt:lpstr>sample_wld_cl02_vds03_name</vt:lpstr>
      <vt:lpstr>sample_wld_cl02_vds03_pnics</vt:lpstr>
      <vt:lpstr>sample_wld_cl02_vsan_datastore</vt:lpstr>
      <vt:lpstr>sample_wld_cl02_vsan_dedupe_compression</vt:lpstr>
      <vt:lpstr>sample_wld_cl02_vsan_ftt</vt:lpstr>
      <vt:lpstr>sample_wld_cl03_az1_mgmt_pg</vt:lpstr>
      <vt:lpstr>sample_wld_cl03_az1_mgmt_vm_pg</vt:lpstr>
      <vt:lpstr>sample_wld_cl03_az1_principal_storage_pg</vt:lpstr>
      <vt:lpstr>sample_wld_cl03_az1_uplink01_pg</vt:lpstr>
      <vt:lpstr>sample_wld_cl03_az1_uplink02_pg</vt:lpstr>
      <vt:lpstr>sample_wld_cl03_az1_vmotion_pg</vt:lpstr>
      <vt:lpstr>sample_wld_cl03_cluster</vt:lpstr>
      <vt:lpstr>sample_wld_cl03_evc_mode</vt:lpstr>
      <vt:lpstr>sample_wld_cl03_nfs_datastore_name</vt:lpstr>
      <vt:lpstr>sample_wld_cl03_nfs_server_address</vt:lpstr>
      <vt:lpstr>sample_wld_cl03_nfs_share_path</vt:lpstr>
      <vt:lpstr>sample_wld_cl03_vds_profile</vt:lpstr>
      <vt:lpstr>sample_wld_cl03_vds01_mtu</vt:lpstr>
      <vt:lpstr>sample_wld_cl03_vds01_name</vt:lpstr>
      <vt:lpstr>sample_wld_cl03_vds01_pnics</vt:lpstr>
      <vt:lpstr>sample_wld_cl03_vds02_mtu</vt:lpstr>
      <vt:lpstr>sample_wld_cl03_vds02_name</vt:lpstr>
      <vt:lpstr>sample_wld_cl03_vds02_pnics</vt:lpstr>
      <vt:lpstr>sample_wld_cl03_vds03_mtu</vt:lpstr>
      <vt:lpstr>sample_wld_cl03_vds03_name</vt:lpstr>
      <vt:lpstr>sample_wld_cl03_vds03_pnics</vt:lpstr>
      <vt:lpstr>sample_wld_cl03_vsan_datastore</vt:lpstr>
      <vt:lpstr>sample_wld_cl03_vsan_dedupe_compression</vt:lpstr>
      <vt:lpstr>sample_wld_cl03_vsan_ftt</vt:lpstr>
      <vt:lpstr>sample_wld_cloud_account_name</vt:lpstr>
      <vt:lpstr>sample_wld_cluster</vt:lpstr>
      <vt:lpstr>sample_wld_datacenter</vt:lpstr>
      <vt:lpstr>sample_wld_datacenter_moref</vt:lpstr>
      <vt:lpstr>sample_wld_ec_formfactor</vt:lpstr>
      <vt:lpstr>sample_wld_ec_name</vt:lpstr>
      <vt:lpstr>sample_wld_ec_profile_name</vt:lpstr>
      <vt:lpstr>sample_wld_ec_profile_type</vt:lpstr>
      <vt:lpstr>sample_wld_en_asn</vt:lpstr>
      <vt:lpstr>sample_wld_existing_active_nsx_gm</vt:lpstr>
      <vt:lpstr>sample_wld_existing_cross_instance_t0_name</vt:lpstr>
      <vt:lpstr>sample_wld_nsxt_federation_global_manager_name</vt:lpstr>
      <vt:lpstr>sample_wld_nsxt_federation_location_name</vt:lpstr>
      <vt:lpstr>sample_wld_nsxt_global_mgr_anti_affinity_rule_name</vt:lpstr>
      <vt:lpstr>sample_wld_nsxt_global_mgr_certificate_id</vt:lpstr>
      <vt:lpstr>sample_wld_nsxt_global_mgr_cluster_id</vt:lpstr>
      <vt:lpstr>sample_wld_nsxt_global_mgr_vmca_signed_thumbprint</vt:lpstr>
      <vt:lpstr>sample_wld_nsxt_global_mgra_hostname</vt:lpstr>
      <vt:lpstr>sample_wld_nsxt_global_mgra_ip</vt:lpstr>
      <vt:lpstr>sample_wld_nsxt_global_mgrb_hostname</vt:lpstr>
      <vt:lpstr>sample_wld_nsxt_global_mgrb_ip</vt:lpstr>
      <vt:lpstr>sample_wld_nsxt_global_mgrc_hostname</vt:lpstr>
      <vt:lpstr>sample_wld_nsxt_global_mgrc_ip</vt:lpstr>
      <vt:lpstr>sample_wld_nsxt_gm_fingerprint</vt:lpstr>
      <vt:lpstr>sample_wld_nsxt_gm_hostname</vt:lpstr>
      <vt:lpstr>sample_wld_nsxt_gm_ip</vt:lpstr>
      <vt:lpstr>sample_wld_nsxt_hostname</vt:lpstr>
      <vt:lpstr>sample_wld_nsxt_ip</vt:lpstr>
      <vt:lpstr>sample_wld_nsxt_lm_fingerprint</vt:lpstr>
      <vt:lpstr>sample_wld_nsxt_mgra_hostname</vt:lpstr>
      <vt:lpstr>sample_wld_nsxt_mgra_ip</vt:lpstr>
      <vt:lpstr>sample_wld_nsxt_mgrb_hostname</vt:lpstr>
      <vt:lpstr>sample_wld_nsxt_mgrb_ip</vt:lpstr>
      <vt:lpstr>sample_wld_nsxt_mgrc_hostname</vt:lpstr>
      <vt:lpstr>sample_wld_nsxt_mgrc_ip</vt:lpstr>
      <vt:lpstr>sample_wld_nsxt_xreg_t1_name</vt:lpstr>
      <vt:lpstr>sample_wld_rack2_en_asn</vt:lpstr>
      <vt:lpstr>sample_wld_rack3_en_asn</vt:lpstr>
      <vt:lpstr>sample_wld_rack4_en_asn</vt:lpstr>
      <vt:lpstr>sample_wld_rack5_en_asn</vt:lpstr>
      <vt:lpstr>sample_wld_rack6_en_asn</vt:lpstr>
      <vt:lpstr>sample_wld_rack7_en_asn</vt:lpstr>
      <vt:lpstr>sample_wld_rack8_en_asn</vt:lpstr>
      <vt:lpstr>sample_wld_rtep_ip_pool_name</vt:lpstr>
      <vt:lpstr>sample_wld_rtep_overlay_pool_end_ip</vt:lpstr>
      <vt:lpstr>sample_wld_rtep_overlay_pool_start_ip</vt:lpstr>
      <vt:lpstr>sample_wld_sddc_domain</vt:lpstr>
      <vt:lpstr>sample_wld_sddc_org</vt:lpstr>
      <vt:lpstr>sample_wld_srm_admin_email</vt:lpstr>
      <vt:lpstr>sample_wld_srm_admin_password</vt:lpstr>
      <vt:lpstr>sample_wld_srm_database_password</vt:lpstr>
      <vt:lpstr>sample_wld_srm_hostname</vt:lpstr>
      <vt:lpstr>sample_wld_srm_ip</vt:lpstr>
      <vt:lpstr>sample_wld_srm_p12_password</vt:lpstr>
      <vt:lpstr>sample_wld_srm_recovery_vcenter_fqdn</vt:lpstr>
      <vt:lpstr>sample_wld_srm_recovery_vcenter_password</vt:lpstr>
      <vt:lpstr>sample_wld_srm_recovery_vcenter_username</vt:lpstr>
      <vt:lpstr>sample_wld_srm_root_password</vt:lpstr>
      <vt:lpstr>sample_wld_srm_site_name</vt:lpstr>
      <vt:lpstr>sample_wld_srm_sso_domain_membership</vt:lpstr>
      <vt:lpstr>sample_wld_srm_vm_folder</vt:lpstr>
      <vt:lpstr>sample_wld_srm_vm_size</vt:lpstr>
      <vt:lpstr>sample_wld_tier0_name</vt:lpstr>
      <vt:lpstr>sample_wld_tier1_name</vt:lpstr>
      <vt:lpstr>sample_wld_user_vm_rp</vt:lpstr>
      <vt:lpstr>sample_wld_vc_hostname</vt:lpstr>
      <vt:lpstr>sample_wld_vc_ip</vt:lpstr>
      <vt:lpstr>sample_wld_vds_name</vt:lpstr>
      <vt:lpstr>sample_wld_vra_storage_folder</vt:lpstr>
      <vt:lpstr>sample_wld_vra_storage_readonly_folder</vt:lpstr>
      <vt:lpstr>sample_wld_vra_vm_folder</vt:lpstr>
      <vt:lpstr>sample_wld_vra_vm_rp</vt:lpstr>
      <vt:lpstr>sample_wld_vrms_admin_email</vt:lpstr>
      <vt:lpstr>sample_wld_vrms_admin_password</vt:lpstr>
      <vt:lpstr>sample_wld_vrms_hostname</vt:lpstr>
      <vt:lpstr>sample_wld_vrms_mgmt_ip</vt:lpstr>
      <vt:lpstr>sample_wld_vrms_p12_password</vt:lpstr>
      <vt:lpstr>sample_wld_vrms_pg</vt:lpstr>
      <vt:lpstr>sample_wld_vrms_recovery_replication_cidr</vt:lpstr>
      <vt:lpstr>sample_wld_vrms_root_password</vt:lpstr>
      <vt:lpstr>sample_wld_vrms_site_name</vt:lpstr>
      <vt:lpstr>sample_wld_vrms_vm_folder</vt:lpstr>
      <vt:lpstr>sample_wld_vrms_vrms_ip</vt:lpstr>
      <vt:lpstr>sample_wld_vsan_datastore</vt:lpstr>
      <vt:lpstr>sample_wld_vvols_vasa_provider_container_name</vt:lpstr>
      <vt:lpstr>sample_wld_vvols_vasa_provider_name</vt:lpstr>
      <vt:lpstr>sample_wld_vvols_vasa_provider_password</vt:lpstr>
      <vt:lpstr>sample_wld_vvols_vasa_provider_url</vt:lpstr>
      <vt:lpstr>sample_wld_vvols_vasa_provider_username</vt:lpstr>
      <vt:lpstr>sample_wld_witness_cluster</vt:lpstr>
      <vt:lpstr>sample_wld_witness_hostname</vt:lpstr>
      <vt:lpstr>sample_wld_witness_ip</vt:lpstr>
      <vt:lpstr>sample_wld_witness_mgmt_pg</vt:lpstr>
      <vt:lpstr>sample_wld_witness_root_password</vt:lpstr>
      <vt:lpstr>sample_wld_witness_sddc_domain</vt:lpstr>
      <vt:lpstr>sample_wld_witness_vm_folder</vt:lpstr>
      <vt:lpstr>sample_wld_witness_vsan_datastore</vt:lpstr>
      <vt:lpstr>sample_wld_witness_zone_vc_hostname</vt:lpstr>
      <vt:lpstr>sample_wld_witness_zone_vc_ip</vt:lpstr>
      <vt:lpstr>sample_wld_witnessaz_cidr</vt:lpstr>
      <vt:lpstr>sample_wld_witnessaz_mgmt_cidr</vt:lpstr>
      <vt:lpstr>sample_wld_witnessaz_mgmt_gateway_ip</vt:lpstr>
      <vt:lpstr>sample_wld_witnessaz_mgmt_mtu</vt:lpstr>
      <vt:lpstr>sample_wld_witnessaz_mgmt_vlan</vt:lpstr>
      <vt:lpstr>sample_xreg_configadmin_email</vt:lpstr>
      <vt:lpstr>sample_xreg_customer_connect_email</vt:lpstr>
      <vt:lpstr>sample_xreg_customer_connect_password</vt:lpstr>
      <vt:lpstr>sample_xreg_existing_vrslcm_fqdn</vt:lpstr>
      <vt:lpstr>sample_xreg_seg01_cidr</vt:lpstr>
      <vt:lpstr>sample_xreg_seg01_gateway_ip</vt:lpstr>
      <vt:lpstr>sample_xreg_seg01_mtu</vt:lpstr>
      <vt:lpstr>sample_xreg_seg01_name</vt:lpstr>
      <vt:lpstr>sample_xreg_seg01_vlan</vt:lpstr>
      <vt:lpstr>sample_xreg_vra_anti_affinity_rule</vt:lpstr>
      <vt:lpstr>sample_xreg_vra_appliance_size</vt:lpstr>
      <vt:lpstr>sample_xreg_vra_cloud_account_cloud_capability_tag</vt:lpstr>
      <vt:lpstr>sample_xreg_vra_cloud_account_region_capability_tag</vt:lpstr>
      <vt:lpstr>sample_xreg_vra_k8s_cluster_cidr</vt:lpstr>
      <vt:lpstr>sample_xreg_vra_k8s_service_cidr</vt:lpstr>
      <vt:lpstr>sample_xreg_vra_nodea_hostname</vt:lpstr>
      <vt:lpstr>sample_xreg_vra_nodea_ip</vt:lpstr>
      <vt:lpstr>sample_xreg_vra_nodeb_hostname</vt:lpstr>
      <vt:lpstr>sample_xreg_vra_nodeb_ip</vt:lpstr>
      <vt:lpstr>sample_xreg_vra_nodec_hostname</vt:lpstr>
      <vt:lpstr>sample_xreg_vra_nodec_ip</vt:lpstr>
      <vt:lpstr>sample_xreg_vra_org_name</vt:lpstr>
      <vt:lpstr>sample_xreg_vra_root_password</vt:lpstr>
      <vt:lpstr>sample_xreg_vra_root_password_alias</vt:lpstr>
      <vt:lpstr>sample_xreg_vra_smtp_sender_email_address</vt:lpstr>
      <vt:lpstr>sample_xreg_vra_smtp_sender_name</vt:lpstr>
      <vt:lpstr>sample_xreg_vra_virtual_hostname</vt:lpstr>
      <vt:lpstr>sample_xreg_vra_virtual_ip</vt:lpstr>
      <vt:lpstr>sample_xreg_vra_vm_folder</vt:lpstr>
      <vt:lpstr>sample_xreg_vra_vm_vm_rule</vt:lpstr>
      <vt:lpstr>sample_xreg_vrni_consoleuser_password</vt:lpstr>
      <vt:lpstr>sample_xreg_vrni_consoleuser_password_alias</vt:lpstr>
      <vt:lpstr>sample_xreg_vrni_deployment_type</vt:lpstr>
      <vt:lpstr>sample_xreg_vrni_nodea_hostname</vt:lpstr>
      <vt:lpstr>sample_xreg_vrni_nodea_ip</vt:lpstr>
      <vt:lpstr>sample_xreg_vrni_platform_node_size</vt:lpstr>
      <vt:lpstr>sample_xreg_vrni_root_password</vt:lpstr>
      <vt:lpstr>sample_xreg_vrni_root_password_alias</vt:lpstr>
      <vt:lpstr>sample_xreg_vrni_support_password</vt:lpstr>
      <vt:lpstr>sample_xreg_vrni_support_password_alias</vt:lpstr>
      <vt:lpstr>sample_xreg_vrops_appliance_size</vt:lpstr>
      <vt:lpstr>sample_xreg_vrops_currency</vt:lpstr>
      <vt:lpstr>sample_xreg_vrops_nodea_hostname</vt:lpstr>
      <vt:lpstr>sample_xreg_vrops_nodea_ip</vt:lpstr>
      <vt:lpstr>sample_xreg_vrops_nodeb_hostname</vt:lpstr>
      <vt:lpstr>sample_xreg_vrops_nodeb_ip</vt:lpstr>
      <vt:lpstr>sample_xreg_vrops_nodec_hostname</vt:lpstr>
      <vt:lpstr>sample_xreg_vrops_nodec_ip</vt:lpstr>
      <vt:lpstr>sample_xreg_vrops_notification_delay</vt:lpstr>
      <vt:lpstr>sample_xreg_vrops_notification_interval</vt:lpstr>
      <vt:lpstr>sample_xreg_vrops_notification_max</vt:lpstr>
      <vt:lpstr>sample_xreg_vrops_rc_size</vt:lpstr>
      <vt:lpstr>sample_xreg_vrops_root_password</vt:lpstr>
      <vt:lpstr>sample_xreg_vrops_root_password_alias</vt:lpstr>
      <vt:lpstr>sample_xreg_vrops_smtp_receiver_email_address</vt:lpstr>
      <vt:lpstr>sample_xreg_vrops_smtp_sender_email_address</vt:lpstr>
      <vt:lpstr>sample_xreg_vrops_smtp_sender_name</vt:lpstr>
      <vt:lpstr>sample_xreg_vrops_srm_sso_password</vt:lpstr>
      <vt:lpstr>sample_xreg_vrops_srm_sso_username</vt:lpstr>
      <vt:lpstr>sample_xreg_vrops_virtual_hostname</vt:lpstr>
      <vt:lpstr>sample_xreg_vrops_virtual_ip</vt:lpstr>
      <vt:lpstr>sample_xreg_vrops_vm_folder</vt:lpstr>
      <vt:lpstr>sample_xreg_vrops_vrms_sso_password</vt:lpstr>
      <vt:lpstr>sample_xreg_vrops_vrms_sso_username</vt:lpstr>
      <vt:lpstr>sample_xreg_vrslcm_hostname</vt:lpstr>
      <vt:lpstr>sample_xreg_vrslcm_ip</vt:lpstr>
      <vt:lpstr>sample_xreg_wsa_cert_name</vt:lpstr>
      <vt:lpstr>sample_xreg_wsa_delegate_ip</vt:lpstr>
      <vt:lpstr>sample_xreg_wsa_node_size</vt:lpstr>
      <vt:lpstr>sample_xreg_wsa_nodea_hostname</vt:lpstr>
      <vt:lpstr>sample_xreg_wsa_nodea_ip</vt:lpstr>
      <vt:lpstr>sample_xreg_wsa_nodeb_hostname</vt:lpstr>
      <vt:lpstr>sample_xreg_wsa_nodeb_ip</vt:lpstr>
      <vt:lpstr>sample_xreg_wsa_nodec_hostname</vt:lpstr>
      <vt:lpstr>sample_xreg_wsa_nodec_ip</vt:lpstr>
      <vt:lpstr>sample_xreg_wsa_virtual_hostname</vt:lpstr>
      <vt:lpstr>sample_xreg_wsa_virtual_ip</vt:lpstr>
      <vt:lpstr>sample_xreg_wsa_vm_folder</vt:lpstr>
      <vt:lpstr>sample_xregion_dns1_ip</vt:lpstr>
      <vt:lpstr>sample_xregion_dns2_ip</vt:lpstr>
      <vt:lpstr>sample_xregion_ntp1_server</vt:lpstr>
      <vt:lpstr>sample_xregion_ntp2_server</vt:lpstr>
      <vt:lpstr>sddc_mgr_admin_local_password</vt:lpstr>
      <vt:lpstr>sddc_mgr_fqdn</vt:lpstr>
      <vt:lpstr>sddc_mgr_hostname</vt:lpstr>
      <vt:lpstr>sddc_mgr_ip</vt:lpstr>
      <vt:lpstr>sddc_mgr_root_password</vt:lpstr>
      <vt:lpstr>sddc_mgr_vcf_password</vt:lpstr>
      <vt:lpstr>sddc_mgr_vcf_username</vt:lpstr>
      <vt:lpstr>sftp_server_backup_dir</vt:lpstr>
      <vt:lpstr>sftp_server_ip</vt:lpstr>
      <vt:lpstr>sftp_server_passphrase</vt:lpstr>
      <vt:lpstr>sftp_server_port</vt:lpstr>
      <vt:lpstr>sftp_server_protocol</vt:lpstr>
      <vt:lpstr>sftp_server_sshfingerprint</vt:lpstr>
      <vt:lpstr>shared_edge_and_compute</vt:lpstr>
      <vt:lpstr>sizing_cbr_cpu</vt:lpstr>
      <vt:lpstr>sizing_cbr_disk</vt:lpstr>
      <vt:lpstr>sizing_cbr_ram</vt:lpstr>
      <vt:lpstr>sizing_ccm_hcx_cpu</vt:lpstr>
      <vt:lpstr>sizing_ccm_hcx_disk</vt:lpstr>
      <vt:lpstr>sizing_ccm_hcx_ram</vt:lpstr>
      <vt:lpstr>sizing_cpu_oversubscription</vt:lpstr>
      <vt:lpstr>sizing_disk_groups_per_host</vt:lpstr>
      <vt:lpstr>sizing_estimated_growth</vt:lpstr>
      <vt:lpstr>sizing_hrm_hvm_cpu</vt:lpstr>
      <vt:lpstr>sizing_hrm_hvm_disk</vt:lpstr>
      <vt:lpstr>sizing_hrm_hvm_ram</vt:lpstr>
      <vt:lpstr>sizing_inv_cpu</vt:lpstr>
      <vt:lpstr>sizing_inv_disk</vt:lpstr>
      <vt:lpstr>sizing_inv_platform_node_cpu</vt:lpstr>
      <vt:lpstr>sizing_inv_platform_node_disk</vt:lpstr>
      <vt:lpstr>sizing_inv_platform_node_ram</vt:lpstr>
      <vt:lpstr>sizing_inv_ram</vt:lpstr>
      <vt:lpstr>sizing_m01_included</vt:lpstr>
      <vt:lpstr>sizing_m01_nsxt_appliance_size</vt:lpstr>
      <vt:lpstr>sizing_m01_nsxt_edge_size</vt:lpstr>
      <vt:lpstr>sizing_m01_nsxt_gm_appliance_size</vt:lpstr>
      <vt:lpstr>sizing_m01_nsxt_model</vt:lpstr>
      <vt:lpstr>sizing_m01_vcenter_appliance_size</vt:lpstr>
      <vt:lpstr>sizing_m01_vcenter_storage_size</vt:lpstr>
      <vt:lpstr>sizing_mgmt_avi_lb_appliance_size</vt:lpstr>
      <vt:lpstr>sizing_mgmt_cluster_host_core_count</vt:lpstr>
      <vt:lpstr>sizing_mgmt_cluster_host_ram_count</vt:lpstr>
      <vt:lpstr>sizing_nsxt_edge_sizing_list</vt:lpstr>
      <vt:lpstr>sizing_nsxt_manager_size_list</vt:lpstr>
      <vt:lpstr>sizing_ram_oversubscription</vt:lpstr>
      <vt:lpstr>sizing_sddc_manager_cpu</vt:lpstr>
      <vt:lpstr>sizing_sddc_manager_disk</vt:lpstr>
      <vt:lpstr>sizing_sddc_manager_ram</vt:lpstr>
      <vt:lpstr>sizing_vcenter_appliance_size_list</vt:lpstr>
      <vt:lpstr>sizing_vcenter_storage_size_list</vt:lpstr>
      <vt:lpstr>sizing_vcls_cpu</vt:lpstr>
      <vt:lpstr>sizing_vcls_disk</vt:lpstr>
      <vt:lpstr>sizing_vcls_ram</vt:lpstr>
      <vt:lpstr>sizing_virtual_machine_overhead</vt:lpstr>
      <vt:lpstr>sizing_vm_cpu_requirements</vt:lpstr>
      <vt:lpstr>sizing_vm_ram_requirements</vt:lpstr>
      <vt:lpstr>sizing_vm_storage_requirements</vt:lpstr>
      <vt:lpstr>sizing_vrslcm_cpu</vt:lpstr>
      <vt:lpstr>sizing_vrslcm_disk</vt:lpstr>
      <vt:lpstr>sizing_vrslcm_ram</vt:lpstr>
      <vt:lpstr>sizing_w01_avi_appliance_size</vt:lpstr>
      <vt:lpstr>sizing_w01_avi_chosen</vt:lpstr>
      <vt:lpstr>sizing_w01_chosen</vt:lpstr>
      <vt:lpstr>sizing_w01_gm_chosen</vt:lpstr>
      <vt:lpstr>sizing_w01_gm_result</vt:lpstr>
      <vt:lpstr>sizing_w01_nsxt_appliance_size</vt:lpstr>
      <vt:lpstr>sizing_w01_nsxt_gm_appliance_size</vt:lpstr>
      <vt:lpstr>sizing_w01_nsxt_model</vt:lpstr>
      <vt:lpstr>sizing_w01_result</vt:lpstr>
      <vt:lpstr>sizing_w01_spr_chosen</vt:lpstr>
      <vt:lpstr>sizing_w01_vcenter_appliance_size</vt:lpstr>
      <vt:lpstr>sizing_w01_vcenter_storage_size</vt:lpstr>
      <vt:lpstr>sizing_w02_avi_appliance_size</vt:lpstr>
      <vt:lpstr>sizing_w02_avi_chosen</vt:lpstr>
      <vt:lpstr>sizing_w02_chosen</vt:lpstr>
      <vt:lpstr>sizing_w02_gm_chosen</vt:lpstr>
      <vt:lpstr>sizing_w02_gm_result</vt:lpstr>
      <vt:lpstr>sizing_w02_nsxt_appliance_size</vt:lpstr>
      <vt:lpstr>sizing_w02_nsxt_gm_appliance_size</vt:lpstr>
      <vt:lpstr>sizing_w02_nsxt_model</vt:lpstr>
      <vt:lpstr>sizing_w02_result</vt:lpstr>
      <vt:lpstr>sizing_w02_spr_chosen</vt:lpstr>
      <vt:lpstr>sizing_w02_vcenter_appliance_size</vt:lpstr>
      <vt:lpstr>sizing_w02_vcenter_storage_size</vt:lpstr>
      <vt:lpstr>sizing_w03_avi_appliance_size</vt:lpstr>
      <vt:lpstr>sizing_w03_avi_chosen</vt:lpstr>
      <vt:lpstr>sizing_w03_chosen</vt:lpstr>
      <vt:lpstr>sizing_w03_gm_chosen</vt:lpstr>
      <vt:lpstr>sizing_w03_gm_result</vt:lpstr>
      <vt:lpstr>sizing_w03_nsxt_appliance_size</vt:lpstr>
      <vt:lpstr>sizing_w03_nsxt_gm_appliance_size</vt:lpstr>
      <vt:lpstr>sizing_w03_nsxt_model</vt:lpstr>
      <vt:lpstr>sizing_w03_result</vt:lpstr>
      <vt:lpstr>sizing_w03_spr_chosen</vt:lpstr>
      <vt:lpstr>sizing_w03_vcenter_appliance_size</vt:lpstr>
      <vt:lpstr>sizing_w03_vcenter_storage_size</vt:lpstr>
      <vt:lpstr>sizing_w04_avi_appliance_size</vt:lpstr>
      <vt:lpstr>sizing_w04_avi_chosen</vt:lpstr>
      <vt:lpstr>sizing_w04_chosen</vt:lpstr>
      <vt:lpstr>sizing_w04_gm_chosen</vt:lpstr>
      <vt:lpstr>sizing_w04_gm_result</vt:lpstr>
      <vt:lpstr>sizing_w04_nsxt_appliance_size</vt:lpstr>
      <vt:lpstr>sizing_w04_nsxt_gm_appliance_size</vt:lpstr>
      <vt:lpstr>sizing_w04_nsxt_model</vt:lpstr>
      <vt:lpstr>sizing_w04_result</vt:lpstr>
      <vt:lpstr>sizing_w04_spr_chosen</vt:lpstr>
      <vt:lpstr>sizing_w04_vcenter_appliance_size</vt:lpstr>
      <vt:lpstr>sizing_w04_vcenter_storage_size</vt:lpstr>
      <vt:lpstr>sizing_w05_avi_appliance_size</vt:lpstr>
      <vt:lpstr>sizing_w05_avi_chosen</vt:lpstr>
      <vt:lpstr>sizing_w05_chosen</vt:lpstr>
      <vt:lpstr>sizing_w05_gm_chosen</vt:lpstr>
      <vt:lpstr>sizing_w05_gm_result</vt:lpstr>
      <vt:lpstr>sizing_w05_nsxt_appliance_size</vt:lpstr>
      <vt:lpstr>sizing_w05_nsxt_gm_appliance_size</vt:lpstr>
      <vt:lpstr>sizing_w05_nsxt_model</vt:lpstr>
      <vt:lpstr>sizing_w05_result</vt:lpstr>
      <vt:lpstr>sizing_w05_spr_chosen</vt:lpstr>
      <vt:lpstr>sizing_w05_vcenter_appliance_size</vt:lpstr>
      <vt:lpstr>sizing_w05_vcenter_storage_size</vt:lpstr>
      <vt:lpstr>sizing_w06_avi_appliance_size</vt:lpstr>
      <vt:lpstr>sizing_w06_avi_chosen</vt:lpstr>
      <vt:lpstr>sizing_w06_chosen</vt:lpstr>
      <vt:lpstr>sizing_w06_gm_chosen</vt:lpstr>
      <vt:lpstr>sizing_w06_gm_result</vt:lpstr>
      <vt:lpstr>sizing_w06_nsxt_appliance_size</vt:lpstr>
      <vt:lpstr>sizing_w06_nsxt_gm_appliance_size</vt:lpstr>
      <vt:lpstr>sizing_w06_nsxt_model</vt:lpstr>
      <vt:lpstr>sizing_w06_result</vt:lpstr>
      <vt:lpstr>sizing_w06_spr_chosen</vt:lpstr>
      <vt:lpstr>sizing_w06_vcenter_appliance_size</vt:lpstr>
      <vt:lpstr>sizing_w06_vcenter_storage_size</vt:lpstr>
      <vt:lpstr>sizing_w07_avi_appliance_size</vt:lpstr>
      <vt:lpstr>sizing_w07_avi_chosen</vt:lpstr>
      <vt:lpstr>sizing_w07_chosen</vt:lpstr>
      <vt:lpstr>sizing_w07_gm_chosen</vt:lpstr>
      <vt:lpstr>sizing_w07_gm_result</vt:lpstr>
      <vt:lpstr>sizing_w07_nsxt_appliance_size</vt:lpstr>
      <vt:lpstr>sizing_w07_nsxt_gm_appliance_size</vt:lpstr>
      <vt:lpstr>sizing_w07_nsxt_model</vt:lpstr>
      <vt:lpstr>sizing_w07_result</vt:lpstr>
      <vt:lpstr>sizing_w07_spr_chosen</vt:lpstr>
      <vt:lpstr>sizing_w07_vcenter_appliance_size</vt:lpstr>
      <vt:lpstr>sizing_w07_vcenter_storage_size</vt:lpstr>
      <vt:lpstr>sizing_w08_avi_appliance_size</vt:lpstr>
      <vt:lpstr>sizing_w08_avi_chosen</vt:lpstr>
      <vt:lpstr>sizing_w08_chosen</vt:lpstr>
      <vt:lpstr>sizing_w08_gm_chosen</vt:lpstr>
      <vt:lpstr>sizing_w08_gm_result</vt:lpstr>
      <vt:lpstr>sizing_w08_nsxt_appliance_size</vt:lpstr>
      <vt:lpstr>sizing_w08_nsxt_gm_appliance_size</vt:lpstr>
      <vt:lpstr>sizing_w08_nsxt_model</vt:lpstr>
      <vt:lpstr>sizing_w08_result</vt:lpstr>
      <vt:lpstr>sizing_w08_spr_chosen</vt:lpstr>
      <vt:lpstr>sizing_w08_vcenter_appliance_size</vt:lpstr>
      <vt:lpstr>sizing_w08_vcenter_storage_size</vt:lpstr>
      <vt:lpstr>sizing_w09_avi_appliance_size</vt:lpstr>
      <vt:lpstr>sizing_w09_avi_chosen</vt:lpstr>
      <vt:lpstr>sizing_w09_chosen</vt:lpstr>
      <vt:lpstr>sizing_w09_gm_chosen</vt:lpstr>
      <vt:lpstr>sizing_w09_gm_result</vt:lpstr>
      <vt:lpstr>sizing_w09_nsxt_appliance_size</vt:lpstr>
      <vt:lpstr>sizing_w09_nsxt_gm_appliance_size</vt:lpstr>
      <vt:lpstr>sizing_w09_nsxt_model</vt:lpstr>
      <vt:lpstr>sizing_w09_result</vt:lpstr>
      <vt:lpstr>sizing_w09_spr_chosen</vt:lpstr>
      <vt:lpstr>sizing_w09_vcenter_appliance_size</vt:lpstr>
      <vt:lpstr>sizing_w09_vcenter_storage_size</vt:lpstr>
      <vt:lpstr>sizing_w10_avi_appliance_size</vt:lpstr>
      <vt:lpstr>sizing_w10_avi_chosen</vt:lpstr>
      <vt:lpstr>sizing_w10_chosen</vt:lpstr>
      <vt:lpstr>sizing_w10_gm_chosen</vt:lpstr>
      <vt:lpstr>sizing_w10_gm_result</vt:lpstr>
      <vt:lpstr>sizing_w10_nsxt_appliance_size</vt:lpstr>
      <vt:lpstr>sizing_w10_nsxt_gm_appliance_size</vt:lpstr>
      <vt:lpstr>sizing_w10_nsxt_model</vt:lpstr>
      <vt:lpstr>sizing_w10_result</vt:lpstr>
      <vt:lpstr>sizing_w10_spr_chosen</vt:lpstr>
      <vt:lpstr>sizing_w10_vcenter_appliance_size</vt:lpstr>
      <vt:lpstr>sizing_w10_vcenter_storage_size</vt:lpstr>
      <vt:lpstr>sizing_w11_avi_appliance_size</vt:lpstr>
      <vt:lpstr>sizing_w11_avi_chosen</vt:lpstr>
      <vt:lpstr>sizing_w11_chosen</vt:lpstr>
      <vt:lpstr>sizing_w11_gm_chosen</vt:lpstr>
      <vt:lpstr>sizing_w11_gm_result</vt:lpstr>
      <vt:lpstr>sizing_w11_nsxt_appliance_size</vt:lpstr>
      <vt:lpstr>sizing_w11_nsxt_gm_appliance_size</vt:lpstr>
      <vt:lpstr>sizing_w11_nsxt_model</vt:lpstr>
      <vt:lpstr>sizing_w11_result</vt:lpstr>
      <vt:lpstr>sizing_w11_spr_chosen</vt:lpstr>
      <vt:lpstr>sizing_w11_vcenter_appliance_size</vt:lpstr>
      <vt:lpstr>sizing_w11_vcenter_storage_size</vt:lpstr>
      <vt:lpstr>sizing_w12_avi_appliance_size</vt:lpstr>
      <vt:lpstr>sizing_w12_avi_chosen</vt:lpstr>
      <vt:lpstr>sizing_w12_chosen</vt:lpstr>
      <vt:lpstr>sizing_w12_gm_chosen</vt:lpstr>
      <vt:lpstr>sizing_w12_gm_result</vt:lpstr>
      <vt:lpstr>sizing_w12_nsxt_appliance_size</vt:lpstr>
      <vt:lpstr>sizing_w12_nsxt_gm_appliance_size</vt:lpstr>
      <vt:lpstr>sizing_w12_nsxt_model</vt:lpstr>
      <vt:lpstr>sizing_w12_result</vt:lpstr>
      <vt:lpstr>sizing_w12_spr_chosen</vt:lpstr>
      <vt:lpstr>sizing_w12_vcenter_appliance_size</vt:lpstr>
      <vt:lpstr>sizing_w12_vcenter_storage_size</vt:lpstr>
      <vt:lpstr>sizing_w13_avi_appliance_size</vt:lpstr>
      <vt:lpstr>sizing_w13_avi_chosen</vt:lpstr>
      <vt:lpstr>sizing_w13_chosen</vt:lpstr>
      <vt:lpstr>sizing_w13_gm_chosen</vt:lpstr>
      <vt:lpstr>sizing_w13_gm_result</vt:lpstr>
      <vt:lpstr>sizing_w13_nsxt_appliance_size</vt:lpstr>
      <vt:lpstr>sizing_w13_nsxt_gm_appliance_size</vt:lpstr>
      <vt:lpstr>sizing_w13_nsxt_model</vt:lpstr>
      <vt:lpstr>sizing_w13_result</vt:lpstr>
      <vt:lpstr>sizing_w13_spr_chosen</vt:lpstr>
      <vt:lpstr>sizing_w13_vcenter_appliance_size</vt:lpstr>
      <vt:lpstr>sizing_w13_vcenter_storage_size</vt:lpstr>
      <vt:lpstr>sizing_w14_avi_appliance_size</vt:lpstr>
      <vt:lpstr>sizing_w14_avi_chosen</vt:lpstr>
      <vt:lpstr>sizing_w14_chosen</vt:lpstr>
      <vt:lpstr>sizing_w14_gm_chosen</vt:lpstr>
      <vt:lpstr>sizing_w14_gm_result</vt:lpstr>
      <vt:lpstr>sizing_w14_nsxt_appliance_size</vt:lpstr>
      <vt:lpstr>sizing_w14_nsxt_gm_appliance_size</vt:lpstr>
      <vt:lpstr>sizing_w14_nsxt_model</vt:lpstr>
      <vt:lpstr>sizing_w14_result</vt:lpstr>
      <vt:lpstr>sizing_w14_spr_chosen</vt:lpstr>
      <vt:lpstr>sizing_w14_vcenter_appliance_size</vt:lpstr>
      <vt:lpstr>sizing_w14_vcenter_storage_size</vt:lpstr>
      <vt:lpstr>sizing_w15_avi_appliance_size</vt:lpstr>
      <vt:lpstr>sizing_w15_avi_chosen</vt:lpstr>
      <vt:lpstr>sizing_w15_chosen</vt:lpstr>
      <vt:lpstr>sizing_w15_gm_chosen</vt:lpstr>
      <vt:lpstr>sizing_w15_gm_result</vt:lpstr>
      <vt:lpstr>sizing_w15_nsxt_appliance_size</vt:lpstr>
      <vt:lpstr>sizing_w15_nsxt_gm_appliance_size</vt:lpstr>
      <vt:lpstr>sizing_w15_nsxt_model</vt:lpstr>
      <vt:lpstr>sizing_w15_result</vt:lpstr>
      <vt:lpstr>sizing_w15_spr_chosen</vt:lpstr>
      <vt:lpstr>sizing_w15_vcenter_appliance_size</vt:lpstr>
      <vt:lpstr>sizing_w15_vcenter_storage_size</vt:lpstr>
      <vt:lpstr>sizing_w16_avi_appliance_size</vt:lpstr>
      <vt:lpstr>sizing_w16_avi_chosen</vt:lpstr>
      <vt:lpstr>sizing_w16_chosen</vt:lpstr>
      <vt:lpstr>sizing_w16_gm_chosen</vt:lpstr>
      <vt:lpstr>sizing_w16_gm_result</vt:lpstr>
      <vt:lpstr>sizing_w16_nsxt_appliance_size</vt:lpstr>
      <vt:lpstr>sizing_w16_nsxt_gm_appliance_size</vt:lpstr>
      <vt:lpstr>sizing_w16_nsxt_model</vt:lpstr>
      <vt:lpstr>sizing_w16_result</vt:lpstr>
      <vt:lpstr>sizing_w16_spr_chosen</vt:lpstr>
      <vt:lpstr>sizing_w16_vcenter_appliance_size</vt:lpstr>
      <vt:lpstr>sizing_w16_vcenter_storage_size</vt:lpstr>
      <vt:lpstr>sizing_w17_avi_appliance_size</vt:lpstr>
      <vt:lpstr>sizing_w17_avi_chosen</vt:lpstr>
      <vt:lpstr>sizing_w17_chosen</vt:lpstr>
      <vt:lpstr>sizing_w17_gm_chosen</vt:lpstr>
      <vt:lpstr>sizing_w17_gm_result</vt:lpstr>
      <vt:lpstr>sizing_w17_nsxt_appliance_size</vt:lpstr>
      <vt:lpstr>sizing_w17_nsxt_gm_appliance_size</vt:lpstr>
      <vt:lpstr>sizing_w17_nsxt_model</vt:lpstr>
      <vt:lpstr>sizing_w17_result</vt:lpstr>
      <vt:lpstr>sizing_w17_spr_chosen</vt:lpstr>
      <vt:lpstr>sizing_w17_vcenter_appliance_size</vt:lpstr>
      <vt:lpstr>sizing_w17_vcenter_storage_size</vt:lpstr>
      <vt:lpstr>sizing_w18_avi_appliance_size</vt:lpstr>
      <vt:lpstr>sizing_w18_avi_chosen</vt:lpstr>
      <vt:lpstr>sizing_w18_chosen</vt:lpstr>
      <vt:lpstr>sizing_w18_gm_chosen</vt:lpstr>
      <vt:lpstr>sizing_w18_gm_result</vt:lpstr>
      <vt:lpstr>sizing_w18_nsxt_appliance_size</vt:lpstr>
      <vt:lpstr>sizing_w18_nsxt_gm_appliance_size</vt:lpstr>
      <vt:lpstr>sizing_w18_nsxt_model</vt:lpstr>
      <vt:lpstr>sizing_w18_result</vt:lpstr>
      <vt:lpstr>sizing_w18_spr_chosen</vt:lpstr>
      <vt:lpstr>sizing_w18_vcenter_appliance_size</vt:lpstr>
      <vt:lpstr>sizing_w18_vcenter_storage_size</vt:lpstr>
      <vt:lpstr>sizing_w19_avi_appliance_size</vt:lpstr>
      <vt:lpstr>sizing_w19_avi_chosen</vt:lpstr>
      <vt:lpstr>sizing_w19_chosen</vt:lpstr>
      <vt:lpstr>sizing_w19_gm_chosen</vt:lpstr>
      <vt:lpstr>sizing_w19_gm_result</vt:lpstr>
      <vt:lpstr>sizing_w19_nsxt_appliance_size</vt:lpstr>
      <vt:lpstr>sizing_w19_nsxt_gm_appliance_size</vt:lpstr>
      <vt:lpstr>sizing_w19_nsxt_model</vt:lpstr>
      <vt:lpstr>sizing_w19_result</vt:lpstr>
      <vt:lpstr>sizing_w19_spr_chosen</vt:lpstr>
      <vt:lpstr>sizing_w19_vcenter_appliance_size</vt:lpstr>
      <vt:lpstr>sizing_w19_vcenter_storage_size</vt:lpstr>
      <vt:lpstr>sizing_w20_avi_appliance_size</vt:lpstr>
      <vt:lpstr>sizing_w20_avi_chosen</vt:lpstr>
      <vt:lpstr>sizing_w20_chosen</vt:lpstr>
      <vt:lpstr>sizing_w20_gm_chosen</vt:lpstr>
      <vt:lpstr>sizing_w20_gm_result</vt:lpstr>
      <vt:lpstr>sizing_w20_nsxt_appliance_size</vt:lpstr>
      <vt:lpstr>sizing_w20_nsxt_gm_appliance_size</vt:lpstr>
      <vt:lpstr>sizing_w20_nsxt_model</vt:lpstr>
      <vt:lpstr>sizing_w20_result</vt:lpstr>
      <vt:lpstr>sizing_w20_spr_chosen</vt:lpstr>
      <vt:lpstr>sizing_w20_vcenter_appliance_size</vt:lpstr>
      <vt:lpstr>sizing_w20_vcenter_storage_size</vt:lpstr>
      <vt:lpstr>sizing_w21_avi_appliance_size</vt:lpstr>
      <vt:lpstr>sizing_w21_avi_chosen</vt:lpstr>
      <vt:lpstr>sizing_w21_chosen</vt:lpstr>
      <vt:lpstr>sizing_w21_gm_chosen</vt:lpstr>
      <vt:lpstr>sizing_w21_gm_result</vt:lpstr>
      <vt:lpstr>sizing_w21_nsxt_appliance_size</vt:lpstr>
      <vt:lpstr>sizing_w21_nsxt_gm_appliance_size</vt:lpstr>
      <vt:lpstr>sizing_w21_nsxt_model</vt:lpstr>
      <vt:lpstr>sizing_w21_result</vt:lpstr>
      <vt:lpstr>sizing_w21_spr_chosen</vt:lpstr>
      <vt:lpstr>sizing_w21_vcenter_appliance_size</vt:lpstr>
      <vt:lpstr>sizing_w21_vcenter_storage_size</vt:lpstr>
      <vt:lpstr>sizing_w22_avi_appliance_size</vt:lpstr>
      <vt:lpstr>sizing_w22_avi_chosen</vt:lpstr>
      <vt:lpstr>sizing_w22_chosen</vt:lpstr>
      <vt:lpstr>sizing_w22_gm_chosen</vt:lpstr>
      <vt:lpstr>sizing_w22_gm_result</vt:lpstr>
      <vt:lpstr>sizing_w22_nsxt_appliance_size</vt:lpstr>
      <vt:lpstr>sizing_w22_nsxt_gm_appliance_size</vt:lpstr>
      <vt:lpstr>sizing_w22_nsxt_model</vt:lpstr>
      <vt:lpstr>sizing_w22_result</vt:lpstr>
      <vt:lpstr>sizing_w22_spr_chosen</vt:lpstr>
      <vt:lpstr>sizing_w22_vcenter_appliance_size</vt:lpstr>
      <vt:lpstr>sizing_w22_vcenter_storage_size</vt:lpstr>
      <vt:lpstr>sizing_w23_avi_appliance_size</vt:lpstr>
      <vt:lpstr>sizing_w23_avi_chosen</vt:lpstr>
      <vt:lpstr>sizing_w23_chosen</vt:lpstr>
      <vt:lpstr>sizing_w23_gm_chosen</vt:lpstr>
      <vt:lpstr>sizing_w23_gm_result</vt:lpstr>
      <vt:lpstr>sizing_w23_nsxt_appliance_size</vt:lpstr>
      <vt:lpstr>sizing_w23_nsxt_gm_appliance_size</vt:lpstr>
      <vt:lpstr>sizing_w23_nsxt_model</vt:lpstr>
      <vt:lpstr>sizing_w23_result</vt:lpstr>
      <vt:lpstr>sizing_w23_spr_chosen</vt:lpstr>
      <vt:lpstr>sizing_w23_vcenter_appliance_size</vt:lpstr>
      <vt:lpstr>sizing_w23_vcenter_storage_size</vt:lpstr>
      <vt:lpstr>sizing_w24_avi_appliance_size</vt:lpstr>
      <vt:lpstr>sizing_w24_avi_chosen</vt:lpstr>
      <vt:lpstr>sizing_w24_chosen</vt:lpstr>
      <vt:lpstr>sizing_w24_gm_chosen</vt:lpstr>
      <vt:lpstr>sizing_w24_gm_result</vt:lpstr>
      <vt:lpstr>sizing_w24_nsxt_appliance_size</vt:lpstr>
      <vt:lpstr>sizing_w24_nsxt_gm_appliance_size</vt:lpstr>
      <vt:lpstr>sizing_w24_nsxt_model</vt:lpstr>
      <vt:lpstr>sizing_w24_result</vt:lpstr>
      <vt:lpstr>sizing_w24_spr_chosen</vt:lpstr>
      <vt:lpstr>sizing_w24_vcenter_appliance_size</vt:lpstr>
      <vt:lpstr>sizing_w24_vcenter_storage_size</vt:lpstr>
      <vt:lpstr>smtp_sender_password</vt:lpstr>
      <vt:lpstr>smtp_sender_username</vt:lpstr>
      <vt:lpstr>smtp_server</vt:lpstr>
      <vt:lpstr>smtp_server_port</vt:lpstr>
      <vt:lpstr>spr_chosen</vt:lpstr>
      <vt:lpstr>spr_mo_result</vt:lpstr>
      <vt:lpstr>spr_mw_result</vt:lpstr>
      <vt:lpstr>spr_result</vt:lpstr>
      <vt:lpstr>spr_wo_result</vt:lpstr>
      <vt:lpstr>srm_appliance_size</vt:lpstr>
      <vt:lpstr>srm_license</vt:lpstr>
      <vt:lpstr>sso_default_admin</vt:lpstr>
      <vt:lpstr>storage_autopolicy</vt:lpstr>
      <vt:lpstr>storage_ftt</vt:lpstr>
      <vt:lpstr>svc_cbr_vcdr_vsphere_password</vt:lpstr>
      <vt:lpstr>svc_cbr_vcdr_vsphere_user</vt:lpstr>
      <vt:lpstr>svc_hrm_vcf_password</vt:lpstr>
      <vt:lpstr>svc_hrm_vcf_user</vt:lpstr>
      <vt:lpstr>svc_hrm_vrops_password</vt:lpstr>
      <vt:lpstr>svc_hrm_vrops_user</vt:lpstr>
      <vt:lpstr>svc_ila_ad_password</vt:lpstr>
      <vt:lpstr>svc_ila_ad_user</vt:lpstr>
      <vt:lpstr>svc_inv_ad_password</vt:lpstr>
      <vt:lpstr>svc_inv_ad_user_email</vt:lpstr>
      <vt:lpstr>svc_inv_vrops_user</vt:lpstr>
      <vt:lpstr>svc_my_vmware_password</vt:lpstr>
      <vt:lpstr>svc_vcf_bck_password</vt:lpstr>
      <vt:lpstr>svc_vcf_ca_vvd_password</vt:lpstr>
      <vt:lpstr>svc_vra_nsx_password</vt:lpstr>
      <vt:lpstr>svc_vra_vcf_password</vt:lpstr>
      <vt:lpstr>svc_vra_vrops_password</vt:lpstr>
      <vt:lpstr>svc_vra_vsphere_password</vt:lpstr>
      <vt:lpstr>svc_vrli_vrops_password</vt:lpstr>
      <vt:lpstr>svc_vro_vsphere_password</vt:lpstr>
      <vt:lpstr>svc_vrops_nsx_password</vt:lpstr>
      <vt:lpstr>svc_vrops_vra_password</vt:lpstr>
      <vt:lpstr>svc_vrops_vsan_password</vt:lpstr>
      <vt:lpstr>svc_vrops_vsphere_password</vt:lpstr>
      <vt:lpstr>table_avi_lb_cpu</vt:lpstr>
      <vt:lpstr>table_avi_lb_disk</vt:lpstr>
      <vt:lpstr>table_avi_lb_ram</vt:lpstr>
      <vt:lpstr>table_cidr_to_mask</vt:lpstr>
      <vt:lpstr>table_nsxt_deployment_model</vt:lpstr>
      <vt:lpstr>table_nsxt_deployment_model_dedicated</vt:lpstr>
      <vt:lpstr>table_nsxt_edge_cpu</vt:lpstr>
      <vt:lpstr>table_nsxt_edge_disk_gb</vt:lpstr>
      <vt:lpstr>table_nsxt_edge_ram</vt:lpstr>
      <vt:lpstr>table_nsxt_manager_cpu</vt:lpstr>
      <vt:lpstr>table_nsxt_manager_disk_gb</vt:lpstr>
      <vt:lpstr>table_nsxt_manager_ram</vt:lpstr>
      <vt:lpstr>table_srm_cpu</vt:lpstr>
      <vt:lpstr>table_srm_disk</vt:lpstr>
      <vt:lpstr>table_srm_ram</vt:lpstr>
      <vt:lpstr>table_vc_gateway_appliance_cpu</vt:lpstr>
      <vt:lpstr>table_vc_gateway_appliance_disk</vt:lpstr>
      <vt:lpstr>table_vc_gateway_appliance_ram</vt:lpstr>
      <vt:lpstr>table_vcenter_appliance_cpu</vt:lpstr>
      <vt:lpstr>table_vcenter_appliance_ram</vt:lpstr>
      <vt:lpstr>table_vcenter_disk_gb</vt:lpstr>
      <vt:lpstr>table_vcf_version4x_mgmt_vlcm_type</vt:lpstr>
      <vt:lpstr>table_vcf_version4x_mgmt_vsan_type</vt:lpstr>
      <vt:lpstr>table_vcf_version4x_wld_storage_type</vt:lpstr>
      <vt:lpstr>table_vcf_version5x_mgmt_vlcm_image</vt:lpstr>
      <vt:lpstr>table_vcf_version5x_mgmt_vlcm_type</vt:lpstr>
      <vt:lpstr>table_vcf_version5x_mgmt_vsan_type</vt:lpstr>
      <vt:lpstr>table_vcf_version5x_wld_storage_type</vt:lpstr>
      <vt:lpstr>table_vi_domain_type</vt:lpstr>
      <vt:lpstr>table_vi_domain_type_exclude</vt:lpstr>
      <vt:lpstr>table_vi_domain_type_isolated</vt:lpstr>
      <vt:lpstr>table_vi_domain_type_vi</vt:lpstr>
      <vt:lpstr>table_vi_domain_type_vi_iso_exclude</vt:lpstr>
      <vt:lpstr>table_vra_appliance_cpu</vt:lpstr>
      <vt:lpstr>table_vra_appliance_disk</vt:lpstr>
      <vt:lpstr>table_vra_appliance_ram</vt:lpstr>
      <vt:lpstr>table_vrli_appliance_cpu</vt:lpstr>
      <vt:lpstr>table_vrli_appliance_disk</vt:lpstr>
      <vt:lpstr>table_vrli_appliance_ram</vt:lpstr>
      <vt:lpstr>table_vrms_cpu</vt:lpstr>
      <vt:lpstr>table_vrms_disk</vt:lpstr>
      <vt:lpstr>table_vrms_ram</vt:lpstr>
      <vt:lpstr>table_vrops_appliance_cpu</vt:lpstr>
      <vt:lpstr>table_vrops_appliance_disk</vt:lpstr>
      <vt:lpstr>table_vrops_appliance_ram</vt:lpstr>
      <vt:lpstr>table_vrops_rc_cpu</vt:lpstr>
      <vt:lpstr>table_vrops_rc_disk</vt:lpstr>
      <vt:lpstr>table_vrops_rc_ram</vt:lpstr>
      <vt:lpstr>table_wsa_appliance_cpu</vt:lpstr>
      <vt:lpstr>table_wsa_appliance_disk</vt:lpstr>
      <vt:lpstr>table_wsa_appliance_ram</vt:lpstr>
      <vt:lpstr>this_instance</vt:lpstr>
      <vt:lpstr>user_svc_my_vmware</vt:lpstr>
      <vt:lpstr>user_svc_vcf_bck</vt:lpstr>
      <vt:lpstr>user_svc_vcf_ca_vcf</vt:lpstr>
      <vt:lpstr>user_svc_vcf_ca_vvd</vt:lpstr>
      <vt:lpstr>user_svc_vra_nsx</vt:lpstr>
      <vt:lpstr>user_svc_vra_vcf</vt:lpstr>
      <vt:lpstr>user_svc_vra_vrops</vt:lpstr>
      <vt:lpstr>user_svc_vra_vsphere</vt:lpstr>
      <vt:lpstr>user_svc_vrli_vrops</vt:lpstr>
      <vt:lpstr>user_svc_vrli_wsa</vt:lpstr>
      <vt:lpstr>user_svc_vro_vsphere</vt:lpstr>
      <vt:lpstr>user_svc_vrops_nsx</vt:lpstr>
      <vt:lpstr>user_svc_vrops_vra</vt:lpstr>
      <vt:lpstr>user_svc_vrops_vsan</vt:lpstr>
      <vt:lpstr>user_svc_vrops_vsphere</vt:lpstr>
      <vt:lpstr>vc_license</vt:lpstr>
      <vt:lpstr>vcenter_root_password</vt:lpstr>
      <vt:lpstr>vcf_aware_wsa_chosen</vt:lpstr>
      <vt:lpstr>vcf_aware_wsa_result</vt:lpstr>
      <vt:lpstr>vcf_currency_codes</vt:lpstr>
      <vt:lpstr>vcf_license_now_output</vt:lpstr>
      <vt:lpstr>vcf_solution_license_chosen</vt:lpstr>
      <vt:lpstr>vcf_solution_license_result</vt:lpstr>
      <vt:lpstr>vcf_version</vt:lpstr>
      <vt:lpstr>vcf_version_chosen</vt:lpstr>
      <vt:lpstr>vcf_version_result</vt:lpstr>
      <vt:lpstr>vcf_vi_isolated_domain_count</vt:lpstr>
      <vt:lpstr>vcf_vi_wld_domain_count</vt:lpstr>
      <vt:lpstr>vcfadmin_local_password</vt:lpstr>
      <vt:lpstr>vi_only_viable</vt:lpstr>
      <vt:lpstr>vlcm_image_cluster_moref</vt:lpstr>
      <vt:lpstr>vlcm_image_cluster_name</vt:lpstr>
      <vt:lpstr>vlcm_image_name</vt:lpstr>
      <vt:lpstr>vlcm_image_vc_hostname</vt:lpstr>
      <vt:lpstr>vra_license</vt:lpstr>
      <vt:lpstr>vra_license_alias</vt:lpstr>
      <vt:lpstr>vra_sddc_mgr_integration_name</vt:lpstr>
      <vt:lpstr>vrli_license</vt:lpstr>
      <vt:lpstr>vrli_license_alias</vt:lpstr>
      <vt:lpstr>vrms_appliance_size</vt:lpstr>
      <vt:lpstr>vrni_license</vt:lpstr>
      <vt:lpstr>vrni_license_alias</vt:lpstr>
      <vt:lpstr>vrops_license</vt:lpstr>
      <vt:lpstr>vrops_license_alias</vt:lpstr>
      <vt:lpstr>vrs_license</vt:lpstr>
      <vt:lpstr>vrs_t1_lb_si_ip</vt:lpstr>
      <vt:lpstr>vrs_t1_lb_si_name</vt:lpstr>
      <vt:lpstr>vrslcm_bespoke_svc_vrslcm_vsphere_password</vt:lpstr>
      <vt:lpstr>vrslcm_chosen</vt:lpstr>
      <vt:lpstr>vrslcm_reg_dc</vt:lpstr>
      <vt:lpstr>vrslcm_reg_env</vt:lpstr>
      <vt:lpstr>vrslcm_result</vt:lpstr>
      <vt:lpstr>vrslcm_root_password</vt:lpstr>
      <vt:lpstr>vrslcm_xreg_admin_password</vt:lpstr>
      <vt:lpstr>vrslcm_xreg_admin_username</vt:lpstr>
      <vt:lpstr>vrslcm_xreg_content_library</vt:lpstr>
      <vt:lpstr>vrslcm_xreg_dc</vt:lpstr>
      <vt:lpstr>vrslcm_xreg_env</vt:lpstr>
      <vt:lpstr>vrslcm_xreg_env_password</vt:lpstr>
      <vt:lpstr>vrslcm_xreg_env_password_alias</vt:lpstr>
      <vt:lpstr>vrslcm_xreg_location</vt:lpstr>
      <vt:lpstr>vrslcm_xreg_vm_folder</vt:lpstr>
      <vt:lpstr>vsan_license</vt:lpstr>
      <vt:lpstr>vsphere_8u1_evc_table</vt:lpstr>
      <vt:lpstr>witness_dns_zone</vt:lpstr>
      <vt:lpstr>witness_dns1_ip</vt:lpstr>
      <vt:lpstr>witness_dns2_ip</vt:lpstr>
      <vt:lpstr>witness_ntp1_server</vt:lpstr>
      <vt:lpstr>witness_ntp2_server</vt:lpstr>
      <vt:lpstr>wld_avi_loadbalancer_chosen</vt:lpstr>
      <vt:lpstr>wld_avi_loadbalancer_result</vt:lpstr>
      <vt:lpstr>wld_avilb_cluster_name</vt:lpstr>
      <vt:lpstr>wld_avilb_cluster_version</vt:lpstr>
      <vt:lpstr>wld_avilb_fqdn</vt:lpstr>
      <vt:lpstr>wld_avilb_hostname</vt:lpstr>
      <vt:lpstr>wld_avilb_ip</vt:lpstr>
      <vt:lpstr>wld_avilb_mgra_fqdn</vt:lpstr>
      <vt:lpstr>wld_avilb_mgra_hostname</vt:lpstr>
      <vt:lpstr>wld_avilb_mgra_ip</vt:lpstr>
      <vt:lpstr>wld_avilb_mgrb_fqdn</vt:lpstr>
      <vt:lpstr>wld_avilb_mgrb_hostname</vt:lpstr>
      <vt:lpstr>wld_avilb_mgrb_ip</vt:lpstr>
      <vt:lpstr>wld_avilb_mgrc_fqdn</vt:lpstr>
      <vt:lpstr>wld_avilb_mgrc_hostname</vt:lpstr>
      <vt:lpstr>wld_avilb_mgrc_ip</vt:lpstr>
      <vt:lpstr>wld_az_second_edge_rack_mgmt_vm_vlan</vt:lpstr>
      <vt:lpstr>wld_az1_child_dns_zone</vt:lpstr>
      <vt:lpstr>wld_az1_edge_overlay_cidr</vt:lpstr>
      <vt:lpstr>wld_az1_edge_overlay_gateway_ip</vt:lpstr>
      <vt:lpstr>wld_az1_edge_overlay_mtu</vt:lpstr>
      <vt:lpstr>wld_az1_edge_overlay_network_pool_name</vt:lpstr>
      <vt:lpstr>wld_az1_edge_overlay_pool_end_ip</vt:lpstr>
      <vt:lpstr>wld_az1_edge_overlay_pool_start_ip</vt:lpstr>
      <vt:lpstr>wld_az1_edge_overlay_vlan</vt:lpstr>
      <vt:lpstr>wld_az1_en1_edge_overlay_interface_ip_1_ip</vt:lpstr>
      <vt:lpstr>wld_az1_en1_edge_overlay_interface_ip_2_ip</vt:lpstr>
      <vt:lpstr>wld_az1_en1_fqdn</vt:lpstr>
      <vt:lpstr>wld_az1_en1_hostname</vt:lpstr>
      <vt:lpstr>wld_az1_en1_mgmt_ip</vt:lpstr>
      <vt:lpstr>wld_az1_en1_uplink01_interface_ip</vt:lpstr>
      <vt:lpstr>wld_az1_en1_uplink02_interface_ip</vt:lpstr>
      <vt:lpstr>wld_az1_en2_edge_overlay_interface_ip_1_ip</vt:lpstr>
      <vt:lpstr>wld_az1_en2_edge_overlay_interface_ip_2_ip</vt:lpstr>
      <vt:lpstr>wld_az1_en2_fqdn</vt:lpstr>
      <vt:lpstr>wld_az1_en2_hostname</vt:lpstr>
      <vt:lpstr>wld_az1_en2_mgmt_ip</vt:lpstr>
      <vt:lpstr>wld_az1_en2_uplink01_interface_ip</vt:lpstr>
      <vt:lpstr>wld_az1_en2_uplink02_interface_ip</vt:lpstr>
      <vt:lpstr>wld_az1_first_compute_rack_host_01_output</vt:lpstr>
      <vt:lpstr>wld_az1_first_compute_rack_host_overlay_cidr_output</vt:lpstr>
      <vt:lpstr>wld_az1_first_compute_rack_host_overlay_end_ip_output</vt:lpstr>
      <vt:lpstr>wld_az1_first_compute_rack_host_overlay_gateway_output</vt:lpstr>
      <vt:lpstr>wld_az1_first_compute_rack_host_overlay_start_ip_output</vt:lpstr>
      <vt:lpstr>wld_az1_first_compute_rack_host_overlay_uplink_profile_name_output</vt:lpstr>
      <vt:lpstr>wld_az1_first_compute_rack_host_overlay_vlan_output</vt:lpstr>
      <vt:lpstr>wld_az1_first_compute_rack_overlay_network_pool_name_output</vt:lpstr>
      <vt:lpstr>wld_az1_first_compute_rack_overlay_network_profile_name_output</vt:lpstr>
      <vt:lpstr>wld_az1_first_edge_cluster_host_overlay_cidr_output</vt:lpstr>
      <vt:lpstr>wld_az1_first_edge_cluster_host_overlay_gateway_ip_output</vt:lpstr>
      <vt:lpstr>wld_az1_first_edge_cluster_host_overlay_network_pool_name_output</vt:lpstr>
      <vt:lpstr>wld_az1_first_edge_cluster_host_overlay_pool_end_ip_output</vt:lpstr>
      <vt:lpstr>wld_az1_first_edge_cluster_host_overlay_pool_start_ip_output</vt:lpstr>
      <vt:lpstr>wld_az1_first_edge_cluster_host_overlay_uplink_profile_name_output</vt:lpstr>
      <vt:lpstr>wld_az1_first_edge_cluster_host_overlay_vlan_output</vt:lpstr>
      <vt:lpstr>wld_az1_first_edge_rack_edge_overlay_cidr_output</vt:lpstr>
      <vt:lpstr>wld_az1_first_edge_rack_edge_overlay_gateway_ip_output</vt:lpstr>
      <vt:lpstr>wld_az1_first_edge_rack_edge_overlay_network_pool_name_output</vt:lpstr>
      <vt:lpstr>wld_az1_first_edge_rack_edge_overlay_pool_end_ip_output</vt:lpstr>
      <vt:lpstr>wld_az1_first_edge_rack_edge_overlay_pool_start_ip_output</vt:lpstr>
      <vt:lpstr>wld_az1_first_edge_rack_edge_overlay_vlan_output</vt:lpstr>
      <vt:lpstr>wld_az1_first_edge_rack_en01_fqdn_output</vt:lpstr>
      <vt:lpstr>wld_az1_first_edge_rack_en01_uplink01_interface_cidr_output</vt:lpstr>
      <vt:lpstr>wld_az1_first_edge_rack_en01_uplink02_interface_cidr_output</vt:lpstr>
      <vt:lpstr>wld_az1_first_edge_rack_en02_fqdn_output</vt:lpstr>
      <vt:lpstr>wld_az1_first_edge_rack_en02_uplink01_interface_cidr_output</vt:lpstr>
      <vt:lpstr>wld_az1_first_edge_rack_en02_uplink02_interface_cidr_output</vt:lpstr>
      <vt:lpstr>wld_az1_first_edge_rack_mgmt_en01_vm_cidr_output</vt:lpstr>
      <vt:lpstr>wld_az1_first_edge_rack_mgmt_en02_vm_cidr_output</vt:lpstr>
      <vt:lpstr>wld_az1_first_edge_rack_mgmt_vm_gateway_ip_output</vt:lpstr>
      <vt:lpstr>wld_az1_first_edge_rack_mgmt_vm_vlan_output</vt:lpstr>
      <vt:lpstr>wld_az1_first_edge_rack_tor1_peer_asn_output</vt:lpstr>
      <vt:lpstr>wld_az1_first_edge_rack_tor1_peer_bgp_password_output</vt:lpstr>
      <vt:lpstr>wld_az1_first_edge_rack_tor1_peer_cidr_output</vt:lpstr>
      <vt:lpstr>wld_az1_first_edge_rack_tor2_peer_asn_output</vt:lpstr>
      <vt:lpstr>wld_az1_first_edge_rack_tor2_peer_bgp_password_output</vt:lpstr>
      <vt:lpstr>wld_az1_first_edge_rack_tor2_peer_cidr_output</vt:lpstr>
      <vt:lpstr>wld_az1_first_edge_rack_uplink01_vlan_output</vt:lpstr>
      <vt:lpstr>wld_az1_first_edge_rack_uplink02_vlan_output</vt:lpstr>
      <vt:lpstr>wld_az1_fourth_compute_rack_host_01_output</vt:lpstr>
      <vt:lpstr>wld_az1_fourth_compute_rack_host_overlay_cidr_output</vt:lpstr>
      <vt:lpstr>wld_az1_fourth_compute_rack_host_overlay_end_ip_output</vt:lpstr>
      <vt:lpstr>wld_az1_fourth_compute_rack_host_overlay_gateway_output</vt:lpstr>
      <vt:lpstr>wld_az1_fourth_compute_rack_host_overlay_start_ip_output</vt:lpstr>
      <vt:lpstr>wld_az1_fourth_compute_rack_host_overlay_uplink_profile_name_output</vt:lpstr>
      <vt:lpstr>wld_az1_fourth_compute_rack_host_overlay_vlan_output</vt:lpstr>
      <vt:lpstr>wld_az1_fourth_compute_rack_overlay_network_pool_name_output</vt:lpstr>
      <vt:lpstr>wld_az1_fourth_compute_rack_overlay_network_profile_name_output</vt:lpstr>
      <vt:lpstr>wld_az1_host_fqdns</vt:lpstr>
      <vt:lpstr>wld_az1_host_function</vt:lpstr>
      <vt:lpstr>wld_az1_host_hostnames</vt:lpstr>
      <vt:lpstr>wld_az1_host_mgmt_ips</vt:lpstr>
      <vt:lpstr>wld_az1_host_overlay_cidr</vt:lpstr>
      <vt:lpstr>wld_az1_host_overlay_gateway_ip</vt:lpstr>
      <vt:lpstr>wld_az1_host_overlay_mtu</vt:lpstr>
      <vt:lpstr>wld_az1_host_overlay_network_pool_name</vt:lpstr>
      <vt:lpstr>wld_az1_host_overlay_network_profile_name</vt:lpstr>
      <vt:lpstr>wld_az1_host_overlay_pool_end_ip</vt:lpstr>
      <vt:lpstr>wld_az1_host_overlay_pool_start_ip</vt:lpstr>
      <vt:lpstr>wld_az1_host_overlay_uplink_profile_name</vt:lpstr>
      <vt:lpstr>wld_az1_host_overlay_vlan</vt:lpstr>
      <vt:lpstr>wld_az1_host_vrms_ips</vt:lpstr>
      <vt:lpstr>wld_az1_host1_fqdn</vt:lpstr>
      <vt:lpstr>wld_az1_host1_function</vt:lpstr>
      <vt:lpstr>wld_az1_host1_hostname</vt:lpstr>
      <vt:lpstr>wld_az1_host1_mgmt_ip</vt:lpstr>
      <vt:lpstr>wld_az1_host1_sddc_id</vt:lpstr>
      <vt:lpstr>wld_az1_host1_vrms_ip</vt:lpstr>
      <vt:lpstr>wld_az1_host10_fqdn</vt:lpstr>
      <vt:lpstr>wld_az1_host10_hostname</vt:lpstr>
      <vt:lpstr>wld_az1_host10_mgmt_ip</vt:lpstr>
      <vt:lpstr>wld_az1_host10_vrms_ip</vt:lpstr>
      <vt:lpstr>wld_az1_host11_fqdn</vt:lpstr>
      <vt:lpstr>wld_az1_host11_hostname</vt:lpstr>
      <vt:lpstr>wld_az1_host11_mgmt_ip</vt:lpstr>
      <vt:lpstr>wld_az1_host11_vrms_ip</vt:lpstr>
      <vt:lpstr>wld_az1_host12_fqdn</vt:lpstr>
      <vt:lpstr>wld_az1_host12_hostname</vt:lpstr>
      <vt:lpstr>wld_az1_host12_mgmt_ip</vt:lpstr>
      <vt:lpstr>wld_az1_host12_vrms_ip</vt:lpstr>
      <vt:lpstr>wld_az1_host13_fqdn</vt:lpstr>
      <vt:lpstr>wld_az1_host13_hostname</vt:lpstr>
      <vt:lpstr>wld_az1_host13_mgmt_ip</vt:lpstr>
      <vt:lpstr>wld_az1_host13_vrms_ip</vt:lpstr>
      <vt:lpstr>wld_az1_host14_fqdn</vt:lpstr>
      <vt:lpstr>wld_az1_host14_hostname</vt:lpstr>
      <vt:lpstr>wld_az1_host14_mgmt_ip</vt:lpstr>
      <vt:lpstr>wld_az1_host14_vrms_ip</vt:lpstr>
      <vt:lpstr>wld_az1_host15_fqdn</vt:lpstr>
      <vt:lpstr>wld_az1_host15_hostname</vt:lpstr>
      <vt:lpstr>wld_az1_host15_mgmt_ip</vt:lpstr>
      <vt:lpstr>wld_az1_host15_vrms_ip</vt:lpstr>
      <vt:lpstr>wld_az1_host16_fqdn</vt:lpstr>
      <vt:lpstr>wld_az1_host16_hostname</vt:lpstr>
      <vt:lpstr>wld_az1_host16_mgmt_ip</vt:lpstr>
      <vt:lpstr>wld_az1_host16_vrms_ip</vt:lpstr>
      <vt:lpstr>wld_az1_host2_fqdn</vt:lpstr>
      <vt:lpstr>wld_az1_host2_function</vt:lpstr>
      <vt:lpstr>wld_az1_host2_hostname</vt:lpstr>
      <vt:lpstr>wld_az1_host2_mgmt_ip</vt:lpstr>
      <vt:lpstr>wld_az1_host2_sddc_id</vt:lpstr>
      <vt:lpstr>wld_az1_host2_vrms_ip</vt:lpstr>
      <vt:lpstr>wld_az1_host3_fqdn</vt:lpstr>
      <vt:lpstr>wld_az1_host3_function</vt:lpstr>
      <vt:lpstr>wld_az1_host3_hostname</vt:lpstr>
      <vt:lpstr>wld_az1_host3_mgmt_ip</vt:lpstr>
      <vt:lpstr>wld_az1_host3_sddc_id</vt:lpstr>
      <vt:lpstr>wld_az1_host3_vrms_ip</vt:lpstr>
      <vt:lpstr>wld_az1_host4_fqdn</vt:lpstr>
      <vt:lpstr>wld_az1_host4_hostname</vt:lpstr>
      <vt:lpstr>wld_az1_host4_mgmt_ip</vt:lpstr>
      <vt:lpstr>wld_az1_host4_sddc_id</vt:lpstr>
      <vt:lpstr>wld_az1_host4_vrms_ip</vt:lpstr>
      <vt:lpstr>wld_az1_host5_fqdn</vt:lpstr>
      <vt:lpstr>wld_az1_host5_hostname</vt:lpstr>
      <vt:lpstr>wld_az1_host5_mgmt_ip</vt:lpstr>
      <vt:lpstr>wld_az1_host5_vrms_ip</vt:lpstr>
      <vt:lpstr>wld_az1_host6_fqdn</vt:lpstr>
      <vt:lpstr>wld_az1_host6_hostname</vt:lpstr>
      <vt:lpstr>wld_az1_host6_mgmt_ip</vt:lpstr>
      <vt:lpstr>wld_az1_host6_vrms_ip</vt:lpstr>
      <vt:lpstr>wld_az1_host7_fqdn</vt:lpstr>
      <vt:lpstr>wld_az1_host7_hostname</vt:lpstr>
      <vt:lpstr>wld_az1_host7_mgmt_ip</vt:lpstr>
      <vt:lpstr>wld_az1_host7_vrms_ip</vt:lpstr>
      <vt:lpstr>wld_az1_host8_fqdn</vt:lpstr>
      <vt:lpstr>wld_az1_host8_hostname</vt:lpstr>
      <vt:lpstr>wld_az1_host8_mgmt_ip</vt:lpstr>
      <vt:lpstr>wld_az1_host8_vrms_ip</vt:lpstr>
      <vt:lpstr>wld_az1_host9_fqdn</vt:lpstr>
      <vt:lpstr>wld_az1_host9_hostname</vt:lpstr>
      <vt:lpstr>wld_az1_host9_mgmt_ip</vt:lpstr>
      <vt:lpstr>wld_az1_host9_vrms_ip</vt:lpstr>
      <vt:lpstr>wld_az1_mgmt_cidr</vt:lpstr>
      <vt:lpstr>wld_az1_mgmt_gateway_ip</vt:lpstr>
      <vt:lpstr>wld_az1_mgmt_mask</vt:lpstr>
      <vt:lpstr>wld_az1_mgmt_mtu</vt:lpstr>
      <vt:lpstr>wld_az1_mgmt_vlan</vt:lpstr>
      <vt:lpstr>wld_az1_mgmt_vm_cidr</vt:lpstr>
      <vt:lpstr>wld_az1_mgmt_vm_gateway_ip</vt:lpstr>
      <vt:lpstr>wld_az1_mgmt_vm_mask</vt:lpstr>
      <vt:lpstr>wld_az1_mgmt_vm_mtu</vt:lpstr>
      <vt:lpstr>wld_az1_mgmt_vm_vlan</vt:lpstr>
      <vt:lpstr>wld_az1_pool_name</vt:lpstr>
      <vt:lpstr>wld_az1_principal_storage_cidr</vt:lpstr>
      <vt:lpstr>wld_az1_principal_storage_gateway_ip</vt:lpstr>
      <vt:lpstr>wld_az1_principal_storage_mask</vt:lpstr>
      <vt:lpstr>wld_az1_principal_storage_mtu</vt:lpstr>
      <vt:lpstr>wld_az1_principal_storage_pool_end_ip</vt:lpstr>
      <vt:lpstr>wld_az1_principal_storage_pool_start_ip</vt:lpstr>
      <vt:lpstr>wld_az1_principal_storage_vlan</vt:lpstr>
      <vt:lpstr>wld_az1_rack2_child_dns_zone</vt:lpstr>
      <vt:lpstr>wld_az1_rack2_edge_overlay_cidr</vt:lpstr>
      <vt:lpstr>wld_az1_rack2_edge_overlay_gateway_ip</vt:lpstr>
      <vt:lpstr>wld_az1_rack2_edge_overlay_mtu</vt:lpstr>
      <vt:lpstr>wld_az1_rack2_edge_overlay_network_pool_name</vt:lpstr>
      <vt:lpstr>wld_az1_rack2_edge_overlay_pool_end_ip</vt:lpstr>
      <vt:lpstr>wld_az1_rack2_edge_overlay_pool_start_ip</vt:lpstr>
      <vt:lpstr>wld_az1_rack2_edge_overlay_vlan</vt:lpstr>
      <vt:lpstr>wld_az1_rack2_en1_edge_overlay_interface_ip_1_ip</vt:lpstr>
      <vt:lpstr>wld_az1_rack2_en1_edge_overlay_interface_ip_2_ip</vt:lpstr>
      <vt:lpstr>wld_az1_rack2_en1_fqdn</vt:lpstr>
      <vt:lpstr>wld_az1_rack2_en1_hostname</vt:lpstr>
      <vt:lpstr>wld_az1_rack2_en1_mgmt_ip</vt:lpstr>
      <vt:lpstr>wld_az1_rack2_en1_uplink01_interface_ip</vt:lpstr>
      <vt:lpstr>wld_az1_rack2_en1_uplink02_interface_ip</vt:lpstr>
      <vt:lpstr>wld_az1_rack2_en2_fqdn</vt:lpstr>
      <vt:lpstr>wld_az1_rack2_en2_hostname</vt:lpstr>
      <vt:lpstr>wld_az1_rack2_en2_mgmt_ip</vt:lpstr>
      <vt:lpstr>wld_az1_rack2_en2_uplink01_interface_ip</vt:lpstr>
      <vt:lpstr>wld_az1_rack2_en2_uplink02_interface_ip</vt:lpstr>
      <vt:lpstr>wld_az1_rack2_host_edge_count</vt:lpstr>
      <vt:lpstr>wld_az1_rack2_host_fqdns</vt:lpstr>
      <vt:lpstr>wld_az1_rack2_host_hostnames</vt:lpstr>
      <vt:lpstr>wld_az1_rack2_host_mgmt_ips</vt:lpstr>
      <vt:lpstr>wld_az1_rack2_host_overlay_cidr</vt:lpstr>
      <vt:lpstr>wld_az1_rack2_host_overlay_gateway_ip</vt:lpstr>
      <vt:lpstr>wld_az1_rack2_host_overlay_mtu</vt:lpstr>
      <vt:lpstr>wld_az1_rack2_host_overlay_network_pool_name</vt:lpstr>
      <vt:lpstr>wld_az1_rack2_host_overlay_network_profile_name</vt:lpstr>
      <vt:lpstr>wld_az1_rack2_host_overlay_pool_end_ip</vt:lpstr>
      <vt:lpstr>wld_az1_rack2_host_overlay_pool_start_ip</vt:lpstr>
      <vt:lpstr>wld_az1_rack2_host_overlay_uplink_profile_name</vt:lpstr>
      <vt:lpstr>wld_az1_rack2_host_overlay_vlan</vt:lpstr>
      <vt:lpstr>wld_az1_rack2_host_vrms_ips</vt:lpstr>
      <vt:lpstr>wld_az1_rack2_host1_fqdn</vt:lpstr>
      <vt:lpstr>wld_az1_rack2_host1_function</vt:lpstr>
      <vt:lpstr>wld_az1_rack2_host1_hostname</vt:lpstr>
      <vt:lpstr>wld_az1_rack2_host1_mgmt_ip</vt:lpstr>
      <vt:lpstr>wld_az1_rack2_host1_vrms_ip</vt:lpstr>
      <vt:lpstr>wld_az1_rack2_host10_fqdn</vt:lpstr>
      <vt:lpstr>wld_az1_rack2_host10_hostname</vt:lpstr>
      <vt:lpstr>wld_az1_rack2_host10_mgmt_ip</vt:lpstr>
      <vt:lpstr>wld_az1_rack2_host10_vrms_ip</vt:lpstr>
      <vt:lpstr>wld_az1_rack2_host11_fqdn</vt:lpstr>
      <vt:lpstr>wld_az1_rack2_host11_hostname</vt:lpstr>
      <vt:lpstr>wld_az1_rack2_host11_mgmt_ip</vt:lpstr>
      <vt:lpstr>wld_az1_rack2_host11_vrms_ip</vt:lpstr>
      <vt:lpstr>wld_az1_rack2_host12_fqdn</vt:lpstr>
      <vt:lpstr>wld_az1_rack2_host12_hostname</vt:lpstr>
      <vt:lpstr>wld_az1_rack2_host12_mgmt_ip</vt:lpstr>
      <vt:lpstr>wld_az1_rack2_host12_vrms_ip</vt:lpstr>
      <vt:lpstr>wld_az1_rack2_host13_fqdn</vt:lpstr>
      <vt:lpstr>wld_az1_rack2_host13_hostname</vt:lpstr>
      <vt:lpstr>wld_az1_rack2_host13_mgmt_ip</vt:lpstr>
      <vt:lpstr>wld_az1_rack2_host13_vrms_ip</vt:lpstr>
      <vt:lpstr>wld_az1_rack2_host14_fqdn</vt:lpstr>
      <vt:lpstr>wld_az1_rack2_host14_hostname</vt:lpstr>
      <vt:lpstr>wld_az1_rack2_host14_mgmt_ip</vt:lpstr>
      <vt:lpstr>wld_az1_rack2_host14_vrms_ip</vt:lpstr>
      <vt:lpstr>wld_az1_rack2_host15_fqdn</vt:lpstr>
      <vt:lpstr>wld_az1_rack2_host15_hostname</vt:lpstr>
      <vt:lpstr>wld_az1_rack2_host15_mgmt_ip</vt:lpstr>
      <vt:lpstr>wld_az1_rack2_host15_vrms_ip</vt:lpstr>
      <vt:lpstr>wld_az1_rack2_host16_fqdn</vt:lpstr>
      <vt:lpstr>wld_az1_rack2_host16_hostname</vt:lpstr>
      <vt:lpstr>wld_az1_rack2_host16_mgmt_ip</vt:lpstr>
      <vt:lpstr>wld_az1_rack2_host16_vrms_ip</vt:lpstr>
      <vt:lpstr>wld_az1_rack2_host2_fqdn</vt:lpstr>
      <vt:lpstr>wld_az1_rack2_host2_function</vt:lpstr>
      <vt:lpstr>wld_az1_rack2_host2_hostname</vt:lpstr>
      <vt:lpstr>wld_az1_rack2_host2_mgmt_ip</vt:lpstr>
      <vt:lpstr>wld_az1_rack2_host2_vrms_ip</vt:lpstr>
      <vt:lpstr>wld_az1_rack2_host3_fqdn</vt:lpstr>
      <vt:lpstr>wld_az1_rack2_host3_function</vt:lpstr>
      <vt:lpstr>wld_az1_rack2_host3_hostname</vt:lpstr>
      <vt:lpstr>wld_az1_rack2_host3_mgmt_ip</vt:lpstr>
      <vt:lpstr>wld_az1_rack2_host3_vrms_ip</vt:lpstr>
      <vt:lpstr>wld_az1_rack2_host4_fqdn</vt:lpstr>
      <vt:lpstr>wld_az1_rack2_host4_hostname</vt:lpstr>
      <vt:lpstr>wld_az1_rack2_host4_mgmt_ip</vt:lpstr>
      <vt:lpstr>wld_az1_rack2_host4_vrms_ip</vt:lpstr>
      <vt:lpstr>wld_az1_rack2_host5_fqdn</vt:lpstr>
      <vt:lpstr>wld_az1_rack2_host5_hostname</vt:lpstr>
      <vt:lpstr>wld_az1_rack2_host5_mgmt_ip</vt:lpstr>
      <vt:lpstr>wld_az1_rack2_host5_vrms_ip</vt:lpstr>
      <vt:lpstr>wld_az1_rack2_host6_fqdn</vt:lpstr>
      <vt:lpstr>wld_az1_rack2_host6_hostname</vt:lpstr>
      <vt:lpstr>wld_az1_rack2_host6_mgmt_ip</vt:lpstr>
      <vt:lpstr>wld_az1_rack2_host6_vrms_ip</vt:lpstr>
      <vt:lpstr>wld_az1_rack2_host7_fqdn</vt:lpstr>
      <vt:lpstr>wld_az1_rack2_host7_hostname</vt:lpstr>
      <vt:lpstr>wld_az1_rack2_host7_mgmt_ip</vt:lpstr>
      <vt:lpstr>wld_az1_rack2_host7_vrms_ip</vt:lpstr>
      <vt:lpstr>wld_az1_rack2_host8_fqdn</vt:lpstr>
      <vt:lpstr>wld_az1_rack2_host8_hostname</vt:lpstr>
      <vt:lpstr>wld_az1_rack2_host8_mgmt_ip</vt:lpstr>
      <vt:lpstr>wld_az1_rack2_host8_vrms_ip</vt:lpstr>
      <vt:lpstr>wld_az1_rack2_host9_fqdn</vt:lpstr>
      <vt:lpstr>wld_az1_rack2_host9_hostname</vt:lpstr>
      <vt:lpstr>wld_az1_rack2_host9_mgmt_ip</vt:lpstr>
      <vt:lpstr>wld_az1_rack2_host9_vrms_ip</vt:lpstr>
      <vt:lpstr>wld_az1_rack2_hostname</vt:lpstr>
      <vt:lpstr>wld_az1_rack2_mgmt_cidr</vt:lpstr>
      <vt:lpstr>wld_az1_rack2_mgmt_gateway_ip</vt:lpstr>
      <vt:lpstr>wld_az1_rack2_mgmt_mask</vt:lpstr>
      <vt:lpstr>wld_az1_rack2_mgmt_mtu</vt:lpstr>
      <vt:lpstr>wld_az1_rack2_mgmt_pg</vt:lpstr>
      <vt:lpstr>wld_az1_rack2_mgmt_vlan</vt:lpstr>
      <vt:lpstr>wld_az1_rack2_mgmt_vm_cidr</vt:lpstr>
      <vt:lpstr>wld_az1_rack2_mgmt_vm_gateway_ip</vt:lpstr>
      <vt:lpstr>wld_az1_rack2_mgmt_vm_mask</vt:lpstr>
      <vt:lpstr>wld_az1_rack2_mgmt_vm_mtu</vt:lpstr>
      <vt:lpstr>wld_az1_rack2_mgmt_vm_pg</vt:lpstr>
      <vt:lpstr>wld_az1_rack2_mgmt_vm_vlan</vt:lpstr>
      <vt:lpstr>wld_az1_rack2_pool_name</vt:lpstr>
      <vt:lpstr>wld_az1_rack2_principal_storage_cidr</vt:lpstr>
      <vt:lpstr>wld_az1_rack2_principal_storage_gateway_ip</vt:lpstr>
      <vt:lpstr>wld_az1_rack2_principal_storage_mask</vt:lpstr>
      <vt:lpstr>wld_az1_rack2_principal_storage_mtu</vt:lpstr>
      <vt:lpstr>wld_az1_rack2_principal_storage_pg</vt:lpstr>
      <vt:lpstr>wld_az1_rack2_principal_storage_pool_end_ip</vt:lpstr>
      <vt:lpstr>wld_az1_rack2_principal_storage_pool_start_ip</vt:lpstr>
      <vt:lpstr>wld_az1_rack2_principal_storage_vlan</vt:lpstr>
      <vt:lpstr>wld_az1_rack2_rtep_ip_pool_name</vt:lpstr>
      <vt:lpstr>wld_az1_rack2_rtep_overlay_cidr</vt:lpstr>
      <vt:lpstr>wld_az1_rack2_rtep_overlay_gateway_ip</vt:lpstr>
      <vt:lpstr>wld_az1_rack2_rtep_overlay_mtu</vt:lpstr>
      <vt:lpstr>wld_az1_rack2_rtep_overlay_pool_end_ip</vt:lpstr>
      <vt:lpstr>wld_az1_rack2_rtep_overlay_pool_start_ip</vt:lpstr>
      <vt:lpstr>wld_az1_rack2_rtep_overlay_vlan</vt:lpstr>
      <vt:lpstr>wld_az1_rack2_secondary_storage_cidr</vt:lpstr>
      <vt:lpstr>wld_az1_rack2_secondary_storage_gateway_ip</vt:lpstr>
      <vt:lpstr>wld_az1_rack2_secondary_storage_mtu</vt:lpstr>
      <vt:lpstr>wld_az1_rack2_secondary_storage_pool_end_ip</vt:lpstr>
      <vt:lpstr>wld_az1_rack2_secondary_storage_pool_start_ip</vt:lpstr>
      <vt:lpstr>wld_az1_rack2_secondary_storage_vlan</vt:lpstr>
      <vt:lpstr>wld_az1_rack2_tor1_peer_asn</vt:lpstr>
      <vt:lpstr>wld_az1_rack2_tor1_peer_bgp_password</vt:lpstr>
      <vt:lpstr>wld_az1_rack2_tor1_peer_ip</vt:lpstr>
      <vt:lpstr>wld_az1_rack2_tor2_peer_asn</vt:lpstr>
      <vt:lpstr>wld_az1_rack2_tor2_peer_bgp_password</vt:lpstr>
      <vt:lpstr>wld_az1_rack2_tor2_peer_ip</vt:lpstr>
      <vt:lpstr>wld_az1_rack2_uplink01_cidr</vt:lpstr>
      <vt:lpstr>wld_az1_rack2_uplink01_gateway_ip</vt:lpstr>
      <vt:lpstr>wld_az1_rack2_uplink01_mtu</vt:lpstr>
      <vt:lpstr>wld_az1_rack2_uplink01_pg</vt:lpstr>
      <vt:lpstr>wld_az1_rack2_uplink01_vlan</vt:lpstr>
      <vt:lpstr>wld_az1_rack2_uplink02_cidr</vt:lpstr>
      <vt:lpstr>wld_az1_rack2_uplink02_gateway_ip</vt:lpstr>
      <vt:lpstr>wld_az1_rack2_uplink02_mtu</vt:lpstr>
      <vt:lpstr>wld_az1_rack2_uplink02_pg</vt:lpstr>
      <vt:lpstr>wld_az1_rack2_uplink02_vlan</vt:lpstr>
      <vt:lpstr>wld_az1_rack2_vmotion_cidr</vt:lpstr>
      <vt:lpstr>wld_az1_rack2_vmotion_gateway_ip</vt:lpstr>
      <vt:lpstr>wld_az1_rack2_vmotion_mask</vt:lpstr>
      <vt:lpstr>wld_az1_rack2_vmotion_mtu</vt:lpstr>
      <vt:lpstr>wld_az1_rack2_vmotion_pg</vt:lpstr>
      <vt:lpstr>wld_az1_rack2_vmotion_pool_end_ip</vt:lpstr>
      <vt:lpstr>wld_az1_rack2_vmotion_pool_start_ip</vt:lpstr>
      <vt:lpstr>wld_az1_rack2_vmotion_vlan</vt:lpstr>
      <vt:lpstr>wld_az1_rack2_vrms_cidr</vt:lpstr>
      <vt:lpstr>wld_az1_rack2_vrms_gateway_ip</vt:lpstr>
      <vt:lpstr>wld_az1_rack2_vrms_mtu</vt:lpstr>
      <vt:lpstr>wld_az1_rack2_vrms_vlan</vt:lpstr>
      <vt:lpstr>wld_az1_rack2_vsan_fault_domain</vt:lpstr>
      <vt:lpstr>wld_az1_rack3_child_dns_zone</vt:lpstr>
      <vt:lpstr>wld_az1_rack3_edge_overlay_cidr</vt:lpstr>
      <vt:lpstr>wld_az1_rack3_edge_overlay_gateway_ip</vt:lpstr>
      <vt:lpstr>wld_az1_rack3_edge_overlay_mtu</vt:lpstr>
      <vt:lpstr>wld_az1_rack3_edge_overlay_network_pool_name</vt:lpstr>
      <vt:lpstr>wld_az1_rack3_edge_overlay_pool_end_ip</vt:lpstr>
      <vt:lpstr>wld_az1_rack3_edge_overlay_pool_start_ip</vt:lpstr>
      <vt:lpstr>wld_az1_rack3_edge_overlay_vlan</vt:lpstr>
      <vt:lpstr>wld_az1_rack3_en1_edge_overlay_interface_ip_1_ip</vt:lpstr>
      <vt:lpstr>wld_az1_rack3_en1_edge_overlay_interface_ip_2_ip</vt:lpstr>
      <vt:lpstr>wld_az1_rack3_en1_fqdn</vt:lpstr>
      <vt:lpstr>wld_az1_rack3_en1_hostname</vt:lpstr>
      <vt:lpstr>wld_az1_rack3_en1_mgmt_ip</vt:lpstr>
      <vt:lpstr>wld_az1_rack3_en1_uplink01_interface_ip</vt:lpstr>
      <vt:lpstr>wld_az1_rack3_en1_uplink02_interface_ip</vt:lpstr>
      <vt:lpstr>wld_az1_rack3_en2_fqdn</vt:lpstr>
      <vt:lpstr>wld_az1_rack3_en2_hostname</vt:lpstr>
      <vt:lpstr>wld_az1_rack3_en2_mgmt_ip</vt:lpstr>
      <vt:lpstr>wld_az1_rack3_en2_uplink01_interface_ip</vt:lpstr>
      <vt:lpstr>wld_az1_rack3_en2_uplink02_interface_ip</vt:lpstr>
      <vt:lpstr>wld_az1_rack3_host_edge_count</vt:lpstr>
      <vt:lpstr>wld_az1_rack3_host_fqdns</vt:lpstr>
      <vt:lpstr>wld_az1_rack3_host_hostnames</vt:lpstr>
      <vt:lpstr>wld_az1_rack3_host_mgmt_ips</vt:lpstr>
      <vt:lpstr>wld_az1_rack3_host_overlay_cidr</vt:lpstr>
      <vt:lpstr>wld_az1_rack3_host_overlay_gateway_ip</vt:lpstr>
      <vt:lpstr>wld_az1_rack3_host_overlay_mtu</vt:lpstr>
      <vt:lpstr>wld_az1_rack3_host_overlay_network_pool_name</vt:lpstr>
      <vt:lpstr>wld_az1_rack3_host_overlay_network_profile_name</vt:lpstr>
      <vt:lpstr>wld_az1_rack3_host_overlay_pool_end_ip</vt:lpstr>
      <vt:lpstr>wld_az1_rack3_host_overlay_pool_start_ip</vt:lpstr>
      <vt:lpstr>wld_az1_rack3_host_overlay_uplink_profile_name</vt:lpstr>
      <vt:lpstr>wld_az1_rack3_host_overlay_vlan</vt:lpstr>
      <vt:lpstr>wld_az1_rack3_host_vrms_ips</vt:lpstr>
      <vt:lpstr>wld_az1_rack3_host1_fqdn</vt:lpstr>
      <vt:lpstr>wld_az1_rack3_host1_function</vt:lpstr>
      <vt:lpstr>wld_az1_rack3_host1_hostname</vt:lpstr>
      <vt:lpstr>wld_az1_rack3_host1_mgmt_ip</vt:lpstr>
      <vt:lpstr>wld_az1_rack3_host1_vrms_ip</vt:lpstr>
      <vt:lpstr>wld_az1_rack3_host10_fqdn</vt:lpstr>
      <vt:lpstr>wld_az1_rack3_host10_hostname</vt:lpstr>
      <vt:lpstr>wld_az1_rack3_host10_mgmt_ip</vt:lpstr>
      <vt:lpstr>wld_az1_rack3_host10_vrms_ip</vt:lpstr>
      <vt:lpstr>wld_az1_rack3_host11_fqdn</vt:lpstr>
      <vt:lpstr>wld_az1_rack3_host11_hostname</vt:lpstr>
      <vt:lpstr>wld_az1_rack3_host11_mgmt_ip</vt:lpstr>
      <vt:lpstr>wld_az1_rack3_host11_vrms_ip</vt:lpstr>
      <vt:lpstr>wld_az1_rack3_host12_fqdn</vt:lpstr>
      <vt:lpstr>wld_az1_rack3_host12_hostname</vt:lpstr>
      <vt:lpstr>wld_az1_rack3_host12_mgmt_ip</vt:lpstr>
      <vt:lpstr>wld_az1_rack3_host12_vrms_ip</vt:lpstr>
      <vt:lpstr>wld_az1_rack3_host13_fqdn</vt:lpstr>
      <vt:lpstr>wld_az1_rack3_host13_hostname</vt:lpstr>
      <vt:lpstr>wld_az1_rack3_host13_mgmt_ip</vt:lpstr>
      <vt:lpstr>wld_az1_rack3_host13_vrms_ip</vt:lpstr>
      <vt:lpstr>wld_az1_rack3_host14_fqdn</vt:lpstr>
      <vt:lpstr>wld_az1_rack3_host14_hostname</vt:lpstr>
      <vt:lpstr>wld_az1_rack3_host14_mgmt_ip</vt:lpstr>
      <vt:lpstr>wld_az1_rack3_host14_vrms_ip</vt:lpstr>
      <vt:lpstr>wld_az1_rack3_host15_fqdn</vt:lpstr>
      <vt:lpstr>wld_az1_rack3_host15_hostname</vt:lpstr>
      <vt:lpstr>wld_az1_rack3_host15_mgmt_ip</vt:lpstr>
      <vt:lpstr>wld_az1_rack3_host15_vrms_ip</vt:lpstr>
      <vt:lpstr>wld_az1_rack3_host16_fqdn</vt:lpstr>
      <vt:lpstr>wld_az1_rack3_host16_hostname</vt:lpstr>
      <vt:lpstr>wld_az1_rack3_host16_mgmt_ip</vt:lpstr>
      <vt:lpstr>wld_az1_rack3_host16_vrms_ip</vt:lpstr>
      <vt:lpstr>wld_az1_rack3_host2_fqdn</vt:lpstr>
      <vt:lpstr>wld_az1_rack3_host2_function</vt:lpstr>
      <vt:lpstr>wld_az1_rack3_host2_hostname</vt:lpstr>
      <vt:lpstr>wld_az1_rack3_host2_mgmt_ip</vt:lpstr>
      <vt:lpstr>wld_az1_rack3_host2_vrms_ip</vt:lpstr>
      <vt:lpstr>wld_az1_rack3_host3_fqdn</vt:lpstr>
      <vt:lpstr>wld_az1_rack3_host3_function</vt:lpstr>
      <vt:lpstr>wld_az1_rack3_host3_hostname</vt:lpstr>
      <vt:lpstr>wld_az1_rack3_host3_mgmt_ip</vt:lpstr>
      <vt:lpstr>wld_az1_rack3_host3_vrms_ip</vt:lpstr>
      <vt:lpstr>wld_az1_rack3_host4_fqdn</vt:lpstr>
      <vt:lpstr>wld_az1_rack3_host4_hostname</vt:lpstr>
      <vt:lpstr>wld_az1_rack3_host4_mgmt_ip</vt:lpstr>
      <vt:lpstr>wld_az1_rack3_host4_vrms_ip</vt:lpstr>
      <vt:lpstr>wld_az1_rack3_host5_fqdn</vt:lpstr>
      <vt:lpstr>wld_az1_rack3_host5_hostname</vt:lpstr>
      <vt:lpstr>wld_az1_rack3_host5_mgmt_ip</vt:lpstr>
      <vt:lpstr>wld_az1_rack3_host5_vrms_ip</vt:lpstr>
      <vt:lpstr>wld_az1_rack3_host6_fqdn</vt:lpstr>
      <vt:lpstr>wld_az1_rack3_host6_hostname</vt:lpstr>
      <vt:lpstr>wld_az1_rack3_host6_mgmt_ip</vt:lpstr>
      <vt:lpstr>wld_az1_rack3_host6_vrms_ip</vt:lpstr>
      <vt:lpstr>wld_az1_rack3_host7_fqdn</vt:lpstr>
      <vt:lpstr>wld_az1_rack3_host7_hostname</vt:lpstr>
      <vt:lpstr>wld_az1_rack3_host7_mgmt_ip</vt:lpstr>
      <vt:lpstr>wld_az1_rack3_host7_vrms_ip</vt:lpstr>
      <vt:lpstr>wld_az1_rack3_host8_fqdn</vt:lpstr>
      <vt:lpstr>wld_az1_rack3_host8_hostname</vt:lpstr>
      <vt:lpstr>wld_az1_rack3_host8_mgmt_ip</vt:lpstr>
      <vt:lpstr>wld_az1_rack3_host8_vrms_ip</vt:lpstr>
      <vt:lpstr>wld_az1_rack3_host9_fqdn</vt:lpstr>
      <vt:lpstr>wld_az1_rack3_host9_hostname</vt:lpstr>
      <vt:lpstr>wld_az1_rack3_host9_mgmt_ip</vt:lpstr>
      <vt:lpstr>wld_az1_rack3_host9_vrms_ip</vt:lpstr>
      <vt:lpstr>wld_az1_rack3_mgmt_cidr</vt:lpstr>
      <vt:lpstr>wld_az1_rack3_mgmt_gateway_ip</vt:lpstr>
      <vt:lpstr>wld_az1_rack3_mgmt_mask</vt:lpstr>
      <vt:lpstr>wld_az1_rack3_mgmt_mtu</vt:lpstr>
      <vt:lpstr>wld_az1_rack3_mgmt_pg</vt:lpstr>
      <vt:lpstr>wld_az1_rack3_mgmt_vlan</vt:lpstr>
      <vt:lpstr>wld_az1_rack3_mgmt_vm_cidr</vt:lpstr>
      <vt:lpstr>wld_az1_rack3_mgmt_vm_gateway_ip</vt:lpstr>
      <vt:lpstr>wld_az1_rack3_mgmt_vm_mask</vt:lpstr>
      <vt:lpstr>wld_az1_rack3_mgmt_vm_mtu</vt:lpstr>
      <vt:lpstr>wld_az1_rack3_mgmt_vm_pg</vt:lpstr>
      <vt:lpstr>wld_az1_rack3_mgmt_vm_vlan</vt:lpstr>
      <vt:lpstr>wld_az1_rack3_pool_name</vt:lpstr>
      <vt:lpstr>wld_az1_rack3_principal_storage_cidr</vt:lpstr>
      <vt:lpstr>wld_az1_rack3_principal_storage_gateway_ip</vt:lpstr>
      <vt:lpstr>wld_az1_rack3_principal_storage_mask</vt:lpstr>
      <vt:lpstr>wld_az1_rack3_principal_storage_mtu</vt:lpstr>
      <vt:lpstr>wld_az1_rack3_principal_storage_pool_end_ip</vt:lpstr>
      <vt:lpstr>wld_az1_rack3_principal_storage_pool_start_ip</vt:lpstr>
      <vt:lpstr>wld_az1_rack3_principal_storage_vlan</vt:lpstr>
      <vt:lpstr>wld_az1_rack3_rtep_ip_pool_name</vt:lpstr>
      <vt:lpstr>wld_az1_rack3_rtep_overlay_cidr</vt:lpstr>
      <vt:lpstr>wld_az1_rack3_rtep_overlay_gateway_ip</vt:lpstr>
      <vt:lpstr>wld_az1_rack3_rtep_overlay_mtu</vt:lpstr>
      <vt:lpstr>wld_az1_rack3_rtep_overlay_pool_end_ip</vt:lpstr>
      <vt:lpstr>wld_az1_rack3_rtep_overlay_pool_start_ip</vt:lpstr>
      <vt:lpstr>wld_az1_rack3_rtep_overlay_vlan</vt:lpstr>
      <vt:lpstr>wld_az1_rack3_secondary_storage_cidr</vt:lpstr>
      <vt:lpstr>wld_az1_rack3_secondary_storage_gateway_ip</vt:lpstr>
      <vt:lpstr>wld_az1_rack3_secondary_storage_mtu</vt:lpstr>
      <vt:lpstr>wld_az1_rack3_secondary_storage_pool_end_ip</vt:lpstr>
      <vt:lpstr>wld_az1_rack3_secondary_storage_pool_start_ip</vt:lpstr>
      <vt:lpstr>wld_az1_rack3_secondary_storage_vlan</vt:lpstr>
      <vt:lpstr>wld_az1_rack3_tor1_peer_asn</vt:lpstr>
      <vt:lpstr>wld_az1_rack3_tor1_peer_bgp_password</vt:lpstr>
      <vt:lpstr>wld_az1_rack3_tor1_peer_ip</vt:lpstr>
      <vt:lpstr>wld_az1_rack3_tor2_peer_asn</vt:lpstr>
      <vt:lpstr>wld_az1_rack3_tor2_peer_bgp_password</vt:lpstr>
      <vt:lpstr>wld_az1_rack3_tor2_peer_ip</vt:lpstr>
      <vt:lpstr>wld_az1_rack3_uplink01_cidr</vt:lpstr>
      <vt:lpstr>wld_az1_rack3_uplink01_gateway_ip</vt:lpstr>
      <vt:lpstr>wld_az1_rack3_uplink01_mtu</vt:lpstr>
      <vt:lpstr>wld_az1_rack3_uplink01_pg</vt:lpstr>
      <vt:lpstr>wld_az1_rack3_uplink01_vlan</vt:lpstr>
      <vt:lpstr>wld_az1_rack3_uplink02_cidr</vt:lpstr>
      <vt:lpstr>wld_az1_rack3_uplink02_gateway_ip</vt:lpstr>
      <vt:lpstr>wld_az1_rack3_uplink02_mtu</vt:lpstr>
      <vt:lpstr>wld_az1_rack3_uplink02_pg</vt:lpstr>
      <vt:lpstr>wld_az1_rack3_uplink02_vlan</vt:lpstr>
      <vt:lpstr>wld_az1_rack3_vmotion_cidr</vt:lpstr>
      <vt:lpstr>wld_az1_rack3_vmotion_gateway_ip</vt:lpstr>
      <vt:lpstr>wld_az1_rack3_vmotion_mask</vt:lpstr>
      <vt:lpstr>wld_az1_rack3_vmotion_mtu</vt:lpstr>
      <vt:lpstr>wld_az1_rack3_vmotion_pg</vt:lpstr>
      <vt:lpstr>wld_az1_rack3_vmotion_pool_end_ip</vt:lpstr>
      <vt:lpstr>wld_az1_rack3_vmotion_pool_start_ip</vt:lpstr>
      <vt:lpstr>wld_az1_rack3_vmotion_vlan</vt:lpstr>
      <vt:lpstr>wld_az1_rack3_vrms_cidr</vt:lpstr>
      <vt:lpstr>wld_az1_rack3_vrms_gateway_ip</vt:lpstr>
      <vt:lpstr>wld_az1_rack3_vrms_mtu</vt:lpstr>
      <vt:lpstr>wld_az1_rack3_vrms_vlan</vt:lpstr>
      <vt:lpstr>wld_az1_rack3_vsan_fault_domain</vt:lpstr>
      <vt:lpstr>wld_az1_rack4_child_dns_zone</vt:lpstr>
      <vt:lpstr>wld_az1_rack4_edge_overlay_cidr</vt:lpstr>
      <vt:lpstr>wld_az1_rack4_edge_overlay_gateway_ip</vt:lpstr>
      <vt:lpstr>wld_az1_rack4_edge_overlay_mtu</vt:lpstr>
      <vt:lpstr>wld_az1_rack4_edge_overlay_network_pool_name</vt:lpstr>
      <vt:lpstr>wld_az1_rack4_edge_overlay_pool_end_ip</vt:lpstr>
      <vt:lpstr>wld_az1_rack4_edge_overlay_pool_start_ip</vt:lpstr>
      <vt:lpstr>wld_az1_rack4_edge_overlay_vlan</vt:lpstr>
      <vt:lpstr>wld_az1_rack4_en1_edge_overlay_interface_ip_1_ip</vt:lpstr>
      <vt:lpstr>wld_az1_rack4_en1_edge_overlay_interface_ip_2_ip</vt:lpstr>
      <vt:lpstr>wld_az1_rack4_en1_fqdn</vt:lpstr>
      <vt:lpstr>wld_az1_rack4_en1_hostname</vt:lpstr>
      <vt:lpstr>wld_az1_rack4_en1_mgmt_ip</vt:lpstr>
      <vt:lpstr>wld_az1_rack4_en1_uplink01_interface_ip</vt:lpstr>
      <vt:lpstr>wld_az1_rack4_en1_uplink02_interface_ip</vt:lpstr>
      <vt:lpstr>wld_az1_rack4_en2_fqdn</vt:lpstr>
      <vt:lpstr>wld_az1_rack4_en2_hostname</vt:lpstr>
      <vt:lpstr>wld_az1_rack4_en2_mgmt_ip</vt:lpstr>
      <vt:lpstr>wld_az1_rack4_en2_uplink01_interface_ip</vt:lpstr>
      <vt:lpstr>wld_az1_rack4_en2_uplink02_interface_ip</vt:lpstr>
      <vt:lpstr>wld_az1_rack4_host_edge_count</vt:lpstr>
      <vt:lpstr>wld_az1_rack4_host_fqdns</vt:lpstr>
      <vt:lpstr>wld_az1_rack4_host_hostnames</vt:lpstr>
      <vt:lpstr>wld_az1_rack4_host_mgmt_ips</vt:lpstr>
      <vt:lpstr>wld_az1_rack4_host_overlay_cidr</vt:lpstr>
      <vt:lpstr>wld_az1_rack4_host_overlay_gateway_ip</vt:lpstr>
      <vt:lpstr>wld_az1_rack4_host_overlay_mtu</vt:lpstr>
      <vt:lpstr>wld_az1_rack4_host_overlay_network_pool_name</vt:lpstr>
      <vt:lpstr>wld_az1_rack4_host_overlay_network_profile_name</vt:lpstr>
      <vt:lpstr>wld_az1_rack4_host_overlay_pool_end_ip</vt:lpstr>
      <vt:lpstr>wld_az1_rack4_host_overlay_pool_start_ip</vt:lpstr>
      <vt:lpstr>wld_az1_rack4_host_overlay_uplink_profile_name</vt:lpstr>
      <vt:lpstr>wld_az1_rack4_host_overlay_vlan</vt:lpstr>
      <vt:lpstr>wld_az1_rack4_host_vrms_ips</vt:lpstr>
      <vt:lpstr>wld_az1_rack4_host1_fqdn</vt:lpstr>
      <vt:lpstr>wld_az1_rack4_host1_function</vt:lpstr>
      <vt:lpstr>wld_az1_rack4_host1_hostname</vt:lpstr>
      <vt:lpstr>wld_az1_rack4_host1_mgmt_ip</vt:lpstr>
      <vt:lpstr>wld_az1_rack4_host1_vrms_ip</vt:lpstr>
      <vt:lpstr>wld_az1_rack4_host10_fqdn</vt:lpstr>
      <vt:lpstr>wld_az1_rack4_host10_hostname</vt:lpstr>
      <vt:lpstr>wld_az1_rack4_host10_mgmt_ip</vt:lpstr>
      <vt:lpstr>wld_az1_rack4_host10_vrms_ip</vt:lpstr>
      <vt:lpstr>wld_az1_rack4_host11_fqdn</vt:lpstr>
      <vt:lpstr>wld_az1_rack4_host11_hostname</vt:lpstr>
      <vt:lpstr>wld_az1_rack4_host11_mgmt_ip</vt:lpstr>
      <vt:lpstr>wld_az1_rack4_host11_vrms_ip</vt:lpstr>
      <vt:lpstr>wld_az1_rack4_host12_fqdn</vt:lpstr>
      <vt:lpstr>wld_az1_rack4_host12_hostname</vt:lpstr>
      <vt:lpstr>wld_az1_rack4_host12_mgmt_ip</vt:lpstr>
      <vt:lpstr>wld_az1_rack4_host12_vrms_ip</vt:lpstr>
      <vt:lpstr>wld_az1_rack4_host13_fqdn</vt:lpstr>
      <vt:lpstr>wld_az1_rack4_host13_hostname</vt:lpstr>
      <vt:lpstr>wld_az1_rack4_host13_mgmt_ip</vt:lpstr>
      <vt:lpstr>wld_az1_rack4_host13_vrms_ip</vt:lpstr>
      <vt:lpstr>wld_az1_rack4_host14_fqdn</vt:lpstr>
      <vt:lpstr>wld_az1_rack4_host14_hostname</vt:lpstr>
      <vt:lpstr>wld_az1_rack4_host14_mgmt_ip</vt:lpstr>
      <vt:lpstr>wld_az1_rack4_host14_vrms_ip</vt:lpstr>
      <vt:lpstr>wld_az1_rack4_host15_fqdn</vt:lpstr>
      <vt:lpstr>wld_az1_rack4_host15_hostname</vt:lpstr>
      <vt:lpstr>wld_az1_rack4_host15_mgmt_ip</vt:lpstr>
      <vt:lpstr>wld_az1_rack4_host15_vrms_ip</vt:lpstr>
      <vt:lpstr>wld_az1_rack4_host16_fqdn</vt:lpstr>
      <vt:lpstr>wld_az1_rack4_host16_hostname</vt:lpstr>
      <vt:lpstr>wld_az1_rack4_host16_mgmt_ip</vt:lpstr>
      <vt:lpstr>wld_az1_rack4_host16_vrms_ip</vt:lpstr>
      <vt:lpstr>wld_az1_rack4_host2_fqdn</vt:lpstr>
      <vt:lpstr>wld_az1_rack4_host2_function</vt:lpstr>
      <vt:lpstr>wld_az1_rack4_host2_hostname</vt:lpstr>
      <vt:lpstr>wld_az1_rack4_host2_mgmt_ip</vt:lpstr>
      <vt:lpstr>wld_az1_rack4_host2_vrms_ip</vt:lpstr>
      <vt:lpstr>wld_az1_rack4_host3_fqdn</vt:lpstr>
      <vt:lpstr>wld_az1_rack4_host3_function</vt:lpstr>
      <vt:lpstr>wld_az1_rack4_host3_hostname</vt:lpstr>
      <vt:lpstr>wld_az1_rack4_host3_mgmt_ip</vt:lpstr>
      <vt:lpstr>wld_az1_rack4_host3_vrms_ip</vt:lpstr>
      <vt:lpstr>wld_az1_rack4_host4_fqdn</vt:lpstr>
      <vt:lpstr>wld_az1_rack4_host4_hostname</vt:lpstr>
      <vt:lpstr>wld_az1_rack4_host4_mgmt_ip</vt:lpstr>
      <vt:lpstr>wld_az1_rack4_host4_vrms_ip</vt:lpstr>
      <vt:lpstr>wld_az1_rack4_host5_fqdn</vt:lpstr>
      <vt:lpstr>wld_az1_rack4_host5_hostname</vt:lpstr>
      <vt:lpstr>wld_az1_rack4_host5_mgmt_ip</vt:lpstr>
      <vt:lpstr>wld_az1_rack4_host5_vrms_ip</vt:lpstr>
      <vt:lpstr>wld_az1_rack4_host6_fqdn</vt:lpstr>
      <vt:lpstr>wld_az1_rack4_host6_hostname</vt:lpstr>
      <vt:lpstr>wld_az1_rack4_host6_mgmt_ip</vt:lpstr>
      <vt:lpstr>wld_az1_rack4_host6_vrms_ip</vt:lpstr>
      <vt:lpstr>wld_az1_rack4_host7_fqdn</vt:lpstr>
      <vt:lpstr>wld_az1_rack4_host7_hostname</vt:lpstr>
      <vt:lpstr>wld_az1_rack4_host7_mgmt_ip</vt:lpstr>
      <vt:lpstr>wld_az1_rack4_host7_vrms_ip</vt:lpstr>
      <vt:lpstr>wld_az1_rack4_host8_fqdn</vt:lpstr>
      <vt:lpstr>wld_az1_rack4_host8_hostname</vt:lpstr>
      <vt:lpstr>wld_az1_rack4_host8_mgmt_ip</vt:lpstr>
      <vt:lpstr>wld_az1_rack4_host8_vrms_ip</vt:lpstr>
      <vt:lpstr>wld_az1_rack4_host9_fqdn</vt:lpstr>
      <vt:lpstr>wld_az1_rack4_host9_hostname</vt:lpstr>
      <vt:lpstr>wld_az1_rack4_host9_mgmt_ip</vt:lpstr>
      <vt:lpstr>wld_az1_rack4_host9_vrms_ip</vt:lpstr>
      <vt:lpstr>wld_az1_rack4_mgmt_cidr</vt:lpstr>
      <vt:lpstr>wld_az1_rack4_mgmt_gateway_ip</vt:lpstr>
      <vt:lpstr>wld_az1_rack4_mgmt_mask</vt:lpstr>
      <vt:lpstr>wld_az1_rack4_mgmt_mtu</vt:lpstr>
      <vt:lpstr>wld_az1_rack4_mgmt_pg</vt:lpstr>
      <vt:lpstr>wld_az1_rack4_mgmt_vlan</vt:lpstr>
      <vt:lpstr>wld_az1_rack4_mgmt_vm_cidr</vt:lpstr>
      <vt:lpstr>wld_az1_rack4_mgmt_vm_gateway_ip</vt:lpstr>
      <vt:lpstr>wld_az1_rack4_mgmt_vm_mask</vt:lpstr>
      <vt:lpstr>wld_az1_rack4_mgmt_vm_mtu</vt:lpstr>
      <vt:lpstr>wld_az1_rack4_mgmt_vm_pg</vt:lpstr>
      <vt:lpstr>wld_az1_rack4_mgmt_vm_vlan</vt:lpstr>
      <vt:lpstr>wld_az1_rack4_pool_name</vt:lpstr>
      <vt:lpstr>wld_az1_rack4_principal_storage_cidr</vt:lpstr>
      <vt:lpstr>wld_az1_rack4_principal_storage_gateway_ip</vt:lpstr>
      <vt:lpstr>wld_az1_rack4_principal_storage_mask</vt:lpstr>
      <vt:lpstr>wld_az1_rack4_principal_storage_mtu</vt:lpstr>
      <vt:lpstr>wld_az1_rack4_principal_storage_pg</vt:lpstr>
      <vt:lpstr>wld_az1_rack4_principal_storage_pool_end_ip</vt:lpstr>
      <vt:lpstr>wld_az1_rack4_principal_storage_pool_start_ip</vt:lpstr>
      <vt:lpstr>wld_az1_rack4_principal_storage_vlan</vt:lpstr>
      <vt:lpstr>wld_az1_rack4_rtep_ip_pool_name</vt:lpstr>
      <vt:lpstr>wld_az1_rack4_rtep_overlay_cidr</vt:lpstr>
      <vt:lpstr>wld_az1_rack4_rtep_overlay_gateway_ip</vt:lpstr>
      <vt:lpstr>wld_az1_rack4_rtep_overlay_mtu</vt:lpstr>
      <vt:lpstr>wld_az1_rack4_rtep_overlay_pool_end_ip</vt:lpstr>
      <vt:lpstr>wld_az1_rack4_rtep_overlay_pool_start_ip</vt:lpstr>
      <vt:lpstr>wld_az1_rack4_rtep_overlay_vlan</vt:lpstr>
      <vt:lpstr>wld_az1_rack4_secondary_storage_cidr</vt:lpstr>
      <vt:lpstr>wld_az1_rack4_secondary_storage_gateway_ip</vt:lpstr>
      <vt:lpstr>wld_az1_rack4_secondary_storage_mtu</vt:lpstr>
      <vt:lpstr>wld_az1_rack4_secondary_storage_pool_end_ip</vt:lpstr>
      <vt:lpstr>wld_az1_rack4_secondary_storage_pool_start_ip</vt:lpstr>
      <vt:lpstr>wld_az1_rack4_secondary_storage_vlan</vt:lpstr>
      <vt:lpstr>wld_az1_rack4_tor1_peer_asn</vt:lpstr>
      <vt:lpstr>wld_az1_rack4_tor1_peer_bgp_password</vt:lpstr>
      <vt:lpstr>wld_az1_rack4_tor1_peer_ip</vt:lpstr>
      <vt:lpstr>wld_az1_rack4_tor2_peer_asn</vt:lpstr>
      <vt:lpstr>wld_az1_rack4_tor2_peer_bgp_password</vt:lpstr>
      <vt:lpstr>wld_az1_rack4_tor2_peer_ip</vt:lpstr>
      <vt:lpstr>wld_az1_rack4_uplink01_cidr</vt:lpstr>
      <vt:lpstr>wld_az1_rack4_uplink01_gateway_ip</vt:lpstr>
      <vt:lpstr>wld_az1_rack4_uplink01_mtu</vt:lpstr>
      <vt:lpstr>wld_az1_rack4_uplink01_pg</vt:lpstr>
      <vt:lpstr>wld_az1_rack4_uplink01_vlan</vt:lpstr>
      <vt:lpstr>wld_az1_rack4_uplink02_cidr</vt:lpstr>
      <vt:lpstr>wld_az1_rack4_uplink02_gateway_ip</vt:lpstr>
      <vt:lpstr>wld_az1_rack4_uplink02_mtu</vt:lpstr>
      <vt:lpstr>wld_az1_rack4_uplink02_pg</vt:lpstr>
      <vt:lpstr>wld_az1_rack4_uplink02_vlan</vt:lpstr>
      <vt:lpstr>wld_az1_rack4_vmotion_cidr</vt:lpstr>
      <vt:lpstr>wld_az1_rack4_vmotion_gateway_ip</vt:lpstr>
      <vt:lpstr>wld_az1_rack4_vmotion_mask</vt:lpstr>
      <vt:lpstr>wld_az1_rack4_vmotion_mtu</vt:lpstr>
      <vt:lpstr>wld_az1_rack4_vmotion_pg</vt:lpstr>
      <vt:lpstr>wld_az1_rack4_vmotion_pool_end_ip</vt:lpstr>
      <vt:lpstr>wld_az1_rack4_vmotion_pool_start_ip</vt:lpstr>
      <vt:lpstr>wld_az1_rack4_vmotion_vlan</vt:lpstr>
      <vt:lpstr>wld_az1_rack4_vrms_cidr</vt:lpstr>
      <vt:lpstr>wld_az1_rack4_vrms_gateway_ip</vt:lpstr>
      <vt:lpstr>wld_az1_rack4_vrms_mtu</vt:lpstr>
      <vt:lpstr>wld_az1_rack4_vrms_vlan</vt:lpstr>
      <vt:lpstr>wld_az1_rack4_vsan_fault_domain</vt:lpstr>
      <vt:lpstr>wld_az1_rack5_child_dns_zone</vt:lpstr>
      <vt:lpstr>wld_az1_rack5_edge_overlay_cidr</vt:lpstr>
      <vt:lpstr>wld_az1_rack5_edge_overlay_gateway_ip</vt:lpstr>
      <vt:lpstr>wld_az1_rack5_edge_overlay_mtu</vt:lpstr>
      <vt:lpstr>wld_az1_rack5_edge_overlay_network_pool_name</vt:lpstr>
      <vt:lpstr>wld_az1_rack5_edge_overlay_pool_end_ip</vt:lpstr>
      <vt:lpstr>wld_az1_rack5_edge_overlay_pool_start_ip</vt:lpstr>
      <vt:lpstr>wld_az1_rack5_edge_overlay_vlan</vt:lpstr>
      <vt:lpstr>wld_az1_rack5_en1_edge_overlay_interface_ip_1_ip</vt:lpstr>
      <vt:lpstr>wld_az1_rack5_en1_edge_overlay_interface_ip_2_ip</vt:lpstr>
      <vt:lpstr>wld_az1_rack5_en1_fqdn</vt:lpstr>
      <vt:lpstr>wld_az1_rack5_en1_hostname</vt:lpstr>
      <vt:lpstr>wld_az1_rack5_en1_mgmt_ip</vt:lpstr>
      <vt:lpstr>wld_az1_rack5_en1_uplink01_interface_ip</vt:lpstr>
      <vt:lpstr>wld_az1_rack5_en1_uplink02_interface_ip</vt:lpstr>
      <vt:lpstr>wld_az1_rack5_en2_fqdn</vt:lpstr>
      <vt:lpstr>wld_az1_rack5_en2_hostname</vt:lpstr>
      <vt:lpstr>wld_az1_rack5_en2_mgmt_ip</vt:lpstr>
      <vt:lpstr>wld_az1_rack5_en2_uplink01_interface_ip</vt:lpstr>
      <vt:lpstr>wld_az1_rack5_en2_uplink02_interface_ip</vt:lpstr>
      <vt:lpstr>wld_az1_rack5_host_edge_count</vt:lpstr>
      <vt:lpstr>wld_az1_rack5_host_fqdns</vt:lpstr>
      <vt:lpstr>wld_az1_rack5_host_hostnames</vt:lpstr>
      <vt:lpstr>wld_az1_rack5_host_mgmt_ips</vt:lpstr>
      <vt:lpstr>wld_az1_rack5_host_overlay_cidr</vt:lpstr>
      <vt:lpstr>wld_az1_rack5_host_overlay_gateway_ip</vt:lpstr>
      <vt:lpstr>wld_az1_rack5_host_overlay_mtu</vt:lpstr>
      <vt:lpstr>wld_az1_rack5_host_overlay_network_pool_name</vt:lpstr>
      <vt:lpstr>wld_az1_rack5_host_overlay_network_profile_name</vt:lpstr>
      <vt:lpstr>wld_az1_rack5_host_overlay_pool_end_ip</vt:lpstr>
      <vt:lpstr>wld_az1_rack5_host_overlay_pool_start_ip</vt:lpstr>
      <vt:lpstr>wld_az1_rack5_host_overlay_uplink_profile_name</vt:lpstr>
      <vt:lpstr>wld_az1_rack5_host_overlay_vlan</vt:lpstr>
      <vt:lpstr>wld_az1_rack5_host_vrms_ips</vt:lpstr>
      <vt:lpstr>wld_az1_rack5_host1_fqdn</vt:lpstr>
      <vt:lpstr>wld_az1_rack5_host1_hostname</vt:lpstr>
      <vt:lpstr>wld_az1_rack5_host1_mgmt_ip</vt:lpstr>
      <vt:lpstr>wld_az1_rack5_host1_vrms_ip</vt:lpstr>
      <vt:lpstr>wld_az1_rack5_host10_fqdn</vt:lpstr>
      <vt:lpstr>wld_az1_rack5_host10_hostname</vt:lpstr>
      <vt:lpstr>wld_az1_rack5_host10_mgmt_ip</vt:lpstr>
      <vt:lpstr>wld_az1_rack5_host10_vrms_ip</vt:lpstr>
      <vt:lpstr>wld_az1_rack5_host11_fqdn</vt:lpstr>
      <vt:lpstr>wld_az1_rack5_host11_hostname</vt:lpstr>
      <vt:lpstr>wld_az1_rack5_host11_mgmt_ip</vt:lpstr>
      <vt:lpstr>wld_az1_rack5_host11_vrms_ip</vt:lpstr>
      <vt:lpstr>wld_az1_rack5_host12_fqdn</vt:lpstr>
      <vt:lpstr>wld_az1_rack5_host12_hostname</vt:lpstr>
      <vt:lpstr>wld_az1_rack5_host12_mgmt_ip</vt:lpstr>
      <vt:lpstr>wld_az1_rack5_host12_vrms_ip</vt:lpstr>
      <vt:lpstr>wld_az1_rack5_host13_fqdn</vt:lpstr>
      <vt:lpstr>wld_az1_rack5_host13_hostname</vt:lpstr>
      <vt:lpstr>wld_az1_rack5_host13_mgmt_ip</vt:lpstr>
      <vt:lpstr>wld_az1_rack5_host13_vrms_ip</vt:lpstr>
      <vt:lpstr>wld_az1_rack5_host14_fqdn</vt:lpstr>
      <vt:lpstr>wld_az1_rack5_host14_hostname</vt:lpstr>
      <vt:lpstr>wld_az1_rack5_host14_mgmt_ip</vt:lpstr>
      <vt:lpstr>wld_az1_rack5_host14_vrms_ip</vt:lpstr>
      <vt:lpstr>wld_az1_rack5_host15_fqdn</vt:lpstr>
      <vt:lpstr>wld_az1_rack5_host15_hostname</vt:lpstr>
      <vt:lpstr>wld_az1_rack5_host15_mgmt_ip</vt:lpstr>
      <vt:lpstr>wld_az1_rack5_host15_vrms_ip</vt:lpstr>
      <vt:lpstr>wld_az1_rack5_host16_fqdn</vt:lpstr>
      <vt:lpstr>wld_az1_rack5_host16_hostname</vt:lpstr>
      <vt:lpstr>wld_az1_rack5_host16_mgmt_ip</vt:lpstr>
      <vt:lpstr>wld_az1_rack5_host16_vrms_ip</vt:lpstr>
      <vt:lpstr>wld_az1_rack5_host2_fqdn</vt:lpstr>
      <vt:lpstr>wld_az1_rack5_host2_hostname</vt:lpstr>
      <vt:lpstr>wld_az1_rack5_host2_mgmt_ip</vt:lpstr>
      <vt:lpstr>wld_az1_rack5_host2_vrms_ip</vt:lpstr>
      <vt:lpstr>wld_az1_rack5_host3_fqdn</vt:lpstr>
      <vt:lpstr>wld_az1_rack5_host3_hostname</vt:lpstr>
      <vt:lpstr>wld_az1_rack5_host3_mgmt_ip</vt:lpstr>
      <vt:lpstr>wld_az1_rack5_host3_vrms_ip</vt:lpstr>
      <vt:lpstr>wld_az1_rack5_host4_fqdn</vt:lpstr>
      <vt:lpstr>wld_az1_rack5_host4_hostname</vt:lpstr>
      <vt:lpstr>wld_az1_rack5_host4_mgmt_ip</vt:lpstr>
      <vt:lpstr>wld_az1_rack5_host4_vrms_ip</vt:lpstr>
      <vt:lpstr>wld_az1_rack5_host5_fqdn</vt:lpstr>
      <vt:lpstr>wld_az1_rack5_host5_hostname</vt:lpstr>
      <vt:lpstr>wld_az1_rack5_host5_mgmt_ip</vt:lpstr>
      <vt:lpstr>wld_az1_rack5_host5_vrms_ip</vt:lpstr>
      <vt:lpstr>wld_az1_rack5_host6_fqdn</vt:lpstr>
      <vt:lpstr>wld_az1_rack5_host6_hostname</vt:lpstr>
      <vt:lpstr>wld_az1_rack5_host6_mgmt_ip</vt:lpstr>
      <vt:lpstr>wld_az1_rack5_host6_vrms_ip</vt:lpstr>
      <vt:lpstr>wld_az1_rack5_host7_fqdn</vt:lpstr>
      <vt:lpstr>wld_az1_rack5_host7_hostname</vt:lpstr>
      <vt:lpstr>wld_az1_rack5_host7_mgmt_ip</vt:lpstr>
      <vt:lpstr>wld_az1_rack5_host7_vrms_ip</vt:lpstr>
      <vt:lpstr>wld_az1_rack5_host8_fqdn</vt:lpstr>
      <vt:lpstr>wld_az1_rack5_host8_hostname</vt:lpstr>
      <vt:lpstr>wld_az1_rack5_host8_mgmt_ip</vt:lpstr>
      <vt:lpstr>wld_az1_rack5_host8_vrms_ip</vt:lpstr>
      <vt:lpstr>wld_az1_rack5_host9_fqdn</vt:lpstr>
      <vt:lpstr>wld_az1_rack5_host9_hostname</vt:lpstr>
      <vt:lpstr>wld_az1_rack5_host9_mgmt_ip</vt:lpstr>
      <vt:lpstr>wld_az1_rack5_host9_vrms_ip</vt:lpstr>
      <vt:lpstr>wld_az1_rack5_mgmt_cidr</vt:lpstr>
      <vt:lpstr>wld_az1_rack5_mgmt_gateway_ip</vt:lpstr>
      <vt:lpstr>wld_az1_rack5_mgmt_mask</vt:lpstr>
      <vt:lpstr>wld_az1_rack5_mgmt_mtu</vt:lpstr>
      <vt:lpstr>wld_az1_rack5_mgmt_pg</vt:lpstr>
      <vt:lpstr>wld_az1_rack5_mgmt_vlan</vt:lpstr>
      <vt:lpstr>wld_az1_rack5_mgmt_vm_cidr</vt:lpstr>
      <vt:lpstr>wld_az1_rack5_mgmt_vm_gateway_ip</vt:lpstr>
      <vt:lpstr>wld_az1_rack5_mgmt_vm_mask</vt:lpstr>
      <vt:lpstr>wld_az1_rack5_mgmt_vm_mtu</vt:lpstr>
      <vt:lpstr>wld_az1_rack5_mgmt_vm_pg</vt:lpstr>
      <vt:lpstr>wld_az1_rack5_mgmt_vm_vlan</vt:lpstr>
      <vt:lpstr>wld_az1_rack5_pool_name</vt:lpstr>
      <vt:lpstr>wld_az1_rack5_principal_storage_cidr</vt:lpstr>
      <vt:lpstr>wld_az1_rack5_principal_storage_gateway_ip</vt:lpstr>
      <vt:lpstr>wld_az1_rack5_principal_storage_mask</vt:lpstr>
      <vt:lpstr>wld_az1_rack5_principal_storage_mtu</vt:lpstr>
      <vt:lpstr>wld_az1_rack5_principal_storage_pg</vt:lpstr>
      <vt:lpstr>wld_az1_rack5_principal_storage_pool_end_ip</vt:lpstr>
      <vt:lpstr>wld_az1_rack5_principal_storage_pool_start_ip</vt:lpstr>
      <vt:lpstr>wld_az1_rack5_principal_storage_vlan</vt:lpstr>
      <vt:lpstr>wld_az1_rack5_rtep_ip_pool_name</vt:lpstr>
      <vt:lpstr>wld_az1_rack5_rtep_overlay_cidr</vt:lpstr>
      <vt:lpstr>wld_az1_rack5_rtep_overlay_gateway_ip</vt:lpstr>
      <vt:lpstr>wld_az1_rack5_rtep_overlay_mtu</vt:lpstr>
      <vt:lpstr>wld_az1_rack5_rtep_overlay_pool_end_ip</vt:lpstr>
      <vt:lpstr>wld_az1_rack5_rtep_overlay_pool_start_ip</vt:lpstr>
      <vt:lpstr>wld_az1_rack5_rtep_overlay_vlan</vt:lpstr>
      <vt:lpstr>wld_az1_rack5_secondary_storage_cidr</vt:lpstr>
      <vt:lpstr>wld_az1_rack5_secondary_storage_gateway_ip</vt:lpstr>
      <vt:lpstr>wld_az1_rack5_secondary_storage_mtu</vt:lpstr>
      <vt:lpstr>wld_az1_rack5_secondary_storage_pool_end_ip</vt:lpstr>
      <vt:lpstr>wld_az1_rack5_secondary_storage_pool_start_ip</vt:lpstr>
      <vt:lpstr>wld_az1_rack5_secondary_storage_vlan</vt:lpstr>
      <vt:lpstr>wld_az1_rack5_tor1_peer_asn</vt:lpstr>
      <vt:lpstr>wld_az1_rack5_tor1_peer_bgp_password</vt:lpstr>
      <vt:lpstr>wld_az1_rack5_tor1_peer_ip</vt:lpstr>
      <vt:lpstr>wld_az1_rack5_tor2_peer_asn</vt:lpstr>
      <vt:lpstr>wld_az1_rack5_tor2_peer_bgp_password</vt:lpstr>
      <vt:lpstr>wld_az1_rack5_tor2_peer_ip</vt:lpstr>
      <vt:lpstr>wld_az1_rack5_uplink01_cidr</vt:lpstr>
      <vt:lpstr>wld_az1_rack5_uplink01_gateway_ip</vt:lpstr>
      <vt:lpstr>wld_az1_rack5_uplink01_mtu</vt:lpstr>
      <vt:lpstr>wld_az1_rack5_uplink01_pg</vt:lpstr>
      <vt:lpstr>wld_az1_rack5_uplink01_vlan</vt:lpstr>
      <vt:lpstr>wld_az1_rack5_uplink02_cidr</vt:lpstr>
      <vt:lpstr>wld_az1_rack5_uplink02_gateway_ip</vt:lpstr>
      <vt:lpstr>wld_az1_rack5_uplink02_mtu</vt:lpstr>
      <vt:lpstr>wld_az1_rack5_uplink02_pg</vt:lpstr>
      <vt:lpstr>wld_az1_rack5_uplink02_vlan</vt:lpstr>
      <vt:lpstr>wld_az1_rack5_vmotion_cidr</vt:lpstr>
      <vt:lpstr>wld_az1_rack5_vmotion_gateway_ip</vt:lpstr>
      <vt:lpstr>wld_az1_rack5_vmotion_mask</vt:lpstr>
      <vt:lpstr>wld_az1_rack5_vmotion_mtu</vt:lpstr>
      <vt:lpstr>wld_az1_rack5_vmotion_pg</vt:lpstr>
      <vt:lpstr>wld_az1_rack5_vmotion_pool_end_ip</vt:lpstr>
      <vt:lpstr>wld_az1_rack5_vmotion_pool_start_ip</vt:lpstr>
      <vt:lpstr>wld_az1_rack5_vmotion_vlan</vt:lpstr>
      <vt:lpstr>wld_az1_rack5_vrms_cidr</vt:lpstr>
      <vt:lpstr>wld_az1_rack5_vrms_gateway_ip</vt:lpstr>
      <vt:lpstr>wld_az1_rack5_vrms_mtu</vt:lpstr>
      <vt:lpstr>wld_az1_rack5_vrms_vlan</vt:lpstr>
      <vt:lpstr>wld_az1_rack5_vsan_fault_domain</vt:lpstr>
      <vt:lpstr>wld_az1_rack6_child_dns_zone</vt:lpstr>
      <vt:lpstr>wld_az1_rack6_edge_overlay_cidr</vt:lpstr>
      <vt:lpstr>wld_az1_rack6_edge_overlay_gateway_ip</vt:lpstr>
      <vt:lpstr>wld_az1_rack6_edge_overlay_mtu</vt:lpstr>
      <vt:lpstr>wld_az1_rack6_edge_overlay_network_pool_name</vt:lpstr>
      <vt:lpstr>wld_az1_rack6_edge_overlay_pool_end_ip</vt:lpstr>
      <vt:lpstr>wld_az1_rack6_edge_overlay_pool_start_ip</vt:lpstr>
      <vt:lpstr>wld_az1_rack6_edge_overlay_vlan</vt:lpstr>
      <vt:lpstr>wld_az1_rack6_en1_edge_overlay_interface_ip_1_ip</vt:lpstr>
      <vt:lpstr>wld_az1_rack6_en1_edge_overlay_interface_ip_2_ip</vt:lpstr>
      <vt:lpstr>wld_az1_rack6_en1_fqdn</vt:lpstr>
      <vt:lpstr>wld_az1_rack6_en1_hostname</vt:lpstr>
      <vt:lpstr>wld_az1_rack6_en1_mgmt_ip</vt:lpstr>
      <vt:lpstr>wld_az1_rack6_en1_uplink01_interface_ip</vt:lpstr>
      <vt:lpstr>wld_az1_rack6_en1_uplink02_interface_ip</vt:lpstr>
      <vt:lpstr>wld_az1_rack6_en2_fqdn</vt:lpstr>
      <vt:lpstr>wld_az1_rack6_en2_hostname</vt:lpstr>
      <vt:lpstr>wld_az1_rack6_en2_mgmt_ip</vt:lpstr>
      <vt:lpstr>wld_az1_rack6_en2_uplink01_interface_ip</vt:lpstr>
      <vt:lpstr>wld_az1_rack6_en2_uplink02_interface_ip</vt:lpstr>
      <vt:lpstr>wld_az1_rack6_host_edge_count</vt:lpstr>
      <vt:lpstr>wld_az1_rack6_host_fqdns</vt:lpstr>
      <vt:lpstr>wld_az1_rack6_host_hostnames</vt:lpstr>
      <vt:lpstr>wld_az1_rack6_host_mgmt_ips</vt:lpstr>
      <vt:lpstr>wld_az1_rack6_host_overlay_cidr</vt:lpstr>
      <vt:lpstr>wld_az1_rack6_host_overlay_gateway_ip</vt:lpstr>
      <vt:lpstr>wld_az1_rack6_host_overlay_mtu</vt:lpstr>
      <vt:lpstr>wld_az1_rack6_host_overlay_network_pool_name</vt:lpstr>
      <vt:lpstr>wld_az1_rack6_host_overlay_network_profile_name</vt:lpstr>
      <vt:lpstr>wld_az1_rack6_host_overlay_pool_end_ip</vt:lpstr>
      <vt:lpstr>wld_az1_rack6_host_overlay_pool_start_ip</vt:lpstr>
      <vt:lpstr>wld_az1_rack6_host_overlay_uplink_profile_name</vt:lpstr>
      <vt:lpstr>wld_az1_rack6_host_overlay_vlan</vt:lpstr>
      <vt:lpstr>wld_az1_rack6_host_vrms_ips</vt:lpstr>
      <vt:lpstr>wld_az1_rack6_host1_fqdn</vt:lpstr>
      <vt:lpstr>wld_az1_rack6_host1_hostname</vt:lpstr>
      <vt:lpstr>wld_az1_rack6_host1_mgmt_ip</vt:lpstr>
      <vt:lpstr>wld_az1_rack6_host1_vrms_ip</vt:lpstr>
      <vt:lpstr>wld_az1_rack6_host10_fqdn</vt:lpstr>
      <vt:lpstr>wld_az1_rack6_host10_hostname</vt:lpstr>
      <vt:lpstr>wld_az1_rack6_host10_mgmt_ip</vt:lpstr>
      <vt:lpstr>wld_az1_rack6_host10_vrms_ip</vt:lpstr>
      <vt:lpstr>wld_az1_rack6_host11_fqdn</vt:lpstr>
      <vt:lpstr>wld_az1_rack6_host11_hostname</vt:lpstr>
      <vt:lpstr>wld_az1_rack6_host11_mgmt_ip</vt:lpstr>
      <vt:lpstr>wld_az1_rack6_host11_vrms_ip</vt:lpstr>
      <vt:lpstr>wld_az1_rack6_host12_fqdn</vt:lpstr>
      <vt:lpstr>wld_az1_rack6_host12_hostname</vt:lpstr>
      <vt:lpstr>wld_az1_rack6_host12_mgmt_ip</vt:lpstr>
      <vt:lpstr>wld_az1_rack6_host12_vrms_ip</vt:lpstr>
      <vt:lpstr>wld_az1_rack6_host13_fqdn</vt:lpstr>
      <vt:lpstr>wld_az1_rack6_host13_hostname</vt:lpstr>
      <vt:lpstr>wld_az1_rack6_host13_mgmt_ip</vt:lpstr>
      <vt:lpstr>wld_az1_rack6_host13_vrms_ip</vt:lpstr>
      <vt:lpstr>wld_az1_rack6_host14_fqdn</vt:lpstr>
      <vt:lpstr>wld_az1_rack6_host14_hostname</vt:lpstr>
      <vt:lpstr>wld_az1_rack6_host14_mgmt_ip</vt:lpstr>
      <vt:lpstr>wld_az1_rack6_host14_vrms_ip</vt:lpstr>
      <vt:lpstr>wld_az1_rack6_host15_fqdn</vt:lpstr>
      <vt:lpstr>wld_az1_rack6_host15_hostname</vt:lpstr>
      <vt:lpstr>wld_az1_rack6_host15_mgmt_ip</vt:lpstr>
      <vt:lpstr>wld_az1_rack6_host15_vrms_ip</vt:lpstr>
      <vt:lpstr>wld_az1_rack6_host16_fqdn</vt:lpstr>
      <vt:lpstr>wld_az1_rack6_host16_hostname</vt:lpstr>
      <vt:lpstr>wld_az1_rack6_host16_mgmt_ip</vt:lpstr>
      <vt:lpstr>wld_az1_rack6_host16_vrms_ip</vt:lpstr>
      <vt:lpstr>wld_az1_rack6_host2_fqdn</vt:lpstr>
      <vt:lpstr>wld_az1_rack6_host2_hostname</vt:lpstr>
      <vt:lpstr>wld_az1_rack6_host2_mgmt_ip</vt:lpstr>
      <vt:lpstr>wld_az1_rack6_host2_vrms_ip</vt:lpstr>
      <vt:lpstr>wld_az1_rack6_host3_fqdn</vt:lpstr>
      <vt:lpstr>wld_az1_rack6_host3_hostname</vt:lpstr>
      <vt:lpstr>wld_az1_rack6_host3_mgmt_ip</vt:lpstr>
      <vt:lpstr>wld_az1_rack6_host3_vrms_ip</vt:lpstr>
      <vt:lpstr>wld_az1_rack6_host4_fqdn</vt:lpstr>
      <vt:lpstr>wld_az1_rack6_host4_hostname</vt:lpstr>
      <vt:lpstr>wld_az1_rack6_host4_mgmt_ip</vt:lpstr>
      <vt:lpstr>wld_az1_rack6_host4_vrms_ip</vt:lpstr>
      <vt:lpstr>wld_az1_rack6_host5_fqdn</vt:lpstr>
      <vt:lpstr>wld_az1_rack6_host5_hostname</vt:lpstr>
      <vt:lpstr>wld_az1_rack6_host5_mgmt_ip</vt:lpstr>
      <vt:lpstr>wld_az1_rack6_host5_vrms_ip</vt:lpstr>
      <vt:lpstr>wld_az1_rack6_host6_fqdn</vt:lpstr>
      <vt:lpstr>wld_az1_rack6_host6_hostname</vt:lpstr>
      <vt:lpstr>wld_az1_rack6_host6_mgmt_ip</vt:lpstr>
      <vt:lpstr>wld_az1_rack6_host6_vrms_ip</vt:lpstr>
      <vt:lpstr>wld_az1_rack6_host7_fqdn</vt:lpstr>
      <vt:lpstr>wld_az1_rack6_host7_hostname</vt:lpstr>
      <vt:lpstr>wld_az1_rack6_host7_mgmt_ip</vt:lpstr>
      <vt:lpstr>wld_az1_rack6_host7_vrms_ip</vt:lpstr>
      <vt:lpstr>wld_az1_rack6_host8_fqdn</vt:lpstr>
      <vt:lpstr>wld_az1_rack6_host8_hostname</vt:lpstr>
      <vt:lpstr>wld_az1_rack6_host8_mgmt_ip</vt:lpstr>
      <vt:lpstr>wld_az1_rack6_host8_vrms_ip</vt:lpstr>
      <vt:lpstr>wld_az1_rack6_host9_fqdn</vt:lpstr>
      <vt:lpstr>wld_az1_rack6_host9_hostname</vt:lpstr>
      <vt:lpstr>wld_az1_rack6_host9_mgmt_ip</vt:lpstr>
      <vt:lpstr>wld_az1_rack6_host9_vrms_ip</vt:lpstr>
      <vt:lpstr>wld_az1_rack6_mgmt_cidr</vt:lpstr>
      <vt:lpstr>wld_az1_rack6_mgmt_gateway_ip</vt:lpstr>
      <vt:lpstr>wld_az1_rack6_mgmt_mask</vt:lpstr>
      <vt:lpstr>wld_az1_rack6_mgmt_mtu</vt:lpstr>
      <vt:lpstr>wld_az1_rack6_mgmt_pg</vt:lpstr>
      <vt:lpstr>wld_az1_rack6_mgmt_vlan</vt:lpstr>
      <vt:lpstr>wld_az1_rack6_mgmt_vm_cidr</vt:lpstr>
      <vt:lpstr>wld_az1_rack6_mgmt_vm_gateway_ip</vt:lpstr>
      <vt:lpstr>wld_az1_rack6_mgmt_vm_mask</vt:lpstr>
      <vt:lpstr>wld_az1_rack6_mgmt_vm_mtu</vt:lpstr>
      <vt:lpstr>wld_az1_rack6_mgmt_vm_pg</vt:lpstr>
      <vt:lpstr>wld_az1_rack6_mgmt_vm_vlan</vt:lpstr>
      <vt:lpstr>wld_az1_rack6_pool_name</vt:lpstr>
      <vt:lpstr>wld_az1_rack6_principal_storage_cidr</vt:lpstr>
      <vt:lpstr>wld_az1_rack6_principal_storage_gateway_ip</vt:lpstr>
      <vt:lpstr>wld_az1_rack6_principal_storage_mask</vt:lpstr>
      <vt:lpstr>wld_az1_rack6_principal_storage_mtu</vt:lpstr>
      <vt:lpstr>wld_az1_rack6_principal_storage_pg</vt:lpstr>
      <vt:lpstr>wld_az1_rack6_principal_storage_pool_end_ip</vt:lpstr>
      <vt:lpstr>wld_az1_rack6_principal_storage_pool_start_ip</vt:lpstr>
      <vt:lpstr>wld_az1_rack6_principal_storage_vlan</vt:lpstr>
      <vt:lpstr>wld_az1_rack6_rtep_ip_pool_name</vt:lpstr>
      <vt:lpstr>wld_az1_rack6_rtep_overlay_cidr</vt:lpstr>
      <vt:lpstr>wld_az1_rack6_rtep_overlay_gateway_ip</vt:lpstr>
      <vt:lpstr>wld_az1_rack6_rtep_overlay_mtu</vt:lpstr>
      <vt:lpstr>wld_az1_rack6_rtep_overlay_pool_end_ip</vt:lpstr>
      <vt:lpstr>wld_az1_rack6_rtep_overlay_pool_start_ip</vt:lpstr>
      <vt:lpstr>wld_az1_rack6_rtep_overlay_vlan</vt:lpstr>
      <vt:lpstr>wld_az1_rack6_secondary_storage_cidr</vt:lpstr>
      <vt:lpstr>wld_az1_rack6_secondary_storage_gateway_ip</vt:lpstr>
      <vt:lpstr>wld_az1_rack6_secondary_storage_mtu</vt:lpstr>
      <vt:lpstr>wld_az1_rack6_secondary_storage_pool_end_ip</vt:lpstr>
      <vt:lpstr>wld_az1_rack6_secondary_storage_pool_start_ip</vt:lpstr>
      <vt:lpstr>wld_az1_rack6_secondary_storage_vlan</vt:lpstr>
      <vt:lpstr>wld_az1_rack6_tor1_peer_asn</vt:lpstr>
      <vt:lpstr>wld_az1_rack6_tor1_peer_bgp_password</vt:lpstr>
      <vt:lpstr>wld_az1_rack6_tor1_peer_ip</vt:lpstr>
      <vt:lpstr>wld_az1_rack6_tor2_peer_asn</vt:lpstr>
      <vt:lpstr>wld_az1_rack6_tor2_peer_bgp_password</vt:lpstr>
      <vt:lpstr>wld_az1_rack6_tor2_peer_ip</vt:lpstr>
      <vt:lpstr>wld_az1_rack6_uplink01_cidr</vt:lpstr>
      <vt:lpstr>wld_az1_rack6_uplink01_gateway_ip</vt:lpstr>
      <vt:lpstr>wld_az1_rack6_uplink01_mtu</vt:lpstr>
      <vt:lpstr>wld_az1_rack6_uplink01_pg</vt:lpstr>
      <vt:lpstr>wld_az1_rack6_uplink01_vlan</vt:lpstr>
      <vt:lpstr>wld_az1_rack6_uplink02_cidr</vt:lpstr>
      <vt:lpstr>wld_az1_rack6_uplink02_gateway_ip</vt:lpstr>
      <vt:lpstr>wld_az1_rack6_uplink02_mtu</vt:lpstr>
      <vt:lpstr>wld_az1_rack6_uplink02_pg</vt:lpstr>
      <vt:lpstr>wld_az1_rack6_uplink02_vlan</vt:lpstr>
      <vt:lpstr>wld_az1_rack6_vmotion_cidr</vt:lpstr>
      <vt:lpstr>wld_az1_rack6_vmotion_gateway_ip</vt:lpstr>
      <vt:lpstr>wld_az1_rack6_vmotion_mask</vt:lpstr>
      <vt:lpstr>wld_az1_rack6_vmotion_mtu</vt:lpstr>
      <vt:lpstr>wld_az1_rack6_vmotion_pg</vt:lpstr>
      <vt:lpstr>wld_az1_rack6_vmotion_pool_end_ip</vt:lpstr>
      <vt:lpstr>wld_az1_rack6_vmotion_pool_start_ip</vt:lpstr>
      <vt:lpstr>wld_az1_rack6_vmotion_vlan</vt:lpstr>
      <vt:lpstr>wld_az1_rack6_vrms_cidr</vt:lpstr>
      <vt:lpstr>wld_az1_rack6_vrms_gateway_ip</vt:lpstr>
      <vt:lpstr>wld_az1_rack6_vrms_mtu</vt:lpstr>
      <vt:lpstr>wld_az1_rack6_vrms_vlan</vt:lpstr>
      <vt:lpstr>wld_az1_rack6_vsan_fault_domain</vt:lpstr>
      <vt:lpstr>wld_az1_rack7_child_dns_zone</vt:lpstr>
      <vt:lpstr>wld_az1_rack7_edge_overlay_cidr</vt:lpstr>
      <vt:lpstr>wld_az1_rack7_edge_overlay_gateway_ip</vt:lpstr>
      <vt:lpstr>wld_az1_rack7_edge_overlay_mtu</vt:lpstr>
      <vt:lpstr>wld_az1_rack7_edge_overlay_network_pool_name</vt:lpstr>
      <vt:lpstr>wld_az1_rack7_edge_overlay_pool_end_ip</vt:lpstr>
      <vt:lpstr>wld_az1_rack7_edge_overlay_pool_start_ip</vt:lpstr>
      <vt:lpstr>wld_az1_rack7_edge_overlay_vlan</vt:lpstr>
      <vt:lpstr>wld_az1_rack7_en1_edge_overlay_interface_ip_1_ip</vt:lpstr>
      <vt:lpstr>wld_az1_rack7_en1_edge_overlay_interface_ip_2_ip</vt:lpstr>
      <vt:lpstr>wld_az1_rack7_en1_fqdn</vt:lpstr>
      <vt:lpstr>wld_az1_rack7_en1_hostname</vt:lpstr>
      <vt:lpstr>wld_az1_rack7_en1_mgmt_ip</vt:lpstr>
      <vt:lpstr>wld_az1_rack7_en1_uplink01_interface_ip</vt:lpstr>
      <vt:lpstr>wld_az1_rack7_en1_uplink02_interface_ip</vt:lpstr>
      <vt:lpstr>wld_az1_rack7_en2_fqdn</vt:lpstr>
      <vt:lpstr>wld_az1_rack7_en2_hostname</vt:lpstr>
      <vt:lpstr>wld_az1_rack7_en2_mgmt_ip</vt:lpstr>
      <vt:lpstr>wld_az1_rack7_en2_uplink01_interface_ip</vt:lpstr>
      <vt:lpstr>wld_az1_rack7_en2_uplink02_interface_ip</vt:lpstr>
      <vt:lpstr>wld_az1_rack7_host_edge_count</vt:lpstr>
      <vt:lpstr>wld_az1_rack7_host_fqdns</vt:lpstr>
      <vt:lpstr>wld_az1_rack7_host_hostnames</vt:lpstr>
      <vt:lpstr>wld_az1_rack7_host_mgmt_ips</vt:lpstr>
      <vt:lpstr>wld_az1_rack7_host_overlay_cidr</vt:lpstr>
      <vt:lpstr>wld_az1_rack7_host_overlay_gateway_ip</vt:lpstr>
      <vt:lpstr>wld_az1_rack7_host_overlay_mtu</vt:lpstr>
      <vt:lpstr>wld_az1_rack7_host_overlay_network_pool_name</vt:lpstr>
      <vt:lpstr>wld_az1_rack7_host_overlay_network_profile_name</vt:lpstr>
      <vt:lpstr>wld_az1_rack7_host_overlay_pool_end_ip</vt:lpstr>
      <vt:lpstr>wld_az1_rack7_host_overlay_pool_start_ip</vt:lpstr>
      <vt:lpstr>wld_az1_rack7_host_overlay_uplink_profile_name</vt:lpstr>
      <vt:lpstr>wld_az1_rack7_host_overlay_vlan</vt:lpstr>
      <vt:lpstr>wld_az1_rack7_host_vrms_ips</vt:lpstr>
      <vt:lpstr>wld_az1_rack7_host1_fqdn</vt:lpstr>
      <vt:lpstr>wld_az1_rack7_host1_hostname</vt:lpstr>
      <vt:lpstr>wld_az1_rack7_host1_mgmt_ip</vt:lpstr>
      <vt:lpstr>wld_az1_rack7_host1_vrms_ip</vt:lpstr>
      <vt:lpstr>wld_az1_rack7_host10_fqdn</vt:lpstr>
      <vt:lpstr>wld_az1_rack7_host10_hostname</vt:lpstr>
      <vt:lpstr>wld_az1_rack7_host10_mgmt_ip</vt:lpstr>
      <vt:lpstr>wld_az1_rack7_host10_vrms_ip</vt:lpstr>
      <vt:lpstr>wld_az1_rack7_host11_fqdn</vt:lpstr>
      <vt:lpstr>wld_az1_rack7_host11_hostname</vt:lpstr>
      <vt:lpstr>wld_az1_rack7_host11_mgmt_ip</vt:lpstr>
      <vt:lpstr>wld_az1_rack7_host11_vrms_ip</vt:lpstr>
      <vt:lpstr>wld_az1_rack7_host12_fqdn</vt:lpstr>
      <vt:lpstr>wld_az1_rack7_host12_hostname</vt:lpstr>
      <vt:lpstr>wld_az1_rack7_host12_mgmt_ip</vt:lpstr>
      <vt:lpstr>wld_az1_rack7_host12_vrms_ip</vt:lpstr>
      <vt:lpstr>wld_az1_rack7_host13_fqdn</vt:lpstr>
      <vt:lpstr>wld_az1_rack7_host13_hostname</vt:lpstr>
      <vt:lpstr>wld_az1_rack7_host13_mgmt_ip</vt:lpstr>
      <vt:lpstr>wld_az1_rack7_host13_vrms_ip</vt:lpstr>
      <vt:lpstr>wld_az1_rack7_host14_fqdn</vt:lpstr>
      <vt:lpstr>wld_az1_rack7_host14_hostname</vt:lpstr>
      <vt:lpstr>wld_az1_rack7_host14_mgmt_ip</vt:lpstr>
      <vt:lpstr>wld_az1_rack7_host14_vrms_ip</vt:lpstr>
      <vt:lpstr>wld_az1_rack7_host15_fqdn</vt:lpstr>
      <vt:lpstr>wld_az1_rack7_host15_hostname</vt:lpstr>
      <vt:lpstr>wld_az1_rack7_host15_mgmt_ip</vt:lpstr>
      <vt:lpstr>wld_az1_rack7_host15_vrms_ip</vt:lpstr>
      <vt:lpstr>wld_az1_rack7_host16_fqdn</vt:lpstr>
      <vt:lpstr>wld_az1_rack7_host16_hostname</vt:lpstr>
      <vt:lpstr>wld_az1_rack7_host16_mgmt_ip</vt:lpstr>
      <vt:lpstr>wld_az1_rack7_host16_vrms_ip</vt:lpstr>
      <vt:lpstr>wld_az1_rack7_host2_fqdn</vt:lpstr>
      <vt:lpstr>wld_az1_rack7_host2_hostname</vt:lpstr>
      <vt:lpstr>wld_az1_rack7_host2_mgmt_ip</vt:lpstr>
      <vt:lpstr>wld_az1_rack7_host2_vrms_ip</vt:lpstr>
      <vt:lpstr>wld_az1_rack7_host3_fqdn</vt:lpstr>
      <vt:lpstr>wld_az1_rack7_host3_hostname</vt:lpstr>
      <vt:lpstr>wld_az1_rack7_host3_mgmt_ip</vt:lpstr>
      <vt:lpstr>wld_az1_rack7_host3_vrms_ip</vt:lpstr>
      <vt:lpstr>wld_az1_rack7_host4_fqdn</vt:lpstr>
      <vt:lpstr>wld_az1_rack7_host4_hostname</vt:lpstr>
      <vt:lpstr>wld_az1_rack7_host4_mgmt_ip</vt:lpstr>
      <vt:lpstr>wld_az1_rack7_host4_vrms_ip</vt:lpstr>
      <vt:lpstr>wld_az1_rack7_host5_fqdn</vt:lpstr>
      <vt:lpstr>wld_az1_rack7_host5_hostname</vt:lpstr>
      <vt:lpstr>wld_az1_rack7_host5_mgmt_ip</vt:lpstr>
      <vt:lpstr>wld_az1_rack7_host5_vrms_ip</vt:lpstr>
      <vt:lpstr>wld_az1_rack7_host6_fqdn</vt:lpstr>
      <vt:lpstr>wld_az1_rack7_host6_hostname</vt:lpstr>
      <vt:lpstr>wld_az1_rack7_host6_mgmt_ip</vt:lpstr>
      <vt:lpstr>wld_az1_rack7_host6_vrms_ip</vt:lpstr>
      <vt:lpstr>wld_az1_rack7_host7_fqdn</vt:lpstr>
      <vt:lpstr>wld_az1_rack7_host7_hostname</vt:lpstr>
      <vt:lpstr>wld_az1_rack7_host7_mgmt_ip</vt:lpstr>
      <vt:lpstr>wld_az1_rack7_host7_vrms_ip</vt:lpstr>
      <vt:lpstr>wld_az1_rack7_host8_fqdn</vt:lpstr>
      <vt:lpstr>wld_az1_rack7_host8_hostname</vt:lpstr>
      <vt:lpstr>wld_az1_rack7_host8_mgmt_ip</vt:lpstr>
      <vt:lpstr>wld_az1_rack7_host8_vrms_ip</vt:lpstr>
      <vt:lpstr>wld_az1_rack7_host9_fqdn</vt:lpstr>
      <vt:lpstr>wld_az1_rack7_host9_hostname</vt:lpstr>
      <vt:lpstr>wld_az1_rack7_host9_mgmt_ip</vt:lpstr>
      <vt:lpstr>wld_az1_rack7_host9_vrms_ip</vt:lpstr>
      <vt:lpstr>wld_az1_rack7_mgmt_cidr</vt:lpstr>
      <vt:lpstr>wld_az1_rack7_mgmt_gateway_ip</vt:lpstr>
      <vt:lpstr>wld_az1_rack7_mgmt_mask</vt:lpstr>
      <vt:lpstr>wld_az1_rack7_mgmt_mtu</vt:lpstr>
      <vt:lpstr>wld_az1_rack7_mgmt_pg</vt:lpstr>
      <vt:lpstr>wld_az1_rack7_mgmt_vlan</vt:lpstr>
      <vt:lpstr>wld_az1_rack7_mgmt_vm_cidr</vt:lpstr>
      <vt:lpstr>wld_az1_rack7_mgmt_vm_gateway_ip</vt:lpstr>
      <vt:lpstr>wld_az1_rack7_mgmt_vm_mask</vt:lpstr>
      <vt:lpstr>wld_az1_rack7_mgmt_vm_mtu</vt:lpstr>
      <vt:lpstr>wld_az1_rack7_mgmt_vm_pg</vt:lpstr>
      <vt:lpstr>wld_az1_rack7_mgmt_vm_vlan</vt:lpstr>
      <vt:lpstr>wld_az1_rack7_pool_name</vt:lpstr>
      <vt:lpstr>wld_az1_rack7_principal_storage_cidr</vt:lpstr>
      <vt:lpstr>wld_az1_rack7_principal_storage_gateway_ip</vt:lpstr>
      <vt:lpstr>wld_az1_rack7_principal_storage_mask</vt:lpstr>
      <vt:lpstr>wld_az1_rack7_principal_storage_mtu</vt:lpstr>
      <vt:lpstr>wld_az1_rack7_principal_storage_pg</vt:lpstr>
      <vt:lpstr>wld_az1_rack7_principal_storage_pool_end_ip</vt:lpstr>
      <vt:lpstr>wld_az1_rack7_principal_storage_pool_start_ip</vt:lpstr>
      <vt:lpstr>wld_az1_rack7_principal_storage_vlan</vt:lpstr>
      <vt:lpstr>wld_az1_rack7_rtep_ip_pool_name</vt:lpstr>
      <vt:lpstr>wld_az1_rack7_rtep_overlay_cidr</vt:lpstr>
      <vt:lpstr>wld_az1_rack7_rtep_overlay_gateway_ip</vt:lpstr>
      <vt:lpstr>wld_az1_rack7_rtep_overlay_mtu</vt:lpstr>
      <vt:lpstr>wld_az1_rack7_rtep_overlay_pool_end_ip</vt:lpstr>
      <vt:lpstr>wld_az1_rack7_rtep_overlay_pool_start_ip</vt:lpstr>
      <vt:lpstr>wld_az1_rack7_rtep_overlay_vlan</vt:lpstr>
      <vt:lpstr>wld_az1_rack7_secondary_storage_cidr</vt:lpstr>
      <vt:lpstr>wld_az1_rack7_secondary_storage_gateway_ip</vt:lpstr>
      <vt:lpstr>wld_az1_rack7_secondary_storage_mtu</vt:lpstr>
      <vt:lpstr>wld_az1_rack7_secondary_storage_pool_end_ip</vt:lpstr>
      <vt:lpstr>wld_az1_rack7_secondary_storage_pool_start_ip</vt:lpstr>
      <vt:lpstr>wld_az1_rack7_secondary_storage_vlan</vt:lpstr>
      <vt:lpstr>wld_az1_rack7_tor1_peer_asn</vt:lpstr>
      <vt:lpstr>wld_az1_rack7_tor1_peer_bgp_password</vt:lpstr>
      <vt:lpstr>wld_az1_rack7_tor1_peer_ip</vt:lpstr>
      <vt:lpstr>wld_az1_rack7_tor2_peer_asn</vt:lpstr>
      <vt:lpstr>wld_az1_rack7_tor2_peer_bgp_password</vt:lpstr>
      <vt:lpstr>wld_az1_rack7_tor2_peer_ip</vt:lpstr>
      <vt:lpstr>wld_az1_rack7_uplink01_cidr</vt:lpstr>
      <vt:lpstr>wld_az1_rack7_uplink01_gateway_ip</vt:lpstr>
      <vt:lpstr>wld_az1_rack7_uplink01_mtu</vt:lpstr>
      <vt:lpstr>wld_az1_rack7_uplink01_pg</vt:lpstr>
      <vt:lpstr>wld_az1_rack7_uplink01_vlan</vt:lpstr>
      <vt:lpstr>wld_az1_rack7_uplink02_cidr</vt:lpstr>
      <vt:lpstr>wld_az1_rack7_uplink02_gateway_ip</vt:lpstr>
      <vt:lpstr>wld_az1_rack7_uplink02_mtu</vt:lpstr>
      <vt:lpstr>wld_az1_rack7_uplink02_pg</vt:lpstr>
      <vt:lpstr>wld_az1_rack7_uplink02_vlan</vt:lpstr>
      <vt:lpstr>wld_az1_rack7_vmotion_cidr</vt:lpstr>
      <vt:lpstr>wld_az1_rack7_vmotion_gateway_ip</vt:lpstr>
      <vt:lpstr>wld_az1_rack7_vmotion_mask</vt:lpstr>
      <vt:lpstr>wld_az1_rack7_vmotion_mtu</vt:lpstr>
      <vt:lpstr>wld_az1_rack7_vmotion_pg</vt:lpstr>
      <vt:lpstr>wld_az1_rack7_vmotion_pool_end_ip</vt:lpstr>
      <vt:lpstr>wld_az1_rack7_vmotion_pool_start_ip</vt:lpstr>
      <vt:lpstr>wld_az1_rack7_vmotion_vlan</vt:lpstr>
      <vt:lpstr>wld_az1_rack7_vrms_cidr</vt:lpstr>
      <vt:lpstr>wld_az1_rack7_vrms_gateway_ip</vt:lpstr>
      <vt:lpstr>wld_az1_rack7_vrms_mtu</vt:lpstr>
      <vt:lpstr>wld_az1_rack7_vrms_vlan</vt:lpstr>
      <vt:lpstr>wld_az1_rack7_vsan_fault_domain</vt:lpstr>
      <vt:lpstr>wld_az1_rack8_child_dns_zone</vt:lpstr>
      <vt:lpstr>wld_az1_rack8_edge_overlay_cidr</vt:lpstr>
      <vt:lpstr>wld_az1_rack8_edge_overlay_gateway_ip</vt:lpstr>
      <vt:lpstr>wld_az1_rack8_edge_overlay_mtu</vt:lpstr>
      <vt:lpstr>wld_az1_rack8_edge_overlay_network_pool_name</vt:lpstr>
      <vt:lpstr>wld_az1_rack8_edge_overlay_pool_end_ip</vt:lpstr>
      <vt:lpstr>wld_az1_rack8_edge_overlay_pool_start_ip</vt:lpstr>
      <vt:lpstr>wld_az1_rack8_edge_overlay_vlan</vt:lpstr>
      <vt:lpstr>wld_az1_rack8_en1_edge_overlay_interface_ip_1_ip</vt:lpstr>
      <vt:lpstr>wld_az1_rack8_en1_edge_overlay_interface_ip_2_ip</vt:lpstr>
      <vt:lpstr>wld_az1_rack8_en1_fqdn</vt:lpstr>
      <vt:lpstr>wld_az1_rack8_en1_hostname</vt:lpstr>
      <vt:lpstr>wld_az1_rack8_en1_mgmt_ip</vt:lpstr>
      <vt:lpstr>wld_az1_rack8_en1_uplink01_interface_ip</vt:lpstr>
      <vt:lpstr>wld_az1_rack8_en1_uplink02_interface_ip</vt:lpstr>
      <vt:lpstr>wld_az1_rack8_en2_fqdn</vt:lpstr>
      <vt:lpstr>wld_az1_rack8_en2_hostname</vt:lpstr>
      <vt:lpstr>wld_az1_rack8_en2_mgmt_ip</vt:lpstr>
      <vt:lpstr>wld_az1_rack8_en2_uplink01_interface_ip</vt:lpstr>
      <vt:lpstr>wld_az1_rack8_en2_uplink02_interface_ip</vt:lpstr>
      <vt:lpstr>wld_az1_rack8_host_edge_count</vt:lpstr>
      <vt:lpstr>wld_az1_rack8_host_fqdns</vt:lpstr>
      <vt:lpstr>wld_az1_rack8_host_hostnames</vt:lpstr>
      <vt:lpstr>wld_az1_rack8_host_mgmt_ips</vt:lpstr>
      <vt:lpstr>wld_az1_rack8_host_overlay_cidr</vt:lpstr>
      <vt:lpstr>wld_az1_rack8_host_overlay_gateway_ip</vt:lpstr>
      <vt:lpstr>wld_az1_rack8_host_overlay_mtu</vt:lpstr>
      <vt:lpstr>wld_az1_rack8_host_overlay_network_pool_name</vt:lpstr>
      <vt:lpstr>wld_az1_rack8_host_overlay_network_profile_name</vt:lpstr>
      <vt:lpstr>wld_az1_rack8_host_overlay_pool_end_ip</vt:lpstr>
      <vt:lpstr>wld_az1_rack8_host_overlay_pool_start_ip</vt:lpstr>
      <vt:lpstr>wld_az1_rack8_host_overlay_uplink_profile_name</vt:lpstr>
      <vt:lpstr>wld_az1_rack8_host_overlay_vlan</vt:lpstr>
      <vt:lpstr>wld_az1_rack8_host_vrms_ips</vt:lpstr>
      <vt:lpstr>wld_az1_rack8_host1_fqdn</vt:lpstr>
      <vt:lpstr>wld_az1_rack8_host1_hostname</vt:lpstr>
      <vt:lpstr>wld_az1_rack8_host1_mgmt_ip</vt:lpstr>
      <vt:lpstr>wld_az1_rack8_host1_vrms_ip</vt:lpstr>
      <vt:lpstr>wld_az1_rack8_host10_fqdn</vt:lpstr>
      <vt:lpstr>wld_az1_rack8_host10_hostname</vt:lpstr>
      <vt:lpstr>wld_az1_rack8_host10_mgmt_ip</vt:lpstr>
      <vt:lpstr>wld_az1_rack8_host10_vrms_ip</vt:lpstr>
      <vt:lpstr>wld_az1_rack8_host11_fqdn</vt:lpstr>
      <vt:lpstr>wld_az1_rack8_host11_hostname</vt:lpstr>
      <vt:lpstr>wld_az1_rack8_host11_mgmt_ip</vt:lpstr>
      <vt:lpstr>wld_az1_rack8_host11_vrms_ip</vt:lpstr>
      <vt:lpstr>wld_az1_rack8_host12_fqdn</vt:lpstr>
      <vt:lpstr>wld_az1_rack8_host12_hostname</vt:lpstr>
      <vt:lpstr>wld_az1_rack8_host12_mgmt_ip</vt:lpstr>
      <vt:lpstr>wld_az1_rack8_host12_vrms_ip</vt:lpstr>
      <vt:lpstr>wld_az1_rack8_host13_fqdn</vt:lpstr>
      <vt:lpstr>wld_az1_rack8_host13_hostname</vt:lpstr>
      <vt:lpstr>wld_az1_rack8_host13_mgmt_ip</vt:lpstr>
      <vt:lpstr>wld_az1_rack8_host13_vrms_ip</vt:lpstr>
      <vt:lpstr>wld_az1_rack8_host14_fqdn</vt:lpstr>
      <vt:lpstr>wld_az1_rack8_host14_hostname</vt:lpstr>
      <vt:lpstr>wld_az1_rack8_host14_mgmt_ip</vt:lpstr>
      <vt:lpstr>wld_az1_rack8_host14_vrms_ip</vt:lpstr>
      <vt:lpstr>wld_az1_rack8_host15_fqdn</vt:lpstr>
      <vt:lpstr>wld_az1_rack8_host15_hostname</vt:lpstr>
      <vt:lpstr>wld_az1_rack8_host15_mgmt_ip</vt:lpstr>
      <vt:lpstr>wld_az1_rack8_host15_vrms_ip</vt:lpstr>
      <vt:lpstr>wld_az1_rack8_host16_fqdn</vt:lpstr>
      <vt:lpstr>wld_az1_rack8_host16_hostname</vt:lpstr>
      <vt:lpstr>wld_az1_rack8_host16_mgmt_ip</vt:lpstr>
      <vt:lpstr>wld_az1_rack8_host16_vrms_ip</vt:lpstr>
      <vt:lpstr>wld_az1_rack8_host2_fqdn</vt:lpstr>
      <vt:lpstr>wld_az1_rack8_host2_hostname</vt:lpstr>
      <vt:lpstr>wld_az1_rack8_host2_mgmt_ip</vt:lpstr>
      <vt:lpstr>wld_az1_rack8_host2_vrms_ip</vt:lpstr>
      <vt:lpstr>wld_az1_rack8_host3_fqdn</vt:lpstr>
      <vt:lpstr>wld_az1_rack8_host3_hostname</vt:lpstr>
      <vt:lpstr>wld_az1_rack8_host3_mgmt_ip</vt:lpstr>
      <vt:lpstr>wld_az1_rack8_host3_vrms_ip</vt:lpstr>
      <vt:lpstr>wld_az1_rack8_host4_fqdn</vt:lpstr>
      <vt:lpstr>wld_az1_rack8_host4_hostname</vt:lpstr>
      <vt:lpstr>wld_az1_rack8_host4_mgmt_ip</vt:lpstr>
      <vt:lpstr>wld_az1_rack8_host4_vrms_ip</vt:lpstr>
      <vt:lpstr>wld_az1_rack8_host5_fqdn</vt:lpstr>
      <vt:lpstr>wld_az1_rack8_host5_hostname</vt:lpstr>
      <vt:lpstr>wld_az1_rack8_host5_mgmt_ip</vt:lpstr>
      <vt:lpstr>wld_az1_rack8_host5_vrms_ip</vt:lpstr>
      <vt:lpstr>wld_az1_rack8_host6_fqdn</vt:lpstr>
      <vt:lpstr>wld_az1_rack8_host6_hostname</vt:lpstr>
      <vt:lpstr>wld_az1_rack8_host6_mgmt_ip</vt:lpstr>
      <vt:lpstr>wld_az1_rack8_host6_vrms_ip</vt:lpstr>
      <vt:lpstr>wld_az1_rack8_host7_fqdn</vt:lpstr>
      <vt:lpstr>wld_az1_rack8_host7_hostname</vt:lpstr>
      <vt:lpstr>wld_az1_rack8_host7_mgmt_ip</vt:lpstr>
      <vt:lpstr>wld_az1_rack8_host7_vrms_ip</vt:lpstr>
      <vt:lpstr>wld_az1_rack8_host8_fqdn</vt:lpstr>
      <vt:lpstr>wld_az1_rack8_host8_hostname</vt:lpstr>
      <vt:lpstr>wld_az1_rack8_host8_mgmt_ip</vt:lpstr>
      <vt:lpstr>wld_az1_rack8_host8_vrms_ip</vt:lpstr>
      <vt:lpstr>wld_az1_rack8_host9_fqdn</vt:lpstr>
      <vt:lpstr>wld_az1_rack8_host9_hostname</vt:lpstr>
      <vt:lpstr>wld_az1_rack8_host9_mgmt_ip</vt:lpstr>
      <vt:lpstr>wld_az1_rack8_host9_vrms_ip</vt:lpstr>
      <vt:lpstr>wld_az1_rack8_mgmt_cidr</vt:lpstr>
      <vt:lpstr>wld_az1_rack8_mgmt_gateway_ip</vt:lpstr>
      <vt:lpstr>wld_az1_rack8_mgmt_mask</vt:lpstr>
      <vt:lpstr>wld_az1_rack8_mgmt_mtu</vt:lpstr>
      <vt:lpstr>wld_az1_rack8_mgmt_pg</vt:lpstr>
      <vt:lpstr>wld_az1_rack8_mgmt_vlan</vt:lpstr>
      <vt:lpstr>wld_az1_rack8_mgmt_vm_cidr</vt:lpstr>
      <vt:lpstr>wld_az1_rack8_mgmt_vm_gateway_ip</vt:lpstr>
      <vt:lpstr>wld_az1_rack8_mgmt_vm_mask</vt:lpstr>
      <vt:lpstr>wld_az1_rack8_mgmt_vm_mtu</vt:lpstr>
      <vt:lpstr>wld_az1_rack8_mgmt_vm_pg</vt:lpstr>
      <vt:lpstr>wld_az1_rack8_mgmt_vm_vlan</vt:lpstr>
      <vt:lpstr>wld_az1_rack8_pool_name</vt:lpstr>
      <vt:lpstr>wld_az1_rack8_principal_storage_cidr</vt:lpstr>
      <vt:lpstr>wld_az1_rack8_principal_storage_gateway_ip</vt:lpstr>
      <vt:lpstr>wld_az1_rack8_principal_storage_mask</vt:lpstr>
      <vt:lpstr>wld_az1_rack8_principal_storage_mtu</vt:lpstr>
      <vt:lpstr>wld_az1_rack8_principal_storage_pg</vt:lpstr>
      <vt:lpstr>wld_az1_rack8_principal_storage_pool_end_ip</vt:lpstr>
      <vt:lpstr>wld_az1_rack8_principal_storage_pool_start_ip</vt:lpstr>
      <vt:lpstr>wld_az1_rack8_principal_storage_vlan</vt:lpstr>
      <vt:lpstr>wld_az1_rack8_rtep_ip_pool_name</vt:lpstr>
      <vt:lpstr>wld_az1_rack8_rtep_overlay_cidr</vt:lpstr>
      <vt:lpstr>wld_az1_rack8_rtep_overlay_gateway_ip</vt:lpstr>
      <vt:lpstr>wld_az1_rack8_rtep_overlay_mtu</vt:lpstr>
      <vt:lpstr>wld_az1_rack8_rtep_overlay_pool_end_ip</vt:lpstr>
      <vt:lpstr>wld_az1_rack8_rtep_overlay_pool_start_ip</vt:lpstr>
      <vt:lpstr>wld_az1_rack8_rtep_overlay_vlan</vt:lpstr>
      <vt:lpstr>wld_az1_rack8_secondary_storage_cidr</vt:lpstr>
      <vt:lpstr>wld_az1_rack8_secondary_storage_gateway_ip</vt:lpstr>
      <vt:lpstr>wld_az1_rack8_secondary_storage_mtu</vt:lpstr>
      <vt:lpstr>wld_az1_rack8_secondary_storage_pool_end_ip</vt:lpstr>
      <vt:lpstr>wld_az1_rack8_secondary_storage_pool_start_ip</vt:lpstr>
      <vt:lpstr>wld_az1_rack8_secondary_storage_vlan</vt:lpstr>
      <vt:lpstr>wld_az1_rack8_tor1_peer_asn</vt:lpstr>
      <vt:lpstr>wld_az1_rack8_tor1_peer_bgp_password</vt:lpstr>
      <vt:lpstr>wld_az1_rack8_tor1_peer_ip</vt:lpstr>
      <vt:lpstr>wld_az1_rack8_tor2_peer_asn</vt:lpstr>
      <vt:lpstr>wld_az1_rack8_tor2_peer_bgp_password</vt:lpstr>
      <vt:lpstr>wld_az1_rack8_tor2_peer_ip</vt:lpstr>
      <vt:lpstr>wld_az1_rack8_uplink01_cidr</vt:lpstr>
      <vt:lpstr>wld_az1_rack8_uplink01_gateway_ip</vt:lpstr>
      <vt:lpstr>wld_az1_rack8_uplink01_mtu</vt:lpstr>
      <vt:lpstr>wld_az1_rack8_uplink01_pg</vt:lpstr>
      <vt:lpstr>wld_az1_rack8_uplink01_vlan</vt:lpstr>
      <vt:lpstr>wld_az1_rack8_uplink02_cidr</vt:lpstr>
      <vt:lpstr>wld_az1_rack8_uplink02_gateway_ip</vt:lpstr>
      <vt:lpstr>wld_az1_rack8_uplink02_mtu</vt:lpstr>
      <vt:lpstr>wld_az1_rack8_uplink02_pg</vt:lpstr>
      <vt:lpstr>wld_az1_rack8_uplink02_vlan</vt:lpstr>
      <vt:lpstr>wld_az1_rack8_vmotion_cidr</vt:lpstr>
      <vt:lpstr>wld_az1_rack8_vmotion_gateway_ip</vt:lpstr>
      <vt:lpstr>wld_az1_rack8_vmotion_mask</vt:lpstr>
      <vt:lpstr>wld_az1_rack8_vmotion_mtu</vt:lpstr>
      <vt:lpstr>wld_az1_rack8_vmotion_pg</vt:lpstr>
      <vt:lpstr>wld_az1_rack8_vmotion_pool_end_ip</vt:lpstr>
      <vt:lpstr>wld_az1_rack8_vmotion_pool_start_ip</vt:lpstr>
      <vt:lpstr>wld_az1_rack8_vmotion_vlan</vt:lpstr>
      <vt:lpstr>wld_az1_rack8_vrms_cidr</vt:lpstr>
      <vt:lpstr>wld_az1_rack8_vrms_gateway_ip</vt:lpstr>
      <vt:lpstr>wld_az1_rack8_vrms_mtu</vt:lpstr>
      <vt:lpstr>wld_az1_rack8_vrms_vlan</vt:lpstr>
      <vt:lpstr>wld_az1_rack8_vsan_fault_domain</vt:lpstr>
      <vt:lpstr>wld_az1_rtep_ip_pool_name</vt:lpstr>
      <vt:lpstr>wld_az1_rtep_overlay_cidr</vt:lpstr>
      <vt:lpstr>wld_az1_rtep_overlay_gateway_ip</vt:lpstr>
      <vt:lpstr>wld_az1_rtep_overlay_mtu</vt:lpstr>
      <vt:lpstr>wld_az1_rtep_overlay_vlan</vt:lpstr>
      <vt:lpstr>wld_az1_second_compute_rack_host_01_output</vt:lpstr>
      <vt:lpstr>wld_az1_second_compute_rack_host_overlay_cidr_output</vt:lpstr>
      <vt:lpstr>wld_az1_second_compute_rack_host_overlay_end_ip_output</vt:lpstr>
      <vt:lpstr>wld_az1_second_compute_rack_host_overlay_gateway_output</vt:lpstr>
      <vt:lpstr>wld_az1_second_compute_rack_host_overlay_start_ip_output</vt:lpstr>
      <vt:lpstr>wld_az1_second_compute_rack_host_overlay_uplink_profile_name_output</vt:lpstr>
      <vt:lpstr>wld_az1_second_compute_rack_host_overlay_vlan_output</vt:lpstr>
      <vt:lpstr>wld_az1_second_compute_rack_overlay_network_pool_name_output</vt:lpstr>
      <vt:lpstr>wld_az1_second_compute_rack_overlay_network_profile_name_output</vt:lpstr>
      <vt:lpstr>wld_az1_second_edge_cluster_host_overlay_cidr_output</vt:lpstr>
      <vt:lpstr>wld_az1_second_edge_cluster_host_overlay_gateway_ip_output</vt:lpstr>
      <vt:lpstr>wld_az1_second_edge_cluster_host_overlay_network_pool_name_output</vt:lpstr>
      <vt:lpstr>wld_az1_second_edge_cluster_host_overlay_pool_end_ip_output</vt:lpstr>
      <vt:lpstr>wld_az1_second_edge_cluster_host_overlay_pool_start_ip_output</vt:lpstr>
      <vt:lpstr>wld_az1_second_edge_cluster_host_overlay_uplink_profile_name_output</vt:lpstr>
      <vt:lpstr>wld_az1_second_edge_cluster_host_overlay_vlan_output</vt:lpstr>
      <vt:lpstr>wld_az1_second_edge_rack_edge_overlay_cidr_output</vt:lpstr>
      <vt:lpstr>wld_az1_second_edge_rack_edge_overlay_gateway_ip_output</vt:lpstr>
      <vt:lpstr>wld_az1_second_edge_rack_edge_overlay_network_pool_name_output</vt:lpstr>
      <vt:lpstr>wld_az1_second_edge_rack_edge_overlay_pool_end_ip_output</vt:lpstr>
      <vt:lpstr>wld_az1_second_edge_rack_edge_overlay_pool_start_ip_output</vt:lpstr>
      <vt:lpstr>wld_az1_second_edge_rack_edge_overlay_vlan_output</vt:lpstr>
      <vt:lpstr>wld_az1_second_edge_rack_en01_fqdn_output</vt:lpstr>
      <vt:lpstr>wld_az1_second_edge_rack_en01_uplink01_interface_cidr_output</vt:lpstr>
      <vt:lpstr>wld_az1_second_edge_rack_en01_uplink02_interface_cidr_output</vt:lpstr>
      <vt:lpstr>wld_az1_second_edge_rack_en02_fqdn_output</vt:lpstr>
      <vt:lpstr>wld_az1_second_edge_rack_en02_uplink01_interface_cidr_output</vt:lpstr>
      <vt:lpstr>wld_az1_second_edge_rack_en02_uplink02_interface_cidr_output</vt:lpstr>
      <vt:lpstr>wld_az1_second_edge_rack_mgmt_en01_vm_cidr_output</vt:lpstr>
      <vt:lpstr>wld_az1_second_edge_rack_mgmt_en02_vm_cidr_output</vt:lpstr>
      <vt:lpstr>wld_az1_second_edge_rack_mgmt_vm_gateway_ip_output</vt:lpstr>
      <vt:lpstr>wld_az1_second_edge_rack_tor1_peer_asn_output</vt:lpstr>
      <vt:lpstr>wld_az1_second_edge_rack_tor1_peer_bgp_password_output</vt:lpstr>
      <vt:lpstr>wld_az1_second_edge_rack_tor1_peer_cidr_output</vt:lpstr>
      <vt:lpstr>wld_az1_second_edge_rack_tor2_peer_asn_output</vt:lpstr>
      <vt:lpstr>wld_az1_second_edge_rack_tor2_peer_bgp_password_output</vt:lpstr>
      <vt:lpstr>wld_az1_second_edge_rack_tor2_peer_cidr_output</vt:lpstr>
      <vt:lpstr>wld_az1_second_edge_rack_uplink01_vlan_output</vt:lpstr>
      <vt:lpstr>wld_az1_second_edge_rack_uplink02_vlan_output</vt:lpstr>
      <vt:lpstr>wld_az1_secondary_storage_cidr</vt:lpstr>
      <vt:lpstr>wld_az1_secondary_storage_gateway_ip</vt:lpstr>
      <vt:lpstr>wld_az1_secondary_storage_mtu</vt:lpstr>
      <vt:lpstr>wld_az1_secondary_storage_pool_end_ip</vt:lpstr>
      <vt:lpstr>wld_az1_secondary_storage_pool_start_ip</vt:lpstr>
      <vt:lpstr>wld_az1_secondary_storage_vlan</vt:lpstr>
      <vt:lpstr>wld_az1_sso_domain_administrator</vt:lpstr>
      <vt:lpstr>wld_az1_sso_domain_administrator_password</vt:lpstr>
      <vt:lpstr>wld_az1_sso_domain_name</vt:lpstr>
      <vt:lpstr>wld_az1_third_compute_rack_host_01_output</vt:lpstr>
      <vt:lpstr>wld_az1_third_compute_rack_host_overlay_cidr_output</vt:lpstr>
      <vt:lpstr>wld_az1_third_compute_rack_host_overlay_end_ip_output</vt:lpstr>
      <vt:lpstr>wld_az1_third_compute_rack_host_overlay_gateway_output</vt:lpstr>
      <vt:lpstr>wld_az1_third_compute_rack_host_overlay_start_ip_output</vt:lpstr>
      <vt:lpstr>wld_az1_third_compute_rack_host_overlay_uplink_profile_name_output</vt:lpstr>
      <vt:lpstr>wld_az1_third_compute_rack_host_overlay_vlan_output</vt:lpstr>
      <vt:lpstr>wld_az1_third_compute_rack_overlay_network_pool_name_output</vt:lpstr>
      <vt:lpstr>wld_az1_third_compute_rack_overlay_network_profile_name_output</vt:lpstr>
      <vt:lpstr>wld_az1_tor1_peer_asn</vt:lpstr>
      <vt:lpstr>wld_az1_tor1_peer_bgp_password</vt:lpstr>
      <vt:lpstr>wld_az1_tor1_peer_ip</vt:lpstr>
      <vt:lpstr>wld_az1_tor2_peer_asn</vt:lpstr>
      <vt:lpstr>wld_az1_tor2_peer_bgp_password</vt:lpstr>
      <vt:lpstr>wld_az1_tor2_peer_ip</vt:lpstr>
      <vt:lpstr>wld_az1_uplink01_cidr</vt:lpstr>
      <vt:lpstr>wld_az1_uplink01_gateway_ip</vt:lpstr>
      <vt:lpstr>wld_az1_uplink01_mtu</vt:lpstr>
      <vt:lpstr>wld_az1_uplink01_vlan</vt:lpstr>
      <vt:lpstr>wld_az1_uplink02_cidr</vt:lpstr>
      <vt:lpstr>wld_az1_uplink02_gateway_ip</vt:lpstr>
      <vt:lpstr>wld_az1_uplink02_mtu</vt:lpstr>
      <vt:lpstr>wld_az1_uplink02_vlan</vt:lpstr>
      <vt:lpstr>wld_az1_vm_cidr</vt:lpstr>
      <vt:lpstr>wld_az1_vm_gateway_ip</vt:lpstr>
      <vt:lpstr>wld_az1_vm_mtu</vt:lpstr>
      <vt:lpstr>wld_az1_vm_network_cidr</vt:lpstr>
      <vt:lpstr>wld_az1_vm_network_gateway_ip</vt:lpstr>
      <vt:lpstr>wld_az1_vm_vlan</vt:lpstr>
      <vt:lpstr>wld_az1_vmotion_cidr</vt:lpstr>
      <vt:lpstr>wld_az1_vmotion_gateway_ip</vt:lpstr>
      <vt:lpstr>wld_az1_vmotion_mask</vt:lpstr>
      <vt:lpstr>wld_az1_vmotion_mtu</vt:lpstr>
      <vt:lpstr>wld_az1_vmotion_pool_end_ip</vt:lpstr>
      <vt:lpstr>wld_az1_vmotion_pool_start_ip</vt:lpstr>
      <vt:lpstr>wld_az1_vmotion_vlan</vt:lpstr>
      <vt:lpstr>wld_az1_vrms_cidr</vt:lpstr>
      <vt:lpstr>wld_az1_vrms_gateway_ip</vt:lpstr>
      <vt:lpstr>wld_az1_vrms_mtu</vt:lpstr>
      <vt:lpstr>wld_az1_vrms_vlan</vt:lpstr>
      <vt:lpstr>wld_az1_vsan_fault_domain</vt:lpstr>
      <vt:lpstr>wld_az2_edge_overlay_cidr</vt:lpstr>
      <vt:lpstr>wld_az2_edge_overlay_gateway_ip</vt:lpstr>
      <vt:lpstr>wld_az2_edge_overlay_mtu</vt:lpstr>
      <vt:lpstr>wld_az2_edge_overlay_vlan</vt:lpstr>
      <vt:lpstr>wld_az2_host_fqdns</vt:lpstr>
      <vt:lpstr>wld_az2_host_hostnames</vt:lpstr>
      <vt:lpstr>wld_az2_host_mgmt_ips</vt:lpstr>
      <vt:lpstr>wld_az2_host_overlay_cidr</vt:lpstr>
      <vt:lpstr>wld_az2_host_overlay_gateway_ip</vt:lpstr>
      <vt:lpstr>wld_az2_host_overlay_mtu</vt:lpstr>
      <vt:lpstr>wld_az2_host_overlay_network_pool_name</vt:lpstr>
      <vt:lpstr>wld_az2_host_overlay_network_profile_name</vt:lpstr>
      <vt:lpstr>wld_az2_host_overlay_pool_end_ip</vt:lpstr>
      <vt:lpstr>wld_az2_host_overlay_pool_name</vt:lpstr>
      <vt:lpstr>wld_az2_host_overlay_pool_start_ip</vt:lpstr>
      <vt:lpstr>wld_az2_host_overlay_uplink_profile_name</vt:lpstr>
      <vt:lpstr>wld_az2_host_overlay_vlan</vt:lpstr>
      <vt:lpstr>wld_az2_host_vrms_ips</vt:lpstr>
      <vt:lpstr>wld_az2_host1_fqdn</vt:lpstr>
      <vt:lpstr>wld_az2_host1_hostname</vt:lpstr>
      <vt:lpstr>wld_az2_host1_mgmt_ip</vt:lpstr>
      <vt:lpstr>wld_az2_host1_sddc_id</vt:lpstr>
      <vt:lpstr>wld_az2_host1_vrms_ip</vt:lpstr>
      <vt:lpstr>wld_az2_host10_fqdn</vt:lpstr>
      <vt:lpstr>wld_az2_host10_hostname</vt:lpstr>
      <vt:lpstr>wld_az2_host10_mgmt_ip</vt:lpstr>
      <vt:lpstr>wld_az2_host10_vrms_ip</vt:lpstr>
      <vt:lpstr>wld_az2_host11_fqdn</vt:lpstr>
      <vt:lpstr>wld_az2_host11_hostname</vt:lpstr>
      <vt:lpstr>wld_az2_host11_mgmt_ip</vt:lpstr>
      <vt:lpstr>wld_az2_host11_vrms_ip</vt:lpstr>
      <vt:lpstr>wld_az2_host12_fqdn</vt:lpstr>
      <vt:lpstr>wld_az2_host12_hostname</vt:lpstr>
      <vt:lpstr>wld_az2_host12_mgmt_ip</vt:lpstr>
      <vt:lpstr>wld_az2_host12_vrms_ip</vt:lpstr>
      <vt:lpstr>wld_az2_host13_fqdn</vt:lpstr>
      <vt:lpstr>wld_az2_host13_hostname</vt:lpstr>
      <vt:lpstr>wld_az2_host13_mgmt_ip</vt:lpstr>
      <vt:lpstr>wld_az2_host13_vrms_ip</vt:lpstr>
      <vt:lpstr>wld_az2_host14_fqdn</vt:lpstr>
      <vt:lpstr>wld_az2_host14_hostname</vt:lpstr>
      <vt:lpstr>wld_az2_host14_mgmt_ip</vt:lpstr>
      <vt:lpstr>wld_az2_host14_vrms_ip</vt:lpstr>
      <vt:lpstr>wld_az2_host15_fqdn</vt:lpstr>
      <vt:lpstr>wld_az2_host15_hostname</vt:lpstr>
      <vt:lpstr>wld_az2_host15_mgmt_ip</vt:lpstr>
      <vt:lpstr>wld_az2_host15_vrms_ip</vt:lpstr>
      <vt:lpstr>wld_az2_host16_fqdn</vt:lpstr>
      <vt:lpstr>wld_az2_host16_hostname</vt:lpstr>
      <vt:lpstr>wld_az2_host16_mgmt_ip</vt:lpstr>
      <vt:lpstr>wld_az2_host16_vrms_ip</vt:lpstr>
      <vt:lpstr>wld_az2_host2_fqdn</vt:lpstr>
      <vt:lpstr>wld_az2_host2_hostname</vt:lpstr>
      <vt:lpstr>wld_az2_host2_mgmt_ip</vt:lpstr>
      <vt:lpstr>wld_az2_host2_sddc_id</vt:lpstr>
      <vt:lpstr>wld_az2_host2_vrms_ip</vt:lpstr>
      <vt:lpstr>wld_az2_host3_fqdn</vt:lpstr>
      <vt:lpstr>wld_az2_host3_hostname</vt:lpstr>
      <vt:lpstr>wld_az2_host3_mgmt_ip</vt:lpstr>
      <vt:lpstr>wld_az2_host3_sddc_id</vt:lpstr>
      <vt:lpstr>wld_az2_host3_vrms_ip</vt:lpstr>
      <vt:lpstr>wld_az2_host4_fqdn</vt:lpstr>
      <vt:lpstr>wld_az2_host4_hostname</vt:lpstr>
      <vt:lpstr>wld_az2_host4_mgmt_ip</vt:lpstr>
      <vt:lpstr>wld_az2_host4_sddc_id</vt:lpstr>
      <vt:lpstr>wld_az2_host4_vrms_ip</vt:lpstr>
      <vt:lpstr>wld_az2_host5_fqdn</vt:lpstr>
      <vt:lpstr>wld_az2_host5_hostname</vt:lpstr>
      <vt:lpstr>wld_az2_host5_mgmt_ip</vt:lpstr>
      <vt:lpstr>wld_az2_host5_vrms_ip</vt:lpstr>
      <vt:lpstr>wld_az2_host6_fqdn</vt:lpstr>
      <vt:lpstr>wld_az2_host6_hostname</vt:lpstr>
      <vt:lpstr>wld_az2_host6_mgmt_ip</vt:lpstr>
      <vt:lpstr>wld_az2_host6_vrms_ip</vt:lpstr>
      <vt:lpstr>wld_az2_host7_fqdn</vt:lpstr>
      <vt:lpstr>wld_az2_host7_hostname</vt:lpstr>
      <vt:lpstr>wld_az2_host7_mgmt_ip</vt:lpstr>
      <vt:lpstr>wld_az2_host7_vrms_ip</vt:lpstr>
      <vt:lpstr>wld_az2_host8_fqdn</vt:lpstr>
      <vt:lpstr>wld_az2_host8_hostname</vt:lpstr>
      <vt:lpstr>wld_az2_host8_mgmt_ip</vt:lpstr>
      <vt:lpstr>wld_az2_host8_vrms_ip</vt:lpstr>
      <vt:lpstr>wld_az2_host9_fqdn</vt:lpstr>
      <vt:lpstr>wld_az2_host9_hostname</vt:lpstr>
      <vt:lpstr>wld_az2_host9_mgmt_ip</vt:lpstr>
      <vt:lpstr>wld_az2_host9_vrms_ip</vt:lpstr>
      <vt:lpstr>wld_az2_mgmt_cidr</vt:lpstr>
      <vt:lpstr>wld_az2_mgmt_gateway_ip</vt:lpstr>
      <vt:lpstr>wld_az2_mgmt_mtu</vt:lpstr>
      <vt:lpstr>wld_az2_mgmt_vlan</vt:lpstr>
      <vt:lpstr>wld_az2_pool_name</vt:lpstr>
      <vt:lpstr>wld_az2_principal_storage_cidr</vt:lpstr>
      <vt:lpstr>wld_az2_principal_storage_gateway_ip</vt:lpstr>
      <vt:lpstr>wld_az2_principal_storage_mtu</vt:lpstr>
      <vt:lpstr>wld_az2_principal_storage_pool_end_ip</vt:lpstr>
      <vt:lpstr>wld_az2_principal_storage_pool_start_ip</vt:lpstr>
      <vt:lpstr>wld_az2_principal_storage_vlan</vt:lpstr>
      <vt:lpstr>wld_az2_rtep_overlay_cidr</vt:lpstr>
      <vt:lpstr>wld_az2_rtep_overlay_gateway_ip</vt:lpstr>
      <vt:lpstr>wld_az2_rtep_overlay_mtu</vt:lpstr>
      <vt:lpstr>wld_az2_rtep_overlay_vlan</vt:lpstr>
      <vt:lpstr>wld_az2_secondary_storage_cidr</vt:lpstr>
      <vt:lpstr>wld_az2_secondary_storage_gateway_ip</vt:lpstr>
      <vt:lpstr>wld_az2_secondary_storage_mtu</vt:lpstr>
      <vt:lpstr>wld_az2_secondary_storage_pool_end_ip</vt:lpstr>
      <vt:lpstr>wld_az2_secondary_storage_pool_start_ip</vt:lpstr>
      <vt:lpstr>wld_az2_secondary_storage_vlan</vt:lpstr>
      <vt:lpstr>wld_az2_tor1_peer_asn</vt:lpstr>
      <vt:lpstr>wld_az2_tor1_peer_bgp_password</vt:lpstr>
      <vt:lpstr>wld_az2_tor1_peer_ip</vt:lpstr>
      <vt:lpstr>wld_az2_tor2_peer_asn</vt:lpstr>
      <vt:lpstr>wld_az2_tor2_peer_bgp_password</vt:lpstr>
      <vt:lpstr>wld_az2_tor2_peer_ip</vt:lpstr>
      <vt:lpstr>wld_az2_uplink01_cidr</vt:lpstr>
      <vt:lpstr>wld_az2_uplink01_gateway_ip</vt:lpstr>
      <vt:lpstr>wld_az2_uplink01_mtu</vt:lpstr>
      <vt:lpstr>wld_az2_uplink01_vlan</vt:lpstr>
      <vt:lpstr>wld_az2_uplink02_cidr</vt:lpstr>
      <vt:lpstr>wld_az2_uplink02_gateway_ip</vt:lpstr>
      <vt:lpstr>wld_az2_uplink02_mtu</vt:lpstr>
      <vt:lpstr>wld_az2_uplink02_vlan</vt:lpstr>
      <vt:lpstr>wld_az2_vm_cidr</vt:lpstr>
      <vt:lpstr>wld_az2_vm_gateway_ip</vt:lpstr>
      <vt:lpstr>wld_az2_vm_mtu</vt:lpstr>
      <vt:lpstr>wld_az2_vm_vlan</vt:lpstr>
      <vt:lpstr>wld_az2_vmotion_cidr</vt:lpstr>
      <vt:lpstr>wld_az2_vmotion_gateway_ip</vt:lpstr>
      <vt:lpstr>wld_az2_vmotion_mtu</vt:lpstr>
      <vt:lpstr>wld_az2_vmotion_pool_end_ip</vt:lpstr>
      <vt:lpstr>wld_az2_vmotion_pool_start_ip</vt:lpstr>
      <vt:lpstr>wld_az2_vmotion_vlan</vt:lpstr>
      <vt:lpstr>wld_az2_vrms_cidr</vt:lpstr>
      <vt:lpstr>wld_az2_vrms_gateway_ip</vt:lpstr>
      <vt:lpstr>wld_az2_vrms_mtu</vt:lpstr>
      <vt:lpstr>wld_az2_vrms_vlan</vt:lpstr>
      <vt:lpstr>wld_bgp_chosen</vt:lpstr>
      <vt:lpstr>wld_bgp_result</vt:lpstr>
      <vt:lpstr>wld_cl01_az1_mgmt_pg</vt:lpstr>
      <vt:lpstr>wld_cl01_az1_mgmt_vm_pg</vt:lpstr>
      <vt:lpstr>wld_cl01_az1_principal_storage_pg</vt:lpstr>
      <vt:lpstr>wld_cl01_az1_uplink01_pg</vt:lpstr>
      <vt:lpstr>wld_cl01_az1_uplink02_pg</vt:lpstr>
      <vt:lpstr>wld_cl01_az1_vm_pg</vt:lpstr>
      <vt:lpstr>wld_cl01_az1_vmotion_pg</vt:lpstr>
      <vt:lpstr>wld_cl01_az2_mgmt_pg</vt:lpstr>
      <vt:lpstr>wld_cl01_az2_principal_storage_pg</vt:lpstr>
      <vt:lpstr>wld_cl01_az2_vm_pg</vt:lpstr>
      <vt:lpstr>wld_cl01_az2_vmotion_pg</vt:lpstr>
      <vt:lpstr>wld_cl01_cluster</vt:lpstr>
      <vt:lpstr>wld_cl01_cluster_sddc_id</vt:lpstr>
      <vt:lpstr>wld_cl01_evc_mode</vt:lpstr>
      <vt:lpstr>wld_cl01_nfs_datastore_name</vt:lpstr>
      <vt:lpstr>wld_cl01_nfs_server_address</vt:lpstr>
      <vt:lpstr>wld_cl01_nfs_share_path</vt:lpstr>
      <vt:lpstr>wld_cl01_vds_name</vt:lpstr>
      <vt:lpstr>wld_cl01_vds_profile</vt:lpstr>
      <vt:lpstr>wld_cl01_vds01_mtu</vt:lpstr>
      <vt:lpstr>wld_cl01_vds01_name</vt:lpstr>
      <vt:lpstr>wld_cl01_vds01_pnics</vt:lpstr>
      <vt:lpstr>wld_cl01_vds01_traffic_type</vt:lpstr>
      <vt:lpstr>wld_cl01_vds02_mtu</vt:lpstr>
      <vt:lpstr>wld_cl01_vds02_name</vt:lpstr>
      <vt:lpstr>wld_cl01_vds02_pnics</vt:lpstr>
      <vt:lpstr>wld_cl01_vds02_traffic_type</vt:lpstr>
      <vt:lpstr>wld_cl01_vds03_mtu</vt:lpstr>
      <vt:lpstr>wld_cl01_vds03_name</vt:lpstr>
      <vt:lpstr>wld_cl01_vds03_pnics</vt:lpstr>
      <vt:lpstr>wld_cl01_vds03_traffic_type</vt:lpstr>
      <vt:lpstr>wld_cl01_vmfs_datastore_name</vt:lpstr>
      <vt:lpstr>wld_cl01_vsan_datastore</vt:lpstr>
      <vt:lpstr>wld_cl01_vsan_dedupe_compression</vt:lpstr>
      <vt:lpstr>wld_cl01_vsan_ftt</vt:lpstr>
      <vt:lpstr>wld_cl01_vvols_datastore_name</vt:lpstr>
      <vt:lpstr>wld_cl02_az1_mgmt_pg</vt:lpstr>
      <vt:lpstr>wld_cl02_az1_mgmt_vm_pg</vt:lpstr>
      <vt:lpstr>wld_cl02_az1_principal_storage_pg</vt:lpstr>
      <vt:lpstr>wld_cl02_az1_uplink01_pg</vt:lpstr>
      <vt:lpstr>wld_cl02_az1_uplink02_pg</vt:lpstr>
      <vt:lpstr>wld_cl02_az1_vmotion_pg</vt:lpstr>
      <vt:lpstr>wld_cl02_cluster</vt:lpstr>
      <vt:lpstr>wld_cl02_evc_mode</vt:lpstr>
      <vt:lpstr>wld_cl02_nfs_datastore_name</vt:lpstr>
      <vt:lpstr>wld_cl02_nfs_server_address</vt:lpstr>
      <vt:lpstr>wld_cl02_nfs_share_path</vt:lpstr>
      <vt:lpstr>wld_cl02_vds_profile</vt:lpstr>
      <vt:lpstr>wld_cl02_vds01_mtu</vt:lpstr>
      <vt:lpstr>wld_cl02_vds01_name</vt:lpstr>
      <vt:lpstr>wld_cl02_vds01_pnics</vt:lpstr>
      <vt:lpstr>wld_cl02_vds01_traffic_type</vt:lpstr>
      <vt:lpstr>wld_cl02_vds02_mtu</vt:lpstr>
      <vt:lpstr>wld_cl02_vds02_name</vt:lpstr>
      <vt:lpstr>wld_cl02_vds02_pnics</vt:lpstr>
      <vt:lpstr>wld_cl02_vds02_traffic_type</vt:lpstr>
      <vt:lpstr>wld_cl02_vds03_mtu</vt:lpstr>
      <vt:lpstr>wld_cl02_vds03_name</vt:lpstr>
      <vt:lpstr>wld_cl02_vds03_pnics</vt:lpstr>
      <vt:lpstr>wld_cl02_vds03_traffic_type</vt:lpstr>
      <vt:lpstr>wld_cl02_vsan_datastore</vt:lpstr>
      <vt:lpstr>wld_cl02_vsan_dedupe_compression</vt:lpstr>
      <vt:lpstr>wld_cl02_vsan_ftt</vt:lpstr>
      <vt:lpstr>wld_cl03_az1_mgmt_pg</vt:lpstr>
      <vt:lpstr>wld_cl03_az1_mgmt_vm_pg</vt:lpstr>
      <vt:lpstr>wld_cl03_az1_principal_storage_pg</vt:lpstr>
      <vt:lpstr>wld_cl03_az1_uplink01_pg</vt:lpstr>
      <vt:lpstr>wld_cl03_az1_uplink02_pg</vt:lpstr>
      <vt:lpstr>wld_cl03_az1_vmotion_pg</vt:lpstr>
      <vt:lpstr>wld_cl03_cluster</vt:lpstr>
      <vt:lpstr>wld_cl03_evc_mode</vt:lpstr>
      <vt:lpstr>wld_cl03_nfs_datastore_name</vt:lpstr>
      <vt:lpstr>wld_cl03_nfs_server_address</vt:lpstr>
      <vt:lpstr>wld_cl03_nfs_share_path</vt:lpstr>
      <vt:lpstr>wld_cl03_vds_profile</vt:lpstr>
      <vt:lpstr>wld_cl03_vds01_mtu</vt:lpstr>
      <vt:lpstr>wld_cl03_vds01_name</vt:lpstr>
      <vt:lpstr>wld_cl03_vds01_pnics</vt:lpstr>
      <vt:lpstr>wld_cl03_vds01_traffic_type</vt:lpstr>
      <vt:lpstr>wld_cl03_vds02_mtu</vt:lpstr>
      <vt:lpstr>wld_cl03_vds02_name</vt:lpstr>
      <vt:lpstr>wld_cl03_vds02_pnics</vt:lpstr>
      <vt:lpstr>wld_cl03_vds02_traffic_type</vt:lpstr>
      <vt:lpstr>wld_cl03_vds03_mtu</vt:lpstr>
      <vt:lpstr>wld_cl03_vds03_name</vt:lpstr>
      <vt:lpstr>wld_cl03_vds03_pnics</vt:lpstr>
      <vt:lpstr>wld_cl03_vds03_traffic_type</vt:lpstr>
      <vt:lpstr>wld_cl03_vsan_datastore</vt:lpstr>
      <vt:lpstr>wld_cl03_vsan_dedupe_compression</vt:lpstr>
      <vt:lpstr>wld_cl03_vsan_ftt</vt:lpstr>
      <vt:lpstr>wld_cloud_account_name</vt:lpstr>
      <vt:lpstr>wld_cluster_compute_edge</vt:lpstr>
      <vt:lpstr>wld_cluster_compute_only</vt:lpstr>
      <vt:lpstr>wld_cluster_edge</vt:lpstr>
      <vt:lpstr>wld_compute_hosts_per_rack</vt:lpstr>
      <vt:lpstr>wld_compute_hosts_per_rack_chosen</vt:lpstr>
      <vt:lpstr>wld_compute_hosts_per_rack_result</vt:lpstr>
      <vt:lpstr>wld_compute_hosts_per_rack1_calculated</vt:lpstr>
      <vt:lpstr>wld_compute_hosts_per_rack2_calculated</vt:lpstr>
      <vt:lpstr>wld_compute_hosts_per_rack3_calculated</vt:lpstr>
      <vt:lpstr>wld_compute_hosts_per_rack4_calculated</vt:lpstr>
      <vt:lpstr>wld_compute_hosts_per_rack5_calculated</vt:lpstr>
      <vt:lpstr>wld_compute_hosts_per_rack6_calculated</vt:lpstr>
      <vt:lpstr>wld_compute_hosts_per_rack7_calculated</vt:lpstr>
      <vt:lpstr>wld_compute_hosts_per_rack8_calculated</vt:lpstr>
      <vt:lpstr>wld_compute_total_number_hosts</vt:lpstr>
      <vt:lpstr>wld_datacenter</vt:lpstr>
      <vt:lpstr>wld_datacenter_moref</vt:lpstr>
      <vt:lpstr>wld_dedicated_edge_cluster_chosen</vt:lpstr>
      <vt:lpstr>wld_dedicated_edge_cluster_chosen_exclude</vt:lpstr>
      <vt:lpstr>wld_dedicated_edge_cluster_chosen_first</vt:lpstr>
      <vt:lpstr>wld_dedicated_edge_cluster_chosen_first_count</vt:lpstr>
      <vt:lpstr>wld_dedicated_edge_cluster_chosen_first_result</vt:lpstr>
      <vt:lpstr>wld_dedicated_edge_cluster_chosen_include</vt:lpstr>
      <vt:lpstr>wld_dedicated_edge_cluster_chosen_second</vt:lpstr>
      <vt:lpstr>wld_dedicated_edge_cluster_chosen_second_count</vt:lpstr>
      <vt:lpstr>wld_dedicated_edge_cluster_chosen_second_result</vt:lpstr>
      <vt:lpstr>wld_dedicated_edge_cluster_model_chosen</vt:lpstr>
      <vt:lpstr>wld_dedicated_edge_cluster_model_result</vt:lpstr>
      <vt:lpstr>wld_dedicated_edge_cluster_result</vt:lpstr>
      <vt:lpstr>wld_domain_chosen</vt:lpstr>
      <vt:lpstr>wld_domain_number_chosen</vt:lpstr>
      <vt:lpstr>wld_domain_result</vt:lpstr>
      <vt:lpstr>wld_dpg_separation_chosen</vt:lpstr>
      <vt:lpstr>wld_dpg_separation_result</vt:lpstr>
      <vt:lpstr>wld_ec_formfactor</vt:lpstr>
      <vt:lpstr>wld_ec_name</vt:lpstr>
      <vt:lpstr>wld_ec_profile_name</vt:lpstr>
      <vt:lpstr>wld_ec_profile_type</vt:lpstr>
      <vt:lpstr>wld_en_asn</vt:lpstr>
      <vt:lpstr>wld_esxi_external_certs_chosen</vt:lpstr>
      <vt:lpstr>wld_esxi_external_certs_result</vt:lpstr>
      <vt:lpstr>wld_existing_active_nsx_gm</vt:lpstr>
      <vt:lpstr>wld_existing_cross_instance_t0_name</vt:lpstr>
      <vt:lpstr>wld_host_dns_zone_chosen</vt:lpstr>
      <vt:lpstr>wld_host_dns_zone_result</vt:lpstr>
      <vt:lpstr>wld_host_overlay_addressing_chosen</vt:lpstr>
      <vt:lpstr>wld_host_overlay_addressing_result</vt:lpstr>
      <vt:lpstr>wld_host_overlay_vlan</vt:lpstr>
      <vt:lpstr>wld_multi_rack_count_chosen</vt:lpstr>
      <vt:lpstr>wld_multi_rack_count_result</vt:lpstr>
      <vt:lpstr>wld_multirack_chosen</vt:lpstr>
      <vt:lpstr>wld_multirack_default_networking_json</vt:lpstr>
      <vt:lpstr>wld_multirack_edge_deployment_model_2_node_json</vt:lpstr>
      <vt:lpstr>wld_multirack_edge_deployment_model_4_node_json</vt:lpstr>
      <vt:lpstr>wld_multirack_nsx_separation_networking_json</vt:lpstr>
      <vt:lpstr>wld_multirack_result</vt:lpstr>
      <vt:lpstr>wld_multirack_storage_nsx_separation_networking_json</vt:lpstr>
      <vt:lpstr>wld_multirack_storage_separation_networking_json</vt:lpstr>
      <vt:lpstr>wld_nsxt_federation_chosen</vt:lpstr>
      <vt:lpstr>wld_nsxt_federation_global_manager_name</vt:lpstr>
      <vt:lpstr>wld_nsxt_federation_location_name</vt:lpstr>
      <vt:lpstr>wld_nsxt_federation_result</vt:lpstr>
      <vt:lpstr>wld_nsxt_global_mgr_anti_affinity_rule_name</vt:lpstr>
      <vt:lpstr>wld_nsxt_global_mgr_certificate_id</vt:lpstr>
      <vt:lpstr>wld_nsxt_global_mgr_cluster_id</vt:lpstr>
      <vt:lpstr>wld_nsxt_global_mgr_vmca_signed_thumbprint</vt:lpstr>
      <vt:lpstr>wld_nsxt_global_mgra_fqdn</vt:lpstr>
      <vt:lpstr>wld_nsxt_global_mgra_hostname</vt:lpstr>
      <vt:lpstr>wld_nsxt_global_mgra_ip</vt:lpstr>
      <vt:lpstr>wld_nsxt_global_mgrb_fqdn</vt:lpstr>
      <vt:lpstr>wld_nsxt_global_mgrb_hostname</vt:lpstr>
      <vt:lpstr>wld_nsxt_global_mgrb_ip</vt:lpstr>
      <vt:lpstr>wld_nsxt_global_mgrc_fqdn</vt:lpstr>
      <vt:lpstr>wld_nsxt_global_mgrc_hostname</vt:lpstr>
      <vt:lpstr>wld_nsxt_global_mgrc_ip</vt:lpstr>
      <vt:lpstr>wld_nsxt_gm_fingerprint</vt:lpstr>
      <vt:lpstr>wld_nsxt_gm_hostname</vt:lpstr>
      <vt:lpstr>wld_nsxt_gm_ip</vt:lpstr>
      <vt:lpstr>wld_nsxt_gm_vip_fqdn</vt:lpstr>
      <vt:lpstr>wld_nsxt_hostname</vt:lpstr>
      <vt:lpstr>wld_nsxt_ip</vt:lpstr>
      <vt:lpstr>wld_nsxt_lm_fingerprint</vt:lpstr>
      <vt:lpstr>wld_nsxt_mgra_fqdn</vt:lpstr>
      <vt:lpstr>wld_nsxt_mgra_hostname</vt:lpstr>
      <vt:lpstr>wld_nsxt_mgra_ip</vt:lpstr>
      <vt:lpstr>wld_nsxt_mgrb_fqdn</vt:lpstr>
      <vt:lpstr>wld_nsxt_mgrb_hostname</vt:lpstr>
      <vt:lpstr>wld_nsxt_mgrb_ip</vt:lpstr>
      <vt:lpstr>wld_nsxt_mgrc_fqdn</vt:lpstr>
      <vt:lpstr>wld_nsxt_mgrc_hostname</vt:lpstr>
      <vt:lpstr>wld_nsxt_mgrc_ip</vt:lpstr>
      <vt:lpstr>wld_nsxt_vip_fqdn</vt:lpstr>
      <vt:lpstr>wld_nsxt_xreg_t1_name</vt:lpstr>
      <vt:lpstr>wld_principal_storage_chosen</vt:lpstr>
      <vt:lpstr>wld_principal_storage_result</vt:lpstr>
      <vt:lpstr>wld_rack_count_with_dedicated_edges</vt:lpstr>
      <vt:lpstr>wld_rack_count_without_dedicated_edges</vt:lpstr>
      <vt:lpstr>wld_rack2_en_asn</vt:lpstr>
      <vt:lpstr>wld_rack3_en_asn</vt:lpstr>
      <vt:lpstr>wld_rack4_en_asn</vt:lpstr>
      <vt:lpstr>wld_rack5_en_asn</vt:lpstr>
      <vt:lpstr>wld_rack6_en_asn</vt:lpstr>
      <vt:lpstr>wld_rack7_en_asn</vt:lpstr>
      <vt:lpstr>wld_rack8_en_asn</vt:lpstr>
      <vt:lpstr>wld_rtep_ip_pool_name</vt:lpstr>
      <vt:lpstr>wld_rtep_overlay_pool_end_ip</vt:lpstr>
      <vt:lpstr>wld_rtep_overlay_pool_start_ip</vt:lpstr>
      <vt:lpstr>wld_sddc_domain</vt:lpstr>
      <vt:lpstr>wld_sddc_org</vt:lpstr>
      <vt:lpstr>wld_secondary_storage_chosen</vt:lpstr>
      <vt:lpstr>wld_secondary_storage_result</vt:lpstr>
      <vt:lpstr>wld_signed_certs_chosen</vt:lpstr>
      <vt:lpstr>wld_signed_certs_result</vt:lpstr>
      <vt:lpstr>wld_srm_admin_email</vt:lpstr>
      <vt:lpstr>wld_srm_admin_password</vt:lpstr>
      <vt:lpstr>wld_srm_database_password</vt:lpstr>
      <vt:lpstr>wld_srm_fqdn</vt:lpstr>
      <vt:lpstr>wld_srm_hostname</vt:lpstr>
      <vt:lpstr>wld_srm_ip</vt:lpstr>
      <vt:lpstr>wld_srm_p12_password</vt:lpstr>
      <vt:lpstr>wld_srm_recovery_vcenter_fqdn</vt:lpstr>
      <vt:lpstr>wld_srm_recovery_vcenter_password</vt:lpstr>
      <vt:lpstr>wld_srm_recovery_vcenter_username</vt:lpstr>
      <vt:lpstr>wld_srm_root_password</vt:lpstr>
      <vt:lpstr>wld_srm_site_name</vt:lpstr>
      <vt:lpstr>wld_srm_sso_domain_membership</vt:lpstr>
      <vt:lpstr>wld_srm_vm_folder</vt:lpstr>
      <vt:lpstr>wld_stretched_cluster_chosen</vt:lpstr>
      <vt:lpstr>wld_stretched_cluster_result</vt:lpstr>
      <vt:lpstr>wld_tier0_name</vt:lpstr>
      <vt:lpstr>wld_tier1_name</vt:lpstr>
      <vt:lpstr>wld_user_vm_rp</vt:lpstr>
      <vt:lpstr>wld_vc_fqdn</vt:lpstr>
      <vt:lpstr>wld_vc_hostname</vt:lpstr>
      <vt:lpstr>wld_vc_ip</vt:lpstr>
      <vt:lpstr>wld_vlcm_model_chosen</vt:lpstr>
      <vt:lpstr>wld_vlcm_model_result</vt:lpstr>
      <vt:lpstr>wld_vra_storage_folder</vt:lpstr>
      <vt:lpstr>wld_vra_storage_readonly_folder</vt:lpstr>
      <vt:lpstr>wld_vra_vm_folder</vt:lpstr>
      <vt:lpstr>wld_vra_vm_rp</vt:lpstr>
      <vt:lpstr>wld_vrms_admin_email</vt:lpstr>
      <vt:lpstr>wld_vrms_admin_password</vt:lpstr>
      <vt:lpstr>wld_vrms_fqdn</vt:lpstr>
      <vt:lpstr>wld_vrms_hostname</vt:lpstr>
      <vt:lpstr>wld_vrms_mask</vt:lpstr>
      <vt:lpstr>wld_vrms_mgmt_ip</vt:lpstr>
      <vt:lpstr>wld_vrms_p12_password</vt:lpstr>
      <vt:lpstr>wld_vrms_pg</vt:lpstr>
      <vt:lpstr>wld_vrms_recovery_replication_cidr</vt:lpstr>
      <vt:lpstr>wld_vrms_root_password</vt:lpstr>
      <vt:lpstr>wld_vrms_site_name</vt:lpstr>
      <vt:lpstr>wld_vrms_vm_folder</vt:lpstr>
      <vt:lpstr>wld_vrms_vrms_ip</vt:lpstr>
      <vt:lpstr>wld_vvols_vasa_provider_container_name</vt:lpstr>
      <vt:lpstr>wld_vvols_vasa_provider_name</vt:lpstr>
      <vt:lpstr>wld_vvols_vasa_provider_password</vt:lpstr>
      <vt:lpstr>wld_vvols_vasa_provider_url</vt:lpstr>
      <vt:lpstr>wld_vvols_vasa_provider_username</vt:lpstr>
      <vt:lpstr>wld_witness_az_mgmt_mask</vt:lpstr>
      <vt:lpstr>wld_witness_cluster</vt:lpstr>
      <vt:lpstr>wld_witness_fqdn</vt:lpstr>
      <vt:lpstr>wld_witness_hostname</vt:lpstr>
      <vt:lpstr>wld_witness_mgmt_ip</vt:lpstr>
      <vt:lpstr>wld_witness_mgmt_pg</vt:lpstr>
      <vt:lpstr>wld_witness_root_password</vt:lpstr>
      <vt:lpstr>wld_witness_sddc_domain</vt:lpstr>
      <vt:lpstr>wld_witness_vc_fqdn</vt:lpstr>
      <vt:lpstr>wld_witness_vcenter_hostname</vt:lpstr>
      <vt:lpstr>wld_witness_vm_folder</vt:lpstr>
      <vt:lpstr>wld_witness_vsan_datastore</vt:lpstr>
      <vt:lpstr>wld_witness_zone_vc_ip</vt:lpstr>
      <vt:lpstr>wld_witnessaz_cidr</vt:lpstr>
      <vt:lpstr>wld_witnessaz_gateway_ip</vt:lpstr>
      <vt:lpstr>wld_witnessaz_mgmt_mtu</vt:lpstr>
      <vt:lpstr>wld_witnessaz_mgmt_vlan</vt:lpstr>
      <vt:lpstr>workload_descriptor</vt:lpstr>
      <vt:lpstr>xreg_configadmin_email</vt:lpstr>
      <vt:lpstr>xreg_customer_connect_email</vt:lpstr>
      <vt:lpstr>xreg_customer_connect_password</vt:lpstr>
      <vt:lpstr>xreg_existing_vrslcm_fqdn</vt:lpstr>
      <vt:lpstr>xreg_seg01_cidr</vt:lpstr>
      <vt:lpstr>xreg_seg01_gateway_ip</vt:lpstr>
      <vt:lpstr>xreg_seg01_mask</vt:lpstr>
      <vt:lpstr>xreg_seg01_mtu</vt:lpstr>
      <vt:lpstr>xreg_seg01_name</vt:lpstr>
      <vt:lpstr>xreg_seg01_vlan</vt:lpstr>
      <vt:lpstr>xreg_vra_anti_affinity_rule</vt:lpstr>
      <vt:lpstr>xreg_vra_appliance_size</vt:lpstr>
      <vt:lpstr>xreg_vra_cloud_account_cloud_capability_tag</vt:lpstr>
      <vt:lpstr>xreg_vra_cloud_account_region_capability_tag</vt:lpstr>
      <vt:lpstr>xreg_vra_k8s_cluster_cidr</vt:lpstr>
      <vt:lpstr>xreg_vra_k8s_service_cidr</vt:lpstr>
      <vt:lpstr>xreg_vra_nodea_fqdn</vt:lpstr>
      <vt:lpstr>xreg_vra_nodea_hostname</vt:lpstr>
      <vt:lpstr>xreg_vra_nodea_ip</vt:lpstr>
      <vt:lpstr>xreg_vra_nodeb_fqdn</vt:lpstr>
      <vt:lpstr>xreg_vra_nodeb_hostname</vt:lpstr>
      <vt:lpstr>xreg_vra_nodeb_ip</vt:lpstr>
      <vt:lpstr>xreg_vra_nodec_fqdn</vt:lpstr>
      <vt:lpstr>xreg_vra_nodec_hostname</vt:lpstr>
      <vt:lpstr>xreg_vra_nodec_ip</vt:lpstr>
      <vt:lpstr>xreg_vra_org_name</vt:lpstr>
      <vt:lpstr>xreg_vra_root_password</vt:lpstr>
      <vt:lpstr>xreg_vra_root_password_alias</vt:lpstr>
      <vt:lpstr>xreg_vra_root_username</vt:lpstr>
      <vt:lpstr>xreg_vra_smtp_sender_email_address</vt:lpstr>
      <vt:lpstr>xreg_vra_smtp_sender_name</vt:lpstr>
      <vt:lpstr>xreg_vra_virtual_fqdn</vt:lpstr>
      <vt:lpstr>xreg_vra_virtual_hostname</vt:lpstr>
      <vt:lpstr>xreg_vra_virtual_ip</vt:lpstr>
      <vt:lpstr>xreg_vra_vm_folder</vt:lpstr>
      <vt:lpstr>xreg_vra_vm_group_name</vt:lpstr>
      <vt:lpstr>xreg_vra_vm_vm_rule</vt:lpstr>
      <vt:lpstr>xreg_vra_vsphere_role_name</vt:lpstr>
      <vt:lpstr>xreg_vrni_consoleuser_password</vt:lpstr>
      <vt:lpstr>xreg_vrni_consoleuser_password_alias</vt:lpstr>
      <vt:lpstr>xreg_vrni_deployment_type</vt:lpstr>
      <vt:lpstr>xreg_vrni_nodea_fqdn</vt:lpstr>
      <vt:lpstr>xreg_vrni_nodea_hostname</vt:lpstr>
      <vt:lpstr>xreg_vrni_nodea_ip</vt:lpstr>
      <vt:lpstr>xreg_vrni_platform_anti_affinity</vt:lpstr>
      <vt:lpstr>xreg_vrni_platform_node_size</vt:lpstr>
      <vt:lpstr>xreg_vrni_root_password</vt:lpstr>
      <vt:lpstr>xreg_vrni_root_password_alias</vt:lpstr>
      <vt:lpstr>xreg_vrni_support_password</vt:lpstr>
      <vt:lpstr>xreg_vrni_support_password_alias</vt:lpstr>
      <vt:lpstr>xreg_vro_vsphere_role_name</vt:lpstr>
      <vt:lpstr>xreg_vrops_anti_affinity_rule_name</vt:lpstr>
      <vt:lpstr>xreg_vrops_appliance_size</vt:lpstr>
      <vt:lpstr>xreg_vrops_currency</vt:lpstr>
      <vt:lpstr>xreg_vrops_default_collector_group</vt:lpstr>
      <vt:lpstr>xreg_vrops_existing_nodea_fqdn</vt:lpstr>
      <vt:lpstr>xreg_vrops_existing_nodea_hostname</vt:lpstr>
      <vt:lpstr>xreg_vrops_existing_nodeb_fqdn</vt:lpstr>
      <vt:lpstr>xreg_vrops_existing_nodeb_hostname</vt:lpstr>
      <vt:lpstr>xreg_vrops_existing_nodec_fqdn</vt:lpstr>
      <vt:lpstr>xreg_vrops_existing_nodec_hostname</vt:lpstr>
      <vt:lpstr>xreg_vrops_existing_virtual_server_fqdn</vt:lpstr>
      <vt:lpstr>xreg_vrops_nodea_fqdn</vt:lpstr>
      <vt:lpstr>xreg_vrops_nodea_hostname</vt:lpstr>
      <vt:lpstr>xreg_vrops_nodea_ip</vt:lpstr>
      <vt:lpstr>xreg_vrops_nodeb_fqdn</vt:lpstr>
      <vt:lpstr>xreg_vrops_nodeb_hostname</vt:lpstr>
      <vt:lpstr>xreg_vrops_nodeb_ip</vt:lpstr>
      <vt:lpstr>xreg_vrops_nodec_fqdn</vt:lpstr>
      <vt:lpstr>xreg_vrops_nodec_hostname</vt:lpstr>
      <vt:lpstr>xreg_vrops_nodec_ip</vt:lpstr>
      <vt:lpstr>xreg_vrops_notification_delay</vt:lpstr>
      <vt:lpstr>xreg_vrops_notification_interval</vt:lpstr>
      <vt:lpstr>xreg_vrops_notification_max</vt:lpstr>
      <vt:lpstr>xreg_vrops_rc_size</vt:lpstr>
      <vt:lpstr>xreg_vrops_root_password</vt:lpstr>
      <vt:lpstr>xreg_vrops_root_password_alias</vt:lpstr>
      <vt:lpstr>xreg_vrops_smtp_receiver_email_address</vt:lpstr>
      <vt:lpstr>xreg_vrops_smtp_sender_email_address</vt:lpstr>
      <vt:lpstr>xreg_vrops_smtp_sender_name</vt:lpstr>
      <vt:lpstr>xreg_vrops_srm_sso_password</vt:lpstr>
      <vt:lpstr>xreg_vrops_srm_sso_username</vt:lpstr>
      <vt:lpstr>xreg_vrops_virtual_fqdn</vt:lpstr>
      <vt:lpstr>xreg_vrops_virtual_hostname</vt:lpstr>
      <vt:lpstr>xreg_vrops_virtual_ip</vt:lpstr>
      <vt:lpstr>xreg_vrops_vm_folder</vt:lpstr>
      <vt:lpstr>xreg_vrops_vm_group_name</vt:lpstr>
      <vt:lpstr>xreg_vrops_vm_to_vm_rule_name</vt:lpstr>
      <vt:lpstr>xreg_vrops_vrms_sso_password</vt:lpstr>
      <vt:lpstr>xreg_vrops_vrms_sso_username</vt:lpstr>
      <vt:lpstr>xreg_vrops_vsphere_actions_role_name</vt:lpstr>
      <vt:lpstr>xreg_vrops_vsphere_metrics_role_name</vt:lpstr>
      <vt:lpstr>xreg_vropsrc_anti_affinity_rule_name</vt:lpstr>
      <vt:lpstr>xreg_vrslcm_fqdn</vt:lpstr>
      <vt:lpstr>xreg_vrslcm_hostname</vt:lpstr>
      <vt:lpstr>xreg_vrslcm_ip</vt:lpstr>
      <vt:lpstr>xreg_wsa_anti_affinity_rule</vt:lpstr>
      <vt:lpstr>xreg_wsa_cert_name</vt:lpstr>
      <vt:lpstr>xreg_wsa_delegate_ip</vt:lpstr>
      <vt:lpstr>xreg_wsa_node_size</vt:lpstr>
      <vt:lpstr>xreg_wsa_nodea_fqdn</vt:lpstr>
      <vt:lpstr>xreg_wsa_nodea_hostname</vt:lpstr>
      <vt:lpstr>xreg_wsa_nodea_ip</vt:lpstr>
      <vt:lpstr>xreg_wsa_nodeb_fqdn</vt:lpstr>
      <vt:lpstr>xreg_wsa_nodeb_hostname</vt:lpstr>
      <vt:lpstr>xreg_wsa_nodeb_ip</vt:lpstr>
      <vt:lpstr>xreg_wsa_nodec_fqdn</vt:lpstr>
      <vt:lpstr>xreg_wsa_nodec_hostname</vt:lpstr>
      <vt:lpstr>xreg_wsa_nodec_ip</vt:lpstr>
      <vt:lpstr>xreg_wsa_virtual_fqdn</vt:lpstr>
      <vt:lpstr>xreg_wsa_virtual_hostname</vt:lpstr>
      <vt:lpstr>xreg_wsa_virtual_ip</vt:lpstr>
      <vt:lpstr>xreg_wsa_vm_folder</vt:lpstr>
      <vt:lpstr>xreg_wsa_vm_group_name</vt:lpstr>
      <vt:lpstr>xreg_wsa_vrops_vm_to_vm_rule_name</vt:lpstr>
      <vt:lpstr>xregion_dns1_ip</vt:lpstr>
      <vt:lpstr>xregion_dns2_ip</vt:lpstr>
      <vt:lpstr>xregion_ntp1_server</vt:lpstr>
      <vt:lpstr>xregion_ntp2_server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Cliff Cahill</cp:lastModifiedBy>
  <cp:revision/>
  <dcterms:created xsi:type="dcterms:W3CDTF">2020-01-21T13:51:29Z</dcterms:created>
  <dcterms:modified xsi:type="dcterms:W3CDTF">2024-09-25T05:55:28Z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0x010100A82EF44E0227C24E85294C0D2197735E</vt:lpwstr>
  </property>
  <property fmtid="{D5CDD505-2E9C-101B-9397-08002B2CF9AE}" pid="3" name="MediaServiceImageTags">
    <vt:lpwstr/>
  </property>
</Properties>
</file>